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0545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12" i="4" l="1"/>
  <c r="E12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C1061" i="4" s="1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D1078" i="4" s="1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D1102" i="4" s="1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H1113" i="4" s="1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C12" i="3"/>
  <c r="E12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B1039" i="3" s="1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B1043" i="3" s="1"/>
  <c r="C88" i="3"/>
  <c r="D88" i="3"/>
  <c r="E88" i="3"/>
  <c r="B89" i="3"/>
  <c r="C89" i="3"/>
  <c r="D89" i="3"/>
  <c r="E89" i="3"/>
  <c r="E1043" i="3" s="1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E1046" i="3" s="1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E1047" i="3" s="1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E1050" i="3" s="1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B1051" i="3" s="1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B1059" i="3" s="1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C1064" i="3" s="1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B1070" i="3" s="1"/>
  <c r="C412" i="3"/>
  <c r="C1070" i="3" s="1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E1037" i="3"/>
  <c r="E1038" i="3"/>
  <c r="B1053" i="3"/>
  <c r="E1053" i="3"/>
  <c r="A1059" i="3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D1070" i="3"/>
  <c r="A1074" i="3"/>
  <c r="A1075" i="3" s="1"/>
  <c r="A1076" i="3" s="1"/>
  <c r="A1077" i="3" s="1"/>
  <c r="A1078" i="3" s="1"/>
  <c r="A1079" i="3" s="1"/>
  <c r="A1080" i="3" s="1"/>
  <c r="A1081" i="3" s="1"/>
  <c r="A1082" i="3" s="1"/>
  <c r="A1083" i="3" s="1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7" i="2"/>
  <c r="C1037" i="2"/>
  <c r="D1037" i="2"/>
  <c r="E1037" i="2"/>
  <c r="F1037" i="2"/>
  <c r="G1037" i="2"/>
  <c r="I1037" i="2"/>
  <c r="J1037" i="2"/>
  <c r="B1038" i="2"/>
  <c r="C1038" i="2"/>
  <c r="D1038" i="2"/>
  <c r="E1038" i="2"/>
  <c r="F1038" i="2"/>
  <c r="G1038" i="2"/>
  <c r="H1038" i="2"/>
  <c r="I1038" i="2"/>
  <c r="J1038" i="2"/>
  <c r="B1039" i="2"/>
  <c r="C1039" i="2"/>
  <c r="D1039" i="2"/>
  <c r="E1039" i="2"/>
  <c r="F1039" i="2"/>
  <c r="G1039" i="2"/>
  <c r="H1039" i="2"/>
  <c r="I1039" i="2"/>
  <c r="J1039" i="2"/>
  <c r="B1040" i="2"/>
  <c r="C1040" i="2"/>
  <c r="D1040" i="2"/>
  <c r="E1040" i="2"/>
  <c r="F1040" i="2"/>
  <c r="G1040" i="2"/>
  <c r="H1040" i="2"/>
  <c r="I1040" i="2"/>
  <c r="J1040" i="2"/>
  <c r="B1041" i="2"/>
  <c r="C1041" i="2"/>
  <c r="D1041" i="2"/>
  <c r="E1041" i="2"/>
  <c r="F1041" i="2"/>
  <c r="G1041" i="2"/>
  <c r="H1041" i="2"/>
  <c r="I1041" i="2"/>
  <c r="J1041" i="2"/>
  <c r="B1042" i="2"/>
  <c r="C1042" i="2"/>
  <c r="D1042" i="2"/>
  <c r="E1042" i="2"/>
  <c r="F1042" i="2"/>
  <c r="G1042" i="2"/>
  <c r="H1042" i="2"/>
  <c r="I1042" i="2"/>
  <c r="J1042" i="2"/>
  <c r="B1043" i="2"/>
  <c r="C1043" i="2"/>
  <c r="D1043" i="2"/>
  <c r="E1043" i="2"/>
  <c r="F1043" i="2"/>
  <c r="G1043" i="2"/>
  <c r="H1043" i="2"/>
  <c r="I1043" i="2"/>
  <c r="J1043" i="2"/>
  <c r="B1044" i="2"/>
  <c r="C1044" i="2"/>
  <c r="D1044" i="2"/>
  <c r="E1044" i="2"/>
  <c r="F1044" i="2"/>
  <c r="G1044" i="2"/>
  <c r="H1044" i="2"/>
  <c r="I1044" i="2"/>
  <c r="J1044" i="2"/>
  <c r="B1045" i="2"/>
  <c r="C1045" i="2"/>
  <c r="D1045" i="2"/>
  <c r="E1045" i="2"/>
  <c r="F1045" i="2"/>
  <c r="G1045" i="2"/>
  <c r="H1045" i="2"/>
  <c r="I1045" i="2"/>
  <c r="J1045" i="2"/>
  <c r="B1046" i="2"/>
  <c r="C1046" i="2"/>
  <c r="D1046" i="2"/>
  <c r="E1046" i="2"/>
  <c r="F1046" i="2"/>
  <c r="G1046" i="2"/>
  <c r="H1046" i="2"/>
  <c r="I1046" i="2"/>
  <c r="J1046" i="2"/>
  <c r="B1047" i="2"/>
  <c r="C1047" i="2"/>
  <c r="D1047" i="2"/>
  <c r="E1047" i="2"/>
  <c r="F1047" i="2"/>
  <c r="G1047" i="2"/>
  <c r="H1047" i="2"/>
  <c r="I1047" i="2"/>
  <c r="J1047" i="2"/>
  <c r="B1048" i="2"/>
  <c r="C1048" i="2"/>
  <c r="D1048" i="2"/>
  <c r="E1048" i="2"/>
  <c r="F1048" i="2"/>
  <c r="G1048" i="2"/>
  <c r="H1048" i="2"/>
  <c r="I1048" i="2"/>
  <c r="J1048" i="2"/>
  <c r="B1049" i="2"/>
  <c r="C1049" i="2"/>
  <c r="D1049" i="2"/>
  <c r="E1049" i="2"/>
  <c r="F1049" i="2"/>
  <c r="G1049" i="2"/>
  <c r="H1049" i="2"/>
  <c r="I1049" i="2"/>
  <c r="J1049" i="2"/>
  <c r="B1050" i="2"/>
  <c r="C1050" i="2"/>
  <c r="D1050" i="2"/>
  <c r="E1050" i="2"/>
  <c r="F1050" i="2"/>
  <c r="G1050" i="2"/>
  <c r="H1050" i="2"/>
  <c r="I1050" i="2"/>
  <c r="J1050" i="2"/>
  <c r="B1051" i="2"/>
  <c r="C1051" i="2"/>
  <c r="D1051" i="2"/>
  <c r="E1051" i="2"/>
  <c r="F1051" i="2"/>
  <c r="G1051" i="2"/>
  <c r="H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A1059" i="2"/>
  <c r="C1059" i="2"/>
  <c r="D1059" i="2"/>
  <c r="E1059" i="2"/>
  <c r="F1059" i="2"/>
  <c r="G1059" i="2"/>
  <c r="H1059" i="2"/>
  <c r="I1059" i="2"/>
  <c r="J1059" i="2"/>
  <c r="C1060" i="2"/>
  <c r="D1060" i="2"/>
  <c r="E1060" i="2"/>
  <c r="F1060" i="2"/>
  <c r="G1060" i="2"/>
  <c r="H1060" i="2"/>
  <c r="I1060" i="2"/>
  <c r="J1060" i="2"/>
  <c r="C1061" i="2"/>
  <c r="D1061" i="2"/>
  <c r="E1061" i="2"/>
  <c r="F1061" i="2"/>
  <c r="G1061" i="2"/>
  <c r="H1061" i="2"/>
  <c r="I1061" i="2"/>
  <c r="J1061" i="2"/>
  <c r="C1062" i="2"/>
  <c r="D1062" i="2"/>
  <c r="E1062" i="2"/>
  <c r="F1062" i="2"/>
  <c r="G1062" i="2"/>
  <c r="H1062" i="2"/>
  <c r="I1062" i="2"/>
  <c r="J1062" i="2"/>
  <c r="C1063" i="2"/>
  <c r="D1063" i="2"/>
  <c r="E1063" i="2"/>
  <c r="F1063" i="2"/>
  <c r="G1063" i="2"/>
  <c r="H1063" i="2"/>
  <c r="I1063" i="2"/>
  <c r="J1063" i="2"/>
  <c r="C1064" i="2"/>
  <c r="D1064" i="2"/>
  <c r="E1064" i="2"/>
  <c r="F1064" i="2"/>
  <c r="G1064" i="2"/>
  <c r="H1064" i="2"/>
  <c r="I1064" i="2"/>
  <c r="J1064" i="2"/>
  <c r="C1065" i="2"/>
  <c r="D1065" i="2"/>
  <c r="E1065" i="2"/>
  <c r="F1065" i="2"/>
  <c r="G1065" i="2"/>
  <c r="H1065" i="2"/>
  <c r="I1065" i="2"/>
  <c r="J1065" i="2"/>
  <c r="C1066" i="2"/>
  <c r="D1066" i="2"/>
  <c r="E1066" i="2"/>
  <c r="F1066" i="2"/>
  <c r="G1066" i="2"/>
  <c r="H1066" i="2"/>
  <c r="I1066" i="2"/>
  <c r="J1066" i="2"/>
  <c r="C1067" i="2"/>
  <c r="D1067" i="2"/>
  <c r="E1067" i="2"/>
  <c r="F1067" i="2"/>
  <c r="G1067" i="2"/>
  <c r="H1067" i="2"/>
  <c r="I1067" i="2"/>
  <c r="J1067" i="2"/>
  <c r="C1068" i="2"/>
  <c r="D1068" i="2"/>
  <c r="E1068" i="2"/>
  <c r="F1068" i="2"/>
  <c r="G1068" i="2"/>
  <c r="H1068" i="2"/>
  <c r="I1068" i="2"/>
  <c r="J1068" i="2"/>
  <c r="C1069" i="2"/>
  <c r="D1069" i="2"/>
  <c r="E1069" i="2"/>
  <c r="F1069" i="2"/>
  <c r="G1069" i="2"/>
  <c r="H1069" i="2"/>
  <c r="I1069" i="2"/>
  <c r="J1069" i="2"/>
  <c r="C1070" i="2"/>
  <c r="D1070" i="2"/>
  <c r="E1070" i="2"/>
  <c r="F1070" i="2"/>
  <c r="G1070" i="2"/>
  <c r="H1070" i="2"/>
  <c r="I1070" i="2"/>
  <c r="J1070" i="2"/>
  <c r="C1071" i="2"/>
  <c r="D1071" i="2"/>
  <c r="E1071" i="2"/>
  <c r="F1071" i="2"/>
  <c r="G1071" i="2"/>
  <c r="H1071" i="2"/>
  <c r="I1071" i="2"/>
  <c r="J1071" i="2"/>
  <c r="C1072" i="2"/>
  <c r="D1072" i="2"/>
  <c r="E1072" i="2"/>
  <c r="F1072" i="2"/>
  <c r="G1072" i="2"/>
  <c r="H1072" i="2"/>
  <c r="I1072" i="2"/>
  <c r="J1072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D10" i="1"/>
  <c r="F10" i="1"/>
  <c r="B16" i="1"/>
  <c r="C16" i="1"/>
  <c r="D16" i="1"/>
  <c r="E16" i="1"/>
  <c r="F16" i="1"/>
  <c r="G16" i="1"/>
  <c r="H16" i="1"/>
  <c r="I16" i="1"/>
  <c r="J16" i="1"/>
  <c r="R16" i="1"/>
  <c r="B17" i="1"/>
  <c r="C17" i="1"/>
  <c r="D17" i="1"/>
  <c r="E17" i="1"/>
  <c r="F17" i="1"/>
  <c r="G17" i="1"/>
  <c r="H17" i="1"/>
  <c r="I17" i="1"/>
  <c r="J17" i="1"/>
  <c r="R17" i="1"/>
  <c r="B18" i="1"/>
  <c r="C18" i="1"/>
  <c r="D18" i="1"/>
  <c r="E18" i="1"/>
  <c r="F18" i="1"/>
  <c r="G18" i="1"/>
  <c r="H18" i="1"/>
  <c r="I18" i="1"/>
  <c r="J18" i="1"/>
  <c r="R18" i="1"/>
  <c r="B19" i="1"/>
  <c r="C19" i="1"/>
  <c r="D19" i="1"/>
  <c r="E19" i="1"/>
  <c r="F19" i="1"/>
  <c r="G19" i="1"/>
  <c r="H19" i="1"/>
  <c r="I19" i="1"/>
  <c r="J19" i="1"/>
  <c r="R19" i="1"/>
  <c r="B20" i="1"/>
  <c r="C20" i="1"/>
  <c r="D20" i="1"/>
  <c r="E20" i="1"/>
  <c r="F20" i="1"/>
  <c r="G20" i="1"/>
  <c r="H20" i="1"/>
  <c r="I20" i="1"/>
  <c r="J20" i="1"/>
  <c r="R20" i="1"/>
  <c r="B21" i="1"/>
  <c r="C21" i="1"/>
  <c r="D21" i="1"/>
  <c r="E21" i="1"/>
  <c r="F21" i="1"/>
  <c r="G21" i="1"/>
  <c r="H21" i="1"/>
  <c r="I21" i="1"/>
  <c r="J21" i="1"/>
  <c r="R21" i="1"/>
  <c r="B22" i="1"/>
  <c r="C22" i="1"/>
  <c r="D22" i="1"/>
  <c r="E22" i="1"/>
  <c r="F22" i="1"/>
  <c r="G22" i="1"/>
  <c r="H22" i="1"/>
  <c r="I22" i="1"/>
  <c r="J22" i="1"/>
  <c r="R22" i="1"/>
  <c r="B23" i="1"/>
  <c r="C23" i="1"/>
  <c r="D23" i="1"/>
  <c r="E23" i="1"/>
  <c r="F23" i="1"/>
  <c r="G23" i="1"/>
  <c r="H23" i="1"/>
  <c r="I23" i="1"/>
  <c r="J23" i="1"/>
  <c r="R23" i="1"/>
  <c r="B24" i="1"/>
  <c r="C24" i="1"/>
  <c r="D24" i="1"/>
  <c r="E24" i="1"/>
  <c r="F24" i="1"/>
  <c r="G24" i="1"/>
  <c r="H24" i="1"/>
  <c r="I24" i="1"/>
  <c r="J24" i="1"/>
  <c r="R24" i="1"/>
  <c r="B25" i="1"/>
  <c r="C25" i="1"/>
  <c r="D25" i="1"/>
  <c r="E25" i="1"/>
  <c r="F25" i="1"/>
  <c r="G25" i="1"/>
  <c r="H25" i="1"/>
  <c r="I25" i="1"/>
  <c r="J25" i="1"/>
  <c r="R25" i="1"/>
  <c r="B26" i="1"/>
  <c r="C26" i="1"/>
  <c r="D26" i="1"/>
  <c r="E26" i="1"/>
  <c r="F26" i="1"/>
  <c r="G26" i="1"/>
  <c r="H26" i="1"/>
  <c r="I26" i="1"/>
  <c r="J26" i="1"/>
  <c r="R26" i="1"/>
  <c r="B27" i="1"/>
  <c r="C27" i="1"/>
  <c r="D27" i="1"/>
  <c r="E27" i="1"/>
  <c r="F27" i="1"/>
  <c r="G27" i="1"/>
  <c r="H27" i="1"/>
  <c r="I27" i="1"/>
  <c r="J27" i="1"/>
  <c r="R27" i="1"/>
  <c r="B28" i="1"/>
  <c r="C28" i="1"/>
  <c r="D28" i="1"/>
  <c r="E28" i="1"/>
  <c r="F28" i="1"/>
  <c r="G28" i="1"/>
  <c r="H28" i="1"/>
  <c r="I28" i="1"/>
  <c r="J28" i="1"/>
  <c r="R28" i="1"/>
  <c r="B29" i="1"/>
  <c r="C29" i="1"/>
  <c r="D29" i="1"/>
  <c r="E29" i="1"/>
  <c r="F29" i="1"/>
  <c r="G29" i="1"/>
  <c r="H29" i="1"/>
  <c r="I29" i="1"/>
  <c r="J29" i="1"/>
  <c r="R29" i="1"/>
  <c r="B30" i="1"/>
  <c r="C30" i="1"/>
  <c r="D30" i="1"/>
  <c r="E30" i="1"/>
  <c r="F30" i="1"/>
  <c r="G30" i="1"/>
  <c r="H30" i="1"/>
  <c r="I30" i="1"/>
  <c r="J30" i="1"/>
  <c r="R30" i="1"/>
  <c r="B31" i="1"/>
  <c r="C31" i="1"/>
  <c r="D31" i="1"/>
  <c r="E31" i="1"/>
  <c r="F31" i="1"/>
  <c r="G31" i="1"/>
  <c r="H31" i="1"/>
  <c r="I31" i="1"/>
  <c r="J31" i="1"/>
  <c r="R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L1037" i="1"/>
  <c r="M1037" i="1"/>
  <c r="N1037" i="1"/>
  <c r="O1037" i="1"/>
  <c r="P1037" i="1"/>
  <c r="L1038" i="1"/>
  <c r="M1038" i="1"/>
  <c r="N1038" i="1"/>
  <c r="O1038" i="1"/>
  <c r="P1038" i="1"/>
  <c r="Q1038" i="1"/>
  <c r="L1039" i="1"/>
  <c r="M1039" i="1"/>
  <c r="N1039" i="1"/>
  <c r="O1039" i="1"/>
  <c r="P1039" i="1"/>
  <c r="Q1039" i="1"/>
  <c r="L1040" i="1"/>
  <c r="M1040" i="1"/>
  <c r="N1040" i="1"/>
  <c r="O1040" i="1"/>
  <c r="P1040" i="1"/>
  <c r="Q1040" i="1"/>
  <c r="L1041" i="1"/>
  <c r="M1041" i="1"/>
  <c r="N1041" i="1"/>
  <c r="O1041" i="1"/>
  <c r="P1041" i="1"/>
  <c r="Q1041" i="1"/>
  <c r="L1042" i="1"/>
  <c r="M1042" i="1"/>
  <c r="N1042" i="1"/>
  <c r="O1042" i="1"/>
  <c r="P1042" i="1"/>
  <c r="Q1042" i="1"/>
  <c r="L1043" i="1"/>
  <c r="M1043" i="1"/>
  <c r="N1043" i="1"/>
  <c r="O1043" i="1"/>
  <c r="P1043" i="1"/>
  <c r="Q1043" i="1"/>
  <c r="L1044" i="1"/>
  <c r="M1044" i="1"/>
  <c r="N1044" i="1"/>
  <c r="O1044" i="1"/>
  <c r="P1044" i="1"/>
  <c r="Q1044" i="1"/>
  <c r="L1045" i="1"/>
  <c r="M1045" i="1"/>
  <c r="N1045" i="1"/>
  <c r="O1045" i="1"/>
  <c r="P1045" i="1"/>
  <c r="Q1045" i="1"/>
  <c r="L1046" i="1"/>
  <c r="M1046" i="1"/>
  <c r="N1046" i="1"/>
  <c r="O1046" i="1"/>
  <c r="P1046" i="1"/>
  <c r="Q1046" i="1"/>
  <c r="L1047" i="1"/>
  <c r="M1047" i="1"/>
  <c r="N1047" i="1"/>
  <c r="O1047" i="1"/>
  <c r="P1047" i="1"/>
  <c r="Q1047" i="1"/>
  <c r="L1048" i="1"/>
  <c r="M1048" i="1"/>
  <c r="N1048" i="1"/>
  <c r="O1048" i="1"/>
  <c r="P1048" i="1"/>
  <c r="Q1048" i="1"/>
  <c r="L1049" i="1"/>
  <c r="M1049" i="1"/>
  <c r="N1049" i="1"/>
  <c r="O1049" i="1"/>
  <c r="P1049" i="1"/>
  <c r="Q1049" i="1"/>
  <c r="L1050" i="1"/>
  <c r="M1050" i="1"/>
  <c r="N1050" i="1"/>
  <c r="O1050" i="1"/>
  <c r="P1050" i="1"/>
  <c r="Q1050" i="1"/>
  <c r="L1051" i="1"/>
  <c r="M1051" i="1"/>
  <c r="N1051" i="1"/>
  <c r="O1051" i="1"/>
  <c r="P1051" i="1"/>
  <c r="Q1051" i="1"/>
  <c r="L1052" i="1"/>
  <c r="M1052" i="1"/>
  <c r="N1052" i="1"/>
  <c r="O1052" i="1"/>
  <c r="P1052" i="1"/>
  <c r="Q1052" i="1"/>
  <c r="L1053" i="1"/>
  <c r="M1053" i="1"/>
  <c r="N1053" i="1"/>
  <c r="O1053" i="1"/>
  <c r="P1053" i="1"/>
  <c r="Q1053" i="1"/>
  <c r="L1054" i="1"/>
  <c r="M1054" i="1"/>
  <c r="N1054" i="1"/>
  <c r="O1054" i="1"/>
  <c r="P1054" i="1"/>
  <c r="Q1054" i="1"/>
  <c r="L1055" i="1"/>
  <c r="M1055" i="1"/>
  <c r="N1055" i="1"/>
  <c r="O1055" i="1"/>
  <c r="P1055" i="1"/>
  <c r="Q1055" i="1"/>
  <c r="L1056" i="1"/>
  <c r="M1056" i="1"/>
  <c r="N1056" i="1"/>
  <c r="O1056" i="1"/>
  <c r="P1056" i="1"/>
  <c r="Q1056" i="1"/>
  <c r="L1057" i="1"/>
  <c r="M1057" i="1"/>
  <c r="N1057" i="1"/>
  <c r="O1057" i="1"/>
  <c r="P1057" i="1"/>
  <c r="Q1057" i="1"/>
  <c r="L1058" i="1"/>
  <c r="M1058" i="1"/>
  <c r="N1058" i="1"/>
  <c r="O1058" i="1"/>
  <c r="P1058" i="1"/>
  <c r="Q1058" i="1"/>
  <c r="A1059" i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L1059" i="1"/>
  <c r="M1059" i="1"/>
  <c r="N1059" i="1"/>
  <c r="O1059" i="1"/>
  <c r="P1059" i="1"/>
  <c r="Q1059" i="1"/>
  <c r="L1060" i="1"/>
  <c r="M1060" i="1"/>
  <c r="N1060" i="1"/>
  <c r="O1060" i="1"/>
  <c r="P1060" i="1"/>
  <c r="Q1060" i="1"/>
  <c r="L1061" i="1"/>
  <c r="M1061" i="1"/>
  <c r="N1061" i="1"/>
  <c r="O1061" i="1"/>
  <c r="P1061" i="1"/>
  <c r="Q1061" i="1"/>
  <c r="L1062" i="1"/>
  <c r="M1062" i="1"/>
  <c r="N1062" i="1"/>
  <c r="O1062" i="1"/>
  <c r="P1062" i="1"/>
  <c r="Q1062" i="1"/>
  <c r="L1063" i="1"/>
  <c r="M1063" i="1"/>
  <c r="N1063" i="1"/>
  <c r="O1063" i="1"/>
  <c r="P1063" i="1"/>
  <c r="Q1063" i="1"/>
  <c r="L1064" i="1"/>
  <c r="M1064" i="1"/>
  <c r="N1064" i="1"/>
  <c r="O1064" i="1"/>
  <c r="P1064" i="1"/>
  <c r="Q1064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L1068" i="1"/>
  <c r="M1068" i="1"/>
  <c r="N1068" i="1"/>
  <c r="O1068" i="1"/>
  <c r="P1068" i="1"/>
  <c r="Q1068" i="1"/>
  <c r="L1069" i="1"/>
  <c r="M1069" i="1"/>
  <c r="N1069" i="1"/>
  <c r="O1069" i="1"/>
  <c r="P1069" i="1"/>
  <c r="Q1069" i="1"/>
  <c r="L1070" i="1"/>
  <c r="M1070" i="1"/>
  <c r="N1070" i="1"/>
  <c r="O1070" i="1"/>
  <c r="P1070" i="1"/>
  <c r="Q1070" i="1"/>
  <c r="L1071" i="1"/>
  <c r="M1071" i="1"/>
  <c r="N1071" i="1"/>
  <c r="O1071" i="1"/>
  <c r="P1071" i="1"/>
  <c r="Q1071" i="1"/>
  <c r="L1072" i="1"/>
  <c r="M1072" i="1"/>
  <c r="N1072" i="1"/>
  <c r="O1072" i="1"/>
  <c r="P1072" i="1"/>
  <c r="Q1072" i="1"/>
  <c r="L1073" i="1"/>
  <c r="M1073" i="1"/>
  <c r="N1073" i="1"/>
  <c r="O1073" i="1"/>
  <c r="P1073" i="1"/>
  <c r="Q1073" i="1"/>
  <c r="L1074" i="1"/>
  <c r="M1074" i="1"/>
  <c r="N1074" i="1"/>
  <c r="O1074" i="1"/>
  <c r="P1074" i="1"/>
  <c r="Q1074" i="1"/>
  <c r="L1075" i="1"/>
  <c r="M1075" i="1"/>
  <c r="N1075" i="1"/>
  <c r="O1075" i="1"/>
  <c r="P1075" i="1"/>
  <c r="Q1075" i="1"/>
  <c r="L1076" i="1"/>
  <c r="M1076" i="1"/>
  <c r="N1076" i="1"/>
  <c r="O1076" i="1"/>
  <c r="P1076" i="1"/>
  <c r="Q1076" i="1"/>
  <c r="L1077" i="1"/>
  <c r="M1077" i="1"/>
  <c r="N1077" i="1"/>
  <c r="O1077" i="1"/>
  <c r="P1077" i="1"/>
  <c r="Q1077" i="1"/>
  <c r="L1078" i="1"/>
  <c r="M1078" i="1"/>
  <c r="N1078" i="1"/>
  <c r="O1078" i="1"/>
  <c r="P1078" i="1"/>
  <c r="Q1078" i="1"/>
  <c r="L1079" i="1"/>
  <c r="M1079" i="1"/>
  <c r="N1079" i="1"/>
  <c r="O1079" i="1"/>
  <c r="P1079" i="1"/>
  <c r="Q1079" i="1"/>
  <c r="L1080" i="1"/>
  <c r="M1080" i="1"/>
  <c r="N1080" i="1"/>
  <c r="O1080" i="1"/>
  <c r="P1080" i="1"/>
  <c r="Q1080" i="1"/>
  <c r="L1081" i="1"/>
  <c r="M1081" i="1"/>
  <c r="N1081" i="1"/>
  <c r="O1081" i="1"/>
  <c r="P1081" i="1"/>
  <c r="Q1081" i="1"/>
  <c r="L1082" i="1"/>
  <c r="M1082" i="1"/>
  <c r="N1082" i="1"/>
  <c r="O1082" i="1"/>
  <c r="P1082" i="1"/>
  <c r="Q1082" i="1"/>
  <c r="N1083" i="1"/>
  <c r="Q1083" i="1"/>
  <c r="B1075" i="3" l="1"/>
  <c r="J1117" i="4"/>
  <c r="J1115" i="4"/>
  <c r="D1106" i="4"/>
  <c r="B1095" i="4"/>
  <c r="B1091" i="4"/>
  <c r="J1085" i="4"/>
  <c r="D1042" i="4"/>
  <c r="F1059" i="1"/>
  <c r="B1120" i="4"/>
  <c r="B1073" i="1"/>
  <c r="B1037" i="1"/>
  <c r="D1076" i="3"/>
  <c r="D1071" i="3"/>
  <c r="D1065" i="3"/>
  <c r="D1060" i="3"/>
  <c r="D1053" i="3"/>
  <c r="D1048" i="3"/>
  <c r="H1114" i="4"/>
  <c r="F1111" i="4"/>
  <c r="D1109" i="4"/>
  <c r="B1106" i="4"/>
  <c r="F1099" i="4"/>
  <c r="D1070" i="4"/>
  <c r="F1065" i="4"/>
  <c r="J1059" i="4"/>
  <c r="H1048" i="4"/>
  <c r="C1072" i="1"/>
  <c r="G1049" i="1"/>
  <c r="D1057" i="3"/>
  <c r="D1044" i="3"/>
  <c r="H1121" i="4"/>
  <c r="J1119" i="4"/>
  <c r="H1117" i="4"/>
  <c r="F1115" i="4"/>
  <c r="B1113" i="4"/>
  <c r="B1111" i="4"/>
  <c r="H1109" i="4"/>
  <c r="H1096" i="4"/>
  <c r="J1093" i="4"/>
  <c r="B1069" i="4"/>
  <c r="J1063" i="4"/>
  <c r="F1041" i="4"/>
  <c r="F1037" i="4"/>
  <c r="B1121" i="4"/>
  <c r="F1121" i="4"/>
  <c r="B1119" i="4"/>
  <c r="F1118" i="4"/>
  <c r="J1116" i="4"/>
  <c r="F1114" i="4"/>
  <c r="D1110" i="4"/>
  <c r="F1110" i="4"/>
  <c r="F1109" i="4"/>
  <c r="F1107" i="4"/>
  <c r="F1106" i="4"/>
  <c r="J1104" i="4"/>
  <c r="D1098" i="4"/>
  <c r="F1095" i="4"/>
  <c r="B1093" i="4"/>
  <c r="B1089" i="4"/>
  <c r="F1089" i="4"/>
  <c r="F1087" i="4"/>
  <c r="F1086" i="4"/>
  <c r="J1081" i="4"/>
  <c r="F1081" i="4"/>
  <c r="F1079" i="4"/>
  <c r="D1074" i="4"/>
  <c r="J1067" i="4"/>
  <c r="F1063" i="4"/>
  <c r="F1061" i="4"/>
  <c r="F1049" i="4"/>
  <c r="J1071" i="1"/>
  <c r="H1069" i="1"/>
  <c r="D1078" i="3"/>
  <c r="D1072" i="3"/>
  <c r="D1068" i="3"/>
  <c r="H1120" i="4"/>
  <c r="H1108" i="4"/>
  <c r="H1093" i="4"/>
  <c r="F1090" i="4"/>
  <c r="J1084" i="4"/>
  <c r="H1068" i="4"/>
  <c r="H1066" i="4"/>
  <c r="H1056" i="4"/>
  <c r="F1045" i="4"/>
  <c r="H1040" i="4"/>
  <c r="D1076" i="4"/>
  <c r="H1071" i="1"/>
  <c r="J1057" i="1"/>
  <c r="D1080" i="3"/>
  <c r="D1063" i="3"/>
  <c r="D1062" i="3"/>
  <c r="D1061" i="3"/>
  <c r="D1118" i="4"/>
  <c r="D1116" i="4"/>
  <c r="D1112" i="4"/>
  <c r="B1110" i="4"/>
  <c r="D1108" i="4"/>
  <c r="B1104" i="4"/>
  <c r="D1099" i="4"/>
  <c r="J1079" i="4"/>
  <c r="B1075" i="4"/>
  <c r="B1067" i="4"/>
  <c r="D1062" i="4"/>
  <c r="J1051" i="4"/>
  <c r="D1046" i="4"/>
  <c r="J1043" i="4"/>
  <c r="B1043" i="4"/>
  <c r="J1039" i="4"/>
  <c r="D1038" i="4"/>
  <c r="C1081" i="3"/>
  <c r="C1041" i="3"/>
  <c r="C1037" i="3"/>
  <c r="D1064" i="3"/>
  <c r="D1055" i="3"/>
  <c r="D1054" i="3"/>
  <c r="D1050" i="3"/>
  <c r="D1049" i="3"/>
  <c r="D1045" i="3"/>
  <c r="D1042" i="3"/>
  <c r="D1040" i="3"/>
  <c r="J1121" i="4"/>
  <c r="H1118" i="4"/>
  <c r="H1116" i="4"/>
  <c r="D1111" i="4"/>
  <c r="F1108" i="4"/>
  <c r="H1107" i="4"/>
  <c r="B1101" i="4"/>
  <c r="H1097" i="4"/>
  <c r="H1084" i="4"/>
  <c r="D1058" i="4"/>
  <c r="F1053" i="4"/>
  <c r="B1047" i="4"/>
  <c r="H1076" i="4"/>
  <c r="F1075" i="1"/>
  <c r="D1081" i="3"/>
  <c r="D1075" i="3"/>
  <c r="D1058" i="3"/>
  <c r="D1043" i="3"/>
  <c r="D1038" i="3"/>
  <c r="B1116" i="4"/>
  <c r="D1114" i="4"/>
  <c r="J1113" i="4"/>
  <c r="B1112" i="4"/>
  <c r="J1111" i="4"/>
  <c r="B1105" i="4"/>
  <c r="D1103" i="4"/>
  <c r="D1092" i="4"/>
  <c r="B1083" i="4"/>
  <c r="B1071" i="4"/>
  <c r="B1055" i="4"/>
  <c r="D1050" i="4"/>
  <c r="C1041" i="1"/>
  <c r="H1040" i="1"/>
  <c r="B1081" i="3"/>
  <c r="B1077" i="3"/>
  <c r="B1073" i="3"/>
  <c r="B1067" i="3"/>
  <c r="B1062" i="3"/>
  <c r="B1061" i="3"/>
  <c r="B1045" i="3"/>
  <c r="B1037" i="3"/>
  <c r="J1120" i="4"/>
  <c r="B1117" i="4"/>
  <c r="B1115" i="4"/>
  <c r="D1079" i="3"/>
  <c r="D1059" i="3"/>
  <c r="D1051" i="3"/>
  <c r="D1039" i="3"/>
  <c r="F1119" i="4"/>
  <c r="F1117" i="4"/>
  <c r="D1115" i="4"/>
  <c r="F1113" i="4"/>
  <c r="H1112" i="4"/>
  <c r="F1105" i="4"/>
  <c r="H1094" i="4"/>
  <c r="D1090" i="4"/>
  <c r="H1088" i="4"/>
  <c r="J1069" i="4"/>
  <c r="H1064" i="4"/>
  <c r="H1062" i="4"/>
  <c r="J1047" i="4"/>
  <c r="H1044" i="4"/>
  <c r="B1039" i="4"/>
  <c r="C1058" i="1"/>
  <c r="G1057" i="1"/>
  <c r="F1052" i="1"/>
  <c r="J1051" i="1"/>
  <c r="D1073" i="3"/>
  <c r="D1067" i="3"/>
  <c r="D1056" i="3"/>
  <c r="D1052" i="3"/>
  <c r="D1047" i="3"/>
  <c r="D1046" i="3"/>
  <c r="D1041" i="3"/>
  <c r="D1037" i="3"/>
  <c r="D1120" i="4"/>
  <c r="D1119" i="4"/>
  <c r="J1112" i="4"/>
  <c r="D1107" i="4"/>
  <c r="J1103" i="4"/>
  <c r="B1092" i="4"/>
  <c r="J1091" i="4"/>
  <c r="B1073" i="4"/>
  <c r="J1071" i="4"/>
  <c r="J1065" i="4"/>
  <c r="D1088" i="4"/>
  <c r="D1087" i="4"/>
  <c r="H1086" i="4"/>
  <c r="H1085" i="4"/>
  <c r="F1085" i="4"/>
  <c r="B1084" i="4"/>
  <c r="J1083" i="4"/>
  <c r="H1082" i="4"/>
  <c r="H1080" i="4"/>
  <c r="H1078" i="4"/>
  <c r="F1077" i="4"/>
  <c r="F1075" i="4"/>
  <c r="F1073" i="4"/>
  <c r="D1072" i="4"/>
  <c r="F1057" i="4"/>
  <c r="J1055" i="4"/>
  <c r="D1054" i="4"/>
  <c r="H1052" i="4"/>
  <c r="B1051" i="4"/>
  <c r="G1084" i="4"/>
  <c r="G1064" i="4"/>
  <c r="C1042" i="4"/>
  <c r="G1039" i="4"/>
  <c r="G1037" i="4"/>
  <c r="K1037" i="4"/>
  <c r="D1121" i="4"/>
  <c r="F1120" i="4"/>
  <c r="B1118" i="4"/>
  <c r="D1117" i="4"/>
  <c r="H1115" i="4"/>
  <c r="H1111" i="4"/>
  <c r="J1110" i="4"/>
  <c r="J1109" i="4"/>
  <c r="J1108" i="4"/>
  <c r="B1100" i="4"/>
  <c r="H1098" i="4"/>
  <c r="F1097" i="4"/>
  <c r="J1096" i="4"/>
  <c r="J1095" i="4"/>
  <c r="J1092" i="4"/>
  <c r="D1091" i="4"/>
  <c r="J1114" i="4"/>
  <c r="D1113" i="4"/>
  <c r="B1109" i="4"/>
  <c r="J1107" i="4"/>
  <c r="H1106" i="4"/>
  <c r="H1104" i="4"/>
  <c r="J1101" i="4"/>
  <c r="D1100" i="4"/>
  <c r="F1098" i="4"/>
  <c r="I1120" i="4"/>
  <c r="H1119" i="4"/>
  <c r="J1118" i="4"/>
  <c r="F1116" i="4"/>
  <c r="B1114" i="4"/>
  <c r="F1112" i="4"/>
  <c r="H1110" i="4"/>
  <c r="B1108" i="4"/>
  <c r="B1107" i="4"/>
  <c r="J1106" i="4"/>
  <c r="J1105" i="4"/>
  <c r="B1103" i="4"/>
  <c r="G1114" i="4"/>
  <c r="H1105" i="4"/>
  <c r="F1101" i="4"/>
  <c r="D1074" i="3"/>
  <c r="D1069" i="3"/>
  <c r="C1065" i="3"/>
  <c r="C1057" i="3"/>
  <c r="C1051" i="3"/>
  <c r="C1045" i="3"/>
  <c r="D1066" i="3"/>
  <c r="B1078" i="3"/>
  <c r="B1069" i="3"/>
  <c r="B1065" i="3"/>
  <c r="B1057" i="3"/>
  <c r="B1055" i="3"/>
  <c r="B1049" i="3"/>
  <c r="B1047" i="3"/>
  <c r="B1041" i="3"/>
  <c r="D1082" i="3"/>
  <c r="D1077" i="3"/>
  <c r="F1079" i="1"/>
  <c r="B1078" i="1"/>
  <c r="J1076" i="1"/>
  <c r="D1069" i="1"/>
  <c r="F1067" i="1"/>
  <c r="J1064" i="1"/>
  <c r="F1063" i="1"/>
  <c r="G1054" i="1"/>
  <c r="C1049" i="1"/>
  <c r="G1040" i="1"/>
  <c r="F1039" i="1"/>
  <c r="B1069" i="1"/>
  <c r="C1068" i="1"/>
  <c r="J1067" i="1"/>
  <c r="H1065" i="1"/>
  <c r="C1055" i="1"/>
  <c r="E1047" i="1"/>
  <c r="E1043" i="1"/>
  <c r="H1039" i="1"/>
  <c r="D1081" i="1"/>
  <c r="D1077" i="1"/>
  <c r="D1073" i="1"/>
  <c r="H1067" i="1"/>
  <c r="D1065" i="1"/>
  <c r="D1061" i="1"/>
  <c r="C1057" i="1"/>
  <c r="H1056" i="1"/>
  <c r="D1054" i="1"/>
  <c r="H1046" i="1"/>
  <c r="D1045" i="1"/>
  <c r="F1044" i="1"/>
  <c r="G1039" i="1"/>
  <c r="H1038" i="1"/>
  <c r="B1038" i="1"/>
  <c r="D1038" i="1"/>
  <c r="D1037" i="1"/>
  <c r="H1083" i="1"/>
  <c r="B1081" i="1"/>
  <c r="C1080" i="1"/>
  <c r="H1079" i="1"/>
  <c r="J1079" i="1"/>
  <c r="H1077" i="1"/>
  <c r="B1077" i="1"/>
  <c r="C1076" i="1"/>
  <c r="H1075" i="1"/>
  <c r="J1075" i="1"/>
  <c r="H1073" i="1"/>
  <c r="B1065" i="1"/>
  <c r="C1064" i="1"/>
  <c r="H1063" i="1"/>
  <c r="J1063" i="1"/>
  <c r="H1061" i="1"/>
  <c r="B1061" i="1"/>
  <c r="C1060" i="1"/>
  <c r="H1059" i="1"/>
  <c r="J1059" i="1"/>
  <c r="C1047" i="1"/>
  <c r="E1044" i="1"/>
  <c r="G1043" i="1"/>
  <c r="C1042" i="1"/>
  <c r="D1042" i="1"/>
  <c r="I1041" i="1"/>
  <c r="J1041" i="1"/>
  <c r="C1039" i="1"/>
  <c r="G1038" i="1"/>
  <c r="C1037" i="1"/>
  <c r="B1076" i="1"/>
  <c r="B1074" i="1"/>
  <c r="B1072" i="1"/>
  <c r="F1071" i="1"/>
  <c r="J1068" i="1"/>
  <c r="B1066" i="1"/>
  <c r="B1062" i="1"/>
  <c r="D1059" i="1"/>
  <c r="J1056" i="1"/>
  <c r="B1050" i="1"/>
  <c r="J1048" i="1"/>
  <c r="J1046" i="1"/>
  <c r="B1040" i="1"/>
  <c r="C1052" i="1"/>
  <c r="E1051" i="1"/>
  <c r="B1049" i="1"/>
  <c r="E1041" i="1"/>
  <c r="J1072" i="1"/>
  <c r="B1070" i="1"/>
  <c r="B1060" i="1"/>
  <c r="B1048" i="1"/>
  <c r="B1042" i="1"/>
  <c r="E1057" i="1"/>
  <c r="F1054" i="1"/>
  <c r="I1048" i="1"/>
  <c r="J1080" i="1"/>
  <c r="B1068" i="1"/>
  <c r="B1064" i="1"/>
  <c r="J1060" i="1"/>
  <c r="F1047" i="1"/>
  <c r="B1044" i="1"/>
  <c r="J1040" i="1"/>
  <c r="I1053" i="1"/>
  <c r="H1047" i="1"/>
  <c r="F1040" i="1"/>
  <c r="E1037" i="1"/>
  <c r="F1083" i="1"/>
  <c r="H1081" i="1"/>
  <c r="B1080" i="1"/>
  <c r="H1078" i="1"/>
  <c r="H1070" i="1"/>
  <c r="H1064" i="1"/>
  <c r="H1060" i="1"/>
  <c r="G1041" i="1"/>
  <c r="F1055" i="1"/>
  <c r="F1038" i="1"/>
  <c r="B1082" i="1"/>
  <c r="H1076" i="1"/>
  <c r="H1068" i="1"/>
  <c r="H1058" i="1"/>
  <c r="D1053" i="1"/>
  <c r="H1074" i="1"/>
  <c r="H1052" i="1"/>
  <c r="H1049" i="1"/>
  <c r="F1037" i="1"/>
  <c r="H1072" i="1"/>
  <c r="H1066" i="1"/>
  <c r="H1062" i="1"/>
  <c r="H1054" i="1"/>
  <c r="C1053" i="1"/>
  <c r="J1082" i="1"/>
  <c r="C1082" i="1"/>
  <c r="F1081" i="1"/>
  <c r="J1081" i="1"/>
  <c r="D1079" i="1"/>
  <c r="B1079" i="1"/>
  <c r="I1078" i="1"/>
  <c r="J1078" i="1"/>
  <c r="C1078" i="1"/>
  <c r="F1077" i="1"/>
  <c r="J1077" i="1"/>
  <c r="I1076" i="1"/>
  <c r="D1075" i="1"/>
  <c r="B1075" i="1"/>
  <c r="I1074" i="1"/>
  <c r="J1074" i="1"/>
  <c r="C1074" i="1"/>
  <c r="F1073" i="1"/>
  <c r="J1073" i="1"/>
  <c r="I1072" i="1"/>
  <c r="D1071" i="1"/>
  <c r="B1071" i="1"/>
  <c r="I1070" i="1"/>
  <c r="J1070" i="1"/>
  <c r="C1070" i="1"/>
  <c r="F1069" i="1"/>
  <c r="J1069" i="1"/>
  <c r="I1068" i="1"/>
  <c r="D1067" i="1"/>
  <c r="B1067" i="1"/>
  <c r="I1066" i="1"/>
  <c r="J1066" i="1"/>
  <c r="C1066" i="1"/>
  <c r="F1065" i="1"/>
  <c r="J1065" i="1"/>
  <c r="I1064" i="1"/>
  <c r="D1064" i="1"/>
  <c r="D1063" i="1"/>
  <c r="B1063" i="1"/>
  <c r="I1062" i="1"/>
  <c r="J1062" i="1"/>
  <c r="C1062" i="1"/>
  <c r="F1061" i="1"/>
  <c r="J1061" i="1"/>
  <c r="I1060" i="1"/>
  <c r="B1059" i="1"/>
  <c r="I1058" i="1"/>
  <c r="J1058" i="1"/>
  <c r="B1058" i="1"/>
  <c r="I1057" i="1"/>
  <c r="G1056" i="1"/>
  <c r="B1056" i="1"/>
  <c r="B1054" i="1"/>
  <c r="F1053" i="1"/>
  <c r="G1053" i="1"/>
  <c r="J1052" i="1"/>
  <c r="B1052" i="1"/>
  <c r="D1052" i="1"/>
  <c r="C1051" i="1"/>
  <c r="D1051" i="1"/>
  <c r="I1051" i="1"/>
  <c r="H1050" i="1"/>
  <c r="J1050" i="1"/>
  <c r="D1050" i="1"/>
  <c r="I1049" i="1"/>
  <c r="H1048" i="1"/>
  <c r="F1046" i="1"/>
  <c r="E1045" i="1"/>
  <c r="F1045" i="1"/>
  <c r="J1044" i="1"/>
  <c r="D1044" i="1"/>
  <c r="C1043" i="1"/>
  <c r="I1043" i="1"/>
  <c r="H1042" i="1"/>
  <c r="I1042" i="1"/>
  <c r="J1042" i="1"/>
  <c r="B1041" i="1"/>
  <c r="I1039" i="1"/>
  <c r="J1038" i="1"/>
  <c r="E1119" i="4"/>
  <c r="E1117" i="4"/>
  <c r="E1116" i="4"/>
  <c r="E1115" i="4"/>
  <c r="E1106" i="4"/>
  <c r="E1100" i="4"/>
  <c r="E1099" i="4"/>
  <c r="E1096" i="4"/>
  <c r="E1091" i="4"/>
  <c r="E1089" i="4"/>
  <c r="E1088" i="4"/>
  <c r="E1085" i="4"/>
  <c r="E1084" i="4"/>
  <c r="E1083" i="4"/>
  <c r="E1082" i="4"/>
  <c r="E1080" i="4"/>
  <c r="E1079" i="4"/>
  <c r="E1072" i="4"/>
  <c r="E1060" i="4"/>
  <c r="E1057" i="4"/>
  <c r="E1056" i="4"/>
  <c r="E1053" i="4"/>
  <c r="E1052" i="4"/>
  <c r="E1048" i="4"/>
  <c r="G1082" i="1"/>
  <c r="H1080" i="1"/>
  <c r="K1121" i="4"/>
  <c r="K1120" i="4"/>
  <c r="K1119" i="4"/>
  <c r="K1118" i="4"/>
  <c r="I1117" i="4"/>
  <c r="C1115" i="4"/>
  <c r="K1073" i="4"/>
  <c r="G1083" i="1"/>
  <c r="P1083" i="1"/>
  <c r="C1083" i="1"/>
  <c r="L1083" i="1"/>
  <c r="I1083" i="1"/>
  <c r="J1083" i="1"/>
  <c r="M1083" i="1"/>
  <c r="G1121" i="4"/>
  <c r="G1120" i="4"/>
  <c r="G1119" i="4"/>
  <c r="G1118" i="4"/>
  <c r="G1117" i="4"/>
  <c r="G1116" i="4"/>
  <c r="G1115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3" i="4"/>
  <c r="G1082" i="4"/>
  <c r="G1081" i="4"/>
  <c r="G1080" i="4"/>
  <c r="G1079" i="4"/>
  <c r="G1078" i="4"/>
  <c r="G1077" i="4"/>
  <c r="G1075" i="4"/>
  <c r="G1074" i="4"/>
  <c r="G1073" i="4"/>
  <c r="G1072" i="4"/>
  <c r="G1071" i="4"/>
  <c r="G1070" i="4"/>
  <c r="G1069" i="4"/>
  <c r="G1068" i="4"/>
  <c r="G1067" i="4"/>
  <c r="G1066" i="4"/>
  <c r="G1065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O1083" i="1"/>
  <c r="E1121" i="4"/>
  <c r="E1120" i="4"/>
  <c r="E1118" i="4"/>
  <c r="E1114" i="4"/>
  <c r="E1110" i="4"/>
  <c r="E1108" i="4"/>
  <c r="E1105" i="4"/>
  <c r="E1103" i="4"/>
  <c r="E1102" i="4"/>
  <c r="E1098" i="4"/>
  <c r="E1095" i="4"/>
  <c r="E1094" i="4"/>
  <c r="E1092" i="4"/>
  <c r="E1087" i="4"/>
  <c r="E1086" i="4"/>
  <c r="E1078" i="4"/>
  <c r="E1075" i="4"/>
  <c r="E1074" i="4"/>
  <c r="E1071" i="4"/>
  <c r="E1070" i="4"/>
  <c r="E1069" i="4"/>
  <c r="E1067" i="4"/>
  <c r="E1065" i="4"/>
  <c r="E1064" i="4"/>
  <c r="E1063" i="4"/>
  <c r="E1061" i="4"/>
  <c r="E1054" i="4"/>
  <c r="E1051" i="4"/>
  <c r="E1050" i="4"/>
  <c r="E1049" i="4"/>
  <c r="E1046" i="4"/>
  <c r="E1044" i="4"/>
  <c r="E1043" i="4"/>
  <c r="E1042" i="4"/>
  <c r="E1040" i="4"/>
  <c r="E1038" i="4"/>
  <c r="E1037" i="4"/>
  <c r="E1076" i="4"/>
  <c r="I1116" i="4"/>
  <c r="K1115" i="4"/>
  <c r="I1114" i="4"/>
  <c r="K1113" i="4"/>
  <c r="K1112" i="4"/>
  <c r="K1111" i="4"/>
  <c r="K1110" i="4"/>
  <c r="I1109" i="4"/>
  <c r="K1108" i="4"/>
  <c r="I1107" i="4"/>
  <c r="K1106" i="4"/>
  <c r="K1105" i="4"/>
  <c r="I1104" i="4"/>
  <c r="K1103" i="4"/>
  <c r="I1102" i="4"/>
  <c r="I1101" i="4"/>
  <c r="C1100" i="4"/>
  <c r="C1099" i="4"/>
  <c r="I1098" i="4"/>
  <c r="I1097" i="4"/>
  <c r="C1096" i="4"/>
  <c r="K1095" i="4"/>
  <c r="K1094" i="4"/>
  <c r="C1093" i="4"/>
  <c r="K1092" i="4"/>
  <c r="K1091" i="4"/>
  <c r="K1090" i="4"/>
  <c r="I1089" i="4"/>
  <c r="I1088" i="4"/>
  <c r="C1087" i="4"/>
  <c r="K1086" i="4"/>
  <c r="K1085" i="4"/>
  <c r="C1084" i="4"/>
  <c r="K1083" i="4"/>
  <c r="K1082" i="4"/>
  <c r="C1081" i="4"/>
  <c r="I1080" i="4"/>
  <c r="K1079" i="4"/>
  <c r="K1078" i="4"/>
  <c r="I1077" i="4"/>
  <c r="C1075" i="4"/>
  <c r="C1074" i="4"/>
  <c r="I1073" i="4"/>
  <c r="I1072" i="4"/>
  <c r="C1071" i="4"/>
  <c r="K1070" i="4"/>
  <c r="C1069" i="4"/>
  <c r="K1068" i="4"/>
  <c r="K1067" i="4"/>
  <c r="C1066" i="4"/>
  <c r="K1065" i="4"/>
  <c r="C1064" i="4"/>
  <c r="I1063" i="4"/>
  <c r="I1062" i="4"/>
  <c r="I1060" i="4"/>
  <c r="C1059" i="4"/>
  <c r="K1058" i="4"/>
  <c r="K1057" i="4"/>
  <c r="I1056" i="4"/>
  <c r="I1055" i="4"/>
  <c r="I1054" i="4"/>
  <c r="K1053" i="4"/>
  <c r="C1052" i="4"/>
  <c r="K1051" i="4"/>
  <c r="K1050" i="4"/>
  <c r="C1049" i="4"/>
  <c r="I1048" i="4"/>
  <c r="E1083" i="1"/>
  <c r="I1082" i="1"/>
  <c r="I1080" i="1"/>
  <c r="F1080" i="1"/>
  <c r="D1076" i="1"/>
  <c r="D1074" i="1"/>
  <c r="F1072" i="1"/>
  <c r="D1070" i="1"/>
  <c r="F1070" i="1"/>
  <c r="D1068" i="1"/>
  <c r="F1068" i="1"/>
  <c r="D1066" i="1"/>
  <c r="F1066" i="1"/>
  <c r="F1064" i="1"/>
  <c r="D1062" i="1"/>
  <c r="F1062" i="1"/>
  <c r="D1060" i="1"/>
  <c r="F1060" i="1"/>
  <c r="D1058" i="1"/>
  <c r="F1058" i="1"/>
  <c r="B1057" i="1"/>
  <c r="F1056" i="1"/>
  <c r="G1055" i="1"/>
  <c r="H1055" i="1"/>
  <c r="J1055" i="1"/>
  <c r="B1055" i="1"/>
  <c r="J1053" i="1"/>
  <c r="B1053" i="1"/>
  <c r="B1051" i="1"/>
  <c r="F1050" i="1"/>
  <c r="J1049" i="1"/>
  <c r="D1048" i="1"/>
  <c r="F1048" i="1"/>
  <c r="I1047" i="1"/>
  <c r="J1047" i="1"/>
  <c r="B1047" i="1"/>
  <c r="D1046" i="1"/>
  <c r="E1046" i="1"/>
  <c r="I1045" i="1"/>
  <c r="J1045" i="1"/>
  <c r="B1045" i="1"/>
  <c r="J1043" i="1"/>
  <c r="B1043" i="1"/>
  <c r="F1042" i="1"/>
  <c r="I1119" i="4"/>
  <c r="I1118" i="4"/>
  <c r="K1117" i="4"/>
  <c r="C1116" i="4"/>
  <c r="C1114" i="4"/>
  <c r="C1113" i="4"/>
  <c r="C1112" i="4"/>
  <c r="C1111" i="4"/>
  <c r="C1110" i="4"/>
  <c r="C1109" i="4"/>
  <c r="I1108" i="4"/>
  <c r="K1107" i="4"/>
  <c r="C1106" i="4"/>
  <c r="C1105" i="4"/>
  <c r="C1104" i="4"/>
  <c r="C1103" i="4"/>
  <c r="K1102" i="4"/>
  <c r="C1101" i="4"/>
  <c r="I1100" i="4"/>
  <c r="I1099" i="4"/>
  <c r="C1098" i="4"/>
  <c r="K1097" i="4"/>
  <c r="K1096" i="4"/>
  <c r="I1095" i="4"/>
  <c r="I1094" i="4"/>
  <c r="I1093" i="4"/>
  <c r="C1092" i="4"/>
  <c r="C1091" i="4"/>
  <c r="C1090" i="4"/>
  <c r="C1089" i="4"/>
  <c r="K1088" i="4"/>
  <c r="I1087" i="4"/>
  <c r="I1086" i="4"/>
  <c r="C1085" i="4"/>
  <c r="I1084" i="4"/>
  <c r="C1083" i="4"/>
  <c r="I1082" i="4"/>
  <c r="I1081" i="4"/>
  <c r="K1080" i="4"/>
  <c r="C1079" i="4"/>
  <c r="C1078" i="4"/>
  <c r="K1077" i="4"/>
  <c r="K1075" i="4"/>
  <c r="K1074" i="4"/>
  <c r="C1072" i="4"/>
  <c r="K1071" i="4"/>
  <c r="I1070" i="4"/>
  <c r="K1069" i="4"/>
  <c r="I1068" i="4"/>
  <c r="I1067" i="4"/>
  <c r="K1066" i="4"/>
  <c r="I1065" i="4"/>
  <c r="I1064" i="4"/>
  <c r="K1063" i="4"/>
  <c r="C1062" i="4"/>
  <c r="K1061" i="4"/>
  <c r="C1060" i="4"/>
  <c r="I1059" i="4"/>
  <c r="C1058" i="4"/>
  <c r="C1057" i="4"/>
  <c r="K1056" i="4"/>
  <c r="K1055" i="4"/>
  <c r="K1054" i="4"/>
  <c r="I1053" i="4"/>
  <c r="K1052" i="4"/>
  <c r="I1051" i="4"/>
  <c r="I1050" i="4"/>
  <c r="I1049" i="4"/>
  <c r="K1048" i="4"/>
  <c r="D1078" i="1"/>
  <c r="F1076" i="1"/>
  <c r="F1074" i="1"/>
  <c r="D1072" i="1"/>
  <c r="I1081" i="1"/>
  <c r="I1079" i="1"/>
  <c r="I1077" i="1"/>
  <c r="I1075" i="1"/>
  <c r="I1073" i="1"/>
  <c r="I1071" i="1"/>
  <c r="I1069" i="1"/>
  <c r="I1067" i="1"/>
  <c r="I1065" i="1"/>
  <c r="I1063" i="1"/>
  <c r="I1061" i="1"/>
  <c r="I1059" i="1"/>
  <c r="I1055" i="1"/>
  <c r="E1054" i="1"/>
  <c r="E1052" i="1"/>
  <c r="E1113" i="4"/>
  <c r="E1112" i="4"/>
  <c r="E1111" i="4"/>
  <c r="E1109" i="4"/>
  <c r="E1107" i="4"/>
  <c r="E1104" i="4"/>
  <c r="E1101" i="4"/>
  <c r="E1097" i="4"/>
  <c r="E1093" i="4"/>
  <c r="E1090" i="4"/>
  <c r="E1081" i="4"/>
  <c r="E1077" i="4"/>
  <c r="E1073" i="4"/>
  <c r="E1068" i="4"/>
  <c r="E1066" i="4"/>
  <c r="E1062" i="4"/>
  <c r="E1059" i="4"/>
  <c r="E1058" i="4"/>
  <c r="E1055" i="4"/>
  <c r="E1047" i="4"/>
  <c r="E1045" i="4"/>
  <c r="E1041" i="4"/>
  <c r="E1039" i="4"/>
  <c r="H1082" i="1"/>
  <c r="C1081" i="1"/>
  <c r="I1121" i="4"/>
  <c r="C1121" i="4"/>
  <c r="C1120" i="4"/>
  <c r="C1119" i="4"/>
  <c r="C1118" i="4"/>
  <c r="C1117" i="4"/>
  <c r="K1116" i="4"/>
  <c r="I1115" i="4"/>
  <c r="K1114" i="4"/>
  <c r="I1113" i="4"/>
  <c r="I1112" i="4"/>
  <c r="I1111" i="4"/>
  <c r="I1110" i="4"/>
  <c r="K1109" i="4"/>
  <c r="C1108" i="4"/>
  <c r="C1107" i="4"/>
  <c r="I1106" i="4"/>
  <c r="I1105" i="4"/>
  <c r="K1104" i="4"/>
  <c r="I1103" i="4"/>
  <c r="C1102" i="4"/>
  <c r="K1101" i="4"/>
  <c r="K1100" i="4"/>
  <c r="K1099" i="4"/>
  <c r="K1098" i="4"/>
  <c r="C1097" i="4"/>
  <c r="I1096" i="4"/>
  <c r="C1095" i="4"/>
  <c r="C1094" i="4"/>
  <c r="K1093" i="4"/>
  <c r="I1092" i="4"/>
  <c r="I1091" i="4"/>
  <c r="I1090" i="4"/>
  <c r="K1089" i="4"/>
  <c r="C1088" i="4"/>
  <c r="K1087" i="4"/>
  <c r="C1086" i="4"/>
  <c r="I1085" i="4"/>
  <c r="K1084" i="4"/>
  <c r="I1083" i="4"/>
  <c r="C1082" i="4"/>
  <c r="K1081" i="4"/>
  <c r="C1080" i="4"/>
  <c r="I1079" i="4"/>
  <c r="I1078" i="4"/>
  <c r="C1077" i="4"/>
  <c r="I1075" i="4"/>
  <c r="I1074" i="4"/>
  <c r="C1073" i="4"/>
  <c r="K1072" i="4"/>
  <c r="I1071" i="4"/>
  <c r="C1070" i="4"/>
  <c r="I1069" i="4"/>
  <c r="C1068" i="4"/>
  <c r="C1067" i="4"/>
  <c r="I1066" i="4"/>
  <c r="C1065" i="4"/>
  <c r="K1064" i="4"/>
  <c r="C1063" i="4"/>
  <c r="K1062" i="4"/>
  <c r="I1061" i="4"/>
  <c r="K1060" i="4"/>
  <c r="K1059" i="4"/>
  <c r="I1058" i="4"/>
  <c r="I1057" i="4"/>
  <c r="C1056" i="4"/>
  <c r="C1055" i="4"/>
  <c r="C1054" i="4"/>
  <c r="C1053" i="4"/>
  <c r="I1052" i="4"/>
  <c r="C1051" i="4"/>
  <c r="C1050" i="4"/>
  <c r="K1049" i="4"/>
  <c r="F1082" i="1"/>
  <c r="F1078" i="1"/>
  <c r="D1083" i="1"/>
  <c r="A1084" i="1"/>
  <c r="B1083" i="1"/>
  <c r="D1082" i="1"/>
  <c r="D1080" i="1"/>
  <c r="G1080" i="1"/>
  <c r="C1079" i="1"/>
  <c r="G1078" i="1"/>
  <c r="C1077" i="1"/>
  <c r="G1076" i="1"/>
  <c r="C1075" i="1"/>
  <c r="G1074" i="1"/>
  <c r="C1073" i="1"/>
  <c r="G1072" i="1"/>
  <c r="C1071" i="1"/>
  <c r="G1070" i="1"/>
  <c r="C1069" i="1"/>
  <c r="G1068" i="1"/>
  <c r="C1067" i="1"/>
  <c r="G1066" i="1"/>
  <c r="C1065" i="1"/>
  <c r="G1064" i="1"/>
  <c r="C1063" i="1"/>
  <c r="G1062" i="1"/>
  <c r="C1061" i="1"/>
  <c r="G1060" i="1"/>
  <c r="C1059" i="1"/>
  <c r="G1058" i="1"/>
  <c r="D1057" i="1"/>
  <c r="D1055" i="1"/>
  <c r="G1052" i="1"/>
  <c r="G1050" i="1"/>
  <c r="D1049" i="1"/>
  <c r="G1048" i="1"/>
  <c r="D1047" i="1"/>
  <c r="G1046" i="1"/>
  <c r="C1045" i="1"/>
  <c r="G1044" i="1"/>
  <c r="H1044" i="1"/>
  <c r="D1043" i="1"/>
  <c r="G1042" i="1"/>
  <c r="D1041" i="1"/>
  <c r="D1039" i="1"/>
  <c r="E1083" i="3"/>
  <c r="A1084" i="3"/>
  <c r="C1083" i="3"/>
  <c r="B1083" i="3"/>
  <c r="D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2" i="3"/>
  <c r="E1051" i="3"/>
  <c r="E1049" i="3"/>
  <c r="E1048" i="3"/>
  <c r="E1045" i="3"/>
  <c r="E1044" i="3"/>
  <c r="E1042" i="3"/>
  <c r="E1041" i="3"/>
  <c r="E1040" i="3"/>
  <c r="E1039" i="3"/>
  <c r="E1081" i="1"/>
  <c r="G1081" i="1"/>
  <c r="E1079" i="1"/>
  <c r="G1079" i="1"/>
  <c r="E1077" i="1"/>
  <c r="G1077" i="1"/>
  <c r="E1075" i="1"/>
  <c r="G1075" i="1"/>
  <c r="E1073" i="1"/>
  <c r="G1073" i="1"/>
  <c r="E1071" i="1"/>
  <c r="G1071" i="1"/>
  <c r="E1069" i="1"/>
  <c r="G1069" i="1"/>
  <c r="E1067" i="1"/>
  <c r="G1067" i="1"/>
  <c r="E1065" i="1"/>
  <c r="G1065" i="1"/>
  <c r="E1063" i="1"/>
  <c r="G1063" i="1"/>
  <c r="E1061" i="1"/>
  <c r="G1061" i="1"/>
  <c r="E1059" i="1"/>
  <c r="G1059" i="1"/>
  <c r="F1057" i="1"/>
  <c r="H1057" i="1"/>
  <c r="I1056" i="1"/>
  <c r="C1056" i="1"/>
  <c r="D1056" i="1"/>
  <c r="E1055" i="1"/>
  <c r="I1054" i="1"/>
  <c r="J1054" i="1"/>
  <c r="C1054" i="1"/>
  <c r="E1053" i="1"/>
  <c r="H1053" i="1"/>
  <c r="I1052" i="1"/>
  <c r="F1051" i="1"/>
  <c r="G1051" i="1"/>
  <c r="H1051" i="1"/>
  <c r="I1050" i="1"/>
  <c r="C1050" i="1"/>
  <c r="E1049" i="1"/>
  <c r="F1049" i="1"/>
  <c r="C1048" i="1"/>
  <c r="G1047" i="1"/>
  <c r="I1046" i="1"/>
  <c r="B1046" i="1"/>
  <c r="C1046" i="1"/>
  <c r="G1045" i="1"/>
  <c r="H1045" i="1"/>
  <c r="I1044" i="1"/>
  <c r="C1044" i="1"/>
  <c r="F1043" i="1"/>
  <c r="H1043" i="1"/>
  <c r="F1041" i="1"/>
  <c r="H1041" i="1"/>
  <c r="I1040" i="1"/>
  <c r="C1040" i="1"/>
  <c r="D1040" i="1"/>
  <c r="E1039" i="1"/>
  <c r="E1038" i="1"/>
  <c r="H1037" i="1"/>
  <c r="G1050" i="4"/>
  <c r="G1049" i="4"/>
  <c r="G1048" i="4"/>
  <c r="G1047" i="4"/>
  <c r="G1046" i="4"/>
  <c r="G1045" i="4"/>
  <c r="G1044" i="4"/>
  <c r="G1043" i="4"/>
  <c r="G1042" i="4"/>
  <c r="G1041" i="4"/>
  <c r="G1040" i="4"/>
  <c r="G1038" i="4"/>
  <c r="G1076" i="4"/>
  <c r="C1048" i="4"/>
  <c r="I1047" i="4"/>
  <c r="K1047" i="4"/>
  <c r="C1047" i="4"/>
  <c r="I1046" i="4"/>
  <c r="K1046" i="4"/>
  <c r="C1046" i="4"/>
  <c r="I1045" i="4"/>
  <c r="K1045" i="4"/>
  <c r="C1045" i="4"/>
  <c r="I1044" i="4"/>
  <c r="K1044" i="4"/>
  <c r="C1044" i="4"/>
  <c r="I1043" i="4"/>
  <c r="K1043" i="4"/>
  <c r="C1043" i="4"/>
  <c r="I1042" i="4"/>
  <c r="K1042" i="4"/>
  <c r="I1041" i="4"/>
  <c r="K1041" i="4"/>
  <c r="C1041" i="4"/>
  <c r="I1040" i="4"/>
  <c r="K1040" i="4"/>
  <c r="C1040" i="4"/>
  <c r="I1039" i="4"/>
  <c r="K1039" i="4"/>
  <c r="C1039" i="4"/>
  <c r="I1038" i="4"/>
  <c r="K1038" i="4"/>
  <c r="C1038" i="4"/>
  <c r="I1037" i="4"/>
  <c r="I1076" i="4"/>
  <c r="K1076" i="4"/>
  <c r="C1037" i="4"/>
  <c r="C1076" i="4"/>
  <c r="J1039" i="1"/>
  <c r="B1039" i="1"/>
  <c r="J1037" i="1"/>
  <c r="C1082" i="3"/>
  <c r="C1080" i="3"/>
  <c r="C1079" i="3"/>
  <c r="C1078" i="3"/>
  <c r="C1077" i="3"/>
  <c r="C1076" i="3"/>
  <c r="C1075" i="3"/>
  <c r="C1074" i="3"/>
  <c r="C1073" i="3"/>
  <c r="C1072" i="3"/>
  <c r="C1071" i="3"/>
  <c r="C1069" i="3"/>
  <c r="C1068" i="3"/>
  <c r="C1067" i="3"/>
  <c r="C1066" i="3"/>
  <c r="C1063" i="3"/>
  <c r="C1062" i="3"/>
  <c r="C1061" i="3"/>
  <c r="C1060" i="3"/>
  <c r="C1059" i="3"/>
  <c r="C1058" i="3"/>
  <c r="C1056" i="3"/>
  <c r="C1055" i="3"/>
  <c r="C1054" i="3"/>
  <c r="C1053" i="3"/>
  <c r="C1052" i="3"/>
  <c r="C1050" i="3"/>
  <c r="C1049" i="3"/>
  <c r="C1048" i="3"/>
  <c r="C1047" i="3"/>
  <c r="C1046" i="3"/>
  <c r="C1044" i="3"/>
  <c r="C1043" i="3"/>
  <c r="C1042" i="3"/>
  <c r="C1040" i="3"/>
  <c r="C1039" i="3"/>
  <c r="C1038" i="3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0" i="1"/>
  <c r="E1048" i="1"/>
  <c r="E1042" i="1"/>
  <c r="E1040" i="1"/>
  <c r="C1038" i="1"/>
  <c r="I1038" i="1"/>
  <c r="R1037" i="1"/>
  <c r="G1037" i="1"/>
  <c r="B1059" i="2"/>
  <c r="A1060" i="2"/>
  <c r="B1082" i="3"/>
  <c r="B1080" i="3"/>
  <c r="B1079" i="3"/>
  <c r="B1076" i="3"/>
  <c r="B1074" i="3"/>
  <c r="B1072" i="3"/>
  <c r="B1071" i="3"/>
  <c r="B1068" i="3"/>
  <c r="B1066" i="3"/>
  <c r="B1064" i="3"/>
  <c r="B1063" i="3"/>
  <c r="B1060" i="3"/>
  <c r="B1058" i="3"/>
  <c r="B1056" i="3"/>
  <c r="B1054" i="3"/>
  <c r="B1052" i="3"/>
  <c r="B1050" i="3"/>
  <c r="B1048" i="3"/>
  <c r="B1046" i="3"/>
  <c r="B1044" i="3"/>
  <c r="B1042" i="3"/>
  <c r="B1040" i="3"/>
  <c r="B1038" i="3"/>
  <c r="D1105" i="4"/>
  <c r="D1104" i="4"/>
  <c r="F1104" i="4"/>
  <c r="H1103" i="4"/>
  <c r="F1103" i="4"/>
  <c r="H1102" i="4"/>
  <c r="J1102" i="4"/>
  <c r="B1102" i="4"/>
  <c r="F1102" i="4"/>
  <c r="H1101" i="4"/>
  <c r="D1101" i="4"/>
  <c r="H1100" i="4"/>
  <c r="J1100" i="4"/>
  <c r="F1100" i="4"/>
  <c r="H1099" i="4"/>
  <c r="J1099" i="4"/>
  <c r="B1099" i="4"/>
  <c r="J1098" i="4"/>
  <c r="B1098" i="4"/>
  <c r="J1097" i="4"/>
  <c r="B1097" i="4"/>
  <c r="D1097" i="4"/>
  <c r="B1096" i="4"/>
  <c r="D1096" i="4"/>
  <c r="F1096" i="4"/>
  <c r="H1095" i="4"/>
  <c r="D1095" i="4"/>
  <c r="J1094" i="4"/>
  <c r="B1094" i="4"/>
  <c r="D1094" i="4"/>
  <c r="F1094" i="4"/>
  <c r="D1093" i="4"/>
  <c r="F1093" i="4"/>
  <c r="H1092" i="4"/>
  <c r="F1092" i="4"/>
  <c r="H1091" i="4"/>
  <c r="F1091" i="4"/>
  <c r="H1090" i="4"/>
  <c r="J1090" i="4"/>
  <c r="B1090" i="4"/>
  <c r="H1089" i="4"/>
  <c r="J1089" i="4"/>
  <c r="D1089" i="4"/>
  <c r="J1088" i="4"/>
  <c r="B1088" i="4"/>
  <c r="F1088" i="4"/>
  <c r="H1087" i="4"/>
  <c r="J1087" i="4"/>
  <c r="B1087" i="4"/>
  <c r="J1086" i="4"/>
  <c r="B1086" i="4"/>
  <c r="D1086" i="4"/>
  <c r="B1085" i="4"/>
  <c r="D1085" i="4"/>
  <c r="D1084" i="4"/>
  <c r="F1084" i="4"/>
  <c r="H1083" i="4"/>
  <c r="D1083" i="4"/>
  <c r="F1083" i="4"/>
  <c r="J1082" i="4"/>
  <c r="B1082" i="4"/>
  <c r="D1082" i="4"/>
  <c r="F1082" i="4"/>
  <c r="H1081" i="4"/>
  <c r="B1081" i="4"/>
  <c r="D1081" i="4"/>
  <c r="J1080" i="4"/>
  <c r="B1080" i="4"/>
  <c r="D1080" i="4"/>
  <c r="F1080" i="4"/>
  <c r="H1079" i="4"/>
  <c r="B1079" i="4"/>
  <c r="D1079" i="4"/>
  <c r="J1078" i="4"/>
  <c r="B1078" i="4"/>
  <c r="F1078" i="4"/>
  <c r="H1077" i="4"/>
  <c r="J1077" i="4"/>
  <c r="B1077" i="4"/>
  <c r="D1077" i="4"/>
  <c r="H1075" i="4"/>
  <c r="J1075" i="4"/>
  <c r="D1075" i="4"/>
  <c r="H1074" i="4"/>
  <c r="J1074" i="4"/>
  <c r="B1074" i="4"/>
  <c r="F1074" i="4"/>
  <c r="H1073" i="4"/>
  <c r="J1073" i="4"/>
  <c r="D1073" i="4"/>
  <c r="H1072" i="4"/>
  <c r="J1072" i="4"/>
  <c r="B1072" i="4"/>
  <c r="F1072" i="4"/>
  <c r="H1071" i="4"/>
  <c r="D1071" i="4"/>
  <c r="F1071" i="4"/>
  <c r="H1070" i="4"/>
  <c r="J1070" i="4"/>
  <c r="B1070" i="4"/>
  <c r="F1070" i="4"/>
  <c r="H1069" i="4"/>
  <c r="D1069" i="4"/>
  <c r="F1069" i="4"/>
  <c r="J1068" i="4"/>
  <c r="B1068" i="4"/>
  <c r="D1068" i="4"/>
  <c r="F1068" i="4"/>
  <c r="H1067" i="4"/>
  <c r="D1067" i="4"/>
  <c r="F1067" i="4"/>
  <c r="J1066" i="4"/>
  <c r="B1066" i="4"/>
  <c r="D1066" i="4"/>
  <c r="F1066" i="4"/>
  <c r="H1065" i="4"/>
  <c r="B1065" i="4"/>
  <c r="D1065" i="4"/>
  <c r="J1064" i="4"/>
  <c r="B1064" i="4"/>
  <c r="D1064" i="4"/>
  <c r="F1064" i="4"/>
  <c r="H1063" i="4"/>
  <c r="B1063" i="4"/>
  <c r="D1063" i="4"/>
  <c r="J1062" i="4"/>
  <c r="B1062" i="4"/>
  <c r="F1062" i="4"/>
  <c r="H1061" i="4"/>
  <c r="J1061" i="4"/>
  <c r="B1061" i="4"/>
  <c r="D1061" i="4"/>
  <c r="H1060" i="4"/>
  <c r="J1060" i="4"/>
  <c r="B1060" i="4"/>
  <c r="D1060" i="4"/>
  <c r="F1060" i="4"/>
  <c r="H1059" i="4"/>
  <c r="B1059" i="4"/>
  <c r="D1059" i="4"/>
  <c r="F1059" i="4"/>
  <c r="H1058" i="4"/>
  <c r="J1058" i="4"/>
  <c r="B1058" i="4"/>
  <c r="F1058" i="4"/>
  <c r="H1057" i="4"/>
  <c r="J1057" i="4"/>
  <c r="B1057" i="4"/>
  <c r="D1057" i="4"/>
  <c r="J1056" i="4"/>
  <c r="B1056" i="4"/>
  <c r="D1056" i="4"/>
  <c r="F1056" i="4"/>
  <c r="H1055" i="4"/>
  <c r="D1055" i="4"/>
  <c r="F1055" i="4"/>
  <c r="H1054" i="4"/>
  <c r="J1054" i="4"/>
  <c r="B1054" i="4"/>
  <c r="F1054" i="4"/>
  <c r="H1053" i="4"/>
  <c r="J1053" i="4"/>
  <c r="B1053" i="4"/>
  <c r="D1053" i="4"/>
  <c r="J1052" i="4"/>
  <c r="B1052" i="4"/>
  <c r="D1052" i="4"/>
  <c r="F1052" i="4"/>
  <c r="H1051" i="4"/>
  <c r="D1051" i="4"/>
  <c r="F1051" i="4"/>
  <c r="H1050" i="4"/>
  <c r="J1050" i="4"/>
  <c r="B1050" i="4"/>
  <c r="F1050" i="4"/>
  <c r="H1049" i="4"/>
  <c r="J1049" i="4"/>
  <c r="B1049" i="4"/>
  <c r="D1049" i="4"/>
  <c r="J1048" i="4"/>
  <c r="B1048" i="4"/>
  <c r="D1048" i="4"/>
  <c r="F1048" i="4"/>
  <c r="H1047" i="4"/>
  <c r="D1047" i="4"/>
  <c r="F1047" i="4"/>
  <c r="H1046" i="4"/>
  <c r="J1046" i="4"/>
  <c r="B1046" i="4"/>
  <c r="F1046" i="4"/>
  <c r="H1045" i="4"/>
  <c r="J1045" i="4"/>
  <c r="B1045" i="4"/>
  <c r="D1045" i="4"/>
  <c r="J1044" i="4"/>
  <c r="B1044" i="4"/>
  <c r="D1044" i="4"/>
  <c r="F1044" i="4"/>
  <c r="H1043" i="4"/>
  <c r="D1043" i="4"/>
  <c r="F1043" i="4"/>
  <c r="H1042" i="4"/>
  <c r="J1042" i="4"/>
  <c r="B1042" i="4"/>
  <c r="F1042" i="4"/>
  <c r="H1041" i="4"/>
  <c r="J1041" i="4"/>
  <c r="B1041" i="4"/>
  <c r="D1041" i="4"/>
  <c r="J1040" i="4"/>
  <c r="B1040" i="4"/>
  <c r="D1040" i="4"/>
  <c r="F1040" i="4"/>
  <c r="H1039" i="4"/>
  <c r="D1039" i="4"/>
  <c r="F1039" i="4"/>
  <c r="H1038" i="4"/>
  <c r="J1038" i="4"/>
  <c r="B1038" i="4"/>
  <c r="F1038" i="4"/>
  <c r="H1037" i="4"/>
  <c r="J1076" i="4"/>
  <c r="J1037" i="4"/>
  <c r="B1076" i="4"/>
  <c r="B1037" i="4"/>
  <c r="D1037" i="4"/>
  <c r="F1076" i="4"/>
  <c r="G1084" i="1" l="1"/>
  <c r="P1084" i="1"/>
  <c r="C1084" i="1"/>
  <c r="L1084" i="1"/>
  <c r="D1084" i="1"/>
  <c r="O1084" i="1"/>
  <c r="E1084" i="1"/>
  <c r="A1085" i="1"/>
  <c r="Q1084" i="1"/>
  <c r="F1084" i="1"/>
  <c r="B1084" i="1"/>
  <c r="H1084" i="1"/>
  <c r="M1084" i="1"/>
  <c r="N1084" i="1"/>
  <c r="I1084" i="1"/>
  <c r="J1084" i="1"/>
  <c r="A1061" i="2"/>
  <c r="B1060" i="2"/>
  <c r="B1084" i="3"/>
  <c r="A1085" i="3"/>
  <c r="C1084" i="3"/>
  <c r="E1084" i="3"/>
  <c r="D1084" i="3"/>
  <c r="G1085" i="1" l="1"/>
  <c r="P1085" i="1"/>
  <c r="C1085" i="1"/>
  <c r="L1085" i="1"/>
  <c r="I1085" i="1"/>
  <c r="J1085" i="1"/>
  <c r="M1085" i="1"/>
  <c r="D1085" i="1"/>
  <c r="E1085" i="1"/>
  <c r="F1085" i="1"/>
  <c r="O1085" i="1"/>
  <c r="H1085" i="1"/>
  <c r="N1085" i="1"/>
  <c r="Q1085" i="1"/>
  <c r="B1085" i="1"/>
  <c r="A1086" i="1"/>
  <c r="C1085" i="3"/>
  <c r="D1085" i="3"/>
  <c r="E1085" i="3"/>
  <c r="A1086" i="3"/>
  <c r="B1085" i="3"/>
  <c r="A1062" i="2"/>
  <c r="B1061" i="2"/>
  <c r="G1086" i="1" l="1"/>
  <c r="P1086" i="1"/>
  <c r="C1086" i="1"/>
  <c r="L1086" i="1"/>
  <c r="D1086" i="1"/>
  <c r="O1086" i="1"/>
  <c r="E1086" i="1"/>
  <c r="F1086" i="1"/>
  <c r="Q1086" i="1"/>
  <c r="A1087" i="1"/>
  <c r="B1086" i="1"/>
  <c r="H1086" i="1"/>
  <c r="I1086" i="1"/>
  <c r="J1086" i="1"/>
  <c r="N1086" i="1"/>
  <c r="M1086" i="1"/>
  <c r="A1087" i="3"/>
  <c r="D1086" i="3"/>
  <c r="C1086" i="3"/>
  <c r="E1086" i="3"/>
  <c r="B1086" i="3"/>
  <c r="A1063" i="2"/>
  <c r="B1062" i="2"/>
  <c r="B1063" i="2" l="1"/>
  <c r="A1064" i="2"/>
  <c r="B1087" i="3"/>
  <c r="C1087" i="3"/>
  <c r="D1087" i="3"/>
  <c r="A1088" i="3"/>
  <c r="E1087" i="3"/>
  <c r="G1087" i="1"/>
  <c r="P1087" i="1"/>
  <c r="C1087" i="1"/>
  <c r="L1087" i="1"/>
  <c r="I1087" i="1"/>
  <c r="J1087" i="1"/>
  <c r="M1087" i="1"/>
  <c r="E1087" i="1"/>
  <c r="F1087" i="1"/>
  <c r="Q1087" i="1"/>
  <c r="H1087" i="1"/>
  <c r="O1087" i="1"/>
  <c r="B1087" i="1"/>
  <c r="A1088" i="1"/>
  <c r="D1087" i="1"/>
  <c r="N1087" i="1"/>
  <c r="D1088" i="3" l="1"/>
  <c r="E1088" i="3"/>
  <c r="A1089" i="3"/>
  <c r="B1088" i="3"/>
  <c r="C1088" i="3"/>
  <c r="G1088" i="1"/>
  <c r="P1088" i="1"/>
  <c r="C1088" i="1"/>
  <c r="L1088" i="1"/>
  <c r="D1088" i="1"/>
  <c r="O1088" i="1"/>
  <c r="Q1088" i="1"/>
  <c r="A1089" i="1"/>
  <c r="E1088" i="1"/>
  <c r="F1088" i="1"/>
  <c r="H1088" i="1"/>
  <c r="I1088" i="1"/>
  <c r="J1088" i="1"/>
  <c r="M1088" i="1"/>
  <c r="B1088" i="1"/>
  <c r="N1088" i="1"/>
  <c r="B1064" i="2"/>
  <c r="A1065" i="2"/>
  <c r="G1089" i="1" l="1"/>
  <c r="P1089" i="1"/>
  <c r="C1089" i="1"/>
  <c r="L1089" i="1"/>
  <c r="I1089" i="1"/>
  <c r="J1089" i="1"/>
  <c r="M1089" i="1"/>
  <c r="F1089" i="1"/>
  <c r="H1089" i="1"/>
  <c r="N1089" i="1"/>
  <c r="A1090" i="1"/>
  <c r="Q1089" i="1"/>
  <c r="B1089" i="1"/>
  <c r="D1089" i="1"/>
  <c r="E1089" i="1"/>
  <c r="O1089" i="1"/>
  <c r="B1065" i="2"/>
  <c r="A1066" i="2"/>
  <c r="E1089" i="3"/>
  <c r="D1089" i="3"/>
  <c r="A1090" i="3"/>
  <c r="B1089" i="3"/>
  <c r="C1089" i="3"/>
  <c r="B1090" i="3" l="1"/>
  <c r="C1090" i="3"/>
  <c r="D1090" i="3"/>
  <c r="E1090" i="3"/>
  <c r="A1091" i="3"/>
  <c r="G1090" i="1"/>
  <c r="P1090" i="1"/>
  <c r="C1090" i="1"/>
  <c r="L1090" i="1"/>
  <c r="D1090" i="1"/>
  <c r="O1090" i="1"/>
  <c r="E1090" i="1"/>
  <c r="F1090" i="1"/>
  <c r="Q1090" i="1"/>
  <c r="A1091" i="1"/>
  <c r="I1090" i="1"/>
  <c r="J1090" i="1"/>
  <c r="M1090" i="1"/>
  <c r="N1090" i="1"/>
  <c r="B1090" i="1"/>
  <c r="H1090" i="1"/>
  <c r="A1067" i="2"/>
  <c r="B1066" i="2"/>
  <c r="E1091" i="3" l="1"/>
  <c r="A1092" i="3"/>
  <c r="C1091" i="3"/>
  <c r="D1091" i="3"/>
  <c r="B1091" i="3"/>
  <c r="G1091" i="1"/>
  <c r="P1091" i="1"/>
  <c r="C1091" i="1"/>
  <c r="L1091" i="1"/>
  <c r="I1091" i="1"/>
  <c r="J1091" i="1"/>
  <c r="M1091" i="1"/>
  <c r="H1091" i="1"/>
  <c r="N1091" i="1"/>
  <c r="O1091" i="1"/>
  <c r="D1091" i="1"/>
  <c r="E1091" i="1"/>
  <c r="F1091" i="1"/>
  <c r="Q1091" i="1"/>
  <c r="B1091" i="1"/>
  <c r="A1092" i="1"/>
  <c r="B1067" i="2"/>
  <c r="A1068" i="2"/>
  <c r="A1069" i="2" l="1"/>
  <c r="B1068" i="2"/>
  <c r="G1092" i="1"/>
  <c r="P1092" i="1"/>
  <c r="C1092" i="1"/>
  <c r="L1092" i="1"/>
  <c r="D1092" i="1"/>
  <c r="O1092" i="1"/>
  <c r="E1092" i="1"/>
  <c r="A1093" i="1"/>
  <c r="Q1092" i="1"/>
  <c r="F1092" i="1"/>
  <c r="J1092" i="1"/>
  <c r="M1092" i="1"/>
  <c r="N1092" i="1"/>
  <c r="B1092" i="1"/>
  <c r="H1092" i="1"/>
  <c r="I1092" i="1"/>
  <c r="B1092" i="3"/>
  <c r="A1093" i="3"/>
  <c r="E1092" i="3"/>
  <c r="C1092" i="3"/>
  <c r="D1092" i="3"/>
  <c r="C1093" i="3" l="1"/>
  <c r="D1093" i="3"/>
  <c r="E1093" i="3"/>
  <c r="B1093" i="3"/>
  <c r="A1094" i="3"/>
  <c r="G1093" i="1"/>
  <c r="P1093" i="1"/>
  <c r="C1093" i="1"/>
  <c r="L1093" i="1"/>
  <c r="I1093" i="1"/>
  <c r="J1093" i="1"/>
  <c r="M1093" i="1"/>
  <c r="N1093" i="1"/>
  <c r="O1093" i="1"/>
  <c r="Q1093" i="1"/>
  <c r="B1093" i="1"/>
  <c r="D1093" i="1"/>
  <c r="E1093" i="1"/>
  <c r="F1093" i="1"/>
  <c r="H1093" i="1"/>
  <c r="A1094" i="1"/>
  <c r="B1069" i="2"/>
  <c r="A1070" i="2"/>
  <c r="A1071" i="2" l="1"/>
  <c r="B1070" i="2"/>
  <c r="G1094" i="1"/>
  <c r="P1094" i="1"/>
  <c r="C1094" i="1"/>
  <c r="L1094" i="1"/>
  <c r="D1094" i="1"/>
  <c r="O1094" i="1"/>
  <c r="Q1094" i="1"/>
  <c r="A1095" i="1"/>
  <c r="E1094" i="1"/>
  <c r="F1094" i="1"/>
  <c r="M1094" i="1"/>
  <c r="N1094" i="1"/>
  <c r="B1094" i="1"/>
  <c r="I1094" i="1"/>
  <c r="J1094" i="1"/>
  <c r="H1094" i="1"/>
  <c r="A1095" i="3"/>
  <c r="D1094" i="3"/>
  <c r="C1094" i="3"/>
  <c r="E1094" i="3"/>
  <c r="B1094" i="3"/>
  <c r="B1095" i="3" l="1"/>
  <c r="C1095" i="3"/>
  <c r="A1096" i="3"/>
  <c r="D1095" i="3"/>
  <c r="E1095" i="3"/>
  <c r="G1095" i="1"/>
  <c r="P1095" i="1"/>
  <c r="C1095" i="1"/>
  <c r="L1095" i="1"/>
  <c r="I1095" i="1"/>
  <c r="J1095" i="1"/>
  <c r="M1095" i="1"/>
  <c r="O1095" i="1"/>
  <c r="A1096" i="1"/>
  <c r="Q1095" i="1"/>
  <c r="B1095" i="1"/>
  <c r="D1095" i="1"/>
  <c r="F1095" i="1"/>
  <c r="H1095" i="1"/>
  <c r="N1095" i="1"/>
  <c r="E1095" i="1"/>
  <c r="B1071" i="2"/>
  <c r="A1072" i="2"/>
  <c r="G1096" i="1" l="1"/>
  <c r="P1096" i="1"/>
  <c r="C1096" i="1"/>
  <c r="L1096" i="1"/>
  <c r="D1096" i="1"/>
  <c r="O1096" i="1"/>
  <c r="Q1096" i="1"/>
  <c r="A1097" i="1"/>
  <c r="E1096" i="1"/>
  <c r="F1096" i="1"/>
  <c r="N1096" i="1"/>
  <c r="B1096" i="1"/>
  <c r="I1096" i="1"/>
  <c r="H1096" i="1"/>
  <c r="J1096" i="1"/>
  <c r="M1096" i="1"/>
  <c r="A1073" i="2"/>
  <c r="B1072" i="2"/>
  <c r="D1096" i="3"/>
  <c r="E1096" i="3"/>
  <c r="A1097" i="3"/>
  <c r="B1096" i="3"/>
  <c r="C1096" i="3"/>
  <c r="G1097" i="1" l="1"/>
  <c r="P1097" i="1"/>
  <c r="C1097" i="1"/>
  <c r="L1097" i="1"/>
  <c r="I1097" i="1"/>
  <c r="J1097" i="1"/>
  <c r="M1097" i="1"/>
  <c r="Q1097" i="1"/>
  <c r="B1097" i="1"/>
  <c r="A1098" i="1"/>
  <c r="D1097" i="1"/>
  <c r="H1097" i="1"/>
  <c r="N1097" i="1"/>
  <c r="O1097" i="1"/>
  <c r="E1097" i="1"/>
  <c r="F1097" i="1"/>
  <c r="E1097" i="3"/>
  <c r="B1097" i="3"/>
  <c r="D1097" i="3"/>
  <c r="A1098" i="3"/>
  <c r="C1097" i="3"/>
  <c r="A1074" i="2"/>
  <c r="B1073" i="2"/>
  <c r="B1074" i="2" l="1"/>
  <c r="A1075" i="2"/>
  <c r="B1098" i="3"/>
  <c r="C1098" i="3"/>
  <c r="D1098" i="3"/>
  <c r="E1098" i="3"/>
  <c r="A1099" i="3"/>
  <c r="G1098" i="1"/>
  <c r="P1098" i="1"/>
  <c r="C1098" i="1"/>
  <c r="L1098" i="1"/>
  <c r="D1098" i="1"/>
  <c r="O1098" i="1"/>
  <c r="E1098" i="1"/>
  <c r="A1099" i="1"/>
  <c r="Q1098" i="1"/>
  <c r="F1098" i="1"/>
  <c r="J1098" i="1"/>
  <c r="B1098" i="1"/>
  <c r="H1098" i="1"/>
  <c r="I1098" i="1"/>
  <c r="M1098" i="1"/>
  <c r="N1098" i="1"/>
  <c r="B1075" i="2" l="1"/>
  <c r="A1076" i="2"/>
  <c r="G1099" i="1"/>
  <c r="P1099" i="1"/>
  <c r="C1099" i="1"/>
  <c r="L1099" i="1"/>
  <c r="I1099" i="1"/>
  <c r="J1099" i="1"/>
  <c r="M1099" i="1"/>
  <c r="B1099" i="1"/>
  <c r="A1100" i="1"/>
  <c r="D1099" i="1"/>
  <c r="E1099" i="1"/>
  <c r="O1099" i="1"/>
  <c r="Q1099" i="1"/>
  <c r="F1099" i="1"/>
  <c r="H1099" i="1"/>
  <c r="N1099" i="1"/>
  <c r="E1099" i="3"/>
  <c r="A1100" i="3"/>
  <c r="C1099" i="3"/>
  <c r="B1099" i="3"/>
  <c r="D1099" i="3"/>
  <c r="B1100" i="3" l="1"/>
  <c r="A1101" i="3"/>
  <c r="C1100" i="3"/>
  <c r="E1100" i="3"/>
  <c r="D1100" i="3"/>
  <c r="G1100" i="1"/>
  <c r="P1100" i="1"/>
  <c r="C1100" i="1"/>
  <c r="L1100" i="1"/>
  <c r="D1100" i="1"/>
  <c r="O1100" i="1"/>
  <c r="E1100" i="1"/>
  <c r="F1100" i="1"/>
  <c r="Q1100" i="1"/>
  <c r="A1101" i="1"/>
  <c r="B1100" i="1"/>
  <c r="H1100" i="1"/>
  <c r="I1100" i="1"/>
  <c r="J1100" i="1"/>
  <c r="M1100" i="1"/>
  <c r="N1100" i="1"/>
  <c r="B1076" i="2"/>
  <c r="A1077" i="2"/>
  <c r="A1078" i="2" l="1"/>
  <c r="B1077" i="2"/>
  <c r="G1101" i="1"/>
  <c r="P1101" i="1"/>
  <c r="C1101" i="1"/>
  <c r="L1101" i="1"/>
  <c r="I1101" i="1"/>
  <c r="J1101" i="1"/>
  <c r="M1101" i="1"/>
  <c r="D1101" i="1"/>
  <c r="E1101" i="1"/>
  <c r="F1101" i="1"/>
  <c r="N1101" i="1"/>
  <c r="O1101" i="1"/>
  <c r="Q1101" i="1"/>
  <c r="B1101" i="1"/>
  <c r="A1102" i="1"/>
  <c r="H1101" i="1"/>
  <c r="C1101" i="3"/>
  <c r="D1101" i="3"/>
  <c r="E1101" i="3"/>
  <c r="A1102" i="3"/>
  <c r="B1101" i="3"/>
  <c r="G1102" i="1" l="1"/>
  <c r="P1102" i="1"/>
  <c r="C1102" i="1"/>
  <c r="L1102" i="1"/>
  <c r="D1102" i="1"/>
  <c r="O1102" i="1"/>
  <c r="Q1102" i="1"/>
  <c r="E1102" i="1"/>
  <c r="A1103" i="1"/>
  <c r="F1102" i="1"/>
  <c r="B1102" i="1"/>
  <c r="H1102" i="1"/>
  <c r="J1102" i="1"/>
  <c r="I1102" i="1"/>
  <c r="M1102" i="1"/>
  <c r="N1102" i="1"/>
  <c r="A1103" i="3"/>
  <c r="D1102" i="3"/>
  <c r="C1102" i="3"/>
  <c r="E1102" i="3"/>
  <c r="B1102" i="3"/>
  <c r="A1079" i="2"/>
  <c r="B1078" i="2"/>
  <c r="B1079" i="2" l="1"/>
  <c r="A1080" i="2"/>
  <c r="B1103" i="3"/>
  <c r="C1103" i="3"/>
  <c r="D1103" i="3"/>
  <c r="E1103" i="3"/>
  <c r="A1104" i="3"/>
  <c r="G1103" i="1"/>
  <c r="P1103" i="1"/>
  <c r="C1103" i="1"/>
  <c r="L1103" i="1"/>
  <c r="I1103" i="1"/>
  <c r="J1103" i="1"/>
  <c r="M1103" i="1"/>
  <c r="E1103" i="1"/>
  <c r="F1103" i="1"/>
  <c r="H1103" i="1"/>
  <c r="N1103" i="1"/>
  <c r="O1103" i="1"/>
  <c r="Q1103" i="1"/>
  <c r="B1103" i="1"/>
  <c r="A1104" i="1"/>
  <c r="D1103" i="1"/>
  <c r="D1104" i="3" l="1"/>
  <c r="E1104" i="3"/>
  <c r="A1105" i="3"/>
  <c r="B1104" i="3"/>
  <c r="C1104" i="3"/>
  <c r="G1104" i="1"/>
  <c r="P1104" i="1"/>
  <c r="C1104" i="1"/>
  <c r="L1104" i="1"/>
  <c r="D1104" i="1"/>
  <c r="O1104" i="1"/>
  <c r="Q1104" i="1"/>
  <c r="E1104" i="1"/>
  <c r="F1104" i="1"/>
  <c r="A1105" i="1"/>
  <c r="H1104" i="1"/>
  <c r="I1104" i="1"/>
  <c r="J1104" i="1"/>
  <c r="B1104" i="1"/>
  <c r="M1104" i="1"/>
  <c r="N1104" i="1"/>
  <c r="B1080" i="2"/>
  <c r="A1081" i="2"/>
  <c r="E1105" i="3" l="1"/>
  <c r="D1105" i="3"/>
  <c r="A1106" i="3"/>
  <c r="B1105" i="3"/>
  <c r="C1105" i="3"/>
  <c r="A1082" i="2"/>
  <c r="B1081" i="2"/>
  <c r="G1105" i="1"/>
  <c r="P1105" i="1"/>
  <c r="C1105" i="1"/>
  <c r="L1105" i="1"/>
  <c r="I1105" i="1"/>
  <c r="M1105" i="1"/>
  <c r="J1105" i="1"/>
  <c r="F1105" i="1"/>
  <c r="B1105" i="1"/>
  <c r="H1105" i="1"/>
  <c r="N1105" i="1"/>
  <c r="O1105" i="1"/>
  <c r="Q1105" i="1"/>
  <c r="D1105" i="1"/>
  <c r="E1105" i="1"/>
  <c r="A1106" i="1"/>
  <c r="A1083" i="2" l="1"/>
  <c r="B1082" i="2"/>
  <c r="G1106" i="1"/>
  <c r="P1106" i="1"/>
  <c r="C1106" i="1"/>
  <c r="L1106" i="1"/>
  <c r="D1106" i="1"/>
  <c r="O1106" i="1"/>
  <c r="E1106" i="1"/>
  <c r="Q1106" i="1"/>
  <c r="A1107" i="1"/>
  <c r="F1106" i="1"/>
  <c r="I1106" i="1"/>
  <c r="J1106" i="1"/>
  <c r="N1106" i="1"/>
  <c r="M1106" i="1"/>
  <c r="B1106" i="1"/>
  <c r="H1106" i="1"/>
  <c r="B1106" i="3"/>
  <c r="C1106" i="3"/>
  <c r="D1106" i="3"/>
  <c r="E1106" i="3"/>
  <c r="A1107" i="3"/>
  <c r="E1107" i="3" l="1"/>
  <c r="A1108" i="3"/>
  <c r="C1107" i="3"/>
  <c r="B1107" i="3"/>
  <c r="D1107" i="3"/>
  <c r="G1107" i="1"/>
  <c r="P1107" i="1"/>
  <c r="C1107" i="1"/>
  <c r="L1107" i="1"/>
  <c r="I1107" i="1"/>
  <c r="J1107" i="1"/>
  <c r="M1107" i="1"/>
  <c r="H1107" i="1"/>
  <c r="N1107" i="1"/>
  <c r="O1107" i="1"/>
  <c r="B1107" i="1"/>
  <c r="D1107" i="1"/>
  <c r="E1107" i="1"/>
  <c r="F1107" i="1"/>
  <c r="Q1107" i="1"/>
  <c r="A1108" i="1"/>
  <c r="B1083" i="2"/>
  <c r="J1083" i="2"/>
  <c r="C1083" i="2"/>
  <c r="A1084" i="2"/>
  <c r="E1083" i="2"/>
  <c r="F1083" i="2"/>
  <c r="G1083" i="2"/>
  <c r="D1083" i="2"/>
  <c r="H1083" i="2"/>
  <c r="I1083" i="2"/>
  <c r="G1108" i="1" l="1"/>
  <c r="P1108" i="1"/>
  <c r="C1108" i="1"/>
  <c r="L1108" i="1"/>
  <c r="D1108" i="1"/>
  <c r="O1108" i="1"/>
  <c r="E1108" i="1"/>
  <c r="A1109" i="1"/>
  <c r="Q1108" i="1"/>
  <c r="F1108" i="1"/>
  <c r="J1108" i="1"/>
  <c r="B1108" i="1"/>
  <c r="M1108" i="1"/>
  <c r="N1108" i="1"/>
  <c r="H1108" i="1"/>
  <c r="I1108" i="1"/>
  <c r="B1108" i="3"/>
  <c r="A1109" i="3"/>
  <c r="E1108" i="3"/>
  <c r="C1108" i="3"/>
  <c r="D1108" i="3"/>
  <c r="H1084" i="2"/>
  <c r="I1084" i="2"/>
  <c r="E1084" i="2"/>
  <c r="F1084" i="2"/>
  <c r="G1084" i="2"/>
  <c r="C1084" i="2"/>
  <c r="A1085" i="2"/>
  <c r="B1084" i="2"/>
  <c r="D1084" i="2"/>
  <c r="J1084" i="2"/>
  <c r="G1109" i="1" l="1"/>
  <c r="P1109" i="1"/>
  <c r="C1109" i="1"/>
  <c r="L1109" i="1"/>
  <c r="I1109" i="1"/>
  <c r="J1109" i="1"/>
  <c r="M1109" i="1"/>
  <c r="N1109" i="1"/>
  <c r="O1109" i="1"/>
  <c r="A1110" i="1"/>
  <c r="Q1109" i="1"/>
  <c r="B1109" i="1"/>
  <c r="D1109" i="1"/>
  <c r="F1109" i="1"/>
  <c r="H1109" i="1"/>
  <c r="E1109" i="1"/>
  <c r="F1085" i="2"/>
  <c r="G1085" i="2"/>
  <c r="E1085" i="2"/>
  <c r="H1085" i="2"/>
  <c r="I1085" i="2"/>
  <c r="C1085" i="2"/>
  <c r="D1085" i="2"/>
  <c r="J1085" i="2"/>
  <c r="A1086" i="2"/>
  <c r="B1085" i="2"/>
  <c r="C1109" i="3"/>
  <c r="D1109" i="3"/>
  <c r="E1109" i="3"/>
  <c r="B1109" i="3"/>
  <c r="A1110" i="3"/>
  <c r="A1111" i="3" l="1"/>
  <c r="D1110" i="3"/>
  <c r="C1110" i="3"/>
  <c r="E1110" i="3"/>
  <c r="B1110" i="3"/>
  <c r="G1110" i="1"/>
  <c r="P1110" i="1"/>
  <c r="C1110" i="1"/>
  <c r="L1110" i="1"/>
  <c r="D1110" i="1"/>
  <c r="O1110" i="1"/>
  <c r="E1110" i="1"/>
  <c r="A1111" i="1"/>
  <c r="Q1110" i="1"/>
  <c r="F1110" i="1"/>
  <c r="M1110" i="1"/>
  <c r="N1110" i="1"/>
  <c r="H1110" i="1"/>
  <c r="I1110" i="1"/>
  <c r="J1110" i="1"/>
  <c r="B1110" i="1"/>
  <c r="D1086" i="2"/>
  <c r="E1086" i="2"/>
  <c r="G1086" i="2"/>
  <c r="H1086" i="2"/>
  <c r="I1086" i="2"/>
  <c r="C1086" i="2"/>
  <c r="A1087" i="2"/>
  <c r="F1086" i="2"/>
  <c r="J1086" i="2"/>
  <c r="B1086" i="2"/>
  <c r="B1087" i="2" l="1"/>
  <c r="J1087" i="2"/>
  <c r="C1087" i="2"/>
  <c r="A1088" i="2"/>
  <c r="G1087" i="2"/>
  <c r="H1087" i="2"/>
  <c r="I1087" i="2"/>
  <c r="E1087" i="2"/>
  <c r="F1087" i="2"/>
  <c r="D1087" i="2"/>
  <c r="G1111" i="1"/>
  <c r="P1111" i="1"/>
  <c r="C1111" i="1"/>
  <c r="L1111" i="1"/>
  <c r="I1111" i="1"/>
  <c r="J1111" i="1"/>
  <c r="N1111" i="1"/>
  <c r="O1111" i="1"/>
  <c r="B1111" i="1"/>
  <c r="E1111" i="1"/>
  <c r="F1111" i="1"/>
  <c r="Q1111" i="1"/>
  <c r="A1112" i="1"/>
  <c r="H1111" i="1"/>
  <c r="M1111" i="1"/>
  <c r="D1111" i="1"/>
  <c r="B1111" i="3"/>
  <c r="C1111" i="3"/>
  <c r="A1112" i="3"/>
  <c r="D1111" i="3"/>
  <c r="E1111" i="3"/>
  <c r="D1112" i="3" l="1"/>
  <c r="E1112" i="3"/>
  <c r="A1113" i="3"/>
  <c r="B1112" i="3"/>
  <c r="C1112" i="3"/>
  <c r="H1088" i="2"/>
  <c r="I1088" i="2"/>
  <c r="G1088" i="2"/>
  <c r="J1088" i="2"/>
  <c r="A1089" i="2"/>
  <c r="E1088" i="2"/>
  <c r="B1088" i="2"/>
  <c r="C1088" i="2"/>
  <c r="F1088" i="2"/>
  <c r="D1088" i="2"/>
  <c r="G1112" i="1"/>
  <c r="P1112" i="1"/>
  <c r="C1112" i="1"/>
  <c r="L1112" i="1"/>
  <c r="D1112" i="1"/>
  <c r="O1112" i="1"/>
  <c r="E1112" i="1"/>
  <c r="Q1112" i="1"/>
  <c r="J1112" i="1"/>
  <c r="M1112" i="1"/>
  <c r="A1113" i="1"/>
  <c r="N1112" i="1"/>
  <c r="B1112" i="1"/>
  <c r="H1112" i="1"/>
  <c r="I1112" i="1"/>
  <c r="F1112" i="1"/>
  <c r="E1113" i="3" l="1"/>
  <c r="B1113" i="3"/>
  <c r="D1113" i="3"/>
  <c r="A1114" i="3"/>
  <c r="C1113" i="3"/>
  <c r="G1113" i="1"/>
  <c r="P1113" i="1"/>
  <c r="C1113" i="1"/>
  <c r="L1113" i="1"/>
  <c r="I1113" i="1"/>
  <c r="J1113" i="1"/>
  <c r="H1113" i="1"/>
  <c r="N1113" i="1"/>
  <c r="Q1113" i="1"/>
  <c r="D1113" i="1"/>
  <c r="M1113" i="1"/>
  <c r="A1114" i="1"/>
  <c r="E1113" i="1"/>
  <c r="F1113" i="1"/>
  <c r="O1113" i="1"/>
  <c r="B1113" i="1"/>
  <c r="F1089" i="2"/>
  <c r="G1089" i="2"/>
  <c r="I1089" i="2"/>
  <c r="J1089" i="2"/>
  <c r="A1090" i="2"/>
  <c r="E1089" i="2"/>
  <c r="H1089" i="2"/>
  <c r="C1089" i="2"/>
  <c r="D1089" i="2"/>
  <c r="B1089" i="2"/>
  <c r="B1114" i="3" l="1"/>
  <c r="C1114" i="3"/>
  <c r="D1114" i="3"/>
  <c r="E1114" i="3"/>
  <c r="A1115" i="3"/>
  <c r="D1090" i="2"/>
  <c r="E1090" i="2"/>
  <c r="I1090" i="2"/>
  <c r="J1090" i="2"/>
  <c r="A1091" i="2"/>
  <c r="G1090" i="2"/>
  <c r="B1090" i="2"/>
  <c r="C1090" i="2"/>
  <c r="H1090" i="2"/>
  <c r="F1090" i="2"/>
  <c r="G1114" i="1"/>
  <c r="P1114" i="1"/>
  <c r="C1114" i="1"/>
  <c r="L1114" i="1"/>
  <c r="D1114" i="1"/>
  <c r="O1114" i="1"/>
  <c r="Q1114" i="1"/>
  <c r="E1114" i="1"/>
  <c r="H1114" i="1"/>
  <c r="I1114" i="1"/>
  <c r="A1115" i="1"/>
  <c r="J1114" i="1"/>
  <c r="M1114" i="1"/>
  <c r="N1114" i="1"/>
  <c r="B1114" i="1"/>
  <c r="F1114" i="1"/>
  <c r="E1115" i="3" l="1"/>
  <c r="A1116" i="3"/>
  <c r="C1115" i="3"/>
  <c r="B1115" i="3"/>
  <c r="D1115" i="3"/>
  <c r="G1115" i="1"/>
  <c r="P1115" i="1"/>
  <c r="C1115" i="1"/>
  <c r="L1115" i="1"/>
  <c r="I1115" i="1"/>
  <c r="J1115" i="1"/>
  <c r="E1115" i="1"/>
  <c r="F1115" i="1"/>
  <c r="M1115" i="1"/>
  <c r="H1115" i="1"/>
  <c r="B1115" i="1"/>
  <c r="Q1115" i="1"/>
  <c r="D1115" i="1"/>
  <c r="A1116" i="1"/>
  <c r="N1115" i="1"/>
  <c r="O1115" i="1"/>
  <c r="B1091" i="2"/>
  <c r="J1091" i="2"/>
  <c r="C1091" i="2"/>
  <c r="A1092" i="2"/>
  <c r="I1091" i="2"/>
  <c r="G1091" i="2"/>
  <c r="H1091" i="2"/>
  <c r="E1091" i="2"/>
  <c r="D1091" i="2"/>
  <c r="F1091" i="2"/>
  <c r="G1116" i="1" l="1"/>
  <c r="P1116" i="1"/>
  <c r="C1116" i="1"/>
  <c r="L1116" i="1"/>
  <c r="D1116" i="1"/>
  <c r="O1116" i="1"/>
  <c r="E1116" i="1"/>
  <c r="Q1116" i="1"/>
  <c r="B1116" i="1"/>
  <c r="H1116" i="1"/>
  <c r="J1116" i="1"/>
  <c r="F1116" i="1"/>
  <c r="M1116" i="1"/>
  <c r="N1116" i="1"/>
  <c r="A1117" i="1"/>
  <c r="I1116" i="1"/>
  <c r="B1116" i="3"/>
  <c r="A1117" i="3"/>
  <c r="C1116" i="3"/>
  <c r="D1116" i="3"/>
  <c r="E1116" i="3"/>
  <c r="H1092" i="2"/>
  <c r="I1092" i="2"/>
  <c r="A1093" i="2"/>
  <c r="B1092" i="2"/>
  <c r="C1092" i="2"/>
  <c r="G1092" i="2"/>
  <c r="D1092" i="2"/>
  <c r="E1092" i="2"/>
  <c r="F1092" i="2"/>
  <c r="J1092" i="2"/>
  <c r="F1093" i="2" l="1"/>
  <c r="G1093" i="2"/>
  <c r="A1094" i="2"/>
  <c r="B1093" i="2"/>
  <c r="C1093" i="2"/>
  <c r="I1093" i="2"/>
  <c r="J1093" i="2"/>
  <c r="E1093" i="2"/>
  <c r="H1093" i="2"/>
  <c r="D1093" i="2"/>
  <c r="G1117" i="1"/>
  <c r="P1117" i="1"/>
  <c r="C1117" i="1"/>
  <c r="L1117" i="1"/>
  <c r="I1117" i="1"/>
  <c r="J1117" i="1"/>
  <c r="B1117" i="1"/>
  <c r="Q1117" i="1"/>
  <c r="D1117" i="1"/>
  <c r="M1117" i="1"/>
  <c r="A1118" i="1"/>
  <c r="E1117" i="1"/>
  <c r="F1117" i="1"/>
  <c r="H1117" i="1"/>
  <c r="N1117" i="1"/>
  <c r="O1117" i="1"/>
  <c r="C1117" i="3"/>
  <c r="D1117" i="3"/>
  <c r="E1117" i="3"/>
  <c r="A1118" i="3"/>
  <c r="B1117" i="3"/>
  <c r="D1094" i="2" l="1"/>
  <c r="E1094" i="2"/>
  <c r="A1095" i="2"/>
  <c r="B1094" i="2"/>
  <c r="C1094" i="2"/>
  <c r="I1094" i="2"/>
  <c r="F1094" i="2"/>
  <c r="G1094" i="2"/>
  <c r="J1094" i="2"/>
  <c r="H1094" i="2"/>
  <c r="G1118" i="1"/>
  <c r="P1118" i="1"/>
  <c r="C1118" i="1"/>
  <c r="L1118" i="1"/>
  <c r="D1118" i="1"/>
  <c r="O1118" i="1"/>
  <c r="E1118" i="1"/>
  <c r="Q1118" i="1"/>
  <c r="N1118" i="1"/>
  <c r="A1119" i="1"/>
  <c r="B1118" i="1"/>
  <c r="J1118" i="1"/>
  <c r="M1118" i="1"/>
  <c r="F1118" i="1"/>
  <c r="H1118" i="1"/>
  <c r="I1118" i="1"/>
  <c r="A1119" i="3"/>
  <c r="D1118" i="3"/>
  <c r="C1118" i="3"/>
  <c r="E1118" i="3"/>
  <c r="B1118" i="3"/>
  <c r="B1119" i="3" l="1"/>
  <c r="C1119" i="3"/>
  <c r="D1119" i="3"/>
  <c r="A1120" i="3"/>
  <c r="E1119" i="3"/>
  <c r="B1095" i="2"/>
  <c r="C1095" i="2"/>
  <c r="A1096" i="2"/>
  <c r="D1095" i="2"/>
  <c r="E1095" i="2"/>
  <c r="I1095" i="2"/>
  <c r="J1095" i="2"/>
  <c r="G1095" i="2"/>
  <c r="F1095" i="2"/>
  <c r="H1095" i="2"/>
  <c r="G1119" i="1"/>
  <c r="P1119" i="1"/>
  <c r="C1119" i="1"/>
  <c r="L1119" i="1"/>
  <c r="I1119" i="1"/>
  <c r="J1119" i="1"/>
  <c r="N1119" i="1"/>
  <c r="D1119" i="1"/>
  <c r="E1119" i="1"/>
  <c r="O1119" i="1"/>
  <c r="Q1119" i="1"/>
  <c r="B1119" i="1"/>
  <c r="A1120" i="1"/>
  <c r="F1119" i="1"/>
  <c r="H1119" i="1"/>
  <c r="M1119" i="1"/>
  <c r="G1120" i="1" l="1"/>
  <c r="P1120" i="1"/>
  <c r="C1120" i="1"/>
  <c r="L1120" i="1"/>
  <c r="D1120" i="1"/>
  <c r="O1120" i="1"/>
  <c r="E1120" i="1"/>
  <c r="Q1120" i="1"/>
  <c r="J1120" i="1"/>
  <c r="M1120" i="1"/>
  <c r="N1120" i="1"/>
  <c r="F1120" i="1"/>
  <c r="B1120" i="1"/>
  <c r="H1120" i="1"/>
  <c r="I1120" i="1"/>
  <c r="A1121" i="1"/>
  <c r="D1120" i="3"/>
  <c r="E1120" i="3"/>
  <c r="A1121" i="3"/>
  <c r="B1120" i="3"/>
  <c r="C1120" i="3"/>
  <c r="B1096" i="2"/>
  <c r="J1096" i="2"/>
  <c r="C1096" i="2"/>
  <c r="A1097" i="2"/>
  <c r="D1096" i="2"/>
  <c r="H1096" i="2"/>
  <c r="E1096" i="2"/>
  <c r="F1096" i="2"/>
  <c r="I1096" i="2"/>
  <c r="G1096" i="2"/>
  <c r="G1121" i="1" l="1"/>
  <c r="P1121" i="1"/>
  <c r="C1121" i="1"/>
  <c r="L1121" i="1"/>
  <c r="I1121" i="1"/>
  <c r="J1121" i="1"/>
  <c r="H1121" i="1"/>
  <c r="Q1121" i="1"/>
  <c r="M1121" i="1"/>
  <c r="N1121" i="1"/>
  <c r="O1121" i="1"/>
  <c r="B1121" i="1"/>
  <c r="E1121" i="1"/>
  <c r="F1121" i="1"/>
  <c r="D1121" i="1"/>
  <c r="E1121" i="3"/>
  <c r="D1121" i="3"/>
  <c r="B1121" i="3"/>
  <c r="C1121" i="3"/>
  <c r="H1097" i="2"/>
  <c r="I1097" i="2"/>
  <c r="B1097" i="2"/>
  <c r="J1097" i="2"/>
  <c r="F1097" i="2"/>
  <c r="G1097" i="2"/>
  <c r="A1098" i="2"/>
  <c r="D1097" i="2"/>
  <c r="E1097" i="2"/>
  <c r="C1097" i="2"/>
  <c r="F1098" i="2" l="1"/>
  <c r="G1098" i="2"/>
  <c r="H1098" i="2"/>
  <c r="D1098" i="2"/>
  <c r="B1098" i="2"/>
  <c r="J1098" i="2"/>
  <c r="E1098" i="2"/>
  <c r="I1098" i="2"/>
  <c r="A1099" i="2"/>
  <c r="C1098" i="2"/>
  <c r="D1099" i="2" l="1"/>
  <c r="E1099" i="2"/>
  <c r="F1099" i="2"/>
  <c r="B1099" i="2"/>
  <c r="J1099" i="2"/>
  <c r="C1099" i="2"/>
  <c r="G1099" i="2"/>
  <c r="H1099" i="2"/>
  <c r="I1099" i="2"/>
  <c r="A1100" i="2"/>
  <c r="B1100" i="2" l="1"/>
  <c r="J1100" i="2"/>
  <c r="C1100" i="2"/>
  <c r="A1101" i="2"/>
  <c r="D1100" i="2"/>
  <c r="H1100" i="2"/>
  <c r="I1100" i="2"/>
  <c r="F1100" i="2"/>
  <c r="G1100" i="2"/>
  <c r="E1100" i="2"/>
  <c r="H1101" i="2" l="1"/>
  <c r="I1101" i="2"/>
  <c r="B1101" i="2"/>
  <c r="J1101" i="2"/>
  <c r="F1101" i="2"/>
  <c r="C1101" i="2"/>
  <c r="D1101" i="2"/>
  <c r="G1101" i="2"/>
  <c r="A1102" i="2"/>
  <c r="E1101" i="2"/>
  <c r="F1102" i="2" l="1"/>
  <c r="G1102" i="2"/>
  <c r="H1102" i="2"/>
  <c r="D1102" i="2"/>
  <c r="E1102" i="2"/>
  <c r="I1102" i="2"/>
  <c r="J1102" i="2"/>
  <c r="B1102" i="2"/>
  <c r="C1102" i="2"/>
  <c r="A1103" i="2"/>
  <c r="D1103" i="2" l="1"/>
  <c r="E1103" i="2"/>
  <c r="F1103" i="2"/>
  <c r="B1103" i="2"/>
  <c r="J1103" i="2"/>
  <c r="A1104" i="2"/>
  <c r="H1103" i="2"/>
  <c r="I1103" i="2"/>
  <c r="C1103" i="2"/>
  <c r="G1103" i="2"/>
  <c r="B1104" i="2" l="1"/>
  <c r="J1104" i="2"/>
  <c r="C1104" i="2"/>
  <c r="A1105" i="2"/>
  <c r="D1104" i="2"/>
  <c r="H1104" i="2"/>
  <c r="E1104" i="2"/>
  <c r="F1104" i="2"/>
  <c r="I1104" i="2"/>
  <c r="G1104" i="2"/>
  <c r="H1105" i="2" l="1"/>
  <c r="I1105" i="2"/>
  <c r="B1105" i="2"/>
  <c r="J1105" i="2"/>
  <c r="F1105" i="2"/>
  <c r="G1105" i="2"/>
  <c r="A1106" i="2"/>
  <c r="D1105" i="2"/>
  <c r="C1105" i="2"/>
  <c r="E1105" i="2"/>
  <c r="F1106" i="2" l="1"/>
  <c r="G1106" i="2"/>
  <c r="H1106" i="2"/>
  <c r="D1106" i="2"/>
  <c r="B1106" i="2"/>
  <c r="J1106" i="2"/>
  <c r="A1107" i="2"/>
  <c r="E1106" i="2"/>
  <c r="I1106" i="2"/>
  <c r="C1106" i="2"/>
  <c r="D1107" i="2" l="1"/>
  <c r="E1107" i="2"/>
  <c r="F1107" i="2"/>
  <c r="B1107" i="2"/>
  <c r="J1107" i="2"/>
  <c r="C1107" i="2"/>
  <c r="G1107" i="2"/>
  <c r="H1107" i="2"/>
  <c r="A1108" i="2"/>
  <c r="I1107" i="2"/>
  <c r="B1108" i="2" l="1"/>
  <c r="J1108" i="2"/>
  <c r="C1108" i="2"/>
  <c r="A1109" i="2"/>
  <c r="D1108" i="2"/>
  <c r="H1108" i="2"/>
  <c r="I1108" i="2"/>
  <c r="F1108" i="2"/>
  <c r="E1108" i="2"/>
  <c r="G1108" i="2"/>
  <c r="H1109" i="2" l="1"/>
  <c r="I1109" i="2"/>
  <c r="B1109" i="2"/>
  <c r="J1109" i="2"/>
  <c r="F1109" i="2"/>
  <c r="C1109" i="2"/>
  <c r="D1109" i="2"/>
  <c r="G1109" i="2"/>
  <c r="A1110" i="2"/>
  <c r="E1109" i="2"/>
  <c r="F1110" i="2" l="1"/>
  <c r="G1110" i="2"/>
  <c r="H1110" i="2"/>
  <c r="D1110" i="2"/>
  <c r="E1110" i="2"/>
  <c r="I1110" i="2"/>
  <c r="J1110" i="2"/>
  <c r="B1110" i="2"/>
  <c r="C1110" i="2"/>
  <c r="A1111" i="2"/>
  <c r="D1111" i="2" l="1"/>
  <c r="E1111" i="2"/>
  <c r="F1111" i="2"/>
  <c r="B1111" i="2"/>
  <c r="J1111" i="2"/>
  <c r="A1112" i="2"/>
  <c r="H1111" i="2"/>
  <c r="C1111" i="2"/>
  <c r="G1111" i="2"/>
  <c r="I1111" i="2"/>
  <c r="B1112" i="2" l="1"/>
  <c r="J1112" i="2"/>
  <c r="C1112" i="2"/>
  <c r="A1113" i="2"/>
  <c r="D1112" i="2"/>
  <c r="H1112" i="2"/>
  <c r="E1112" i="2"/>
  <c r="F1112" i="2"/>
  <c r="G1112" i="2"/>
  <c r="I1112" i="2"/>
  <c r="H1113" i="2" l="1"/>
  <c r="I1113" i="2"/>
  <c r="B1113" i="2"/>
  <c r="J1113" i="2"/>
  <c r="F1113" i="2"/>
  <c r="G1113" i="2"/>
  <c r="A1114" i="2"/>
  <c r="D1113" i="2"/>
  <c r="E1113" i="2"/>
  <c r="C1113" i="2"/>
  <c r="F1114" i="2" l="1"/>
  <c r="G1114" i="2"/>
  <c r="D1114" i="2"/>
  <c r="A1115" i="2"/>
  <c r="B1114" i="2"/>
  <c r="I1114" i="2"/>
  <c r="E1114" i="2"/>
  <c r="H1114" i="2"/>
  <c r="J1114" i="2"/>
  <c r="C1114" i="2"/>
  <c r="D1115" i="2" l="1"/>
  <c r="E1115" i="2"/>
  <c r="B1115" i="2"/>
  <c r="J1115" i="2"/>
  <c r="C1115" i="2"/>
  <c r="F1115" i="2"/>
  <c r="A1116" i="2"/>
  <c r="H1115" i="2"/>
  <c r="I1115" i="2"/>
  <c r="G1115" i="2"/>
  <c r="B1116" i="2" l="1"/>
  <c r="J1116" i="2"/>
  <c r="C1116" i="2"/>
  <c r="A1117" i="2"/>
  <c r="H1116" i="2"/>
  <c r="E1116" i="2"/>
  <c r="F1116" i="2"/>
  <c r="G1116" i="2"/>
  <c r="D1116" i="2"/>
  <c r="I1116" i="2"/>
  <c r="H1117" i="2" l="1"/>
  <c r="I1117" i="2"/>
  <c r="F1117" i="2"/>
  <c r="G1117" i="2"/>
  <c r="J1117" i="2"/>
  <c r="A1118" i="2"/>
  <c r="D1117" i="2"/>
  <c r="B1117" i="2"/>
  <c r="C1117" i="2"/>
  <c r="E1117" i="2"/>
  <c r="F1118" i="2" l="1"/>
  <c r="G1118" i="2"/>
  <c r="D1118" i="2"/>
  <c r="J1118" i="2"/>
  <c r="A1119" i="2"/>
  <c r="H1118" i="2"/>
  <c r="I1118" i="2"/>
  <c r="B1118" i="2"/>
  <c r="E1118" i="2"/>
  <c r="C1118" i="2"/>
  <c r="D1119" i="2" l="1"/>
  <c r="E1119" i="2"/>
  <c r="B1119" i="2"/>
  <c r="J1119" i="2"/>
  <c r="C1119" i="2"/>
  <c r="I1119" i="2"/>
  <c r="G1119" i="2"/>
  <c r="H1119" i="2"/>
  <c r="A1120" i="2"/>
  <c r="F1119" i="2"/>
  <c r="B1120" i="2" l="1"/>
  <c r="J1120" i="2"/>
  <c r="C1120" i="2"/>
  <c r="A1121" i="2"/>
  <c r="H1120" i="2"/>
  <c r="D1120" i="2"/>
  <c r="E1120" i="2"/>
  <c r="F1120" i="2"/>
  <c r="I1120" i="2"/>
  <c r="G1120" i="2"/>
  <c r="H1121" i="2" l="1"/>
  <c r="I1121" i="2"/>
  <c r="F1121" i="2"/>
  <c r="E1121" i="2"/>
  <c r="G1121" i="2"/>
  <c r="J1121" i="2"/>
  <c r="C1121" i="2"/>
  <c r="D1121" i="2"/>
  <c r="B1121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<sst xmlns="http://schemas.openxmlformats.org/spreadsheetml/2006/main" count="161" uniqueCount="74">
  <si>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</si>
  <si>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</si>
  <si>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</si>
  <si>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</si>
  <si>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</si>
  <si>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</si>
  <si>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</si>
  <si>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</si>
  <si>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</si>
  <si>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</si>
  <si>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</si>
  <si>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</si>
  <si>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</si>
  <si>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</si>
  <si>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</si>
  <si>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</si>
  <si>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</si>
  <si>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</si>
  <si>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</si>
  <si>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</si>
  <si>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</si>
  <si>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</si>
  <si>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</si>
  <si>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</si>
  <si>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</si>
  <si>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January 04, 2016 - MANNY ACOSTA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</si>
  <si>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</si>
  <si>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</si>
  <si>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</si>
  <si>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</si>
  <si>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</si>
  <si>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</si>
  <si>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</si>
  <si>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</si>
  <si>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</si>
  <si>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</si>
  <si>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</si>
  <si>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</si>
  <si>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</si>
  <si>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</si>
  <si>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</si>
  <si>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</si>
  <si>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</si>
  <si>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</si>
  <si>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</si>
  <si>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</si>
  <si>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</si>
  <si>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</si>
  <si>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</si>
  <si>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</si>
  <si>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</si>
  <si>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</si>
  <si>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</si>
  <si>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</si>
  <si>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</si>
  <si>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</si>
  <si>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</si>
  <si>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</si>
  <si>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</si>
  <si>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</si>
  <si>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</si>
  <si>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</si>
  <si>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</si>
  <si>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</si>
  <si>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</si>
  <si>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Docket No. 160154-EI</t>
  </si>
  <si>
    <t>Interrogatory No. 1</t>
  </si>
  <si>
    <t>Attachment No. 1</t>
  </si>
  <si>
    <t>Tab 1 of 5</t>
  </si>
  <si>
    <t>Tab 5 of 5</t>
  </si>
  <si>
    <t>Staff's First Set of Interrogatories</t>
  </si>
  <si>
    <t>Tab 4 of 5</t>
  </si>
  <si>
    <t>Tab 3 of 5</t>
  </si>
  <si>
    <t>Tab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</si>
</sst>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164" fontId="0" fillId="0" borderId="0">
      <alignment horizontal="left" wrapText="1"/>
    </xf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>
      <alignment wrapText="1"/>
    </xf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3">
    <xf numFmtId="164" fontId="0" fillId="0" borderId="0" xfId="0">
      <alignment horizontal="left" wrapText="1"/>
    </xf>
    <xf numFmtId="0" fontId="3" fillId="0" borderId="0" xfId="4" applyFont="1"/>
    <xf numFmtId="0" fontId="3" fillId="0" borderId="0" xfId="4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4" applyNumberFormat="1" applyFont="1" applyAlignment="1">
      <alignment horizontal="center"/>
    </xf>
    <xf numFmtId="167" fontId="3" fillId="0" borderId="0" xfId="4" applyNumberFormat="1" applyFont="1"/>
    <xf numFmtId="166" fontId="3" fillId="0" borderId="0" xfId="4" applyNumberFormat="1" applyFont="1"/>
    <xf numFmtId="166" fontId="3" fillId="2" borderId="0" xfId="4" applyNumberFormat="1" applyFont="1" applyFill="1" applyAlignment="1">
      <alignment horizontal="center"/>
    </xf>
    <xf numFmtId="168" fontId="3" fillId="0" borderId="0" xfId="4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4" applyNumberFormat="1" applyFont="1" applyAlignment="1">
      <alignment horizontal="center"/>
    </xf>
    <xf numFmtId="166" fontId="6" fillId="2" borderId="0" xfId="4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4" applyFont="1" applyAlignment="1">
      <alignment horizontal="center" wrapText="1"/>
    </xf>
    <xf numFmtId="0" fontId="6" fillId="3" borderId="0" xfId="4" applyFont="1" applyFill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3" borderId="0" xfId="4" quotePrefix="1" applyFont="1" applyFill="1" applyAlignment="1">
      <alignment horizontal="center" wrapText="1"/>
    </xf>
    <xf numFmtId="0" fontId="6" fillId="0" borderId="0" xfId="4" quotePrefix="1" applyFont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 applyAlignment="1"/>
    <xf numFmtId="10" fontId="8" fillId="4" borderId="0" xfId="4" applyNumberFormat="1" applyFont="1" applyFill="1" applyAlignment="1">
      <alignment horizontal="center"/>
    </xf>
    <xf numFmtId="0" fontId="6" fillId="4" borderId="0" xfId="4" applyFont="1" applyFill="1" applyAlignment="1">
      <alignment horizontal="center"/>
    </xf>
    <xf numFmtId="170" fontId="3" fillId="0" borderId="0" xfId="4" applyNumberFormat="1" applyFont="1"/>
    <xf numFmtId="1" fontId="3" fillId="0" borderId="0" xfId="4" applyNumberFormat="1" applyFont="1"/>
    <xf numFmtId="15" fontId="6" fillId="0" borderId="0" xfId="4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/>
    <xf numFmtId="1" fontId="3" fillId="0" borderId="0" xfId="4" applyNumberFormat="1" applyFont="1" applyAlignment="1">
      <alignment horizontal="center"/>
    </xf>
    <xf numFmtId="1" fontId="2" fillId="0" borderId="0" xfId="4" applyNumberFormat="1" applyFont="1" applyAlignment="1">
      <alignment horizontal="center"/>
    </xf>
    <xf numFmtId="1" fontId="3" fillId="5" borderId="0" xfId="4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3" fillId="5" borderId="0" xfId="4" applyNumberFormat="1" applyFont="1" applyFill="1" applyAlignment="1">
      <alignment horizontal="center"/>
    </xf>
    <xf numFmtId="171" fontId="6" fillId="6" borderId="0" xfId="4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4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4" applyFont="1" applyFill="1" applyAlignment="1">
      <alignment horizontal="center" wrapText="1"/>
    </xf>
    <xf numFmtId="0" fontId="6" fillId="6" borderId="0" xfId="4" applyFont="1" applyFill="1" applyAlignment="1">
      <alignment horizontal="center" wrapText="1"/>
    </xf>
    <xf numFmtId="0" fontId="6" fillId="2" borderId="0" xfId="4" quotePrefix="1" applyFont="1" applyFill="1" applyAlignment="1">
      <alignment horizontal="center" wrapText="1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6" fillId="7" borderId="0" xfId="4" applyFont="1" applyFill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center" wrapText="1"/>
    </xf>
    <xf numFmtId="0" fontId="6" fillId="0" borderId="0" xfId="4" quotePrefix="1" applyFont="1" applyFill="1" applyAlignment="1">
      <alignment horizontal="center" wrapText="1"/>
    </xf>
    <xf numFmtId="0" fontId="6" fillId="5" borderId="0" xfId="4" applyFont="1" applyFill="1" applyAlignment="1"/>
    <xf numFmtId="15" fontId="6" fillId="0" borderId="0" xfId="4" applyNumberFormat="1" applyFont="1" applyFill="1" applyAlignment="1">
      <alignment horizontal="left"/>
    </xf>
    <xf numFmtId="9" fontId="11" fillId="10" borderId="0" xfId="3" applyFont="1" applyFill="1" applyAlignment="1">
      <alignment horizontal="center"/>
    </xf>
    <xf numFmtId="0" fontId="12" fillId="10" borderId="0" xfId="4" applyFont="1" applyFill="1" applyAlignment="1">
      <alignment horizontal="center"/>
    </xf>
    <xf numFmtId="0" fontId="2" fillId="0" borderId="0" xfId="4" applyFont="1" applyFill="1"/>
    <xf numFmtId="0" fontId="13" fillId="0" borderId="0" xfId="4" applyFont="1" applyFill="1"/>
    <xf numFmtId="0" fontId="14" fillId="0" borderId="0" xfId="4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44" fontId="15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7" borderId="0" xfId="0" quotePrefix="1" applyNumberFormat="1" applyFont="1" applyFill="1" applyAlignment="1">
      <alignment horizontal="center" vertical="center" wrapText="1"/>
    </xf>
    <xf numFmtId="0" fontId="16" fillId="0" borderId="0" xfId="4" applyFont="1"/>
    <xf numFmtId="10" fontId="8" fillId="4" borderId="0" xfId="4" quotePrefix="1" applyNumberFormat="1" applyFont="1" applyFill="1" applyAlignment="1">
      <alignment horizontal="center"/>
    </xf>
    <xf numFmtId="15" fontId="6" fillId="4" borderId="0" xfId="4" applyNumberFormat="1" applyFont="1" applyFill="1" applyAlignment="1">
      <alignment horizontal="left"/>
    </xf>
    <xf numFmtId="15" fontId="6" fillId="0" borderId="0" xfId="4" quotePrefix="1" applyNumberFormat="1" applyFont="1" applyAlignment="1">
      <alignment horizontal="left"/>
    </xf>
    <xf numFmtId="0" fontId="17" fillId="0" borderId="0" xfId="4" applyFont="1"/>
    <xf numFmtId="165" fontId="0" fillId="0" borderId="0" xfId="0" applyNumberFormat="1" applyAlignment="1"/>
    <xf numFmtId="43" fontId="0" fillId="0" borderId="0" xfId="1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0" fontId="6" fillId="0" borderId="0" xfId="4" applyFont="1" applyAlignment="1">
      <alignment horizontal="left"/>
    </xf>
    <xf numFmtId="0" fontId="6" fillId="3" borderId="0" xfId="4" quotePrefix="1" applyFont="1" applyFill="1" applyAlignment="1">
      <alignment horizontal="center"/>
    </xf>
    <xf numFmtId="0" fontId="6" fillId="8" borderId="0" xfId="4" quotePrefix="1" applyFont="1" applyFill="1" applyAlignment="1">
      <alignment horizontal="center"/>
    </xf>
    <xf numFmtId="0" fontId="6" fillId="9" borderId="0" xfId="4" applyFont="1" applyFill="1" applyAlignment="1">
      <alignment horizontal="center"/>
    </xf>
    <xf numFmtId="165" fontId="6" fillId="8" borderId="0" xfId="0" quotePrefix="1" applyNumberFormat="1" applyFont="1" applyFill="1" applyAlignment="1">
      <alignment horizontal="center"/>
    </xf>
    <xf numFmtId="0" fontId="6" fillId="0" borderId="0" xfId="4" applyFont="1" applyAlignment="1">
      <alignment horizontal="center"/>
    </xf>
    <xf numFmtId="0" fontId="6" fillId="6" borderId="0" xfId="4" quotePrefix="1" applyFont="1" applyFill="1" applyAlignment="1">
      <alignment horizontal="center"/>
    </xf>
    <xf numFmtId="0" fontId="6" fillId="6" borderId="0" xfId="4" applyFont="1" applyFill="1" applyAlignment="1">
      <alignment horizontal="center"/>
    </xf>
    <xf numFmtId="0" fontId="6" fillId="8" borderId="0" xfId="4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52">
    <cellStyle name="_x0013_" xfId="5"/>
    <cellStyle name="_CC Oil" xfId="6"/>
    <cellStyle name="_DSO Oil" xfId="7"/>
    <cellStyle name="_FLCC Oil" xfId="8"/>
    <cellStyle name="_FLPEGT Oil" xfId="9"/>
    <cellStyle name="_FMCT Oil" xfId="10"/>
    <cellStyle name="_GTDW_DataTemplate" xfId="11"/>
    <cellStyle name="_Gulfstream Gas" xfId="12"/>
    <cellStyle name="_MR .7 Oil" xfId="13"/>
    <cellStyle name="_MR 1 Oil" xfId="14"/>
    <cellStyle name="_MRCT Oil" xfId="15"/>
    <cellStyle name="_MT Gulfstream Gas" xfId="16"/>
    <cellStyle name="_MT Oil" xfId="17"/>
    <cellStyle name="_OLCT Oil" xfId="18"/>
    <cellStyle name="_PE Oil" xfId="19"/>
    <cellStyle name="_PN Oil" xfId="20"/>
    <cellStyle name="_RV Oil" xfId="21"/>
    <cellStyle name="_SHCT Oil" xfId="22"/>
    <cellStyle name="_SN Oil" xfId="23"/>
    <cellStyle name="_TP Oil" xfId="24"/>
    <cellStyle name="Comma" xfId="1" builtinId="3"/>
    <cellStyle name="Comma 2" xfId="25"/>
    <cellStyle name="Comma 3" xfId="26"/>
    <cellStyle name="Comma 3 2" xfId="27"/>
    <cellStyle name="Comma 4" xfId="28"/>
    <cellStyle name="Comma 5" xfId="29"/>
    <cellStyle name="Currency" xfId="2" builtinId="4"/>
    <cellStyle name="Normal" xfId="0" builtinId="0"/>
    <cellStyle name="Normal 10" xfId="30"/>
    <cellStyle name="Normal 10 2" xfId="31"/>
    <cellStyle name="Normal 2" xfId="32"/>
    <cellStyle name="Normal 2 2" xfId="33"/>
    <cellStyle name="Normal 2 2 2" xfId="34"/>
    <cellStyle name="Normal 2 3" xfId="35"/>
    <cellStyle name="Normal 2 3 2" xfId="36"/>
    <cellStyle name="Normal 2 4" xfId="37"/>
    <cellStyle name="Normal 2 4 2" xfId="38"/>
    <cellStyle name="Normal 2 5" xfId="39"/>
    <cellStyle name="Normal 2 6" xfId="40"/>
    <cellStyle name="Normal 2 7" xfId="41"/>
    <cellStyle name="Normal 3" xfId="42"/>
    <cellStyle name="Normal 4" xfId="43"/>
    <cellStyle name="Normal 5" xfId="44"/>
    <cellStyle name="Normal 5 2" xfId="45"/>
    <cellStyle name="Normal 6" xfId="46"/>
    <cellStyle name="Normal 6 2" xfId="47"/>
    <cellStyle name="Normal 7" xfId="48"/>
    <cellStyle name="Normal 7 2" xfId="49"/>
    <cellStyle name="Normal 8" xfId="50"/>
    <cellStyle name="Normal 9" xfId="51"/>
    <cellStyle name="Normal_060415 RAP Fuel Price Forecast Template - Case 1 (Historical Spread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4" fmlaRange="CONTROL!$B$14:$B$16" sel="2" val="0"/>
</file>

<file path=xl/ctrlProps/ctrlProp2.xml><?xml version="1.0" encoding="utf-8"?>
<formControlPr xmlns="http://schemas.microsoft.com/office/spreadsheetml/2009/9/main" objectType="Drop" dropLines="2" dropStyle="combo" dx="18" fmlaLink="CONTROL!$C$31" fmlaRange="CONTROL!$B$31:$B$32" val="0"/>
</file>

<file path=xl/ctrlProps/ctrlProp3.xml><?xml version="1.0" encoding="utf-8"?>
<formControlPr xmlns="http://schemas.microsoft.com/office/spreadsheetml/2009/9/main" objectType="Drop" dropLines="3" dropStyle="combo" dx="18" fmlaLink="CONTROL!$C$8" fmlaRange="CONTROL!$B$8:$B$10" sel="2" val="0"/>
</file>

<file path=xl/ctrlProps/ctrlProp4.xml><?xml version="1.0" encoding="utf-8"?>
<formControlPr xmlns="http://schemas.microsoft.com/office/spreadsheetml/2009/9/main" objectType="Drop" dropLines="2" dropStyle="combo" dx="18" fmlaLink="CONTROL!$C$27" fmlaRange="CONTROL!$B$27:$B$28" val="0"/>
</file>

<file path=xl/ctrlProps/ctrlProp5.xml><?xml version="1.0" encoding="utf-8"?>
<formControlPr xmlns="http://schemas.microsoft.com/office/spreadsheetml/2009/9/main" objectType="Drop" dropLines="3" dropStyle="combo" dx="18" fmlaLink="CONTROL!$C$21" fmlaRange="CONTROL!$B$21:$B$23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142875</xdr:rowOff>
        </xdr:from>
        <xdr:to>
          <xdr:col>4</xdr:col>
          <xdr:colOff>533400</xdr:colOff>
          <xdr:row>12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10</xdr:row>
          <xdr:rowOff>142875</xdr:rowOff>
        </xdr:from>
        <xdr:to>
          <xdr:col>6</xdr:col>
          <xdr:colOff>257175</xdr:colOff>
          <xdr:row>12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180975</xdr:rowOff>
        </xdr:from>
        <xdr:to>
          <xdr:col>2</xdr:col>
          <xdr:colOff>666750</xdr:colOff>
          <xdr:row>10</xdr:row>
          <xdr:rowOff>95250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180975</xdr:rowOff>
        </xdr:from>
        <xdr:to>
          <xdr:col>4</xdr:col>
          <xdr:colOff>371475</xdr:colOff>
          <xdr:row>10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47625</xdr:rowOff>
        </xdr:from>
        <xdr:to>
          <xdr:col>6</xdr:col>
          <xdr:colOff>381000</xdr:colOff>
          <xdr:row>11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FARLEY\AppData\Local\Microsoft\Windows\Temporary%20Internet%20Files\Content.Outlook\2WM347V1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FARLEY\AppData\Local\Microsoft\Windows\Temporary%20Internet%20Files\Content.Outlook\2WM347V1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FARLEY\AppData\Local\Microsoft\Windows\Temporary%20Internet%20Files\Content.Outlook\2WM347V1\Users\AXD0FJ7\AppData\Local\Temp\Temp1_2016.zip\2016\1.%20January\160104%202016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FARLEY\AppData\Local\Microsoft\Windows\Temporary%20Internet%20Files\Content.Outlook\2WM347V1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FARLEY\AppData\Local\Microsoft\Windows\Temporary%20Internet%20Files\Content.Outlook\2WM347V1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GAS BASIS"/>
      <sheetName val="FPL LONG TERM GAS &amp; OIL INDEX"/>
      <sheetName val="OIL &amp; GAS SEASONALITY"/>
      <sheetName val="TRANSPORT"/>
      <sheetName val="DEMAND CHARGE"/>
      <sheetName val="CAPACITY"/>
      <sheetName val="GAS AVAILABILITY WORKSHEET"/>
      <sheetName val="NATURAL GAS PRICES WORKSHEET"/>
      <sheetName val="FGT PRIMARY FIRM ZONE 1"/>
      <sheetName val="FGT PRIMARY FIRM ZONE 2"/>
      <sheetName val="FGT PRIMARY FIRM ZONE 3"/>
      <sheetName val="FGT NON-FIRM"/>
      <sheetName val="SESH TO FTS 3"/>
      <sheetName val="TRANSCO 4A  FTS 3"/>
      <sheetName val="GULF SOUTH TO FTS 1&amp;2"/>
      <sheetName val="INCREMENTAL Z3"/>
      <sheetName val="SESH TO GULFSTREAM"/>
      <sheetName val="TRANSCO 4A TO GULFSTREAM"/>
      <sheetName val="GULF SOUTH TO GULFSTREAM"/>
      <sheetName val="GULFSTREAM FIRM "/>
      <sheetName val="GULFSTREAM NON-FIRM"/>
      <sheetName val="FSC DLVD"/>
      <sheetName val="UPS REPLACEMENT"/>
      <sheetName val="Upload"/>
      <sheetName val="DISTILLATE &amp; RESIDUAL FUEL OIL"/>
      <sheetName val="COAL &amp; PET COKE FORECAST"/>
      <sheetName val="COAL - Monthly"/>
      <sheetName val="COAL SO2 &amp; NOX Calculations"/>
      <sheetName val="COAL - Monthly OLD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36"/>
  <sheetViews>
    <sheetView tabSelected="1" zoomScale="70" zoomScaleNormal="70" workbookViewId="0">
      <pane xSplit="1" ySplit="15" topLeftCell="B16" activePane="bottomRight" state="frozen"/>
      <selection activeCell="J39" sqref="J39"/>
      <selection pane="topRight" activeCell="J39" sqref="J39"/>
      <selection pane="bottomLeft" activeCell="J39" sqref="J39"/>
      <selection pane="bottomRight" activeCell="C6" sqref="C6"/>
    </sheetView>
  </sheetViews>
  <sheetFormatPr defaultColWidth="7.109375" defaultRowHeight="15"/>
  <cols>
    <col min="1" max="1" width="7.5546875" style="2" bestFit="1" customWidth="1"/>
    <col min="2" max="5" width="10" style="1" customWidth="1"/>
    <col min="6" max="6" width="9.33203125" style="2" customWidth="1"/>
    <col min="7" max="7" width="13.33203125" style="1" customWidth="1"/>
    <col min="8" max="8" width="12.6640625" style="2" customWidth="1"/>
    <col min="9" max="9" width="10" style="1" customWidth="1"/>
    <col min="10" max="10" width="9.6640625" style="1" customWidth="1"/>
    <col min="11" max="11" width="13.33203125" style="1" customWidth="1"/>
    <col min="12" max="12" width="6.44140625" style="1" bestFit="1" customWidth="1"/>
    <col min="13" max="13" width="13.5546875" style="1" bestFit="1" customWidth="1"/>
    <col min="14" max="14" width="6" style="1" bestFit="1" customWidth="1"/>
    <col min="15" max="15" width="10.21875" style="1" customWidth="1"/>
    <col min="16" max="16" width="9.21875" style="1" customWidth="1"/>
    <col min="17" max="17" width="9.88671875" style="1" customWidth="1"/>
    <col min="18" max="18" width="9.33203125" style="1" customWidth="1"/>
    <col min="19" max="19" width="9.21875" style="1" customWidth="1"/>
    <col min="20" max="20" width="10.21875" style="1" customWidth="1"/>
    <col min="21" max="21" width="11.77734375" style="1" customWidth="1"/>
    <col min="22" max="22" width="7.109375" style="1" customWidth="1"/>
    <col min="23" max="23" width="8.77734375" style="1" customWidth="1"/>
    <col min="24" max="24" width="9.21875" style="1" customWidth="1"/>
    <col min="25" max="25" width="11.77734375" style="1" customWidth="1"/>
    <col min="26" max="26" width="7.109375" style="1" customWidth="1"/>
    <col min="27" max="27" width="9.21875" style="1" customWidth="1"/>
    <col min="28" max="28" width="9.33203125" style="1" customWidth="1"/>
    <col min="29" max="29" width="8.21875" style="1" customWidth="1"/>
    <col min="30" max="30" width="9" style="1" customWidth="1"/>
    <col min="31" max="16384" width="7.109375" style="1"/>
  </cols>
  <sheetData>
    <row r="1" spans="1:19" ht="15.75">
      <c r="A1" s="81" t="s">
        <v>64</v>
      </c>
    </row>
    <row r="2" spans="1:19" ht="15.75">
      <c r="A2" s="81" t="s">
        <v>65</v>
      </c>
    </row>
    <row r="3" spans="1:19" ht="15.75">
      <c r="A3" s="81" t="s">
        <v>70</v>
      </c>
    </row>
    <row r="4" spans="1:19" ht="15.75">
      <c r="A4" s="81" t="s">
        <v>66</v>
      </c>
    </row>
    <row r="5" spans="1:19" ht="15.75">
      <c r="A5" s="81" t="s">
        <v>67</v>
      </c>
    </row>
    <row r="6" spans="1:19" ht="15.75">
      <c r="A6" s="81" t="s">
        <v>68</v>
      </c>
    </row>
    <row r="7" spans="1:19" ht="24.75" customHeight="1">
      <c r="A7" s="28" t="s">
        <v>26</v>
      </c>
    </row>
    <row r="8" spans="1:19" ht="15" customHeight="1">
      <c r="A8" s="27" t="s">
        <v>25</v>
      </c>
    </row>
    <row r="9" spans="1:19" ht="15" customHeight="1">
      <c r="A9" s="1"/>
      <c r="G9" s="26"/>
      <c r="N9" s="25"/>
    </row>
    <row r="10" spans="1:19" ht="15" customHeight="1">
      <c r="C10" s="24" t="s">
        <v>24</v>
      </c>
      <c r="D10" s="23">
        <f>1-0.198</f>
        <v>0.80200000000000005</v>
      </c>
      <c r="E10" s="24" t="s">
        <v>23</v>
      </c>
      <c r="F10" s="23">
        <f>1+0.198</f>
        <v>1.198</v>
      </c>
    </row>
    <row r="11" spans="1:19" ht="15" customHeight="1">
      <c r="A11" s="1"/>
    </row>
    <row r="12" spans="1:19" ht="15" customHeight="1">
      <c r="D12" s="10"/>
      <c r="E12" s="10"/>
      <c r="F12" s="10"/>
      <c r="G12" s="10"/>
      <c r="I12" s="10"/>
      <c r="K12" s="22"/>
      <c r="L12" s="82" t="s">
        <v>22</v>
      </c>
      <c r="M12" s="82"/>
      <c r="N12" s="82"/>
      <c r="O12" s="82"/>
      <c r="P12" s="82"/>
      <c r="Q12" s="82"/>
      <c r="R12" s="82"/>
      <c r="S12" s="82"/>
    </row>
    <row r="13" spans="1:19" ht="15" customHeight="1">
      <c r="B13" s="10"/>
      <c r="C13" s="10"/>
      <c r="D13" s="10"/>
      <c r="E13" s="10"/>
      <c r="F13" s="10"/>
      <c r="G13" s="10"/>
      <c r="I13" s="10"/>
      <c r="K13" s="21"/>
      <c r="L13" s="82" t="s">
        <v>21</v>
      </c>
      <c r="M13" s="82"/>
      <c r="N13" s="82"/>
      <c r="O13" s="82"/>
      <c r="P13" s="82"/>
      <c r="Q13" s="82"/>
      <c r="R13" s="82"/>
      <c r="S13" s="82"/>
    </row>
    <row r="14" spans="1:19" s="15" customFormat="1" ht="112.5" customHeight="1">
      <c r="B14" s="18" t="s">
        <v>20</v>
      </c>
      <c r="C14" s="18" t="s">
        <v>19</v>
      </c>
      <c r="D14" s="18" t="s">
        <v>18</v>
      </c>
      <c r="E14" s="18" t="s">
        <v>17</v>
      </c>
      <c r="F14" s="17" t="s">
        <v>16</v>
      </c>
      <c r="G14" s="18" t="s">
        <v>15</v>
      </c>
      <c r="H14" s="17" t="s">
        <v>14</v>
      </c>
      <c r="I14" s="18" t="s">
        <v>13</v>
      </c>
      <c r="J14" s="17" t="s">
        <v>12</v>
      </c>
      <c r="K14" s="20" t="s">
        <v>11</v>
      </c>
      <c r="L14" s="16" t="s">
        <v>10</v>
      </c>
      <c r="M14" s="16" t="s">
        <v>9</v>
      </c>
      <c r="N14" s="16" t="s">
        <v>8</v>
      </c>
      <c r="O14" s="16" t="s">
        <v>7</v>
      </c>
      <c r="P14" s="16" t="s">
        <v>6</v>
      </c>
      <c r="Q14" s="16" t="s">
        <v>5</v>
      </c>
      <c r="R14" s="16" t="s">
        <v>4</v>
      </c>
      <c r="S14" s="19" t="s">
        <v>3</v>
      </c>
    </row>
    <row r="15" spans="1:19" s="15" customFormat="1" ht="15" customHeight="1">
      <c r="A15" s="17" t="s">
        <v>2</v>
      </c>
      <c r="B15" s="18" t="s">
        <v>1</v>
      </c>
      <c r="C15" s="18" t="s">
        <v>1</v>
      </c>
      <c r="D15" s="18" t="s">
        <v>1</v>
      </c>
      <c r="E15" s="18" t="s">
        <v>1</v>
      </c>
      <c r="F15" s="17" t="s">
        <v>1</v>
      </c>
      <c r="G15" s="18" t="s">
        <v>1</v>
      </c>
      <c r="H15" s="17" t="s">
        <v>1</v>
      </c>
      <c r="I15" s="18" t="s">
        <v>1</v>
      </c>
      <c r="J15" s="17" t="s">
        <v>1</v>
      </c>
      <c r="K15" s="17" t="s">
        <v>1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 t="s">
        <v>0</v>
      </c>
      <c r="R15" s="16" t="s">
        <v>0</v>
      </c>
      <c r="S15" s="16" t="s">
        <v>0</v>
      </c>
    </row>
    <row r="16" spans="1:19" ht="15" customHeight="1">
      <c r="A16" s="13">
        <v>42370</v>
      </c>
      <c r="B16" s="8">
        <f>2.4839 * CHOOSE(CONTROL!$C$14, $D$10, 100%, $F$10)</f>
        <v>2.4839000000000002</v>
      </c>
      <c r="C16" s="8">
        <f>2.489 * CHOOSE(CONTROL!$C$14, $D$10, 100%, $F$10)</f>
        <v>2.4889999999999999</v>
      </c>
      <c r="D16" s="8">
        <f>2.4811 * CHOOSE( CONTROL!$C$14, $D$10, 100%, $F$10)</f>
        <v>2.4811000000000001</v>
      </c>
      <c r="E16" s="12">
        <f>2.4834 * CHOOSE( CONTROL!$C$14, $D$10, 100%, $F$10)</f>
        <v>2.4834000000000001</v>
      </c>
      <c r="F16" s="4">
        <f>3.1624 * CHOOSE(CONTROL!$C$14, $D$10, 100%, $F$10)</f>
        <v>3.1623999999999999</v>
      </c>
      <c r="G16" s="8">
        <f>2.4416 * CHOOSE( CONTROL!$C$14, $D$10, 100%, $F$10)</f>
        <v>2.4416000000000002</v>
      </c>
      <c r="H16" s="4">
        <f>3.3387 * CHOOSE(CONTROL!$C$14, $D$10, 100%, $F$10)</f>
        <v>3.3386999999999998</v>
      </c>
      <c r="I16" s="8">
        <f>2.4818 * CHOOSE(CONTROL!$C$14, $D$10, 100%, $F$10)</f>
        <v>2.4817999999999998</v>
      </c>
      <c r="J16" s="4">
        <f>2.372 * CHOOSE(CONTROL!$C$14, $D$10, 100%, $F$10)</f>
        <v>2.3719999999999999</v>
      </c>
      <c r="K16" s="4"/>
      <c r="L16" s="9">
        <v>29.306000000000001</v>
      </c>
      <c r="M16" s="9">
        <v>12.063700000000001</v>
      </c>
      <c r="N16" s="9">
        <v>4.9444999999999997</v>
      </c>
      <c r="O16" s="9">
        <v>0.61570000000000003</v>
      </c>
      <c r="P16" s="9">
        <v>1.2927</v>
      </c>
      <c r="Q16" s="9"/>
      <c r="R16" s="9">
        <f t="shared" ref="R16:R31" si="0">(0.1*4000000)/1000000</f>
        <v>0.4</v>
      </c>
      <c r="S16" s="11"/>
    </row>
    <row r="17" spans="1:19" ht="15" customHeight="1">
      <c r="A17" s="13">
        <v>42401</v>
      </c>
      <c r="B17" s="8">
        <f>2.4446 * CHOOSE(CONTROL!$C$14, $D$10, 100%, $F$10)</f>
        <v>2.4445999999999999</v>
      </c>
      <c r="C17" s="8">
        <f>2.4497 * CHOOSE(CONTROL!$C$14, $D$10, 100%, $F$10)</f>
        <v>2.4497</v>
      </c>
      <c r="D17" s="8">
        <f>2.4382 * CHOOSE( CONTROL!$C$14, $D$10, 100%, $F$10)</f>
        <v>2.4382000000000001</v>
      </c>
      <c r="E17" s="12">
        <f>2.4419 * CHOOSE( CONTROL!$C$14, $D$10, 100%, $F$10)</f>
        <v>2.4419</v>
      </c>
      <c r="F17" s="4">
        <f>3.0972 * CHOOSE(CONTROL!$C$14, $D$10, 100%, $F$10)</f>
        <v>3.0972</v>
      </c>
      <c r="G17" s="8">
        <f>2.3943 * CHOOSE( CONTROL!$C$14, $D$10, 100%, $F$10)</f>
        <v>2.3942999999999999</v>
      </c>
      <c r="H17" s="4">
        <f>3.2746 * CHOOSE(CONTROL!$C$14, $D$10, 100%, $F$10)</f>
        <v>3.2746</v>
      </c>
      <c r="I17" s="8">
        <f>2.4344 * CHOOSE(CONTROL!$C$14, $D$10, 100%, $F$10)</f>
        <v>2.4344000000000001</v>
      </c>
      <c r="J17" s="4">
        <f>2.334 * CHOOSE(CONTROL!$C$14, $D$10, 100%, $F$10)</f>
        <v>2.3340000000000001</v>
      </c>
      <c r="K17" s="4"/>
      <c r="L17" s="9">
        <v>27.415299999999998</v>
      </c>
      <c r="M17" s="9">
        <v>11.285299999999999</v>
      </c>
      <c r="N17" s="9">
        <v>4.6254999999999997</v>
      </c>
      <c r="O17" s="9">
        <v>0.57599999999999996</v>
      </c>
      <c r="P17" s="9">
        <v>1.2093</v>
      </c>
      <c r="Q17" s="9"/>
      <c r="R17" s="9">
        <f t="shared" si="0"/>
        <v>0.4</v>
      </c>
      <c r="S17" s="11"/>
    </row>
    <row r="18" spans="1:19" ht="15" customHeight="1">
      <c r="A18" s="13">
        <v>42430</v>
      </c>
      <c r="B18" s="8">
        <f>2.4611 * CHOOSE(CONTROL!$C$14, $D$10, 100%, $F$10)</f>
        <v>2.4611000000000001</v>
      </c>
      <c r="C18" s="8">
        <f>2.4662 * CHOOSE(CONTROL!$C$14, $D$10, 100%, $F$10)</f>
        <v>2.4662000000000002</v>
      </c>
      <c r="D18" s="8">
        <f>2.4455 * CHOOSE( CONTROL!$C$14, $D$10, 100%, $F$10)</f>
        <v>2.4455</v>
      </c>
      <c r="E18" s="12">
        <f>2.4525 * CHOOSE( CONTROL!$C$14, $D$10, 100%, $F$10)</f>
        <v>2.4525000000000001</v>
      </c>
      <c r="F18" s="4">
        <f>3.1138 * CHOOSE(CONTROL!$C$14, $D$10, 100%, $F$10)</f>
        <v>3.1137999999999999</v>
      </c>
      <c r="G18" s="8">
        <f>2.403 * CHOOSE( CONTROL!$C$14, $D$10, 100%, $F$10)</f>
        <v>2.403</v>
      </c>
      <c r="H18" s="4">
        <f>3.2909 * CHOOSE(CONTROL!$C$14, $D$10, 100%, $F$10)</f>
        <v>3.2909000000000002</v>
      </c>
      <c r="I18" s="8">
        <f>2.4303 * CHOOSE(CONTROL!$C$14, $D$10, 100%, $F$10)</f>
        <v>2.4302999999999999</v>
      </c>
      <c r="J18" s="4">
        <f>2.35 * CHOOSE(CONTROL!$C$14, $D$10, 100%, $F$10)</f>
        <v>2.35</v>
      </c>
      <c r="K18" s="4"/>
      <c r="L18" s="9">
        <v>29.306000000000001</v>
      </c>
      <c r="M18" s="9">
        <v>12.063700000000001</v>
      </c>
      <c r="N18" s="9">
        <v>4.9444999999999997</v>
      </c>
      <c r="O18" s="9">
        <v>0.61570000000000003</v>
      </c>
      <c r="P18" s="9">
        <v>1.2927</v>
      </c>
      <c r="Q18" s="9"/>
      <c r="R18" s="9">
        <f t="shared" si="0"/>
        <v>0.4</v>
      </c>
      <c r="S18" s="11"/>
    </row>
    <row r="19" spans="1:19" ht="15" customHeight="1">
      <c r="A19" s="13">
        <v>42461</v>
      </c>
      <c r="B19" s="8">
        <f>2.4857 * CHOOSE(CONTROL!$C$14, $D$10, 100%, $F$10)</f>
        <v>2.4857</v>
      </c>
      <c r="C19" s="8">
        <f>2.4902 * CHOOSE(CONTROL!$C$14, $D$10, 100%, $F$10)</f>
        <v>2.4902000000000002</v>
      </c>
      <c r="D19" s="8">
        <f>2.4754 * CHOOSE( CONTROL!$C$14, $D$10, 100%, $F$10)</f>
        <v>2.4754</v>
      </c>
      <c r="E19" s="12">
        <f>2.4798 * CHOOSE( CONTROL!$C$14, $D$10, 100%, $F$10)</f>
        <v>2.4798</v>
      </c>
      <c r="F19" s="4">
        <f>3.1686 * CHOOSE(CONTROL!$C$14, $D$10, 100%, $F$10)</f>
        <v>3.1686000000000001</v>
      </c>
      <c r="G19" s="8">
        <f>2.4169 * CHOOSE( CONTROL!$C$14, $D$10, 100%, $F$10)</f>
        <v>2.4169</v>
      </c>
      <c r="H19" s="4">
        <f>3.3448 * CHOOSE(CONTROL!$C$14, $D$10, 100%, $F$10)</f>
        <v>3.3448000000000002</v>
      </c>
      <c r="I19" s="8">
        <f>2.4643 * CHOOSE(CONTROL!$C$14, $D$10, 100%, $F$10)</f>
        <v>2.4643000000000002</v>
      </c>
      <c r="J19" s="4">
        <f>2.373 * CHOOSE(CONTROL!$C$14, $D$10, 100%, $F$10)</f>
        <v>2.3730000000000002</v>
      </c>
      <c r="K19" s="4"/>
      <c r="L19" s="9">
        <v>30.092199999999998</v>
      </c>
      <c r="M19" s="9">
        <v>11.6745</v>
      </c>
      <c r="N19" s="9">
        <v>4.7850000000000001</v>
      </c>
      <c r="O19" s="9">
        <v>0.59589999999999999</v>
      </c>
      <c r="P19" s="9">
        <v>2.0339999999999998</v>
      </c>
      <c r="Q19" s="9"/>
      <c r="R19" s="9">
        <f t="shared" si="0"/>
        <v>0.4</v>
      </c>
      <c r="S19" s="11"/>
    </row>
    <row r="20" spans="1:19" ht="15" customHeight="1">
      <c r="A20" s="13">
        <v>42491</v>
      </c>
      <c r="B20" s="8">
        <f>CHOOSE( CONTROL!$C$31, 2.5283, 2.5253) * CHOOSE(CONTROL!$C$14, $D$10, 100%, $F$10)</f>
        <v>2.5283000000000002</v>
      </c>
      <c r="C20" s="8">
        <f>CHOOSE( CONTROL!$C$31, 2.5363, 2.5333) * CHOOSE(CONTROL!$C$14, $D$10, 100%, $F$10)</f>
        <v>2.5363000000000002</v>
      </c>
      <c r="D20" s="8">
        <f>CHOOSE( CONTROL!$C$31, 2.5291, 2.5261) * CHOOSE( CONTROL!$C$14, $D$10, 100%, $F$10)</f>
        <v>2.5291000000000001</v>
      </c>
      <c r="E20" s="12">
        <f>CHOOSE( CONTROL!$C$31, 2.5304, 2.5274) * CHOOSE( CONTROL!$C$14, $D$10, 100%, $F$10)</f>
        <v>2.5304000000000002</v>
      </c>
      <c r="F20" s="4">
        <f>CHOOSE( CONTROL!$C$31, 3.2098, 3.2069) * CHOOSE(CONTROL!$C$14, $D$10, 100%, $F$10)</f>
        <v>3.2098</v>
      </c>
      <c r="G20" s="8">
        <f>CHOOSE( CONTROL!$C$31, 2.4563, 2.4534) * CHOOSE( CONTROL!$C$14, $D$10, 100%, $F$10)</f>
        <v>2.4563000000000001</v>
      </c>
      <c r="H20" s="4">
        <f>CHOOSE( CONTROL!$C$31, 3.3853, 3.3825) * CHOOSE(CONTROL!$C$14, $D$10, 100%, $F$10)</f>
        <v>3.3853</v>
      </c>
      <c r="I20" s="8">
        <f>CHOOSE( CONTROL!$C$31, 2.5052, 2.5024) * CHOOSE(CONTROL!$C$14, $D$10, 100%, $F$10)</f>
        <v>2.5051999999999999</v>
      </c>
      <c r="J20" s="4">
        <f>CHOOSE( CONTROL!$C$31, 2.4128, 2.41) * CHOOSE(CONTROL!$C$14, $D$10, 100%, $F$10)</f>
        <v>2.4127999999999998</v>
      </c>
      <c r="K20" s="4"/>
      <c r="L20" s="9">
        <v>34.362099999999998</v>
      </c>
      <c r="M20" s="9">
        <v>12.063700000000001</v>
      </c>
      <c r="N20" s="9">
        <v>4.9444999999999997</v>
      </c>
      <c r="O20" s="9">
        <v>0.37409999999999999</v>
      </c>
      <c r="P20" s="9">
        <v>1.3707</v>
      </c>
      <c r="Q20" s="9"/>
      <c r="R20" s="9">
        <f t="shared" si="0"/>
        <v>0.4</v>
      </c>
      <c r="S20" s="11"/>
    </row>
    <row r="21" spans="1:19" ht="15" customHeight="1">
      <c r="A21" s="13">
        <v>42522</v>
      </c>
      <c r="B21" s="8">
        <f>CHOOSE( CONTROL!$C$31, 2.5727, 2.5698) * CHOOSE(CONTROL!$C$14, $D$10, 100%, $F$10)</f>
        <v>2.5727000000000002</v>
      </c>
      <c r="C21" s="8">
        <f>CHOOSE( CONTROL!$C$31, 2.5807, 2.5778) * CHOOSE(CONTROL!$C$14, $D$10, 100%, $F$10)</f>
        <v>2.5807000000000002</v>
      </c>
      <c r="D21" s="8">
        <f>CHOOSE( CONTROL!$C$31, 2.5739, 2.5709) * CHOOSE( CONTROL!$C$14, $D$10, 100%, $F$10)</f>
        <v>2.5739000000000001</v>
      </c>
      <c r="E21" s="12">
        <f>CHOOSE( CONTROL!$C$31, 2.575, 2.5721) * CHOOSE( CONTROL!$C$14, $D$10, 100%, $F$10)</f>
        <v>2.5750000000000002</v>
      </c>
      <c r="F21" s="4">
        <f>CHOOSE( CONTROL!$C$31, 3.2543, 3.2514) * CHOOSE(CONTROL!$C$14, $D$10, 100%, $F$10)</f>
        <v>3.2543000000000002</v>
      </c>
      <c r="G21" s="8">
        <f>CHOOSE( CONTROL!$C$31, 2.5005, 2.4976) * CHOOSE( CONTROL!$C$14, $D$10, 100%, $F$10)</f>
        <v>2.5005000000000002</v>
      </c>
      <c r="H21" s="4">
        <f>CHOOSE( CONTROL!$C$31, 3.4291, 3.4262) * CHOOSE(CONTROL!$C$14, $D$10, 100%, $F$10)</f>
        <v>3.4291</v>
      </c>
      <c r="I21" s="8">
        <f>CHOOSE( CONTROL!$C$31, 2.5494, 2.5466) * CHOOSE(CONTROL!$C$14, $D$10, 100%, $F$10)</f>
        <v>2.5493999999999999</v>
      </c>
      <c r="J21" s="4">
        <f>CHOOSE( CONTROL!$C$31, 2.4558, 2.453) * CHOOSE(CONTROL!$C$14, $D$10, 100%, $F$10)</f>
        <v>2.4558</v>
      </c>
      <c r="K21" s="4"/>
      <c r="L21" s="9">
        <v>33.253700000000002</v>
      </c>
      <c r="M21" s="9">
        <v>11.6745</v>
      </c>
      <c r="N21" s="9">
        <v>4.7850000000000001</v>
      </c>
      <c r="O21" s="9">
        <v>0.36199999999999999</v>
      </c>
      <c r="P21" s="9">
        <v>1.3265</v>
      </c>
      <c r="Q21" s="9"/>
      <c r="R21" s="9">
        <f t="shared" si="0"/>
        <v>0.4</v>
      </c>
      <c r="S21" s="11"/>
    </row>
    <row r="22" spans="1:19" ht="15" customHeight="1">
      <c r="A22" s="13">
        <v>42552</v>
      </c>
      <c r="B22" s="8">
        <f>CHOOSE( CONTROL!$C$31, 2.6141, 2.6112) * CHOOSE(CONTROL!$C$14, $D$10, 100%, $F$10)</f>
        <v>2.6141000000000001</v>
      </c>
      <c r="C22" s="8">
        <f>CHOOSE( CONTROL!$C$31, 2.6221, 2.6192) * CHOOSE(CONTROL!$C$14, $D$10, 100%, $F$10)</f>
        <v>2.6221000000000001</v>
      </c>
      <c r="D22" s="8">
        <f>CHOOSE( CONTROL!$C$31, 2.6155, 2.6126) * CHOOSE( CONTROL!$C$14, $D$10, 100%, $F$10)</f>
        <v>2.6154999999999999</v>
      </c>
      <c r="E22" s="12">
        <f>CHOOSE( CONTROL!$C$31, 2.6166, 2.6137) * CHOOSE( CONTROL!$C$14, $D$10, 100%, $F$10)</f>
        <v>2.6166</v>
      </c>
      <c r="F22" s="4">
        <f>CHOOSE( CONTROL!$C$31, 3.2957, 3.2927) * CHOOSE(CONTROL!$C$14, $D$10, 100%, $F$10)</f>
        <v>3.2957000000000001</v>
      </c>
      <c r="G22" s="8">
        <f>CHOOSE( CONTROL!$C$31, 2.5415, 2.5386) * CHOOSE( CONTROL!$C$14, $D$10, 100%, $F$10)</f>
        <v>2.5415000000000001</v>
      </c>
      <c r="H22" s="4">
        <f>CHOOSE( CONTROL!$C$31, 3.4698, 3.4669) * CHOOSE(CONTROL!$C$14, $D$10, 100%, $F$10)</f>
        <v>3.4698000000000002</v>
      </c>
      <c r="I22" s="8">
        <f>CHOOSE( CONTROL!$C$31, 2.5906, 2.5878) * CHOOSE(CONTROL!$C$14, $D$10, 100%, $F$10)</f>
        <v>2.5905999999999998</v>
      </c>
      <c r="J22" s="4">
        <f>CHOOSE( CONTROL!$C$31, 2.4958, 2.493) * CHOOSE(CONTROL!$C$14, $D$10, 100%, $F$10)</f>
        <v>2.4958</v>
      </c>
      <c r="K22" s="4"/>
      <c r="L22" s="9">
        <v>34.362099999999998</v>
      </c>
      <c r="M22" s="9">
        <v>12.063700000000001</v>
      </c>
      <c r="N22" s="9">
        <v>4.9444999999999997</v>
      </c>
      <c r="O22" s="9">
        <v>0.37409999999999999</v>
      </c>
      <c r="P22" s="9">
        <v>1.3707</v>
      </c>
      <c r="Q22" s="9"/>
      <c r="R22" s="9">
        <f t="shared" si="0"/>
        <v>0.4</v>
      </c>
      <c r="S22" s="11"/>
    </row>
    <row r="23" spans="1:19" ht="15" customHeight="1">
      <c r="A23" s="13">
        <v>42583</v>
      </c>
      <c r="B23" s="8">
        <f>CHOOSE( CONTROL!$C$31, 2.6286, 2.6257) * CHOOSE(CONTROL!$C$14, $D$10, 100%, $F$10)</f>
        <v>2.6286</v>
      </c>
      <c r="C23" s="8">
        <f>CHOOSE( CONTROL!$C$31, 2.6366, 2.6337) * CHOOSE(CONTROL!$C$14, $D$10, 100%, $F$10)</f>
        <v>2.6366000000000001</v>
      </c>
      <c r="D23" s="8">
        <f>CHOOSE( CONTROL!$C$31, 2.6301, 2.6272) * CHOOSE( CONTROL!$C$14, $D$10, 100%, $F$10)</f>
        <v>2.6301000000000001</v>
      </c>
      <c r="E23" s="12">
        <f>CHOOSE( CONTROL!$C$31, 2.6311, 2.6282) * CHOOSE( CONTROL!$C$14, $D$10, 100%, $F$10)</f>
        <v>2.6311</v>
      </c>
      <c r="F23" s="4">
        <f>CHOOSE( CONTROL!$C$31, 3.3101, 3.3072) * CHOOSE(CONTROL!$C$14, $D$10, 100%, $F$10)</f>
        <v>3.3100999999999998</v>
      </c>
      <c r="G23" s="8">
        <f>CHOOSE( CONTROL!$C$31, 2.5559, 2.553) * CHOOSE( CONTROL!$C$14, $D$10, 100%, $F$10)</f>
        <v>2.5558999999999998</v>
      </c>
      <c r="H23" s="4">
        <f>CHOOSE( CONTROL!$C$31, 3.484, 3.4811) * CHOOSE(CONTROL!$C$14, $D$10, 100%, $F$10)</f>
        <v>3.484</v>
      </c>
      <c r="I23" s="8">
        <f>CHOOSE( CONTROL!$C$31, 2.605, 2.6022) * CHOOSE(CONTROL!$C$14, $D$10, 100%, $F$10)</f>
        <v>2.605</v>
      </c>
      <c r="J23" s="4">
        <f>CHOOSE( CONTROL!$C$31, 2.5098, 2.507) * CHOOSE(CONTROL!$C$14, $D$10, 100%, $F$10)</f>
        <v>2.5097999999999998</v>
      </c>
      <c r="K23" s="4"/>
      <c r="L23" s="9">
        <v>34.362099999999998</v>
      </c>
      <c r="M23" s="9">
        <v>12.063700000000001</v>
      </c>
      <c r="N23" s="9">
        <v>4.9444999999999997</v>
      </c>
      <c r="O23" s="9">
        <v>0.37409999999999999</v>
      </c>
      <c r="P23" s="9">
        <v>1.3707</v>
      </c>
      <c r="Q23" s="9"/>
      <c r="R23" s="9">
        <f t="shared" si="0"/>
        <v>0.4</v>
      </c>
      <c r="S23" s="11"/>
    </row>
    <row r="24" spans="1:19" ht="15" customHeight="1">
      <c r="A24" s="13">
        <v>42614</v>
      </c>
      <c r="B24" s="8">
        <f>CHOOSE( CONTROL!$C$31, 2.6265, 2.6236) * CHOOSE(CONTROL!$C$14, $D$10, 100%, $F$10)</f>
        <v>2.6265000000000001</v>
      </c>
      <c r="C24" s="8">
        <f>CHOOSE( CONTROL!$C$31, 2.6345, 2.6316) * CHOOSE(CONTROL!$C$14, $D$10, 100%, $F$10)</f>
        <v>2.6345000000000001</v>
      </c>
      <c r="D24" s="8">
        <f>CHOOSE( CONTROL!$C$31, 2.628, 2.6251) * CHOOSE( CONTROL!$C$14, $D$10, 100%, $F$10)</f>
        <v>2.6280000000000001</v>
      </c>
      <c r="E24" s="12">
        <f>CHOOSE( CONTROL!$C$31, 2.629, 2.6261) * CHOOSE( CONTROL!$C$14, $D$10, 100%, $F$10)</f>
        <v>2.629</v>
      </c>
      <c r="F24" s="4">
        <f>CHOOSE( CONTROL!$C$31, 3.3081, 3.3051) * CHOOSE(CONTROL!$C$14, $D$10, 100%, $F$10)</f>
        <v>3.3081</v>
      </c>
      <c r="G24" s="8">
        <f>CHOOSE( CONTROL!$C$31, 2.5538, 2.5509) * CHOOSE( CONTROL!$C$14, $D$10, 100%, $F$10)</f>
        <v>2.5537999999999998</v>
      </c>
      <c r="H24" s="4">
        <f>CHOOSE( CONTROL!$C$31, 3.482, 3.4791) * CHOOSE(CONTROL!$C$14, $D$10, 100%, $F$10)</f>
        <v>3.4820000000000002</v>
      </c>
      <c r="I24" s="8">
        <f>CHOOSE( CONTROL!$C$31, 2.603, 2.6001) * CHOOSE(CONTROL!$C$14, $D$10, 100%, $F$10)</f>
        <v>2.6030000000000002</v>
      </c>
      <c r="J24" s="4">
        <f>CHOOSE( CONTROL!$C$31, 2.5078, 2.505) * CHOOSE(CONTROL!$C$14, $D$10, 100%, $F$10)</f>
        <v>2.5078</v>
      </c>
      <c r="K24" s="4"/>
      <c r="L24" s="9">
        <v>33.253700000000002</v>
      </c>
      <c r="M24" s="9">
        <v>11.6745</v>
      </c>
      <c r="N24" s="9">
        <v>4.7850000000000001</v>
      </c>
      <c r="O24" s="9">
        <v>0.36199999999999999</v>
      </c>
      <c r="P24" s="9">
        <v>1.3265</v>
      </c>
      <c r="Q24" s="9"/>
      <c r="R24" s="9">
        <f t="shared" si="0"/>
        <v>0.4</v>
      </c>
      <c r="S24" s="11"/>
    </row>
    <row r="25" spans="1:19" ht="15" customHeight="1">
      <c r="A25" s="13">
        <v>42644</v>
      </c>
      <c r="B25" s="8">
        <f>2.6508 * CHOOSE(CONTROL!$C$14, $D$10, 100%, $F$10)</f>
        <v>2.6507999999999998</v>
      </c>
      <c r="C25" s="8">
        <f>2.6562 * CHOOSE(CONTROL!$C$14, $D$10, 100%, $F$10)</f>
        <v>2.6562000000000001</v>
      </c>
      <c r="D25" s="8">
        <f>2.6546 * CHOOSE( CONTROL!$C$14, $D$10, 100%, $F$10)</f>
        <v>2.6545999999999998</v>
      </c>
      <c r="E25" s="12">
        <f>2.6546 * CHOOSE( CONTROL!$C$14, $D$10, 100%, $F$10)</f>
        <v>2.6545999999999998</v>
      </c>
      <c r="F25" s="4">
        <f>3.3341 * CHOOSE(CONTROL!$C$14, $D$10, 100%, $F$10)</f>
        <v>3.3340999999999998</v>
      </c>
      <c r="G25" s="8">
        <f>2.5791 * CHOOSE( CONTROL!$C$14, $D$10, 100%, $F$10)</f>
        <v>2.5790999999999999</v>
      </c>
      <c r="H25" s="4">
        <f>3.5076 * CHOOSE(CONTROL!$C$14, $D$10, 100%, $F$10)</f>
        <v>3.5076000000000001</v>
      </c>
      <c r="I25" s="8">
        <f>2.629 * CHOOSE(CONTROL!$C$14, $D$10, 100%, $F$10)</f>
        <v>2.629</v>
      </c>
      <c r="J25" s="4">
        <f>2.533 * CHOOSE(CONTROL!$C$14, $D$10, 100%, $F$10)</f>
        <v>2.5329999999999999</v>
      </c>
      <c r="K25" s="4"/>
      <c r="L25" s="9">
        <v>34.740900000000003</v>
      </c>
      <c r="M25" s="9">
        <v>12.063700000000001</v>
      </c>
      <c r="N25" s="9">
        <v>4.9444999999999997</v>
      </c>
      <c r="O25" s="9">
        <v>0.37409999999999999</v>
      </c>
      <c r="P25" s="9">
        <v>1.3707</v>
      </c>
      <c r="Q25" s="9"/>
      <c r="R25" s="9">
        <f t="shared" si="0"/>
        <v>0.4</v>
      </c>
      <c r="S25" s="11"/>
    </row>
    <row r="26" spans="1:19" ht="15" customHeight="1">
      <c r="A26" s="13">
        <v>42675</v>
      </c>
      <c r="B26" s="8">
        <f>2.728 * CHOOSE(CONTROL!$C$14, $D$10, 100%, $F$10)</f>
        <v>2.7280000000000002</v>
      </c>
      <c r="C26" s="8">
        <f>2.7331 * CHOOSE(CONTROL!$C$14, $D$10, 100%, $F$10)</f>
        <v>2.7330999999999999</v>
      </c>
      <c r="D26" s="8">
        <f>2.7093 * CHOOSE( CONTROL!$C$14, $D$10, 100%, $F$10)</f>
        <v>2.7092999999999998</v>
      </c>
      <c r="E26" s="12">
        <f>2.7175 * CHOOSE( CONTROL!$C$14, $D$10, 100%, $F$10)</f>
        <v>2.7174999999999998</v>
      </c>
      <c r="F26" s="4">
        <f>3.3755 * CHOOSE(CONTROL!$C$14, $D$10, 100%, $F$10)</f>
        <v>3.3755000000000002</v>
      </c>
      <c r="G26" s="8">
        <f>2.6651 * CHOOSE( CONTROL!$C$14, $D$10, 100%, $F$10)</f>
        <v>2.6650999999999998</v>
      </c>
      <c r="H26" s="4">
        <f>3.5483 * CHOOSE(CONTROL!$C$14, $D$10, 100%, $F$10)</f>
        <v>3.5482999999999998</v>
      </c>
      <c r="I26" s="8">
        <f>2.7345 * CHOOSE(CONTROL!$C$14, $D$10, 100%, $F$10)</f>
        <v>2.7345000000000002</v>
      </c>
      <c r="J26" s="4">
        <f>2.608 * CHOOSE(CONTROL!$C$14, $D$10, 100%, $F$10)</f>
        <v>2.6080000000000001</v>
      </c>
      <c r="K26" s="4"/>
      <c r="L26" s="9">
        <v>28.360600000000002</v>
      </c>
      <c r="M26" s="9">
        <v>11.6745</v>
      </c>
      <c r="N26" s="9">
        <v>4.7850000000000001</v>
      </c>
      <c r="O26" s="9">
        <v>0.36199999999999999</v>
      </c>
      <c r="P26" s="9">
        <v>1.2509999999999999</v>
      </c>
      <c r="Q26" s="9"/>
      <c r="R26" s="9">
        <f t="shared" si="0"/>
        <v>0.4</v>
      </c>
      <c r="S26" s="11"/>
    </row>
    <row r="27" spans="1:19" ht="15" customHeight="1">
      <c r="A27" s="13">
        <v>42705</v>
      </c>
      <c r="B27" s="8">
        <f>2.8863 * CHOOSE(CONTROL!$C$14, $D$10, 100%, $F$10)</f>
        <v>2.8862999999999999</v>
      </c>
      <c r="C27" s="8">
        <f>2.8914 * CHOOSE(CONTROL!$C$14, $D$10, 100%, $F$10)</f>
        <v>2.8914</v>
      </c>
      <c r="D27" s="8">
        <f>2.869 * CHOOSE( CONTROL!$C$14, $D$10, 100%, $F$10)</f>
        <v>2.8690000000000002</v>
      </c>
      <c r="E27" s="12">
        <f>2.8766 * CHOOSE( CONTROL!$C$14, $D$10, 100%, $F$10)</f>
        <v>2.8765999999999998</v>
      </c>
      <c r="F27" s="4">
        <f>3.5338 * CHOOSE(CONTROL!$C$14, $D$10, 100%, $F$10)</f>
        <v>3.5337999999999998</v>
      </c>
      <c r="G27" s="8">
        <f>2.8218 * CHOOSE( CONTROL!$C$14, $D$10, 100%, $F$10)</f>
        <v>2.8218000000000001</v>
      </c>
      <c r="H27" s="4">
        <f>3.7039 * CHOOSE(CONTROL!$C$14, $D$10, 100%, $F$10)</f>
        <v>3.7039</v>
      </c>
      <c r="I27" s="8">
        <f>2.892 * CHOOSE(CONTROL!$C$14, $D$10, 100%, $F$10)</f>
        <v>2.8919999999999999</v>
      </c>
      <c r="J27" s="4">
        <f>2.761 * CHOOSE(CONTROL!$C$14, $D$10, 100%, $F$10)</f>
        <v>2.7610000000000001</v>
      </c>
      <c r="K27" s="4"/>
      <c r="L27" s="9">
        <v>29.306000000000001</v>
      </c>
      <c r="M27" s="9">
        <v>12.063700000000001</v>
      </c>
      <c r="N27" s="9">
        <v>4.9444999999999997</v>
      </c>
      <c r="O27" s="9">
        <v>0.37409999999999999</v>
      </c>
      <c r="P27" s="9">
        <v>1.2927</v>
      </c>
      <c r="Q27" s="9"/>
      <c r="R27" s="9">
        <f t="shared" si="0"/>
        <v>0.4</v>
      </c>
      <c r="S27" s="11"/>
    </row>
    <row r="28" spans="1:19" ht="15" customHeight="1">
      <c r="A28" s="13">
        <v>42736</v>
      </c>
      <c r="B28" s="8">
        <f>2.997 * CHOOSE(CONTROL!$C$14, $D$10, 100%, $F$10)</f>
        <v>2.9969999999999999</v>
      </c>
      <c r="C28" s="8">
        <f>3.0021 * CHOOSE(CONTROL!$C$14, $D$10, 100%, $F$10)</f>
        <v>3.0021</v>
      </c>
      <c r="D28" s="8">
        <f>2.9979 * CHOOSE( CONTROL!$C$14, $D$10, 100%, $F$10)</f>
        <v>2.9979</v>
      </c>
      <c r="E28" s="12">
        <f>2.9989 * CHOOSE( CONTROL!$C$14, $D$10, 100%, $F$10)</f>
        <v>2.9988999999999999</v>
      </c>
      <c r="F28" s="4">
        <f>3.6755 * CHOOSE(CONTROL!$C$14, $D$10, 100%, $F$10)</f>
        <v>3.6755</v>
      </c>
      <c r="G28" s="8">
        <f>2.9449 * CHOOSE( CONTROL!$C$14, $D$10, 100%, $F$10)</f>
        <v>2.9449000000000001</v>
      </c>
      <c r="H28" s="4">
        <f>3.8433 * CHOOSE(CONTROL!$C$14, $D$10, 100%, $F$10)</f>
        <v>3.8433000000000002</v>
      </c>
      <c r="I28" s="8">
        <f>2.978 * CHOOSE(CONTROL!$C$14, $D$10, 100%, $F$10)</f>
        <v>2.9780000000000002</v>
      </c>
      <c r="J28" s="4">
        <f>2.868 * CHOOSE(CONTROL!$C$14, $D$10, 100%, $F$10)</f>
        <v>2.8679999999999999</v>
      </c>
      <c r="K28" s="4"/>
      <c r="L28" s="9">
        <v>29.306000000000001</v>
      </c>
      <c r="M28" s="9">
        <v>12.063700000000001</v>
      </c>
      <c r="N28" s="9">
        <v>4.9444999999999997</v>
      </c>
      <c r="O28" s="9">
        <v>0.37409999999999999</v>
      </c>
      <c r="P28" s="9">
        <v>1.2927</v>
      </c>
      <c r="Q28" s="9"/>
      <c r="R28" s="9">
        <f t="shared" si="0"/>
        <v>0.4</v>
      </c>
      <c r="S28" s="11"/>
    </row>
    <row r="29" spans="1:19" ht="15" customHeight="1">
      <c r="A29" s="13">
        <v>42767</v>
      </c>
      <c r="B29" s="8">
        <f>2.9897 * CHOOSE(CONTROL!$C$14, $D$10, 100%, $F$10)</f>
        <v>2.9897</v>
      </c>
      <c r="C29" s="8">
        <f>2.9948 * CHOOSE(CONTROL!$C$14, $D$10, 100%, $F$10)</f>
        <v>2.9948000000000001</v>
      </c>
      <c r="D29" s="8">
        <f>2.9847 * CHOOSE( CONTROL!$C$14, $D$10, 100%, $F$10)</f>
        <v>2.9847000000000001</v>
      </c>
      <c r="E29" s="12">
        <f>2.9878 * CHOOSE( CONTROL!$C$14, $D$10, 100%, $F$10)</f>
        <v>2.9878</v>
      </c>
      <c r="F29" s="4">
        <f>3.6424 * CHOOSE(CONTROL!$C$14, $D$10, 100%, $F$10)</f>
        <v>3.6423999999999999</v>
      </c>
      <c r="G29" s="8">
        <f>2.9296 * CHOOSE( CONTROL!$C$14, $D$10, 100%, $F$10)</f>
        <v>2.9296000000000002</v>
      </c>
      <c r="H29" s="4">
        <f>3.8107 * CHOOSE(CONTROL!$C$14, $D$10, 100%, $F$10)</f>
        <v>3.8107000000000002</v>
      </c>
      <c r="I29" s="8">
        <f>2.9617 * CHOOSE(CONTROL!$C$14, $D$10, 100%, $F$10)</f>
        <v>2.9617</v>
      </c>
      <c r="J29" s="4">
        <f>2.861 * CHOOSE(CONTROL!$C$14, $D$10, 100%, $F$10)</f>
        <v>2.8610000000000002</v>
      </c>
      <c r="K29" s="4"/>
      <c r="L29" s="9">
        <v>26.469899999999999</v>
      </c>
      <c r="M29" s="9">
        <v>10.8962</v>
      </c>
      <c r="N29" s="9">
        <v>4.4660000000000002</v>
      </c>
      <c r="O29" s="9">
        <v>0.33789999999999998</v>
      </c>
      <c r="P29" s="9">
        <v>1.1676</v>
      </c>
      <c r="Q29" s="9"/>
      <c r="R29" s="9">
        <f t="shared" si="0"/>
        <v>0.4</v>
      </c>
      <c r="S29" s="11"/>
    </row>
    <row r="30" spans="1:19" ht="15" customHeight="1">
      <c r="A30" s="13">
        <v>42795</v>
      </c>
      <c r="B30" s="8">
        <f>2.9515 * CHOOSE(CONTROL!$C$14, $D$10, 100%, $F$10)</f>
        <v>2.9514999999999998</v>
      </c>
      <c r="C30" s="8">
        <f>2.9566 * CHOOSE(CONTROL!$C$14, $D$10, 100%, $F$10)</f>
        <v>2.9565999999999999</v>
      </c>
      <c r="D30" s="8">
        <f>2.94 * CHOOSE( CONTROL!$C$14, $D$10, 100%, $F$10)</f>
        <v>2.94</v>
      </c>
      <c r="E30" s="12">
        <f>2.9455 * CHOOSE( CONTROL!$C$14, $D$10, 100%, $F$10)</f>
        <v>2.9455</v>
      </c>
      <c r="F30" s="4">
        <f>3.6041 * CHOOSE(CONTROL!$C$14, $D$10, 100%, $F$10)</f>
        <v>3.6040999999999999</v>
      </c>
      <c r="G30" s="8">
        <f>2.8838 * CHOOSE( CONTROL!$C$14, $D$10, 100%, $F$10)</f>
        <v>2.8837999999999999</v>
      </c>
      <c r="H30" s="4">
        <f>3.7731 * CHOOSE(CONTROL!$C$14, $D$10, 100%, $F$10)</f>
        <v>3.7730999999999999</v>
      </c>
      <c r="I30" s="8">
        <f>2.9045 * CHOOSE(CONTROL!$C$14, $D$10, 100%, $F$10)</f>
        <v>2.9045000000000001</v>
      </c>
      <c r="J30" s="4">
        <f>2.824 * CHOOSE(CONTROL!$C$14, $D$10, 100%, $F$10)</f>
        <v>2.8239999999999998</v>
      </c>
      <c r="K30" s="4"/>
      <c r="L30" s="9">
        <v>29.306000000000001</v>
      </c>
      <c r="M30" s="9">
        <v>12.063700000000001</v>
      </c>
      <c r="N30" s="9">
        <v>4.9444999999999997</v>
      </c>
      <c r="O30" s="9">
        <v>0.37409999999999999</v>
      </c>
      <c r="P30" s="9">
        <v>1.2927</v>
      </c>
      <c r="Q30" s="9"/>
      <c r="R30" s="9">
        <f t="shared" si="0"/>
        <v>0.4</v>
      </c>
      <c r="S30" s="11"/>
    </row>
    <row r="31" spans="1:19" ht="15" customHeight="1">
      <c r="A31" s="13">
        <v>42826</v>
      </c>
      <c r="B31" s="8">
        <f>2.7722 * CHOOSE(CONTROL!$C$14, $D$10, 100%, $F$10)</f>
        <v>2.7722000000000002</v>
      </c>
      <c r="C31" s="8">
        <f>2.7768 * CHOOSE(CONTROL!$C$14, $D$10, 100%, $F$10)</f>
        <v>2.7768000000000002</v>
      </c>
      <c r="D31" s="8">
        <f>2.7681 * CHOOSE( CONTROL!$C$14, $D$10, 100%, $F$10)</f>
        <v>2.7681</v>
      </c>
      <c r="E31" s="12">
        <f>2.7704 * CHOOSE( CONTROL!$C$14, $D$10, 100%, $F$10)</f>
        <v>2.7704</v>
      </c>
      <c r="F31" s="4">
        <f>3.4551 * CHOOSE(CONTROL!$C$14, $D$10, 100%, $F$10)</f>
        <v>3.4550999999999998</v>
      </c>
      <c r="G31" s="8">
        <f>2.6967 * CHOOSE( CONTROL!$C$14, $D$10, 100%, $F$10)</f>
        <v>2.6966999999999999</v>
      </c>
      <c r="H31" s="4">
        <f>3.6266 * CHOOSE(CONTROL!$C$14, $D$10, 100%, $F$10)</f>
        <v>3.6265999999999998</v>
      </c>
      <c r="I31" s="8">
        <f>2.7414 * CHOOSE(CONTROL!$C$14, $D$10, 100%, $F$10)</f>
        <v>2.7414000000000001</v>
      </c>
      <c r="J31" s="4">
        <f>2.65 * CHOOSE(CONTROL!$C$14, $D$10, 100%, $F$10)</f>
        <v>2.65</v>
      </c>
      <c r="K31" s="4"/>
      <c r="L31" s="9">
        <v>30.092199999999998</v>
      </c>
      <c r="M31" s="9">
        <v>11.6745</v>
      </c>
      <c r="N31" s="9">
        <v>4.7850000000000001</v>
      </c>
      <c r="O31" s="9">
        <v>0.36199999999999999</v>
      </c>
      <c r="P31" s="9">
        <v>2.0339999999999998</v>
      </c>
      <c r="Q31" s="9"/>
      <c r="R31" s="9">
        <f t="shared" si="0"/>
        <v>0.4</v>
      </c>
      <c r="S31" s="11"/>
    </row>
    <row r="32" spans="1:19" ht="15" customHeight="1">
      <c r="A32" s="13">
        <v>42856</v>
      </c>
      <c r="B32" s="8">
        <f>CHOOSE( CONTROL!$C$31, 2.7838, 2.7808) * CHOOSE(CONTROL!$C$14, $D$10, 100%, $F$10)</f>
        <v>2.7837999999999998</v>
      </c>
      <c r="C32" s="8">
        <f>CHOOSE( CONTROL!$C$31, 2.7918, 2.7888) * CHOOSE(CONTROL!$C$14, $D$10, 100%, $F$10)</f>
        <v>2.7917999999999998</v>
      </c>
      <c r="D32" s="8">
        <f>CHOOSE( CONTROL!$C$31, 2.7785, 2.7756) * CHOOSE( CONTROL!$C$14, $D$10, 100%, $F$10)</f>
        <v>2.7785000000000002</v>
      </c>
      <c r="E32" s="12">
        <f>CHOOSE( CONTROL!$C$31, 2.7821, 2.7792) * CHOOSE( CONTROL!$C$14, $D$10, 100%, $F$10)</f>
        <v>2.7820999999999998</v>
      </c>
      <c r="F32" s="4">
        <f>CHOOSE( CONTROL!$C$31, 3.4653, 3.4624) * CHOOSE(CONTROL!$C$14, $D$10, 100%, $F$10)</f>
        <v>3.4653</v>
      </c>
      <c r="G32" s="8">
        <f>CHOOSE( CONTROL!$C$31, 2.7076, 2.7047) * CHOOSE( CONTROL!$C$14, $D$10, 100%, $F$10)</f>
        <v>2.7075999999999998</v>
      </c>
      <c r="H32" s="4">
        <f>CHOOSE( CONTROL!$C$31, 3.6366, 3.6337) * CHOOSE(CONTROL!$C$14, $D$10, 100%, $F$10)</f>
        <v>3.6366000000000001</v>
      </c>
      <c r="I32" s="8">
        <f>CHOOSE( CONTROL!$C$31, 2.7523, 2.7495) * CHOOSE(CONTROL!$C$14, $D$10, 100%, $F$10)</f>
        <v>2.7523</v>
      </c>
      <c r="J32" s="4">
        <f>CHOOSE( CONTROL!$C$31, 2.6598, 2.657) * CHOOSE(CONTROL!$C$14, $D$10, 100%, $F$10)</f>
        <v>2.6598000000000002</v>
      </c>
      <c r="K32" s="4"/>
      <c r="L32" s="9">
        <v>30.7165</v>
      </c>
      <c r="M32" s="9">
        <v>12.063700000000001</v>
      </c>
      <c r="N32" s="9">
        <v>4.9444999999999997</v>
      </c>
      <c r="O32" s="9">
        <v>0.37409999999999999</v>
      </c>
      <c r="P32" s="9">
        <v>2.1017999999999999</v>
      </c>
      <c r="Q32" s="9">
        <v>25.076499999999999</v>
      </c>
      <c r="R32" s="9"/>
      <c r="S32" s="11"/>
    </row>
    <row r="33" spans="1:19" ht="15" customHeight="1">
      <c r="A33" s="13">
        <v>42887</v>
      </c>
      <c r="B33" s="8">
        <f>CHOOSE( CONTROL!$C$31, 2.8231, 2.8201) * CHOOSE(CONTROL!$C$14, $D$10, 100%, $F$10)</f>
        <v>2.8231000000000002</v>
      </c>
      <c r="C33" s="8">
        <f>CHOOSE( CONTROL!$C$31, 2.8311, 2.8282) * CHOOSE(CONTROL!$C$14, $D$10, 100%, $F$10)</f>
        <v>2.8311000000000002</v>
      </c>
      <c r="D33" s="8">
        <f>CHOOSE( CONTROL!$C$31, 2.8182, 2.8152) * CHOOSE( CONTROL!$C$14, $D$10, 100%, $F$10)</f>
        <v>2.8182</v>
      </c>
      <c r="E33" s="12">
        <f>CHOOSE( CONTROL!$C$31, 2.8217, 2.8187) * CHOOSE( CONTROL!$C$14, $D$10, 100%, $F$10)</f>
        <v>2.8216999999999999</v>
      </c>
      <c r="F33" s="4">
        <f>CHOOSE( CONTROL!$C$31, 3.5046, 3.5017) * CHOOSE(CONTROL!$C$14, $D$10, 100%, $F$10)</f>
        <v>3.5045999999999999</v>
      </c>
      <c r="G33" s="8">
        <f>CHOOSE( CONTROL!$C$31, 2.7466, 2.7438) * CHOOSE( CONTROL!$C$14, $D$10, 100%, $F$10)</f>
        <v>2.7465999999999999</v>
      </c>
      <c r="H33" s="4">
        <f>CHOOSE( CONTROL!$C$31, 3.6753, 3.6724) * CHOOSE(CONTROL!$C$14, $D$10, 100%, $F$10)</f>
        <v>3.6753</v>
      </c>
      <c r="I33" s="8">
        <f>CHOOSE( CONTROL!$C$31, 2.7916, 2.7887) * CHOOSE(CONTROL!$C$14, $D$10, 100%, $F$10)</f>
        <v>2.7915999999999999</v>
      </c>
      <c r="J33" s="4">
        <f>CHOOSE( CONTROL!$C$31, 2.6978, 2.695) * CHOOSE(CONTROL!$C$14, $D$10, 100%, $F$10)</f>
        <v>2.6978</v>
      </c>
      <c r="K33" s="4"/>
      <c r="L33" s="9">
        <v>29.7257</v>
      </c>
      <c r="M33" s="9">
        <v>11.6745</v>
      </c>
      <c r="N33" s="9">
        <v>4.7850000000000001</v>
      </c>
      <c r="O33" s="9">
        <v>0.36199999999999999</v>
      </c>
      <c r="P33" s="9">
        <v>2.0339999999999998</v>
      </c>
      <c r="Q33" s="9">
        <v>24.267600000000002</v>
      </c>
      <c r="R33" s="9"/>
      <c r="S33" s="11"/>
    </row>
    <row r="34" spans="1:19" ht="15" customHeight="1">
      <c r="A34" s="13">
        <v>42917</v>
      </c>
      <c r="B34" s="8">
        <f>CHOOSE( CONTROL!$C$31, 2.8665, 2.8636) * CHOOSE(CONTROL!$C$14, $D$10, 100%, $F$10)</f>
        <v>2.8664999999999998</v>
      </c>
      <c r="C34" s="8">
        <f>CHOOSE( CONTROL!$C$31, 2.8745, 2.8716) * CHOOSE(CONTROL!$C$14, $D$10, 100%, $F$10)</f>
        <v>2.8744999999999998</v>
      </c>
      <c r="D34" s="8">
        <f>CHOOSE( CONTROL!$C$31, 2.862, 2.859) * CHOOSE( CONTROL!$C$14, $D$10, 100%, $F$10)</f>
        <v>2.8620000000000001</v>
      </c>
      <c r="E34" s="12">
        <f>CHOOSE( CONTROL!$C$31, 2.8653, 2.8623) * CHOOSE( CONTROL!$C$14, $D$10, 100%, $F$10)</f>
        <v>2.8653</v>
      </c>
      <c r="F34" s="4">
        <f>CHOOSE( CONTROL!$C$31, 3.5481, 3.5451) * CHOOSE(CONTROL!$C$14, $D$10, 100%, $F$10)</f>
        <v>3.5480999999999998</v>
      </c>
      <c r="G34" s="8">
        <f>CHOOSE( CONTROL!$C$31, 2.7897, 2.7868) * CHOOSE( CONTROL!$C$14, $D$10, 100%, $F$10)</f>
        <v>2.7896999999999998</v>
      </c>
      <c r="H34" s="4">
        <f>CHOOSE( CONTROL!$C$31, 3.718, 3.7151) * CHOOSE(CONTROL!$C$14, $D$10, 100%, $F$10)</f>
        <v>3.718</v>
      </c>
      <c r="I34" s="8">
        <f>CHOOSE( CONTROL!$C$31, 2.8347, 2.8319) * CHOOSE(CONTROL!$C$14, $D$10, 100%, $F$10)</f>
        <v>2.8347000000000002</v>
      </c>
      <c r="J34" s="4">
        <f>CHOOSE( CONTROL!$C$31, 2.7398, 2.737) * CHOOSE(CONTROL!$C$14, $D$10, 100%, $F$10)</f>
        <v>2.7397999999999998</v>
      </c>
      <c r="K34" s="4"/>
      <c r="L34" s="9">
        <v>30.7165</v>
      </c>
      <c r="M34" s="9">
        <v>12.063700000000001</v>
      </c>
      <c r="N34" s="9">
        <v>4.9444999999999997</v>
      </c>
      <c r="O34" s="9">
        <v>0.37409999999999999</v>
      </c>
      <c r="P34" s="9">
        <v>2.1017999999999999</v>
      </c>
      <c r="Q34" s="9">
        <v>25.076499999999999</v>
      </c>
      <c r="R34" s="9"/>
      <c r="S34" s="11"/>
    </row>
    <row r="35" spans="1:19" ht="15" customHeight="1">
      <c r="A35" s="13">
        <v>42948</v>
      </c>
      <c r="B35" s="8">
        <f>CHOOSE( CONTROL!$C$31, 2.8789, 2.876) * CHOOSE(CONTROL!$C$14, $D$10, 100%, $F$10)</f>
        <v>2.8788999999999998</v>
      </c>
      <c r="C35" s="8">
        <f>CHOOSE( CONTROL!$C$31, 2.8869, 2.884) * CHOOSE(CONTROL!$C$14, $D$10, 100%, $F$10)</f>
        <v>2.8868999999999998</v>
      </c>
      <c r="D35" s="8">
        <f>CHOOSE( CONTROL!$C$31, 2.8745, 2.8716) * CHOOSE( CONTROL!$C$14, $D$10, 100%, $F$10)</f>
        <v>2.8744999999999998</v>
      </c>
      <c r="E35" s="12">
        <f>CHOOSE( CONTROL!$C$31, 2.8778, 2.8749) * CHOOSE( CONTROL!$C$14, $D$10, 100%, $F$10)</f>
        <v>2.8778000000000001</v>
      </c>
      <c r="F35" s="4">
        <f>CHOOSE( CONTROL!$C$31, 3.5605, 3.5576) * CHOOSE(CONTROL!$C$14, $D$10, 100%, $F$10)</f>
        <v>3.5605000000000002</v>
      </c>
      <c r="G35" s="8">
        <f>CHOOSE( CONTROL!$C$31, 2.8021, 2.7992) * CHOOSE( CONTROL!$C$14, $D$10, 100%, $F$10)</f>
        <v>2.8020999999999998</v>
      </c>
      <c r="H35" s="4">
        <f>CHOOSE( CONTROL!$C$31, 3.7302, 3.7273) * CHOOSE(CONTROL!$C$14, $D$10, 100%, $F$10)</f>
        <v>3.7302</v>
      </c>
      <c r="I35" s="8">
        <f>CHOOSE( CONTROL!$C$31, 2.8472, 2.8443) * CHOOSE(CONTROL!$C$14, $D$10, 100%, $F$10)</f>
        <v>2.8472</v>
      </c>
      <c r="J35" s="4">
        <f>CHOOSE( CONTROL!$C$31, 2.7518, 2.749) * CHOOSE(CONTROL!$C$14, $D$10, 100%, $F$10)</f>
        <v>2.7517999999999998</v>
      </c>
      <c r="K35" s="4"/>
      <c r="L35" s="9">
        <v>30.7165</v>
      </c>
      <c r="M35" s="9">
        <v>12.063700000000001</v>
      </c>
      <c r="N35" s="9">
        <v>4.9444999999999997</v>
      </c>
      <c r="O35" s="9">
        <v>0.37409999999999999</v>
      </c>
      <c r="P35" s="9">
        <v>2.1017999999999999</v>
      </c>
      <c r="Q35" s="9">
        <v>25.076499999999999</v>
      </c>
      <c r="R35" s="9"/>
      <c r="S35" s="11"/>
    </row>
    <row r="36" spans="1:19" ht="15" customHeight="1">
      <c r="A36" s="13">
        <v>42979</v>
      </c>
      <c r="B36" s="8">
        <f>CHOOSE( CONTROL!$C$31, 2.8727, 2.8698) * CHOOSE(CONTROL!$C$14, $D$10, 100%, $F$10)</f>
        <v>2.8727</v>
      </c>
      <c r="C36" s="8">
        <f>CHOOSE( CONTROL!$C$31, 2.8807, 2.8778) * CHOOSE(CONTROL!$C$14, $D$10, 100%, $F$10)</f>
        <v>2.8807</v>
      </c>
      <c r="D36" s="8">
        <f>CHOOSE( CONTROL!$C$31, 2.8683, 2.8654) * CHOOSE( CONTROL!$C$14, $D$10, 100%, $F$10)</f>
        <v>2.8683000000000001</v>
      </c>
      <c r="E36" s="12">
        <f>CHOOSE( CONTROL!$C$31, 2.8716, 2.8687) * CHOOSE( CONTROL!$C$14, $D$10, 100%, $F$10)</f>
        <v>2.8715999999999999</v>
      </c>
      <c r="F36" s="4">
        <f>CHOOSE( CONTROL!$C$31, 3.5543, 3.5513) * CHOOSE(CONTROL!$C$14, $D$10, 100%, $F$10)</f>
        <v>3.5543</v>
      </c>
      <c r="G36" s="8">
        <f>CHOOSE( CONTROL!$C$31, 2.7959, 2.7931) * CHOOSE( CONTROL!$C$14, $D$10, 100%, $F$10)</f>
        <v>2.7959000000000001</v>
      </c>
      <c r="H36" s="4">
        <f>CHOOSE( CONTROL!$C$31, 3.7241, 3.7212) * CHOOSE(CONTROL!$C$14, $D$10, 100%, $F$10)</f>
        <v>3.7241</v>
      </c>
      <c r="I36" s="8">
        <f>CHOOSE( CONTROL!$C$31, 2.8411, 2.8383) * CHOOSE(CONTROL!$C$14, $D$10, 100%, $F$10)</f>
        <v>2.8411</v>
      </c>
      <c r="J36" s="4">
        <f>CHOOSE( CONTROL!$C$31, 2.7458, 2.743) * CHOOSE(CONTROL!$C$14, $D$10, 100%, $F$10)</f>
        <v>2.7458</v>
      </c>
      <c r="K36" s="4"/>
      <c r="L36" s="9">
        <v>29.7257</v>
      </c>
      <c r="M36" s="9">
        <v>11.6745</v>
      </c>
      <c r="N36" s="9">
        <v>4.7850000000000001</v>
      </c>
      <c r="O36" s="9">
        <v>0.36199999999999999</v>
      </c>
      <c r="P36" s="9">
        <v>2.0339999999999998</v>
      </c>
      <c r="Q36" s="9">
        <v>24.267600000000002</v>
      </c>
      <c r="R36" s="9"/>
      <c r="S36" s="11"/>
    </row>
    <row r="37" spans="1:19" ht="15" customHeight="1">
      <c r="A37" s="13">
        <v>43009</v>
      </c>
      <c r="B37" s="8">
        <f>2.8888 * CHOOSE(CONTROL!$C$14, $D$10, 100%, $F$10)</f>
        <v>2.8887999999999998</v>
      </c>
      <c r="C37" s="8">
        <f>2.8941 * CHOOSE(CONTROL!$C$14, $D$10, 100%, $F$10)</f>
        <v>2.8940999999999999</v>
      </c>
      <c r="D37" s="8">
        <f>2.8864 * CHOOSE( CONTROL!$C$14, $D$10, 100%, $F$10)</f>
        <v>2.8864000000000001</v>
      </c>
      <c r="E37" s="12">
        <f>2.8884 * CHOOSE( CONTROL!$C$14, $D$10, 100%, $F$10)</f>
        <v>2.8883999999999999</v>
      </c>
      <c r="F37" s="4">
        <f>3.572 * CHOOSE(CONTROL!$C$14, $D$10, 100%, $F$10)</f>
        <v>3.5720000000000001</v>
      </c>
      <c r="G37" s="8">
        <f>2.8131 * CHOOSE( CONTROL!$C$14, $D$10, 100%, $F$10)</f>
        <v>2.8130999999999999</v>
      </c>
      <c r="H37" s="4">
        <f>3.7416 * CHOOSE(CONTROL!$C$14, $D$10, 100%, $F$10)</f>
        <v>3.7416</v>
      </c>
      <c r="I37" s="8">
        <f>2.8591 * CHOOSE(CONTROL!$C$14, $D$10, 100%, $F$10)</f>
        <v>2.8591000000000002</v>
      </c>
      <c r="J37" s="4">
        <f>2.763 * CHOOSE(CONTROL!$C$14, $D$10, 100%, $F$10)</f>
        <v>2.7629999999999999</v>
      </c>
      <c r="K37" s="4"/>
      <c r="L37" s="9">
        <v>31.095300000000002</v>
      </c>
      <c r="M37" s="9">
        <v>12.063700000000001</v>
      </c>
      <c r="N37" s="9">
        <v>4.9444999999999997</v>
      </c>
      <c r="O37" s="9">
        <v>0.37409999999999999</v>
      </c>
      <c r="P37" s="9">
        <v>2.1017999999999999</v>
      </c>
      <c r="Q37" s="9">
        <v>25.076499999999999</v>
      </c>
      <c r="R37" s="9"/>
      <c r="S37" s="11"/>
    </row>
    <row r="38" spans="1:19" ht="15" customHeight="1">
      <c r="A38" s="13">
        <v>43040</v>
      </c>
      <c r="B38" s="8">
        <f>2.9628 * CHOOSE(CONTROL!$C$14, $D$10, 100%, $F$10)</f>
        <v>2.9628000000000001</v>
      </c>
      <c r="C38" s="8">
        <f>2.968 * CHOOSE(CONTROL!$C$14, $D$10, 100%, $F$10)</f>
        <v>2.968</v>
      </c>
      <c r="D38" s="8">
        <f>2.9442 * CHOOSE( CONTROL!$C$14, $D$10, 100%, $F$10)</f>
        <v>2.9441999999999999</v>
      </c>
      <c r="E38" s="12">
        <f>2.9523 * CHOOSE( CONTROL!$C$14, $D$10, 100%, $F$10)</f>
        <v>2.9523000000000001</v>
      </c>
      <c r="F38" s="4">
        <f>3.6103 * CHOOSE(CONTROL!$C$14, $D$10, 100%, $F$10)</f>
        <v>3.6103000000000001</v>
      </c>
      <c r="G38" s="8">
        <f>2.8961 * CHOOSE( CONTROL!$C$14, $D$10, 100%, $F$10)</f>
        <v>2.8961000000000001</v>
      </c>
      <c r="H38" s="4">
        <f>3.7792 * CHOOSE(CONTROL!$C$14, $D$10, 100%, $F$10)</f>
        <v>3.7791999999999999</v>
      </c>
      <c r="I38" s="8">
        <f>2.9616 * CHOOSE(CONTROL!$C$14, $D$10, 100%, $F$10)</f>
        <v>2.9615999999999998</v>
      </c>
      <c r="J38" s="4">
        <f>2.835 * CHOOSE(CONTROL!$C$14, $D$10, 100%, $F$10)</f>
        <v>2.835</v>
      </c>
      <c r="K38" s="4"/>
      <c r="L38" s="9">
        <v>28.360600000000002</v>
      </c>
      <c r="M38" s="9">
        <v>11.6745</v>
      </c>
      <c r="N38" s="9">
        <v>4.7850000000000001</v>
      </c>
      <c r="O38" s="9">
        <v>0.36199999999999999</v>
      </c>
      <c r="P38" s="9">
        <v>1.2509999999999999</v>
      </c>
      <c r="Q38" s="9">
        <v>24.267600000000002</v>
      </c>
      <c r="R38" s="9"/>
      <c r="S38" s="11"/>
    </row>
    <row r="39" spans="1:19" ht="15" customHeight="1">
      <c r="A39" s="13">
        <v>43070</v>
      </c>
      <c r="B39" s="8">
        <f>3.1128 * CHOOSE(CONTROL!$C$14, $D$10, 100%, $F$10)</f>
        <v>3.1128</v>
      </c>
      <c r="C39" s="8">
        <f>3.1179 * CHOOSE(CONTROL!$C$14, $D$10, 100%, $F$10)</f>
        <v>3.1179000000000001</v>
      </c>
      <c r="D39" s="8">
        <f>3.0955 * CHOOSE( CONTROL!$C$14, $D$10, 100%, $F$10)</f>
        <v>3.0954999999999999</v>
      </c>
      <c r="E39" s="12">
        <f>3.1031 * CHOOSE( CONTROL!$C$14, $D$10, 100%, $F$10)</f>
        <v>3.1031</v>
      </c>
      <c r="F39" s="4">
        <f>3.7603 * CHOOSE(CONTROL!$C$14, $D$10, 100%, $F$10)</f>
        <v>3.7603</v>
      </c>
      <c r="G39" s="8">
        <f>3.0446 * CHOOSE( CONTROL!$C$14, $D$10, 100%, $F$10)</f>
        <v>3.0446</v>
      </c>
      <c r="H39" s="4">
        <f>3.9267 * CHOOSE(CONTROL!$C$14, $D$10, 100%, $F$10)</f>
        <v>3.9266999999999999</v>
      </c>
      <c r="I39" s="8">
        <f>3.1111 * CHOOSE(CONTROL!$C$14, $D$10, 100%, $F$10)</f>
        <v>3.1111</v>
      </c>
      <c r="J39" s="4">
        <f>2.98 * CHOOSE(CONTROL!$C$14, $D$10, 100%, $F$10)</f>
        <v>2.98</v>
      </c>
      <c r="K39" s="4"/>
      <c r="L39" s="9">
        <v>29.306000000000001</v>
      </c>
      <c r="M39" s="9">
        <v>12.063700000000001</v>
      </c>
      <c r="N39" s="9">
        <v>4.9444999999999997</v>
      </c>
      <c r="O39" s="9">
        <v>0.37409999999999999</v>
      </c>
      <c r="P39" s="9">
        <v>1.2927</v>
      </c>
      <c r="Q39" s="9">
        <v>25.076499999999999</v>
      </c>
      <c r="R39" s="9"/>
      <c r="S39" s="11"/>
    </row>
    <row r="40" spans="1:19" ht="15" customHeight="1">
      <c r="A40" s="13">
        <v>43101</v>
      </c>
      <c r="B40" s="8">
        <f>3.2101 * CHOOSE(CONTROL!$C$14, $D$10, 100%, $F$10)</f>
        <v>3.2101000000000002</v>
      </c>
      <c r="C40" s="8">
        <f>3.2152 * CHOOSE(CONTROL!$C$14, $D$10, 100%, $F$10)</f>
        <v>3.2151999999999998</v>
      </c>
      <c r="D40" s="8">
        <f>3.211 * CHOOSE( CONTROL!$C$14, $D$10, 100%, $F$10)</f>
        <v>3.2109999999999999</v>
      </c>
      <c r="E40" s="12">
        <f>3.212 * CHOOSE( CONTROL!$C$14, $D$10, 100%, $F$10)</f>
        <v>3.2120000000000002</v>
      </c>
      <c r="F40" s="4">
        <f>3.8886 * CHOOSE(CONTROL!$C$14, $D$10, 100%, $F$10)</f>
        <v>3.8885999999999998</v>
      </c>
      <c r="G40" s="8">
        <f>3.1544 * CHOOSE( CONTROL!$C$14, $D$10, 100%, $F$10)</f>
        <v>3.1543999999999999</v>
      </c>
      <c r="H40" s="4">
        <f>4.0529 * CHOOSE(CONTROL!$C$14, $D$10, 100%, $F$10)</f>
        <v>4.0529000000000002</v>
      </c>
      <c r="I40" s="8">
        <f>3.1841 * CHOOSE(CONTROL!$C$14, $D$10, 100%, $F$10)</f>
        <v>3.1840999999999999</v>
      </c>
      <c r="J40" s="4">
        <f>3.074 * CHOOSE(CONTROL!$C$14, $D$10, 100%, $F$10)</f>
        <v>3.0739999999999998</v>
      </c>
      <c r="K40" s="4"/>
      <c r="L40" s="9">
        <v>29.306000000000001</v>
      </c>
      <c r="M40" s="9">
        <v>12.063700000000001</v>
      </c>
      <c r="N40" s="9">
        <v>4.9444999999999997</v>
      </c>
      <c r="O40" s="9">
        <v>0.37409999999999999</v>
      </c>
      <c r="P40" s="9">
        <v>1.2927</v>
      </c>
      <c r="Q40" s="9">
        <v>24.901700000000002</v>
      </c>
      <c r="R40" s="9"/>
      <c r="S40" s="11"/>
    </row>
    <row r="41" spans="1:19" ht="15" customHeight="1">
      <c r="A41" s="13">
        <v>43132</v>
      </c>
      <c r="B41" s="8">
        <f>3.2018 * CHOOSE(CONTROL!$C$14, $D$10, 100%, $F$10)</f>
        <v>3.2018</v>
      </c>
      <c r="C41" s="8">
        <f>3.2069 * CHOOSE(CONTROL!$C$14, $D$10, 100%, $F$10)</f>
        <v>3.2069000000000001</v>
      </c>
      <c r="D41" s="8">
        <f>3.1968 * CHOOSE( CONTROL!$C$14, $D$10, 100%, $F$10)</f>
        <v>3.1968000000000001</v>
      </c>
      <c r="E41" s="12">
        <f>3.1999 * CHOOSE( CONTROL!$C$14, $D$10, 100%, $F$10)</f>
        <v>3.1999</v>
      </c>
      <c r="F41" s="4">
        <f>3.8544 * CHOOSE(CONTROL!$C$14, $D$10, 100%, $F$10)</f>
        <v>3.8544</v>
      </c>
      <c r="G41" s="8">
        <f>3.1382 * CHOOSE( CONTROL!$C$14, $D$10, 100%, $F$10)</f>
        <v>3.1381999999999999</v>
      </c>
      <c r="H41" s="4">
        <f>4.0193 * CHOOSE(CONTROL!$C$14, $D$10, 100%, $F$10)</f>
        <v>4.0193000000000003</v>
      </c>
      <c r="I41" s="8">
        <f>3.1668 * CHOOSE(CONTROL!$C$14, $D$10, 100%, $F$10)</f>
        <v>3.1667999999999998</v>
      </c>
      <c r="J41" s="4">
        <f>3.066 * CHOOSE(CONTROL!$C$14, $D$10, 100%, $F$10)</f>
        <v>3.0659999999999998</v>
      </c>
      <c r="K41" s="4"/>
      <c r="L41" s="9">
        <v>26.469899999999999</v>
      </c>
      <c r="M41" s="9">
        <v>10.8962</v>
      </c>
      <c r="N41" s="9">
        <v>4.4660000000000002</v>
      </c>
      <c r="O41" s="9">
        <v>0.33789999999999998</v>
      </c>
      <c r="P41" s="9">
        <v>1.1676</v>
      </c>
      <c r="Q41" s="9">
        <v>22.491800000000001</v>
      </c>
      <c r="R41" s="9"/>
      <c r="S41" s="11"/>
    </row>
    <row r="42" spans="1:19" ht="15" customHeight="1">
      <c r="A42" s="13">
        <v>43160</v>
      </c>
      <c r="B42" s="8">
        <f>3.1501 * CHOOSE(CONTROL!$C$14, $D$10, 100%, $F$10)</f>
        <v>3.1501000000000001</v>
      </c>
      <c r="C42" s="8">
        <f>3.1552 * CHOOSE(CONTROL!$C$14, $D$10, 100%, $F$10)</f>
        <v>3.1551999999999998</v>
      </c>
      <c r="D42" s="8">
        <f>3.1386 * CHOOSE( CONTROL!$C$14, $D$10, 100%, $F$10)</f>
        <v>3.1385999999999998</v>
      </c>
      <c r="E42" s="12">
        <f>3.1441 * CHOOSE( CONTROL!$C$14, $D$10, 100%, $F$10)</f>
        <v>3.1440999999999999</v>
      </c>
      <c r="F42" s="4">
        <f>3.8027 * CHOOSE(CONTROL!$C$14, $D$10, 100%, $F$10)</f>
        <v>3.8027000000000002</v>
      </c>
      <c r="G42" s="8">
        <f>3.0791 * CHOOSE( CONTROL!$C$14, $D$10, 100%, $F$10)</f>
        <v>3.0790999999999999</v>
      </c>
      <c r="H42" s="4">
        <f>3.9684 * CHOOSE(CONTROL!$C$14, $D$10, 100%, $F$10)</f>
        <v>3.9683999999999999</v>
      </c>
      <c r="I42" s="8">
        <f>3.0966 * CHOOSE(CONTROL!$C$14, $D$10, 100%, $F$10)</f>
        <v>3.0966</v>
      </c>
      <c r="J42" s="4">
        <f>3.016 * CHOOSE(CONTROL!$C$14, $D$10, 100%, $F$10)</f>
        <v>3.016</v>
      </c>
      <c r="K42" s="4"/>
      <c r="L42" s="9">
        <v>29.306000000000001</v>
      </c>
      <c r="M42" s="9">
        <v>12.063700000000001</v>
      </c>
      <c r="N42" s="9">
        <v>4.9444999999999997</v>
      </c>
      <c r="O42" s="9">
        <v>0.37409999999999999</v>
      </c>
      <c r="P42" s="9">
        <v>1.2927</v>
      </c>
      <c r="Q42" s="9">
        <v>24.901700000000002</v>
      </c>
      <c r="R42" s="9"/>
      <c r="S42" s="11"/>
    </row>
    <row r="43" spans="1:19" ht="15" customHeight="1">
      <c r="A43" s="13">
        <v>43191</v>
      </c>
      <c r="B43" s="8">
        <f>2.8819 * CHOOSE(CONTROL!$C$14, $D$10, 100%, $F$10)</f>
        <v>2.8818999999999999</v>
      </c>
      <c r="C43" s="8">
        <f>2.8864 * CHOOSE(CONTROL!$C$14, $D$10, 100%, $F$10)</f>
        <v>2.8864000000000001</v>
      </c>
      <c r="D43" s="8">
        <f>2.896 * CHOOSE( CONTROL!$C$14, $D$10, 100%, $F$10)</f>
        <v>2.8959999999999999</v>
      </c>
      <c r="E43" s="12">
        <f>2.8923 * CHOOSE( CONTROL!$C$14, $D$10, 100%, $F$10)</f>
        <v>2.8923000000000001</v>
      </c>
      <c r="F43" s="4">
        <f>3.5648 * CHOOSE(CONTROL!$C$14, $D$10, 100%, $F$10)</f>
        <v>3.5648</v>
      </c>
      <c r="G43" s="8">
        <f>2.8045 * CHOOSE( CONTROL!$C$14, $D$10, 100%, $F$10)</f>
        <v>2.8045</v>
      </c>
      <c r="H43" s="4">
        <f>3.7344 * CHOOSE(CONTROL!$C$14, $D$10, 100%, $F$10)</f>
        <v>3.7343999999999999</v>
      </c>
      <c r="I43" s="8">
        <f>2.8475 * CHOOSE(CONTROL!$C$14, $D$10, 100%, $F$10)</f>
        <v>2.8475000000000001</v>
      </c>
      <c r="J43" s="4">
        <f>2.756 * CHOOSE(CONTROL!$C$14, $D$10, 100%, $F$10)</f>
        <v>2.7559999999999998</v>
      </c>
      <c r="K43" s="4"/>
      <c r="L43" s="9">
        <v>30.092199999999998</v>
      </c>
      <c r="M43" s="9">
        <v>11.6745</v>
      </c>
      <c r="N43" s="9">
        <v>4.7850000000000001</v>
      </c>
      <c r="O43" s="9">
        <v>0.36199999999999999</v>
      </c>
      <c r="P43" s="9">
        <v>1.1791</v>
      </c>
      <c r="Q43" s="9">
        <v>24.098400000000002</v>
      </c>
      <c r="R43" s="9"/>
      <c r="S43" s="11"/>
    </row>
    <row r="44" spans="1:19" ht="15" customHeight="1">
      <c r="A44" s="13">
        <v>43221</v>
      </c>
      <c r="B44" s="8">
        <f>CHOOSE( CONTROL!$C$31, 2.882, 2.8791) * CHOOSE(CONTROL!$C$14, $D$10, 100%, $F$10)</f>
        <v>2.8820000000000001</v>
      </c>
      <c r="C44" s="8">
        <f>CHOOSE( CONTROL!$C$31, 2.89, 2.8871) * CHOOSE(CONTROL!$C$14, $D$10, 100%, $F$10)</f>
        <v>2.89</v>
      </c>
      <c r="D44" s="8">
        <f>CHOOSE( CONTROL!$C$31, 2.8947, 2.8917) * CHOOSE( CONTROL!$C$14, $D$10, 100%, $F$10)</f>
        <v>2.8946999999999998</v>
      </c>
      <c r="E44" s="12">
        <f>CHOOSE( CONTROL!$C$31, 2.8918, 2.8888) * CHOOSE( CONTROL!$C$14, $D$10, 100%, $F$10)</f>
        <v>2.8917999999999999</v>
      </c>
      <c r="F44" s="4">
        <f>CHOOSE( CONTROL!$C$31, 3.5636, 3.5607) * CHOOSE(CONTROL!$C$14, $D$10, 100%, $F$10)</f>
        <v>3.5636000000000001</v>
      </c>
      <c r="G44" s="8">
        <f>CHOOSE( CONTROL!$C$31, 2.8042, 2.8014) * CHOOSE( CONTROL!$C$14, $D$10, 100%, $F$10)</f>
        <v>2.8041999999999998</v>
      </c>
      <c r="H44" s="4">
        <f>CHOOSE( CONTROL!$C$31, 3.7333, 3.7304) * CHOOSE(CONTROL!$C$14, $D$10, 100%, $F$10)</f>
        <v>3.7332999999999998</v>
      </c>
      <c r="I44" s="8">
        <f>CHOOSE( CONTROL!$C$31, 2.8474, 2.8445) * CHOOSE(CONTROL!$C$14, $D$10, 100%, $F$10)</f>
        <v>2.8473999999999999</v>
      </c>
      <c r="J44" s="4">
        <f>CHOOSE( CONTROL!$C$31, 2.7548, 2.752) * CHOOSE(CONTROL!$C$14, $D$10, 100%, $F$10)</f>
        <v>2.7547999999999999</v>
      </c>
      <c r="K44" s="4"/>
      <c r="L44" s="9">
        <v>30.7165</v>
      </c>
      <c r="M44" s="9">
        <v>12.063700000000001</v>
      </c>
      <c r="N44" s="9">
        <v>4.9444999999999997</v>
      </c>
      <c r="O44" s="9">
        <v>0.37409999999999999</v>
      </c>
      <c r="P44" s="9">
        <v>1.2183999999999999</v>
      </c>
      <c r="Q44" s="9">
        <v>24.901700000000002</v>
      </c>
      <c r="R44" s="9"/>
      <c r="S44" s="11"/>
    </row>
    <row r="45" spans="1:19" ht="15" customHeight="1">
      <c r="A45" s="13">
        <v>43252</v>
      </c>
      <c r="B45" s="8">
        <f>CHOOSE( CONTROL!$C$31, 2.9162, 2.9132) * CHOOSE(CONTROL!$C$14, $D$10, 100%, $F$10)</f>
        <v>2.9161999999999999</v>
      </c>
      <c r="C45" s="8">
        <f>CHOOSE( CONTROL!$C$31, 2.9242, 2.9213) * CHOOSE(CONTROL!$C$14, $D$10, 100%, $F$10)</f>
        <v>2.9241999999999999</v>
      </c>
      <c r="D45" s="8">
        <f>CHOOSE( CONTROL!$C$31, 2.9291, 2.9261) * CHOOSE( CONTROL!$C$14, $D$10, 100%, $F$10)</f>
        <v>2.9291</v>
      </c>
      <c r="E45" s="12">
        <f>CHOOSE( CONTROL!$C$31, 2.9261, 2.9231) * CHOOSE( CONTROL!$C$14, $D$10, 100%, $F$10)</f>
        <v>2.9260999999999999</v>
      </c>
      <c r="F45" s="4">
        <f>CHOOSE( CONTROL!$C$31, 3.5977, 3.5948) * CHOOSE(CONTROL!$C$14, $D$10, 100%, $F$10)</f>
        <v>3.5977000000000001</v>
      </c>
      <c r="G45" s="8">
        <f>CHOOSE( CONTROL!$C$31, 2.8382, 2.8353) * CHOOSE( CONTROL!$C$14, $D$10, 100%, $F$10)</f>
        <v>2.8382000000000001</v>
      </c>
      <c r="H45" s="4">
        <f>CHOOSE( CONTROL!$C$31, 3.7668, 3.7639) * CHOOSE(CONTROL!$C$14, $D$10, 100%, $F$10)</f>
        <v>3.7667999999999999</v>
      </c>
      <c r="I45" s="8">
        <f>CHOOSE( CONTROL!$C$31, 2.8816, 2.8788) * CHOOSE(CONTROL!$C$14, $D$10, 100%, $F$10)</f>
        <v>2.8816000000000002</v>
      </c>
      <c r="J45" s="4">
        <f>CHOOSE( CONTROL!$C$31, 2.7878, 2.785) * CHOOSE(CONTROL!$C$14, $D$10, 100%, $F$10)</f>
        <v>2.7877999999999998</v>
      </c>
      <c r="K45" s="4"/>
      <c r="L45" s="9">
        <v>29.7257</v>
      </c>
      <c r="M45" s="9">
        <v>11.6745</v>
      </c>
      <c r="N45" s="9">
        <v>4.7850000000000001</v>
      </c>
      <c r="O45" s="9">
        <v>0.36199999999999999</v>
      </c>
      <c r="P45" s="9">
        <v>1.1791</v>
      </c>
      <c r="Q45" s="9">
        <v>24.098400000000002</v>
      </c>
      <c r="R45" s="9"/>
      <c r="S45" s="11"/>
    </row>
    <row r="46" spans="1:19" ht="15" customHeight="1">
      <c r="A46" s="13">
        <v>43282</v>
      </c>
      <c r="B46" s="8">
        <f>CHOOSE( CONTROL!$C$31, 2.9544, 2.9515) * CHOOSE(CONTROL!$C$14, $D$10, 100%, $F$10)</f>
        <v>2.9544000000000001</v>
      </c>
      <c r="C46" s="8">
        <f>CHOOSE( CONTROL!$C$31, 2.9625, 2.9595) * CHOOSE(CONTROL!$C$14, $D$10, 100%, $F$10)</f>
        <v>2.9624999999999999</v>
      </c>
      <c r="D46" s="8">
        <f>CHOOSE( CONTROL!$C$31, 2.9676, 2.9647) * CHOOSE( CONTROL!$C$14, $D$10, 100%, $F$10)</f>
        <v>2.9676</v>
      </c>
      <c r="E46" s="12">
        <f>CHOOSE( CONTROL!$C$31, 2.9645, 2.9616) * CHOOSE( CONTROL!$C$14, $D$10, 100%, $F$10)</f>
        <v>2.9645000000000001</v>
      </c>
      <c r="F46" s="4">
        <f>CHOOSE( CONTROL!$C$31, 3.636, 3.6331) * CHOOSE(CONTROL!$C$14, $D$10, 100%, $F$10)</f>
        <v>3.6360000000000001</v>
      </c>
      <c r="G46" s="8">
        <f>CHOOSE( CONTROL!$C$31, 2.8762, 2.8733) * CHOOSE( CONTROL!$C$14, $D$10, 100%, $F$10)</f>
        <v>2.8761999999999999</v>
      </c>
      <c r="H46" s="4">
        <f>CHOOSE( CONTROL!$C$31, 3.8045, 3.8016) * CHOOSE(CONTROL!$C$14, $D$10, 100%, $F$10)</f>
        <v>3.8045</v>
      </c>
      <c r="I46" s="8">
        <f>CHOOSE( CONTROL!$C$31, 2.9198, 2.917) * CHOOSE(CONTROL!$C$14, $D$10, 100%, $F$10)</f>
        <v>2.9198</v>
      </c>
      <c r="J46" s="4">
        <f>CHOOSE( CONTROL!$C$31, 2.8248, 2.822) * CHOOSE(CONTROL!$C$14, $D$10, 100%, $F$10)</f>
        <v>2.8248000000000002</v>
      </c>
      <c r="K46" s="4"/>
      <c r="L46" s="9">
        <v>30.7165</v>
      </c>
      <c r="M46" s="9">
        <v>12.063700000000001</v>
      </c>
      <c r="N46" s="9">
        <v>4.9444999999999997</v>
      </c>
      <c r="O46" s="9">
        <v>0.37409999999999999</v>
      </c>
      <c r="P46" s="9">
        <v>1.2183999999999999</v>
      </c>
      <c r="Q46" s="9">
        <v>24.901700000000002</v>
      </c>
      <c r="R46" s="9"/>
      <c r="S46" s="11"/>
    </row>
    <row r="47" spans="1:19" ht="15" customHeight="1">
      <c r="A47" s="13">
        <v>43313</v>
      </c>
      <c r="B47" s="8">
        <f>CHOOSE( CONTROL!$C$31, 2.9689, 2.966) * CHOOSE(CONTROL!$C$14, $D$10, 100%, $F$10)</f>
        <v>2.9689000000000001</v>
      </c>
      <c r="C47" s="8">
        <f>CHOOSE( CONTROL!$C$31, 2.9769, 2.974) * CHOOSE(CONTROL!$C$14, $D$10, 100%, $F$10)</f>
        <v>2.9769000000000001</v>
      </c>
      <c r="D47" s="8">
        <f>CHOOSE( CONTROL!$C$31, 2.9821, 2.9792) * CHOOSE( CONTROL!$C$14, $D$10, 100%, $F$10)</f>
        <v>2.9821</v>
      </c>
      <c r="E47" s="12">
        <f>CHOOSE( CONTROL!$C$31, 2.979, 2.9761) * CHOOSE( CONTROL!$C$14, $D$10, 100%, $F$10)</f>
        <v>2.9790000000000001</v>
      </c>
      <c r="F47" s="4">
        <f>CHOOSE( CONTROL!$C$31, 3.6505, 3.6475) * CHOOSE(CONTROL!$C$14, $D$10, 100%, $F$10)</f>
        <v>3.6505000000000001</v>
      </c>
      <c r="G47" s="8">
        <f>CHOOSE( CONTROL!$C$31, 2.8906, 2.8877) * CHOOSE( CONTROL!$C$14, $D$10, 100%, $F$10)</f>
        <v>2.8906000000000001</v>
      </c>
      <c r="H47" s="4">
        <f>CHOOSE( CONTROL!$C$31, 3.8187, 3.8158) * CHOOSE(CONTROL!$C$14, $D$10, 100%, $F$10)</f>
        <v>3.8187000000000002</v>
      </c>
      <c r="I47" s="8">
        <f>CHOOSE( CONTROL!$C$31, 2.9342, 2.9314) * CHOOSE(CONTROL!$C$14, $D$10, 100%, $F$10)</f>
        <v>2.9342000000000001</v>
      </c>
      <c r="J47" s="4">
        <f>CHOOSE( CONTROL!$C$31, 2.8388, 2.836) * CHOOSE(CONTROL!$C$14, $D$10, 100%, $F$10)</f>
        <v>2.8388</v>
      </c>
      <c r="K47" s="4"/>
      <c r="L47" s="9">
        <v>30.7165</v>
      </c>
      <c r="M47" s="9">
        <v>12.063700000000001</v>
      </c>
      <c r="N47" s="9">
        <v>4.9444999999999997</v>
      </c>
      <c r="O47" s="9">
        <v>0.37409999999999999</v>
      </c>
      <c r="P47" s="9">
        <v>1.2183999999999999</v>
      </c>
      <c r="Q47" s="9">
        <v>24.901700000000002</v>
      </c>
      <c r="R47" s="9"/>
      <c r="S47" s="11"/>
    </row>
    <row r="48" spans="1:19" ht="15" customHeight="1">
      <c r="A48" s="13">
        <v>43344</v>
      </c>
      <c r="B48" s="8">
        <f>CHOOSE( CONTROL!$C$31, 2.9627, 2.9598) * CHOOSE(CONTROL!$C$14, $D$10, 100%, $F$10)</f>
        <v>2.9626999999999999</v>
      </c>
      <c r="C48" s="8">
        <f>CHOOSE( CONTROL!$C$31, 2.9707, 2.9678) * CHOOSE(CONTROL!$C$14, $D$10, 100%, $F$10)</f>
        <v>2.9706999999999999</v>
      </c>
      <c r="D48" s="8">
        <f>CHOOSE( CONTROL!$C$31, 2.9759, 2.973) * CHOOSE( CONTROL!$C$14, $D$10, 100%, $F$10)</f>
        <v>2.9759000000000002</v>
      </c>
      <c r="E48" s="12">
        <f>CHOOSE( CONTROL!$C$31, 2.9728, 2.9699) * CHOOSE( CONTROL!$C$14, $D$10, 100%, $F$10)</f>
        <v>2.9727999999999999</v>
      </c>
      <c r="F48" s="4">
        <f>CHOOSE( CONTROL!$C$31, 3.6443, 3.6413) * CHOOSE(CONTROL!$C$14, $D$10, 100%, $F$10)</f>
        <v>3.6442999999999999</v>
      </c>
      <c r="G48" s="8">
        <f>CHOOSE( CONTROL!$C$31, 2.8844, 2.8816) * CHOOSE( CONTROL!$C$14, $D$10, 100%, $F$10)</f>
        <v>2.8843999999999999</v>
      </c>
      <c r="H48" s="4">
        <f>CHOOSE( CONTROL!$C$31, 3.8126, 3.8097) * CHOOSE(CONTROL!$C$14, $D$10, 100%, $F$10)</f>
        <v>3.8126000000000002</v>
      </c>
      <c r="I48" s="8">
        <f>CHOOSE( CONTROL!$C$31, 2.9281, 2.9253) * CHOOSE(CONTROL!$C$14, $D$10, 100%, $F$10)</f>
        <v>2.9281000000000001</v>
      </c>
      <c r="J48" s="4">
        <f>CHOOSE( CONTROL!$C$31, 2.8328, 2.83) * CHOOSE(CONTROL!$C$14, $D$10, 100%, $F$10)</f>
        <v>2.8328000000000002</v>
      </c>
      <c r="K48" s="4"/>
      <c r="L48" s="9">
        <v>29.7257</v>
      </c>
      <c r="M48" s="9">
        <v>11.6745</v>
      </c>
      <c r="N48" s="9">
        <v>4.7850000000000001</v>
      </c>
      <c r="O48" s="9">
        <v>0.36199999999999999</v>
      </c>
      <c r="P48" s="9">
        <v>1.1791</v>
      </c>
      <c r="Q48" s="9">
        <v>24.098400000000002</v>
      </c>
      <c r="R48" s="9"/>
      <c r="S48" s="11"/>
    </row>
    <row r="49" spans="1:19" ht="15" customHeight="1">
      <c r="A49" s="13">
        <v>43374</v>
      </c>
      <c r="B49" s="8">
        <f>2.985 * CHOOSE(CONTROL!$C$14, $D$10, 100%, $F$10)</f>
        <v>2.9849999999999999</v>
      </c>
      <c r="C49" s="8">
        <f>2.9903 * CHOOSE(CONTROL!$C$14, $D$10, 100%, $F$10)</f>
        <v>2.9903</v>
      </c>
      <c r="D49" s="8">
        <f>3.0003 * CHOOSE( CONTROL!$C$14, $D$10, 100%, $F$10)</f>
        <v>3.0003000000000002</v>
      </c>
      <c r="E49" s="12">
        <f>2.9964 * CHOOSE( CONTROL!$C$14, $D$10, 100%, $F$10)</f>
        <v>2.9964</v>
      </c>
      <c r="F49" s="4">
        <f>3.6682 * CHOOSE(CONTROL!$C$14, $D$10, 100%, $F$10)</f>
        <v>3.6682000000000001</v>
      </c>
      <c r="G49" s="8">
        <f>2.9077 * CHOOSE( CONTROL!$C$14, $D$10, 100%, $F$10)</f>
        <v>2.9077000000000002</v>
      </c>
      <c r="H49" s="4">
        <f>3.8362 * CHOOSE(CONTROL!$C$14, $D$10, 100%, $F$10)</f>
        <v>3.8361999999999998</v>
      </c>
      <c r="I49" s="8">
        <f>2.9521 * CHOOSE(CONTROL!$C$14, $D$10, 100%, $F$10)</f>
        <v>2.9521000000000002</v>
      </c>
      <c r="J49" s="4">
        <f>2.856 * CHOOSE(CONTROL!$C$14, $D$10, 100%, $F$10)</f>
        <v>2.8559999999999999</v>
      </c>
      <c r="K49" s="4"/>
      <c r="L49" s="9">
        <v>31.095300000000002</v>
      </c>
      <c r="M49" s="9">
        <v>12.063700000000001</v>
      </c>
      <c r="N49" s="9">
        <v>4.9444999999999997</v>
      </c>
      <c r="O49" s="9">
        <v>0.37409999999999999</v>
      </c>
      <c r="P49" s="9">
        <v>1.2183999999999999</v>
      </c>
      <c r="Q49" s="9">
        <v>24.901700000000002</v>
      </c>
      <c r="R49" s="9"/>
      <c r="S49" s="11"/>
    </row>
    <row r="50" spans="1:19" ht="15" customHeight="1">
      <c r="A50" s="13">
        <v>43405</v>
      </c>
      <c r="B50" s="8">
        <f>3.0621 * CHOOSE(CONTROL!$C$14, $D$10, 100%, $F$10)</f>
        <v>3.0621</v>
      </c>
      <c r="C50" s="8">
        <f>3.0673 * CHOOSE(CONTROL!$C$14, $D$10, 100%, $F$10)</f>
        <v>3.0672999999999999</v>
      </c>
      <c r="D50" s="8">
        <f>3.0435 * CHOOSE( CONTROL!$C$14, $D$10, 100%, $F$10)</f>
        <v>3.0434999999999999</v>
      </c>
      <c r="E50" s="12">
        <f>3.0516 * CHOOSE( CONTROL!$C$14, $D$10, 100%, $F$10)</f>
        <v>3.0516000000000001</v>
      </c>
      <c r="F50" s="4">
        <f>3.7096 * CHOOSE(CONTROL!$C$14, $D$10, 100%, $F$10)</f>
        <v>3.7096</v>
      </c>
      <c r="G50" s="8">
        <f>2.9937 * CHOOSE( CONTROL!$C$14, $D$10, 100%, $F$10)</f>
        <v>2.9937</v>
      </c>
      <c r="H50" s="4">
        <f>3.8769 * CHOOSE(CONTROL!$C$14, $D$10, 100%, $F$10)</f>
        <v>3.8769</v>
      </c>
      <c r="I50" s="8">
        <f>3.0576 * CHOOSE(CONTROL!$C$14, $D$10, 100%, $F$10)</f>
        <v>3.0575999999999999</v>
      </c>
      <c r="J50" s="4">
        <f>2.931 * CHOOSE(CONTROL!$C$14, $D$10, 100%, $F$10)</f>
        <v>2.931</v>
      </c>
      <c r="K50" s="4"/>
      <c r="L50" s="9">
        <v>28.360600000000002</v>
      </c>
      <c r="M50" s="9">
        <v>11.6745</v>
      </c>
      <c r="N50" s="9">
        <v>4.7850000000000001</v>
      </c>
      <c r="O50" s="9">
        <v>0.36199999999999999</v>
      </c>
      <c r="P50" s="9">
        <v>1.2509999999999999</v>
      </c>
      <c r="Q50" s="9">
        <v>24.098400000000002</v>
      </c>
      <c r="R50" s="9"/>
      <c r="S50" s="11"/>
    </row>
    <row r="51" spans="1:19" ht="15" customHeight="1">
      <c r="A51" s="13">
        <v>43435</v>
      </c>
      <c r="B51" s="8">
        <f>3.2121 * CHOOSE(CONTROL!$C$14, $D$10, 100%, $F$10)</f>
        <v>3.2121</v>
      </c>
      <c r="C51" s="8">
        <f>3.2173 * CHOOSE(CONTROL!$C$14, $D$10, 100%, $F$10)</f>
        <v>3.2172999999999998</v>
      </c>
      <c r="D51" s="8">
        <f>3.1948 * CHOOSE( CONTROL!$C$14, $D$10, 100%, $F$10)</f>
        <v>3.1947999999999999</v>
      </c>
      <c r="E51" s="12">
        <f>3.2025 * CHOOSE( CONTROL!$C$14, $D$10, 100%, $F$10)</f>
        <v>3.2025000000000001</v>
      </c>
      <c r="F51" s="4">
        <f>3.8596 * CHOOSE(CONTROL!$C$14, $D$10, 100%, $F$10)</f>
        <v>3.8595999999999999</v>
      </c>
      <c r="G51" s="8">
        <f>3.1423 * CHOOSE( CONTROL!$C$14, $D$10, 100%, $F$10)</f>
        <v>3.1423000000000001</v>
      </c>
      <c r="H51" s="4">
        <f>4.0244 * CHOOSE(CONTROL!$C$14, $D$10, 100%, $F$10)</f>
        <v>4.0244</v>
      </c>
      <c r="I51" s="8">
        <f>3.2071 * CHOOSE(CONTROL!$C$14, $D$10, 100%, $F$10)</f>
        <v>3.2071000000000001</v>
      </c>
      <c r="J51" s="4">
        <f>3.076 * CHOOSE(CONTROL!$C$14, $D$10, 100%, $F$10)</f>
        <v>3.0760000000000001</v>
      </c>
      <c r="K51" s="4"/>
      <c r="L51" s="9">
        <v>29.306000000000001</v>
      </c>
      <c r="M51" s="9">
        <v>12.063700000000001</v>
      </c>
      <c r="N51" s="9">
        <v>4.9444999999999997</v>
      </c>
      <c r="O51" s="9">
        <v>0.37409999999999999</v>
      </c>
      <c r="P51" s="9">
        <v>1.2927</v>
      </c>
      <c r="Q51" s="9">
        <v>24.901700000000002</v>
      </c>
      <c r="R51" s="9"/>
      <c r="S51" s="11"/>
    </row>
    <row r="52" spans="1:19" ht="15" customHeight="1">
      <c r="A52" s="13">
        <v>43466</v>
      </c>
      <c r="B52" s="8">
        <f>3.9516 * CHOOSE(CONTROL!$C$14, $D$10, 100%, $F$10)</f>
        <v>3.9516</v>
      </c>
      <c r="C52" s="8">
        <f>3.9567 * CHOOSE(CONTROL!$C$14, $D$10, 100%, $F$10)</f>
        <v>3.9567000000000001</v>
      </c>
      <c r="D52" s="8">
        <f>3.9525 * CHOOSE( CONTROL!$C$14, $D$10, 100%, $F$10)</f>
        <v>3.9525000000000001</v>
      </c>
      <c r="E52" s="12">
        <f>3.9535 * CHOOSE( CONTROL!$C$14, $D$10, 100%, $F$10)</f>
        <v>3.9535</v>
      </c>
      <c r="F52" s="4">
        <f>4.6301 * CHOOSE(CONTROL!$C$14, $D$10, 100%, $F$10)</f>
        <v>4.6300999999999997</v>
      </c>
      <c r="G52" s="8">
        <f>3.8837 * CHOOSE( CONTROL!$C$14, $D$10, 100%, $F$10)</f>
        <v>3.8837000000000002</v>
      </c>
      <c r="H52" s="4">
        <f>4.7821 * CHOOSE(CONTROL!$C$14, $D$10, 100%, $F$10)</f>
        <v>4.7820999999999998</v>
      </c>
      <c r="I52" s="8">
        <f>3.9013 * CHOOSE(CONTROL!$C$14, $D$10, 100%, $F$10)</f>
        <v>3.9013</v>
      </c>
      <c r="J52" s="4">
        <f>3.7909 * CHOOSE(CONTROL!$C$14, $D$10, 100%, $F$10)</f>
        <v>3.7909000000000002</v>
      </c>
      <c r="K52" s="4"/>
      <c r="L52" s="9">
        <v>29.306000000000001</v>
      </c>
      <c r="M52" s="9">
        <v>12.063700000000001</v>
      </c>
      <c r="N52" s="9">
        <v>4.9444999999999997</v>
      </c>
      <c r="O52" s="9">
        <v>0.37409999999999999</v>
      </c>
      <c r="P52" s="9">
        <v>1.2927</v>
      </c>
      <c r="Q52" s="9">
        <v>24.651199999999999</v>
      </c>
      <c r="R52" s="9"/>
      <c r="S52" s="11"/>
    </row>
    <row r="53" spans="1:19" ht="15" customHeight="1">
      <c r="A53" s="13">
        <v>43497</v>
      </c>
      <c r="B53" s="8">
        <f>3.6981 * CHOOSE(CONTROL!$C$14, $D$10, 100%, $F$10)</f>
        <v>3.6981000000000002</v>
      </c>
      <c r="C53" s="8">
        <f>3.7032 * CHOOSE(CONTROL!$C$14, $D$10, 100%, $F$10)</f>
        <v>3.7031999999999998</v>
      </c>
      <c r="D53" s="8">
        <f>3.6931 * CHOOSE( CONTROL!$C$14, $D$10, 100%, $F$10)</f>
        <v>3.6930999999999998</v>
      </c>
      <c r="E53" s="12">
        <f>3.6962 * CHOOSE( CONTROL!$C$14, $D$10, 100%, $F$10)</f>
        <v>3.6962000000000002</v>
      </c>
      <c r="F53" s="4">
        <f>4.3508 * CHOOSE(CONTROL!$C$14, $D$10, 100%, $F$10)</f>
        <v>4.3507999999999996</v>
      </c>
      <c r="G53" s="8">
        <f>3.6263 * CHOOSE( CONTROL!$C$14, $D$10, 100%, $F$10)</f>
        <v>3.6263000000000001</v>
      </c>
      <c r="H53" s="4">
        <f>4.5074 * CHOOSE(CONTROL!$C$14, $D$10, 100%, $F$10)</f>
        <v>4.5073999999999996</v>
      </c>
      <c r="I53" s="8">
        <f>3.6468 * CHOOSE(CONTROL!$C$14, $D$10, 100%, $F$10)</f>
        <v>3.6467999999999998</v>
      </c>
      <c r="J53" s="4">
        <f>3.5458 * CHOOSE(CONTROL!$C$14, $D$10, 100%, $F$10)</f>
        <v>3.5457999999999998</v>
      </c>
      <c r="K53" s="4"/>
      <c r="L53" s="9">
        <v>26.469899999999999</v>
      </c>
      <c r="M53" s="9">
        <v>10.8962</v>
      </c>
      <c r="N53" s="9">
        <v>4.4660000000000002</v>
      </c>
      <c r="O53" s="9">
        <v>0.33789999999999998</v>
      </c>
      <c r="P53" s="9">
        <v>1.1676</v>
      </c>
      <c r="Q53" s="9">
        <v>22.265599999999999</v>
      </c>
      <c r="R53" s="9"/>
      <c r="S53" s="11"/>
    </row>
    <row r="54" spans="1:19" ht="15" customHeight="1">
      <c r="A54" s="13">
        <v>43525</v>
      </c>
      <c r="B54" s="8">
        <f>3.62 * CHOOSE(CONTROL!$C$14, $D$10, 100%, $F$10)</f>
        <v>3.62</v>
      </c>
      <c r="C54" s="8">
        <f>3.6251 * CHOOSE(CONTROL!$C$14, $D$10, 100%, $F$10)</f>
        <v>3.6251000000000002</v>
      </c>
      <c r="D54" s="8">
        <f>3.6086 * CHOOSE( CONTROL!$C$14, $D$10, 100%, $F$10)</f>
        <v>3.6086</v>
      </c>
      <c r="E54" s="12">
        <f>3.6141 * CHOOSE( CONTROL!$C$14, $D$10, 100%, $F$10)</f>
        <v>3.6141000000000001</v>
      </c>
      <c r="F54" s="4">
        <f>4.2727 * CHOOSE(CONTROL!$C$14, $D$10, 100%, $F$10)</f>
        <v>4.2727000000000004</v>
      </c>
      <c r="G54" s="8">
        <f>3.5413 * CHOOSE( CONTROL!$C$14, $D$10, 100%, $F$10)</f>
        <v>3.5413000000000001</v>
      </c>
      <c r="H54" s="4">
        <f>4.4306 * CHOOSE(CONTROL!$C$14, $D$10, 100%, $F$10)</f>
        <v>4.4306000000000001</v>
      </c>
      <c r="I54" s="8">
        <f>3.5512 * CHOOSE(CONTROL!$C$14, $D$10, 100%, $F$10)</f>
        <v>3.5512000000000001</v>
      </c>
      <c r="J54" s="4">
        <f>3.4703 * CHOOSE(CONTROL!$C$14, $D$10, 100%, $F$10)</f>
        <v>3.4702999999999999</v>
      </c>
      <c r="K54" s="4"/>
      <c r="L54" s="9">
        <v>29.306000000000001</v>
      </c>
      <c r="M54" s="9">
        <v>12.063700000000001</v>
      </c>
      <c r="N54" s="9">
        <v>4.9444999999999997</v>
      </c>
      <c r="O54" s="9">
        <v>0.37409999999999999</v>
      </c>
      <c r="P54" s="9">
        <v>1.2927</v>
      </c>
      <c r="Q54" s="9">
        <v>24.651199999999999</v>
      </c>
      <c r="R54" s="9"/>
      <c r="S54" s="11"/>
    </row>
    <row r="55" spans="1:19" ht="15" customHeight="1">
      <c r="A55" s="13">
        <v>43556</v>
      </c>
      <c r="B55" s="8">
        <f>3.6754 * CHOOSE(CONTROL!$C$14, $D$10, 100%, $F$10)</f>
        <v>3.6753999999999998</v>
      </c>
      <c r="C55" s="8">
        <f>3.6799 * CHOOSE(CONTROL!$C$14, $D$10, 100%, $F$10)</f>
        <v>3.6798999999999999</v>
      </c>
      <c r="D55" s="8">
        <f>3.6894 * CHOOSE( CONTROL!$C$14, $D$10, 100%, $F$10)</f>
        <v>3.6894</v>
      </c>
      <c r="E55" s="12">
        <f>3.6857 * CHOOSE( CONTROL!$C$14, $D$10, 100%, $F$10)</f>
        <v>3.6857000000000002</v>
      </c>
      <c r="F55" s="4">
        <f>4.3583 * CHOOSE(CONTROL!$C$14, $D$10, 100%, $F$10)</f>
        <v>4.3582999999999998</v>
      </c>
      <c r="G55" s="8">
        <f>3.5848 * CHOOSE( CONTROL!$C$14, $D$10, 100%, $F$10)</f>
        <v>3.5848</v>
      </c>
      <c r="H55" s="4">
        <f>4.5148 * CHOOSE(CONTROL!$C$14, $D$10, 100%, $F$10)</f>
        <v>4.5148000000000001</v>
      </c>
      <c r="I55" s="8">
        <f>3.6149 * CHOOSE(CONTROL!$C$14, $D$10, 100%, $F$10)</f>
        <v>3.6149</v>
      </c>
      <c r="J55" s="4">
        <f>3.5231 * CHOOSE(CONTROL!$C$14, $D$10, 100%, $F$10)</f>
        <v>3.5230999999999999</v>
      </c>
      <c r="K55" s="4"/>
      <c r="L55" s="9">
        <v>30.092199999999998</v>
      </c>
      <c r="M55" s="9">
        <v>11.6745</v>
      </c>
      <c r="N55" s="9">
        <v>4.7850000000000001</v>
      </c>
      <c r="O55" s="9">
        <v>0.36199999999999999</v>
      </c>
      <c r="P55" s="9">
        <v>1.1791</v>
      </c>
      <c r="Q55" s="9">
        <v>23.856000000000002</v>
      </c>
      <c r="R55" s="9"/>
      <c r="S55" s="11"/>
    </row>
    <row r="56" spans="1:19" ht="15" customHeight="1">
      <c r="A56" s="13">
        <v>43586</v>
      </c>
      <c r="B56" s="8">
        <f>CHOOSE( CONTROL!$C$31, 3.7768, 3.7738) * CHOOSE(CONTROL!$C$14, $D$10, 100%, $F$10)</f>
        <v>3.7768000000000002</v>
      </c>
      <c r="C56" s="8">
        <f>CHOOSE( CONTROL!$C$31, 3.7848, 3.7818) * CHOOSE(CONTROL!$C$14, $D$10, 100%, $F$10)</f>
        <v>3.7848000000000002</v>
      </c>
      <c r="D56" s="8">
        <f>CHOOSE( CONTROL!$C$31, 3.7894, 3.7865) * CHOOSE( CONTROL!$C$14, $D$10, 100%, $F$10)</f>
        <v>3.7894000000000001</v>
      </c>
      <c r="E56" s="12">
        <f>CHOOSE( CONTROL!$C$31, 3.7865, 3.7836) * CHOOSE( CONTROL!$C$14, $D$10, 100%, $F$10)</f>
        <v>3.7865000000000002</v>
      </c>
      <c r="F56" s="4">
        <f>CHOOSE( CONTROL!$C$31, 4.4583, 4.4554) * CHOOSE(CONTROL!$C$14, $D$10, 100%, $F$10)</f>
        <v>4.4583000000000004</v>
      </c>
      <c r="G56" s="8">
        <f>CHOOSE( CONTROL!$C$31, 3.6841, 3.6812) * CHOOSE( CONTROL!$C$14, $D$10, 100%, $F$10)</f>
        <v>3.6840999999999999</v>
      </c>
      <c r="H56" s="4">
        <f>CHOOSE( CONTROL!$C$31, 4.6131, 4.6103) * CHOOSE(CONTROL!$C$14, $D$10, 100%, $F$10)</f>
        <v>4.6131000000000002</v>
      </c>
      <c r="I56" s="8">
        <f>CHOOSE( CONTROL!$C$31, 3.7127, 3.7099) * CHOOSE(CONTROL!$C$14, $D$10, 100%, $F$10)</f>
        <v>3.7126999999999999</v>
      </c>
      <c r="J56" s="4">
        <f>CHOOSE( CONTROL!$C$31, 3.6198, 3.6169) * CHOOSE(CONTROL!$C$14, $D$10, 100%, $F$10)</f>
        <v>3.6198000000000001</v>
      </c>
      <c r="K56" s="4"/>
      <c r="L56" s="9">
        <v>30.7165</v>
      </c>
      <c r="M56" s="9">
        <v>12.063700000000001</v>
      </c>
      <c r="N56" s="9">
        <v>4.9444999999999997</v>
      </c>
      <c r="O56" s="9">
        <v>0.37409999999999999</v>
      </c>
      <c r="P56" s="9">
        <v>1.2183999999999999</v>
      </c>
      <c r="Q56" s="9">
        <v>24.651199999999999</v>
      </c>
      <c r="R56" s="9"/>
      <c r="S56" s="11"/>
    </row>
    <row r="57" spans="1:19" ht="15" customHeight="1">
      <c r="A57" s="13">
        <v>43617</v>
      </c>
      <c r="B57" s="8">
        <f>CHOOSE( CONTROL!$C$31, 3.7166, 3.7137) * CHOOSE(CONTROL!$C$14, $D$10, 100%, $F$10)</f>
        <v>3.7166000000000001</v>
      </c>
      <c r="C57" s="8">
        <f>CHOOSE( CONTROL!$C$31, 3.7246, 3.7217) * CHOOSE(CONTROL!$C$14, $D$10, 100%, $F$10)</f>
        <v>3.7246000000000001</v>
      </c>
      <c r="D57" s="8">
        <f>CHOOSE( CONTROL!$C$31, 3.7295, 3.7266) * CHOOSE( CONTROL!$C$14, $D$10, 100%, $F$10)</f>
        <v>3.7294999999999998</v>
      </c>
      <c r="E57" s="12">
        <f>CHOOSE( CONTROL!$C$31, 3.7265, 3.7236) * CHOOSE( CONTROL!$C$14, $D$10, 100%, $F$10)</f>
        <v>3.7265000000000001</v>
      </c>
      <c r="F57" s="4">
        <f>CHOOSE( CONTROL!$C$31, 4.3981, 4.3952) * CHOOSE(CONTROL!$C$14, $D$10, 100%, $F$10)</f>
        <v>4.3981000000000003</v>
      </c>
      <c r="G57" s="8">
        <f>CHOOSE( CONTROL!$C$31, 3.6254, 3.6225) * CHOOSE( CONTROL!$C$14, $D$10, 100%, $F$10)</f>
        <v>3.6254</v>
      </c>
      <c r="H57" s="4">
        <f>CHOOSE( CONTROL!$C$31, 4.554, 4.5511) * CHOOSE(CONTROL!$C$14, $D$10, 100%, $F$10)</f>
        <v>4.5540000000000003</v>
      </c>
      <c r="I57" s="8">
        <f>CHOOSE( CONTROL!$C$31, 3.6558, 3.6529) * CHOOSE(CONTROL!$C$14, $D$10, 100%, $F$10)</f>
        <v>3.6558000000000002</v>
      </c>
      <c r="J57" s="4">
        <f>CHOOSE( CONTROL!$C$31, 3.5616, 3.5588) * CHOOSE(CONTROL!$C$14, $D$10, 100%, $F$10)</f>
        <v>3.5615999999999999</v>
      </c>
      <c r="K57" s="4"/>
      <c r="L57" s="9">
        <v>29.7257</v>
      </c>
      <c r="M57" s="9">
        <v>11.6745</v>
      </c>
      <c r="N57" s="9">
        <v>4.7850000000000001</v>
      </c>
      <c r="O57" s="9">
        <v>0.36199999999999999</v>
      </c>
      <c r="P57" s="9">
        <v>1.1791</v>
      </c>
      <c r="Q57" s="9">
        <v>23.856000000000002</v>
      </c>
      <c r="R57" s="9"/>
      <c r="S57" s="11"/>
    </row>
    <row r="58" spans="1:19" ht="15" customHeight="1">
      <c r="A58" s="13">
        <v>43647</v>
      </c>
      <c r="B58" s="8">
        <f>CHOOSE( CONTROL!$C$31, 3.875, 3.8721) * CHOOSE(CONTROL!$C$14, $D$10, 100%, $F$10)</f>
        <v>3.875</v>
      </c>
      <c r="C58" s="8">
        <f>CHOOSE( CONTROL!$C$31, 3.883, 3.8801) * CHOOSE(CONTROL!$C$14, $D$10, 100%, $F$10)</f>
        <v>3.883</v>
      </c>
      <c r="D58" s="8">
        <f>CHOOSE( CONTROL!$C$31, 3.8881, 3.8852) * CHOOSE( CONTROL!$C$14, $D$10, 100%, $F$10)</f>
        <v>3.8881000000000001</v>
      </c>
      <c r="E58" s="12">
        <f>CHOOSE( CONTROL!$C$31, 3.885, 3.8821) * CHOOSE( CONTROL!$C$14, $D$10, 100%, $F$10)</f>
        <v>3.8849999999999998</v>
      </c>
      <c r="F58" s="4">
        <f>CHOOSE( CONTROL!$C$31, 4.5566, 4.5536) * CHOOSE(CONTROL!$C$14, $D$10, 100%, $F$10)</f>
        <v>4.5566000000000004</v>
      </c>
      <c r="G58" s="8">
        <f>CHOOSE( CONTROL!$C$31, 3.7815, 3.7786) * CHOOSE( CONTROL!$C$14, $D$10, 100%, $F$10)</f>
        <v>3.7814999999999999</v>
      </c>
      <c r="H58" s="4">
        <f>CHOOSE( CONTROL!$C$31, 4.7098, 4.7069) * CHOOSE(CONTROL!$C$14, $D$10, 100%, $F$10)</f>
        <v>4.7098000000000004</v>
      </c>
      <c r="I58" s="8">
        <f>CHOOSE( CONTROL!$C$31, 3.8101, 3.8073) * CHOOSE(CONTROL!$C$14, $D$10, 100%, $F$10)</f>
        <v>3.8100999999999998</v>
      </c>
      <c r="J58" s="4">
        <f>CHOOSE( CONTROL!$C$31, 3.7147, 3.7119) * CHOOSE(CONTROL!$C$14, $D$10, 100%, $F$10)</f>
        <v>3.7147000000000001</v>
      </c>
      <c r="K58" s="4"/>
      <c r="L58" s="9">
        <v>30.7165</v>
      </c>
      <c r="M58" s="9">
        <v>12.063700000000001</v>
      </c>
      <c r="N58" s="9">
        <v>4.9444999999999997</v>
      </c>
      <c r="O58" s="9">
        <v>0.37409999999999999</v>
      </c>
      <c r="P58" s="9">
        <v>1.2183999999999999</v>
      </c>
      <c r="Q58" s="9">
        <v>24.651199999999999</v>
      </c>
      <c r="R58" s="9"/>
      <c r="S58" s="11"/>
    </row>
    <row r="59" spans="1:19" ht="15" customHeight="1">
      <c r="A59" s="13">
        <v>43678</v>
      </c>
      <c r="B59" s="8">
        <f>CHOOSE( CONTROL!$C$31, 3.5786, 3.5757) * CHOOSE(CONTROL!$C$14, $D$10, 100%, $F$10)</f>
        <v>3.5785999999999998</v>
      </c>
      <c r="C59" s="8">
        <f>CHOOSE( CONTROL!$C$31, 3.5866, 3.5837) * CHOOSE(CONTROL!$C$14, $D$10, 100%, $F$10)</f>
        <v>3.5865999999999998</v>
      </c>
      <c r="D59" s="8">
        <f>CHOOSE( CONTROL!$C$31, 3.5918, 3.5889) * CHOOSE( CONTROL!$C$14, $D$10, 100%, $F$10)</f>
        <v>3.5918000000000001</v>
      </c>
      <c r="E59" s="12">
        <f>CHOOSE( CONTROL!$C$31, 3.5887, 3.5858) * CHOOSE( CONTROL!$C$14, $D$10, 100%, $F$10)</f>
        <v>3.5886999999999998</v>
      </c>
      <c r="F59" s="4">
        <f>CHOOSE( CONTROL!$C$31, 4.2602, 4.2572) * CHOOSE(CONTROL!$C$14, $D$10, 100%, $F$10)</f>
        <v>4.2602000000000002</v>
      </c>
      <c r="G59" s="8">
        <f>CHOOSE( CONTROL!$C$31, 3.4901, 3.4873) * CHOOSE( CONTROL!$C$14, $D$10, 100%, $F$10)</f>
        <v>3.4901</v>
      </c>
      <c r="H59" s="4">
        <f>CHOOSE( CONTROL!$C$31, 4.4183, 4.4154) * CHOOSE(CONTROL!$C$14, $D$10, 100%, $F$10)</f>
        <v>4.4183000000000003</v>
      </c>
      <c r="I59" s="8">
        <f>CHOOSE( CONTROL!$C$31, 3.5239, 3.521) * CHOOSE(CONTROL!$C$14, $D$10, 100%, $F$10)</f>
        <v>3.5238999999999998</v>
      </c>
      <c r="J59" s="4">
        <f>CHOOSE( CONTROL!$C$31, 3.4282, 3.4254) * CHOOSE(CONTROL!$C$14, $D$10, 100%, $F$10)</f>
        <v>3.4281999999999999</v>
      </c>
      <c r="K59" s="4"/>
      <c r="L59" s="9">
        <v>30.7165</v>
      </c>
      <c r="M59" s="9">
        <v>12.063700000000001</v>
      </c>
      <c r="N59" s="9">
        <v>4.9444999999999997</v>
      </c>
      <c r="O59" s="9">
        <v>0.37409999999999999</v>
      </c>
      <c r="P59" s="9">
        <v>1.2183999999999999</v>
      </c>
      <c r="Q59" s="9">
        <v>24.651199999999999</v>
      </c>
      <c r="R59" s="9"/>
      <c r="S59" s="11"/>
    </row>
    <row r="60" spans="1:19" ht="15" customHeight="1">
      <c r="A60" s="13">
        <v>43709</v>
      </c>
      <c r="B60" s="8">
        <f>CHOOSE( CONTROL!$C$31, 3.5044, 3.5015) * CHOOSE(CONTROL!$C$14, $D$10, 100%, $F$10)</f>
        <v>3.5044</v>
      </c>
      <c r="C60" s="8">
        <f>CHOOSE( CONTROL!$C$31, 3.5124, 3.5095) * CHOOSE(CONTROL!$C$14, $D$10, 100%, $F$10)</f>
        <v>3.5124</v>
      </c>
      <c r="D60" s="8">
        <f>CHOOSE( CONTROL!$C$31, 3.5176, 3.5147) * CHOOSE( CONTROL!$C$14, $D$10, 100%, $F$10)</f>
        <v>3.5175999999999998</v>
      </c>
      <c r="E60" s="12">
        <f>CHOOSE( CONTROL!$C$31, 3.5145, 3.5116) * CHOOSE( CONTROL!$C$14, $D$10, 100%, $F$10)</f>
        <v>3.5145</v>
      </c>
      <c r="F60" s="4">
        <f>CHOOSE( CONTROL!$C$31, 4.1859, 4.183) * CHOOSE(CONTROL!$C$14, $D$10, 100%, $F$10)</f>
        <v>4.1859000000000002</v>
      </c>
      <c r="G60" s="8">
        <f>CHOOSE( CONTROL!$C$31, 3.4171, 3.4142) * CHOOSE( CONTROL!$C$14, $D$10, 100%, $F$10)</f>
        <v>3.4171</v>
      </c>
      <c r="H60" s="4">
        <f>CHOOSE( CONTROL!$C$31, 4.3453, 4.3424) * CHOOSE(CONTROL!$C$14, $D$10, 100%, $F$10)</f>
        <v>4.3452999999999999</v>
      </c>
      <c r="I60" s="8">
        <f>CHOOSE( CONTROL!$C$31, 3.452, 3.4492) * CHOOSE(CONTROL!$C$14, $D$10, 100%, $F$10)</f>
        <v>3.452</v>
      </c>
      <c r="J60" s="4">
        <f>CHOOSE( CONTROL!$C$31, 3.3565, 3.3536) * CHOOSE(CONTROL!$C$14, $D$10, 100%, $F$10)</f>
        <v>3.3565</v>
      </c>
      <c r="K60" s="4"/>
      <c r="L60" s="9">
        <v>29.7257</v>
      </c>
      <c r="M60" s="9">
        <v>11.6745</v>
      </c>
      <c r="N60" s="9">
        <v>4.7850000000000001</v>
      </c>
      <c r="O60" s="9">
        <v>0.36199999999999999</v>
      </c>
      <c r="P60" s="9">
        <v>1.1791</v>
      </c>
      <c r="Q60" s="9">
        <v>23.856000000000002</v>
      </c>
      <c r="R60" s="9"/>
      <c r="S60" s="11"/>
    </row>
    <row r="61" spans="1:19" ht="15" customHeight="1">
      <c r="A61" s="13">
        <v>43739</v>
      </c>
      <c r="B61" s="8">
        <f>3.6538 * CHOOSE(CONTROL!$C$14, $D$10, 100%, $F$10)</f>
        <v>3.6537999999999999</v>
      </c>
      <c r="C61" s="8">
        <f>3.6592 * CHOOSE(CONTROL!$C$14, $D$10, 100%, $F$10)</f>
        <v>3.6591999999999998</v>
      </c>
      <c r="D61" s="8">
        <f>3.6692 * CHOOSE( CONTROL!$C$14, $D$10, 100%, $F$10)</f>
        <v>3.6692</v>
      </c>
      <c r="E61" s="12">
        <f>3.6653 * CHOOSE( CONTROL!$C$14, $D$10, 100%, $F$10)</f>
        <v>3.6652999999999998</v>
      </c>
      <c r="F61" s="4">
        <f>4.3371 * CHOOSE(CONTROL!$C$14, $D$10, 100%, $F$10)</f>
        <v>4.3371000000000004</v>
      </c>
      <c r="G61" s="8">
        <f>3.5655 * CHOOSE( CONTROL!$C$14, $D$10, 100%, $F$10)</f>
        <v>3.5655000000000001</v>
      </c>
      <c r="H61" s="4">
        <f>4.494 * CHOOSE(CONTROL!$C$14, $D$10, 100%, $F$10)</f>
        <v>4.4939999999999998</v>
      </c>
      <c r="I61" s="8">
        <f>3.5991 * CHOOSE(CONTROL!$C$14, $D$10, 100%, $F$10)</f>
        <v>3.5991</v>
      </c>
      <c r="J61" s="4">
        <f>3.5026 * CHOOSE(CONTROL!$C$14, $D$10, 100%, $F$10)</f>
        <v>3.5026000000000002</v>
      </c>
      <c r="K61" s="4"/>
      <c r="L61" s="9">
        <v>31.095300000000002</v>
      </c>
      <c r="M61" s="9">
        <v>12.063700000000001</v>
      </c>
      <c r="N61" s="9">
        <v>4.9444999999999997</v>
      </c>
      <c r="O61" s="9">
        <v>0.37409999999999999</v>
      </c>
      <c r="P61" s="9">
        <v>1.2183999999999999</v>
      </c>
      <c r="Q61" s="9">
        <v>24.651199999999999</v>
      </c>
      <c r="R61" s="9"/>
      <c r="S61" s="11"/>
    </row>
    <row r="62" spans="1:19" ht="15" customHeight="1">
      <c r="A62" s="13">
        <v>43770</v>
      </c>
      <c r="B62" s="8">
        <f>3.9379 * CHOOSE(CONTROL!$C$14, $D$10, 100%, $F$10)</f>
        <v>3.9379</v>
      </c>
      <c r="C62" s="8">
        <f>3.943 * CHOOSE(CONTROL!$C$14, $D$10, 100%, $F$10)</f>
        <v>3.9430000000000001</v>
      </c>
      <c r="D62" s="8">
        <f>3.9192 * CHOOSE( CONTROL!$C$14, $D$10, 100%, $F$10)</f>
        <v>3.9192</v>
      </c>
      <c r="E62" s="12">
        <f>3.9274 * CHOOSE( CONTROL!$C$14, $D$10, 100%, $F$10)</f>
        <v>3.9274</v>
      </c>
      <c r="F62" s="4">
        <f>4.5854 * CHOOSE(CONTROL!$C$14, $D$10, 100%, $F$10)</f>
        <v>4.5853999999999999</v>
      </c>
      <c r="G62" s="8">
        <f>3.855 * CHOOSE( CONTROL!$C$14, $D$10, 100%, $F$10)</f>
        <v>3.855</v>
      </c>
      <c r="H62" s="4">
        <f>4.7381 * CHOOSE(CONTROL!$C$14, $D$10, 100%, $F$10)</f>
        <v>4.7381000000000002</v>
      </c>
      <c r="I62" s="8">
        <f>3.9047 * CHOOSE(CONTROL!$C$14, $D$10, 100%, $F$10)</f>
        <v>3.9047000000000001</v>
      </c>
      <c r="J62" s="4">
        <f>3.7776 * CHOOSE(CONTROL!$C$14, $D$10, 100%, $F$10)</f>
        <v>3.7776000000000001</v>
      </c>
      <c r="K62" s="4"/>
      <c r="L62" s="9">
        <v>28.360600000000002</v>
      </c>
      <c r="M62" s="9">
        <v>11.6745</v>
      </c>
      <c r="N62" s="9">
        <v>4.7850000000000001</v>
      </c>
      <c r="O62" s="9">
        <v>0.36199999999999999</v>
      </c>
      <c r="P62" s="9">
        <v>1.2509999999999999</v>
      </c>
      <c r="Q62" s="9">
        <v>23.856000000000002</v>
      </c>
      <c r="R62" s="9"/>
      <c r="S62" s="11"/>
    </row>
    <row r="63" spans="1:19" ht="15.75">
      <c r="A63" s="13">
        <v>43800</v>
      </c>
      <c r="B63" s="8">
        <f>3.9308 * CHOOSE(CONTROL!$C$14, $D$10, 100%, $F$10)</f>
        <v>3.9308000000000001</v>
      </c>
      <c r="C63" s="8">
        <f>3.9359 * CHOOSE(CONTROL!$C$14, $D$10, 100%, $F$10)</f>
        <v>3.9359000000000002</v>
      </c>
      <c r="D63" s="8">
        <f>3.9135 * CHOOSE( CONTROL!$C$14, $D$10, 100%, $F$10)</f>
        <v>3.9135</v>
      </c>
      <c r="E63" s="12">
        <f>3.9211 * CHOOSE( CONTROL!$C$14, $D$10, 100%, $F$10)</f>
        <v>3.9211</v>
      </c>
      <c r="F63" s="4">
        <f>4.5783 * CHOOSE(CONTROL!$C$14, $D$10, 100%, $F$10)</f>
        <v>4.5782999999999996</v>
      </c>
      <c r="G63" s="8">
        <f>3.849 * CHOOSE( CONTROL!$C$14, $D$10, 100%, $F$10)</f>
        <v>3.8490000000000002</v>
      </c>
      <c r="H63" s="4">
        <f>4.7311 * CHOOSE(CONTROL!$C$14, $D$10, 100%, $F$10)</f>
        <v>4.7310999999999996</v>
      </c>
      <c r="I63" s="8">
        <f>3.9022 * CHOOSE(CONTROL!$C$14, $D$10, 100%, $F$10)</f>
        <v>3.9022000000000001</v>
      </c>
      <c r="J63" s="4">
        <f>3.7707 * CHOOSE(CONTROL!$C$14, $D$10, 100%, $F$10)</f>
        <v>3.7707000000000002</v>
      </c>
      <c r="K63" s="4"/>
      <c r="L63" s="9">
        <v>29.306000000000001</v>
      </c>
      <c r="M63" s="9">
        <v>12.063700000000001</v>
      </c>
      <c r="N63" s="9">
        <v>4.9444999999999997</v>
      </c>
      <c r="O63" s="9">
        <v>0.37409999999999999</v>
      </c>
      <c r="P63" s="9">
        <v>1.2927</v>
      </c>
      <c r="Q63" s="9">
        <v>24.651199999999999</v>
      </c>
      <c r="R63" s="9"/>
      <c r="S63" s="11"/>
    </row>
    <row r="64" spans="1:19" ht="15.75">
      <c r="A64" s="13">
        <v>43831</v>
      </c>
      <c r="B64" s="8">
        <f>4.0472 * CHOOSE(CONTROL!$C$14, $D$10, 100%, $F$10)</f>
        <v>4.0472000000000001</v>
      </c>
      <c r="C64" s="8">
        <f>4.0523 * CHOOSE(CONTROL!$C$14, $D$10, 100%, $F$10)</f>
        <v>4.0522999999999998</v>
      </c>
      <c r="D64" s="8">
        <f>4.0482 * CHOOSE( CONTROL!$C$14, $D$10, 100%, $F$10)</f>
        <v>4.0481999999999996</v>
      </c>
      <c r="E64" s="12">
        <f>4.0492 * CHOOSE( CONTROL!$C$14, $D$10, 100%, $F$10)</f>
        <v>4.0491999999999999</v>
      </c>
      <c r="F64" s="4">
        <f>4.7257 * CHOOSE(CONTROL!$C$14, $D$10, 100%, $F$10)</f>
        <v>4.7256999999999998</v>
      </c>
      <c r="G64" s="8">
        <f>3.9777 * CHOOSE( CONTROL!$C$14, $D$10, 100%, $F$10)</f>
        <v>3.9777</v>
      </c>
      <c r="H64" s="4">
        <f>4.8761 * CHOOSE(CONTROL!$C$14, $D$10, 100%, $F$10)</f>
        <v>4.8761000000000001</v>
      </c>
      <c r="I64" s="8">
        <f>3.9938 * CHOOSE(CONTROL!$C$14, $D$10, 100%, $F$10)</f>
        <v>3.9937999999999998</v>
      </c>
      <c r="J64" s="4">
        <f>3.8833 * CHOOSE(CONTROL!$C$14, $D$10, 100%, $F$10)</f>
        <v>3.8833000000000002</v>
      </c>
      <c r="K64" s="4"/>
      <c r="L64" s="9">
        <v>29.306000000000001</v>
      </c>
      <c r="M64" s="9">
        <v>12.063700000000001</v>
      </c>
      <c r="N64" s="9">
        <v>4.9444999999999997</v>
      </c>
      <c r="O64" s="9">
        <v>0.37409999999999999</v>
      </c>
      <c r="P64" s="9">
        <v>1.2927</v>
      </c>
      <c r="Q64" s="9">
        <v>22.150099999999998</v>
      </c>
      <c r="R64" s="9"/>
      <c r="S64" s="11"/>
    </row>
    <row r="65" spans="1:19" ht="15.75">
      <c r="A65" s="13">
        <v>43862</v>
      </c>
      <c r="B65" s="8">
        <f>3.7875 * CHOOSE(CONTROL!$C$14, $D$10, 100%, $F$10)</f>
        <v>3.7875000000000001</v>
      </c>
      <c r="C65" s="8">
        <f>3.7927 * CHOOSE(CONTROL!$C$14, $D$10, 100%, $F$10)</f>
        <v>3.7927</v>
      </c>
      <c r="D65" s="8">
        <f>3.7825 * CHOOSE( CONTROL!$C$14, $D$10, 100%, $F$10)</f>
        <v>3.7825000000000002</v>
      </c>
      <c r="E65" s="12">
        <f>3.7857 * CHOOSE( CONTROL!$C$14, $D$10, 100%, $F$10)</f>
        <v>3.7856999999999998</v>
      </c>
      <c r="F65" s="4">
        <f>4.4402 * CHOOSE(CONTROL!$C$14, $D$10, 100%, $F$10)</f>
        <v>4.4401999999999999</v>
      </c>
      <c r="G65" s="8">
        <f>3.7142 * CHOOSE( CONTROL!$C$14, $D$10, 100%, $F$10)</f>
        <v>3.7141999999999999</v>
      </c>
      <c r="H65" s="4">
        <f>4.5953 * CHOOSE(CONTROL!$C$14, $D$10, 100%, $F$10)</f>
        <v>4.5952999999999999</v>
      </c>
      <c r="I65" s="8">
        <f>3.7333 * CHOOSE(CONTROL!$C$14, $D$10, 100%, $F$10)</f>
        <v>3.7332999999999998</v>
      </c>
      <c r="J65" s="4">
        <f>3.6322 * CHOOSE(CONTROL!$C$14, $D$10, 100%, $F$10)</f>
        <v>3.6322000000000001</v>
      </c>
      <c r="K65" s="4"/>
      <c r="L65" s="9">
        <v>27.415299999999998</v>
      </c>
      <c r="M65" s="9">
        <v>11.285299999999999</v>
      </c>
      <c r="N65" s="9">
        <v>4.6254999999999997</v>
      </c>
      <c r="O65" s="9">
        <v>0.34989999999999999</v>
      </c>
      <c r="P65" s="9">
        <v>1.2093</v>
      </c>
      <c r="Q65" s="9">
        <v>20.7211</v>
      </c>
      <c r="R65" s="9"/>
      <c r="S65" s="11"/>
    </row>
    <row r="66" spans="1:19" ht="15.75">
      <c r="A66" s="13">
        <v>43891</v>
      </c>
      <c r="B66" s="8">
        <f>3.7076 * CHOOSE(CONTROL!$C$14, $D$10, 100%, $F$10)</f>
        <v>3.7075999999999998</v>
      </c>
      <c r="C66" s="8">
        <f>3.7127 * CHOOSE(CONTROL!$C$14, $D$10, 100%, $F$10)</f>
        <v>3.7126999999999999</v>
      </c>
      <c r="D66" s="8">
        <f>3.6961 * CHOOSE( CONTROL!$C$14, $D$10, 100%, $F$10)</f>
        <v>3.6960999999999999</v>
      </c>
      <c r="E66" s="12">
        <f>3.7016 * CHOOSE( CONTROL!$C$14, $D$10, 100%, $F$10)</f>
        <v>3.7016</v>
      </c>
      <c r="F66" s="4">
        <f>4.3602 * CHOOSE(CONTROL!$C$14, $D$10, 100%, $F$10)</f>
        <v>4.3601999999999999</v>
      </c>
      <c r="G66" s="8">
        <f>3.6274 * CHOOSE( CONTROL!$C$14, $D$10, 100%, $F$10)</f>
        <v>3.6274000000000002</v>
      </c>
      <c r="H66" s="4">
        <f>4.5167 * CHOOSE(CONTROL!$C$14, $D$10, 100%, $F$10)</f>
        <v>4.5167000000000002</v>
      </c>
      <c r="I66" s="8">
        <f>3.6358 * CHOOSE(CONTROL!$C$14, $D$10, 100%, $F$10)</f>
        <v>3.6358000000000001</v>
      </c>
      <c r="J66" s="4">
        <f>3.5549 * CHOOSE(CONTROL!$C$14, $D$10, 100%, $F$10)</f>
        <v>3.5548999999999999</v>
      </c>
      <c r="K66" s="4"/>
      <c r="L66" s="9">
        <v>29.306000000000001</v>
      </c>
      <c r="M66" s="9">
        <v>12.063700000000001</v>
      </c>
      <c r="N66" s="9">
        <v>4.9444999999999997</v>
      </c>
      <c r="O66" s="9">
        <v>0.37409999999999999</v>
      </c>
      <c r="P66" s="9">
        <v>1.2927</v>
      </c>
      <c r="Q66" s="9">
        <v>22.150099999999998</v>
      </c>
      <c r="R66" s="9"/>
      <c r="S66" s="11"/>
    </row>
    <row r="67" spans="1:19" ht="15.75">
      <c r="A67" s="13">
        <v>43922</v>
      </c>
      <c r="B67" s="8">
        <f>3.7642 * CHOOSE(CONTROL!$C$14, $D$10, 100%, $F$10)</f>
        <v>3.7642000000000002</v>
      </c>
      <c r="C67" s="8">
        <f>3.7688 * CHOOSE(CONTROL!$C$14, $D$10, 100%, $F$10)</f>
        <v>3.7688000000000001</v>
      </c>
      <c r="D67" s="8">
        <f>3.7783 * CHOOSE( CONTROL!$C$14, $D$10, 100%, $F$10)</f>
        <v>3.7783000000000002</v>
      </c>
      <c r="E67" s="12">
        <f>3.7746 * CHOOSE( CONTROL!$C$14, $D$10, 100%, $F$10)</f>
        <v>3.7746</v>
      </c>
      <c r="F67" s="4">
        <f>4.4471 * CHOOSE(CONTROL!$C$14, $D$10, 100%, $F$10)</f>
        <v>4.4470999999999998</v>
      </c>
      <c r="G67" s="8">
        <f>3.6722 * CHOOSE( CONTROL!$C$14, $D$10, 100%, $F$10)</f>
        <v>3.6722000000000001</v>
      </c>
      <c r="H67" s="4">
        <f>4.6021 * CHOOSE(CONTROL!$C$14, $D$10, 100%, $F$10)</f>
        <v>4.6021000000000001</v>
      </c>
      <c r="I67" s="8">
        <f>3.7008 * CHOOSE(CONTROL!$C$14, $D$10, 100%, $F$10)</f>
        <v>3.7008000000000001</v>
      </c>
      <c r="J67" s="4">
        <f>3.6089 * CHOOSE(CONTROL!$C$14, $D$10, 100%, $F$10)</f>
        <v>3.6089000000000002</v>
      </c>
      <c r="K67" s="4"/>
      <c r="L67" s="9">
        <v>30.092199999999998</v>
      </c>
      <c r="M67" s="9">
        <v>11.6745</v>
      </c>
      <c r="N67" s="9">
        <v>4.7850000000000001</v>
      </c>
      <c r="O67" s="9">
        <v>0.36199999999999999</v>
      </c>
      <c r="P67" s="9">
        <v>1.1791</v>
      </c>
      <c r="Q67" s="9">
        <v>21.435600000000001</v>
      </c>
      <c r="R67" s="9"/>
      <c r="S67" s="11"/>
    </row>
    <row r="68" spans="1:19" ht="15.75">
      <c r="A68" s="13">
        <v>43952</v>
      </c>
      <c r="B68" s="8">
        <f>CHOOSE( CONTROL!$C$31, 3.868, 3.865) * CHOOSE(CONTROL!$C$14, $D$10, 100%, $F$10)</f>
        <v>3.8679999999999999</v>
      </c>
      <c r="C68" s="8">
        <f>CHOOSE( CONTROL!$C$31, 3.876, 3.8731) * CHOOSE(CONTROL!$C$14, $D$10, 100%, $F$10)</f>
        <v>3.8759999999999999</v>
      </c>
      <c r="D68" s="8">
        <f>CHOOSE( CONTROL!$C$31, 3.8806, 3.8777) * CHOOSE( CONTROL!$C$14, $D$10, 100%, $F$10)</f>
        <v>3.8805999999999998</v>
      </c>
      <c r="E68" s="12">
        <f>CHOOSE( CONTROL!$C$31, 3.8777, 3.8748) * CHOOSE( CONTROL!$C$14, $D$10, 100%, $F$10)</f>
        <v>3.8776999999999999</v>
      </c>
      <c r="F68" s="4">
        <f>CHOOSE( CONTROL!$C$31, 4.5495, 4.5466) * CHOOSE(CONTROL!$C$14, $D$10, 100%, $F$10)</f>
        <v>4.5495000000000001</v>
      </c>
      <c r="G68" s="8">
        <f>CHOOSE( CONTROL!$C$31, 3.7738, 3.771) * CHOOSE( CONTROL!$C$14, $D$10, 100%, $F$10)</f>
        <v>3.7738</v>
      </c>
      <c r="H68" s="4">
        <f>CHOOSE( CONTROL!$C$31, 4.7028, 4.7) * CHOOSE(CONTROL!$C$14, $D$10, 100%, $F$10)</f>
        <v>4.7027999999999999</v>
      </c>
      <c r="I68" s="8">
        <f>CHOOSE( CONTROL!$C$31, 3.8009, 3.7981) * CHOOSE(CONTROL!$C$14, $D$10, 100%, $F$10)</f>
        <v>3.8008999999999999</v>
      </c>
      <c r="J68" s="4">
        <f>CHOOSE( CONTROL!$C$31, 3.7079, 3.7051) * CHOOSE(CONTROL!$C$14, $D$10, 100%, $F$10)</f>
        <v>3.7079</v>
      </c>
      <c r="K68" s="4"/>
      <c r="L68" s="9">
        <v>30.7165</v>
      </c>
      <c r="M68" s="9">
        <v>12.063700000000001</v>
      </c>
      <c r="N68" s="9">
        <v>4.9444999999999997</v>
      </c>
      <c r="O68" s="9">
        <v>0.37409999999999999</v>
      </c>
      <c r="P68" s="9">
        <v>1.2183999999999999</v>
      </c>
      <c r="Q68" s="9">
        <v>33.225200000000001</v>
      </c>
      <c r="R68" s="9"/>
      <c r="S68" s="11"/>
    </row>
    <row r="69" spans="1:19" ht="15.75">
      <c r="A69" s="13">
        <v>43983</v>
      </c>
      <c r="B69" s="8">
        <f>CHOOSE( CONTROL!$C$31, 3.8064, 3.8034) * CHOOSE(CONTROL!$C$14, $D$10, 100%, $F$10)</f>
        <v>3.8064</v>
      </c>
      <c r="C69" s="8">
        <f>CHOOSE( CONTROL!$C$31, 3.8144, 3.8114) * CHOOSE(CONTROL!$C$14, $D$10, 100%, $F$10)</f>
        <v>3.8144</v>
      </c>
      <c r="D69" s="8">
        <f>CHOOSE( CONTROL!$C$31, 3.8193, 3.8163) * CHOOSE( CONTROL!$C$14, $D$10, 100%, $F$10)</f>
        <v>3.8193000000000001</v>
      </c>
      <c r="E69" s="12">
        <f>CHOOSE( CONTROL!$C$31, 3.8163, 3.8133) * CHOOSE( CONTROL!$C$14, $D$10, 100%, $F$10)</f>
        <v>3.8163</v>
      </c>
      <c r="F69" s="4">
        <f>CHOOSE( CONTROL!$C$31, 4.4879, 4.485) * CHOOSE(CONTROL!$C$14, $D$10, 100%, $F$10)</f>
        <v>4.4878999999999998</v>
      </c>
      <c r="G69" s="8">
        <f>CHOOSE( CONTROL!$C$31, 3.7136, 3.7107) * CHOOSE( CONTROL!$C$14, $D$10, 100%, $F$10)</f>
        <v>3.7136</v>
      </c>
      <c r="H69" s="4">
        <f>CHOOSE( CONTROL!$C$31, 4.6422, 4.6394) * CHOOSE(CONTROL!$C$14, $D$10, 100%, $F$10)</f>
        <v>4.6421999999999999</v>
      </c>
      <c r="I69" s="8">
        <f>CHOOSE( CONTROL!$C$31, 3.7426, 3.7398) * CHOOSE(CONTROL!$C$14, $D$10, 100%, $F$10)</f>
        <v>3.7425999999999999</v>
      </c>
      <c r="J69" s="4">
        <f>CHOOSE( CONTROL!$C$31, 3.6484, 3.6455) * CHOOSE(CONTROL!$C$14, $D$10, 100%, $F$10)</f>
        <v>3.6484000000000001</v>
      </c>
      <c r="K69" s="4"/>
      <c r="L69" s="9">
        <v>29.7257</v>
      </c>
      <c r="M69" s="9">
        <v>11.6745</v>
      </c>
      <c r="N69" s="9">
        <v>4.7850000000000001</v>
      </c>
      <c r="O69" s="9">
        <v>0.36199999999999999</v>
      </c>
      <c r="P69" s="9">
        <v>1.1791</v>
      </c>
      <c r="Q69" s="9">
        <v>32.153399999999998</v>
      </c>
      <c r="R69" s="9"/>
      <c r="S69" s="11"/>
    </row>
    <row r="70" spans="1:19" ht="15.75">
      <c r="A70" s="13">
        <v>44013</v>
      </c>
      <c r="B70" s="8">
        <f>CHOOSE( CONTROL!$C$31, 3.9686, 3.9657) * CHOOSE(CONTROL!$C$14, $D$10, 100%, $F$10)</f>
        <v>3.9685999999999999</v>
      </c>
      <c r="C70" s="8">
        <f>CHOOSE( CONTROL!$C$31, 3.9766, 3.9737) * CHOOSE(CONTROL!$C$14, $D$10, 100%, $F$10)</f>
        <v>3.9765999999999999</v>
      </c>
      <c r="D70" s="8">
        <f>CHOOSE( CONTROL!$C$31, 3.9818, 3.9788) * CHOOSE( CONTROL!$C$14, $D$10, 100%, $F$10)</f>
        <v>3.9817999999999998</v>
      </c>
      <c r="E70" s="12">
        <f>CHOOSE( CONTROL!$C$31, 3.9787, 3.9757) * CHOOSE( CONTROL!$C$14, $D$10, 100%, $F$10)</f>
        <v>3.9786999999999999</v>
      </c>
      <c r="F70" s="4">
        <f>CHOOSE( CONTROL!$C$31, 4.6502, 4.6472) * CHOOSE(CONTROL!$C$14, $D$10, 100%, $F$10)</f>
        <v>4.6501999999999999</v>
      </c>
      <c r="G70" s="8">
        <f>CHOOSE( CONTROL!$C$31, 3.8736, 3.8707) * CHOOSE( CONTROL!$C$14, $D$10, 100%, $F$10)</f>
        <v>3.8736000000000002</v>
      </c>
      <c r="H70" s="4">
        <f>CHOOSE( CONTROL!$C$31, 4.8018, 4.799) * CHOOSE(CONTROL!$C$14, $D$10, 100%, $F$10)</f>
        <v>4.8018000000000001</v>
      </c>
      <c r="I70" s="8">
        <f>CHOOSE( CONTROL!$C$31, 3.9007, 3.8979) * CHOOSE(CONTROL!$C$14, $D$10, 100%, $F$10)</f>
        <v>3.9007000000000001</v>
      </c>
      <c r="J70" s="4">
        <f>CHOOSE( CONTROL!$C$31, 3.8052, 3.8024) * CHOOSE(CONTROL!$C$14, $D$10, 100%, $F$10)</f>
        <v>3.8052000000000001</v>
      </c>
      <c r="K70" s="4"/>
      <c r="L70" s="9">
        <v>30.7165</v>
      </c>
      <c r="M70" s="9">
        <v>12.063700000000001</v>
      </c>
      <c r="N70" s="9">
        <v>4.9444999999999997</v>
      </c>
      <c r="O70" s="9">
        <v>0.37409999999999999</v>
      </c>
      <c r="P70" s="9">
        <v>1.2183999999999999</v>
      </c>
      <c r="Q70" s="9">
        <v>33.225200000000001</v>
      </c>
      <c r="R70" s="9"/>
      <c r="S70" s="11"/>
    </row>
    <row r="71" spans="1:19" ht="15.75">
      <c r="A71" s="13">
        <v>44044</v>
      </c>
      <c r="B71" s="8">
        <f>CHOOSE( CONTROL!$C$31, 3.665, 3.6621) * CHOOSE(CONTROL!$C$14, $D$10, 100%, $F$10)</f>
        <v>3.665</v>
      </c>
      <c r="C71" s="8">
        <f>CHOOSE( CONTROL!$C$31, 3.673, 3.6701) * CHOOSE(CONTROL!$C$14, $D$10, 100%, $F$10)</f>
        <v>3.673</v>
      </c>
      <c r="D71" s="8">
        <f>CHOOSE( CONTROL!$C$31, 3.6782, 3.6753) * CHOOSE( CONTROL!$C$14, $D$10, 100%, $F$10)</f>
        <v>3.6781999999999999</v>
      </c>
      <c r="E71" s="12">
        <f>CHOOSE( CONTROL!$C$31, 3.6751, 3.6722) * CHOOSE( CONTROL!$C$14, $D$10, 100%, $F$10)</f>
        <v>3.6751</v>
      </c>
      <c r="F71" s="4">
        <f>CHOOSE( CONTROL!$C$31, 4.3465, 4.3436) * CHOOSE(CONTROL!$C$14, $D$10, 100%, $F$10)</f>
        <v>4.3464999999999998</v>
      </c>
      <c r="G71" s="8">
        <f>CHOOSE( CONTROL!$C$31, 3.5751, 3.5722) * CHOOSE( CONTROL!$C$14, $D$10, 100%, $F$10)</f>
        <v>3.5750999999999999</v>
      </c>
      <c r="H71" s="4">
        <f>CHOOSE( CONTROL!$C$31, 4.5032, 4.5004) * CHOOSE(CONTROL!$C$14, $D$10, 100%, $F$10)</f>
        <v>4.5031999999999996</v>
      </c>
      <c r="I71" s="8">
        <f>CHOOSE( CONTROL!$C$31, 3.6074, 3.6046) * CHOOSE(CONTROL!$C$14, $D$10, 100%, $F$10)</f>
        <v>3.6074000000000002</v>
      </c>
      <c r="J71" s="4">
        <f>CHOOSE( CONTROL!$C$31, 3.5117, 3.5089) * CHOOSE(CONTROL!$C$14, $D$10, 100%, $F$10)</f>
        <v>3.5116999999999998</v>
      </c>
      <c r="K71" s="4"/>
      <c r="L71" s="9">
        <v>30.7165</v>
      </c>
      <c r="M71" s="9">
        <v>12.063700000000001</v>
      </c>
      <c r="N71" s="9">
        <v>4.9444999999999997</v>
      </c>
      <c r="O71" s="9">
        <v>0.37409999999999999</v>
      </c>
      <c r="P71" s="9">
        <v>1.2183999999999999</v>
      </c>
      <c r="Q71" s="9">
        <v>33.225200000000001</v>
      </c>
      <c r="R71" s="9"/>
      <c r="S71" s="11"/>
    </row>
    <row r="72" spans="1:19" ht="15.75">
      <c r="A72" s="13">
        <v>44075</v>
      </c>
      <c r="B72" s="8">
        <f>CHOOSE( CONTROL!$C$31, 3.589, 3.586) * CHOOSE(CONTROL!$C$14, $D$10, 100%, $F$10)</f>
        <v>3.589</v>
      </c>
      <c r="C72" s="8">
        <f>CHOOSE( CONTROL!$C$31, 3.597, 3.5941) * CHOOSE(CONTROL!$C$14, $D$10, 100%, $F$10)</f>
        <v>3.597</v>
      </c>
      <c r="D72" s="8">
        <f>CHOOSE( CONTROL!$C$31, 3.6022, 3.5992) * CHOOSE( CONTROL!$C$14, $D$10, 100%, $F$10)</f>
        <v>3.6021999999999998</v>
      </c>
      <c r="E72" s="12">
        <f>CHOOSE( CONTROL!$C$31, 3.5991, 3.5961) * CHOOSE( CONTROL!$C$14, $D$10, 100%, $F$10)</f>
        <v>3.5991</v>
      </c>
      <c r="F72" s="4">
        <f>CHOOSE( CONTROL!$C$31, 4.2705, 4.2676) * CHOOSE(CONTROL!$C$14, $D$10, 100%, $F$10)</f>
        <v>4.2705000000000002</v>
      </c>
      <c r="G72" s="8">
        <f>CHOOSE( CONTROL!$C$31, 3.5003, 3.4974) * CHOOSE( CONTROL!$C$14, $D$10, 100%, $F$10)</f>
        <v>3.5003000000000002</v>
      </c>
      <c r="H72" s="4">
        <f>CHOOSE( CONTROL!$C$31, 4.4285, 4.4256) * CHOOSE(CONTROL!$C$14, $D$10, 100%, $F$10)</f>
        <v>4.4284999999999997</v>
      </c>
      <c r="I72" s="8">
        <f>CHOOSE( CONTROL!$C$31, 3.5338, 3.531) * CHOOSE(CONTROL!$C$14, $D$10, 100%, $F$10)</f>
        <v>3.5337999999999998</v>
      </c>
      <c r="J72" s="4">
        <f>CHOOSE( CONTROL!$C$31, 3.4382, 3.4354) * CHOOSE(CONTROL!$C$14, $D$10, 100%, $F$10)</f>
        <v>3.4382000000000001</v>
      </c>
      <c r="K72" s="4"/>
      <c r="L72" s="9">
        <v>29.7257</v>
      </c>
      <c r="M72" s="9">
        <v>11.6745</v>
      </c>
      <c r="N72" s="9">
        <v>4.7850000000000001</v>
      </c>
      <c r="O72" s="9">
        <v>0.36199999999999999</v>
      </c>
      <c r="P72" s="9">
        <v>1.1791</v>
      </c>
      <c r="Q72" s="9">
        <v>32.153399999999998</v>
      </c>
      <c r="R72" s="9"/>
      <c r="S72" s="11"/>
    </row>
    <row r="73" spans="1:19" ht="15.75">
      <c r="A73" s="13">
        <v>44105</v>
      </c>
      <c r="B73" s="8">
        <f>3.7422 * CHOOSE(CONTROL!$C$14, $D$10, 100%, $F$10)</f>
        <v>3.7422</v>
      </c>
      <c r="C73" s="8">
        <f>3.7476 * CHOOSE(CONTROL!$C$14, $D$10, 100%, $F$10)</f>
        <v>3.7475999999999998</v>
      </c>
      <c r="D73" s="8">
        <f>3.7575 * CHOOSE( CONTROL!$C$14, $D$10, 100%, $F$10)</f>
        <v>3.7574999999999998</v>
      </c>
      <c r="E73" s="12">
        <f>3.7537 * CHOOSE( CONTROL!$C$14, $D$10, 100%, $F$10)</f>
        <v>3.7536999999999998</v>
      </c>
      <c r="F73" s="4">
        <f>4.4255 * CHOOSE(CONTROL!$C$14, $D$10, 100%, $F$10)</f>
        <v>4.4255000000000004</v>
      </c>
      <c r="G73" s="8">
        <f>3.6523 * CHOOSE( CONTROL!$C$14, $D$10, 100%, $F$10)</f>
        <v>3.6522999999999999</v>
      </c>
      <c r="H73" s="4">
        <f>4.5808 * CHOOSE(CONTROL!$C$14, $D$10, 100%, $F$10)</f>
        <v>4.5808</v>
      </c>
      <c r="I73" s="8">
        <f>3.6845 * CHOOSE(CONTROL!$C$14, $D$10, 100%, $F$10)</f>
        <v>3.6844999999999999</v>
      </c>
      <c r="J73" s="4">
        <f>3.588 * CHOOSE(CONTROL!$C$14, $D$10, 100%, $F$10)</f>
        <v>3.5880000000000001</v>
      </c>
      <c r="K73" s="4"/>
      <c r="L73" s="9">
        <v>31.095300000000002</v>
      </c>
      <c r="M73" s="9">
        <v>12.063700000000001</v>
      </c>
      <c r="N73" s="9">
        <v>4.9444999999999997</v>
      </c>
      <c r="O73" s="9">
        <v>0.37409999999999999</v>
      </c>
      <c r="P73" s="9">
        <v>1.2183999999999999</v>
      </c>
      <c r="Q73" s="9">
        <v>33.225200000000001</v>
      </c>
      <c r="R73" s="9"/>
      <c r="S73" s="11"/>
    </row>
    <row r="74" spans="1:19" ht="15.75">
      <c r="A74" s="13">
        <v>44136</v>
      </c>
      <c r="B74" s="8">
        <f>4.0332 * CHOOSE(CONTROL!$C$14, $D$10, 100%, $F$10)</f>
        <v>4.0331999999999999</v>
      </c>
      <c r="C74" s="8">
        <f>4.0383 * CHOOSE(CONTROL!$C$14, $D$10, 100%, $F$10)</f>
        <v>4.0382999999999996</v>
      </c>
      <c r="D74" s="8">
        <f>4.0145 * CHOOSE( CONTROL!$C$14, $D$10, 100%, $F$10)</f>
        <v>4.0145</v>
      </c>
      <c r="E74" s="12">
        <f>4.0227 * CHOOSE( CONTROL!$C$14, $D$10, 100%, $F$10)</f>
        <v>4.0227000000000004</v>
      </c>
      <c r="F74" s="4">
        <f>4.6806 * CHOOSE(CONTROL!$C$14, $D$10, 100%, $F$10)</f>
        <v>4.6806000000000001</v>
      </c>
      <c r="G74" s="8">
        <f>3.9487 * CHOOSE( CONTROL!$C$14, $D$10, 100%, $F$10)</f>
        <v>3.9487000000000001</v>
      </c>
      <c r="H74" s="4">
        <f>4.8318 * CHOOSE(CONTROL!$C$14, $D$10, 100%, $F$10)</f>
        <v>4.8318000000000003</v>
      </c>
      <c r="I74" s="8">
        <f>3.9968 * CHOOSE(CONTROL!$C$14, $D$10, 100%, $F$10)</f>
        <v>3.9967999999999999</v>
      </c>
      <c r="J74" s="4">
        <f>3.8697 * CHOOSE(CONTROL!$C$14, $D$10, 100%, $F$10)</f>
        <v>3.8696999999999999</v>
      </c>
      <c r="K74" s="4"/>
      <c r="L74" s="9">
        <v>28.360600000000002</v>
      </c>
      <c r="M74" s="9">
        <v>11.6745</v>
      </c>
      <c r="N74" s="9">
        <v>4.7850000000000001</v>
      </c>
      <c r="O74" s="9">
        <v>0.36199999999999999</v>
      </c>
      <c r="P74" s="9">
        <v>1.2509999999999999</v>
      </c>
      <c r="Q74" s="9">
        <v>32.153399999999998</v>
      </c>
      <c r="R74" s="9"/>
      <c r="S74" s="11"/>
    </row>
    <row r="75" spans="1:19" ht="15.75">
      <c r="A75" s="13">
        <v>44166</v>
      </c>
      <c r="B75" s="8">
        <f>4.0259 * CHOOSE(CONTROL!$C$14, $D$10, 100%, $F$10)</f>
        <v>4.0259</v>
      </c>
      <c r="C75" s="8">
        <f>4.031 * CHOOSE(CONTROL!$C$14, $D$10, 100%, $F$10)</f>
        <v>4.0309999999999997</v>
      </c>
      <c r="D75" s="8">
        <f>4.0086 * CHOOSE( CONTROL!$C$14, $D$10, 100%, $F$10)</f>
        <v>4.0086000000000004</v>
      </c>
      <c r="E75" s="12">
        <f>4.0162 * CHOOSE( CONTROL!$C$14, $D$10, 100%, $F$10)</f>
        <v>4.0162000000000004</v>
      </c>
      <c r="F75" s="4">
        <f>4.6734 * CHOOSE(CONTROL!$C$14, $D$10, 100%, $F$10)</f>
        <v>4.6734</v>
      </c>
      <c r="G75" s="8">
        <f>3.9425 * CHOOSE( CONTROL!$C$14, $D$10, 100%, $F$10)</f>
        <v>3.9424999999999999</v>
      </c>
      <c r="H75" s="4">
        <f>4.8246 * CHOOSE(CONTROL!$C$14, $D$10, 100%, $F$10)</f>
        <v>4.8246000000000002</v>
      </c>
      <c r="I75" s="8">
        <f>3.9942 * CHOOSE(CONTROL!$C$14, $D$10, 100%, $F$10)</f>
        <v>3.9942000000000002</v>
      </c>
      <c r="J75" s="4">
        <f>3.8627 * CHOOSE(CONTROL!$C$14, $D$10, 100%, $F$10)</f>
        <v>3.8626999999999998</v>
      </c>
      <c r="K75" s="4"/>
      <c r="L75" s="9">
        <v>29.306000000000001</v>
      </c>
      <c r="M75" s="9">
        <v>12.063700000000001</v>
      </c>
      <c r="N75" s="9">
        <v>4.9444999999999997</v>
      </c>
      <c r="O75" s="9">
        <v>0.37409999999999999</v>
      </c>
      <c r="P75" s="9">
        <v>1.2927</v>
      </c>
      <c r="Q75" s="9">
        <v>33.225200000000001</v>
      </c>
      <c r="R75" s="9"/>
      <c r="S75" s="11"/>
    </row>
    <row r="76" spans="1:19" ht="15.75">
      <c r="A76" s="13">
        <v>44197</v>
      </c>
      <c r="B76" s="8">
        <f>4.7635 * CHOOSE(CONTROL!$C$14, $D$10, 100%, $F$10)</f>
        <v>4.7634999999999996</v>
      </c>
      <c r="C76" s="8">
        <f>4.7686 * CHOOSE(CONTROL!$C$14, $D$10, 100%, $F$10)</f>
        <v>4.7686000000000002</v>
      </c>
      <c r="D76" s="8">
        <f>4.7644 * CHOOSE( CONTROL!$C$14, $D$10, 100%, $F$10)</f>
        <v>4.7644000000000002</v>
      </c>
      <c r="E76" s="12">
        <f>4.7654 * CHOOSE( CONTROL!$C$14, $D$10, 100%, $F$10)</f>
        <v>4.7653999999999996</v>
      </c>
      <c r="F76" s="4">
        <f>5.442 * CHOOSE(CONTROL!$C$14, $D$10, 100%, $F$10)</f>
        <v>5.4420000000000002</v>
      </c>
      <c r="G76" s="8">
        <f>4.6821 * CHOOSE( CONTROL!$C$14, $D$10, 100%, $F$10)</f>
        <v>4.6821000000000002</v>
      </c>
      <c r="H76" s="4">
        <f>5.5805 * CHOOSE(CONTROL!$C$14, $D$10, 100%, $F$10)</f>
        <v>5.5804999999999998</v>
      </c>
      <c r="I76" s="8">
        <f>4.6866 * CHOOSE(CONTROL!$C$14, $D$10, 100%, $F$10)</f>
        <v>4.6866000000000003</v>
      </c>
      <c r="J76" s="4">
        <f>4.5757 * CHOOSE(CONTROL!$C$14, $D$10, 100%, $F$10)</f>
        <v>4.5757000000000003</v>
      </c>
      <c r="K76" s="4"/>
      <c r="L76" s="9">
        <v>29.306000000000001</v>
      </c>
      <c r="M76" s="9">
        <v>12.063700000000001</v>
      </c>
      <c r="N76" s="9">
        <v>4.9444999999999997</v>
      </c>
      <c r="O76" s="9">
        <v>0.37409999999999999</v>
      </c>
      <c r="P76" s="9">
        <v>1.2927</v>
      </c>
      <c r="Q76" s="9">
        <v>33.011299999999999</v>
      </c>
      <c r="R76" s="9"/>
      <c r="S76" s="11"/>
    </row>
    <row r="77" spans="1:19" ht="15.75">
      <c r="A77" s="13">
        <v>44228</v>
      </c>
      <c r="B77" s="8">
        <f>4.4575 * CHOOSE(CONTROL!$C$14, $D$10, 100%, $F$10)</f>
        <v>4.4574999999999996</v>
      </c>
      <c r="C77" s="8">
        <f>4.4626 * CHOOSE(CONTROL!$C$14, $D$10, 100%, $F$10)</f>
        <v>4.4626000000000001</v>
      </c>
      <c r="D77" s="8">
        <f>4.4525 * CHOOSE( CONTROL!$C$14, $D$10, 100%, $F$10)</f>
        <v>4.4524999999999997</v>
      </c>
      <c r="E77" s="12">
        <f>4.4556 * CHOOSE( CONTROL!$C$14, $D$10, 100%, $F$10)</f>
        <v>4.4555999999999996</v>
      </c>
      <c r="F77" s="4">
        <f>5.1102 * CHOOSE(CONTROL!$C$14, $D$10, 100%, $F$10)</f>
        <v>5.1101999999999999</v>
      </c>
      <c r="G77" s="8">
        <f>4.3731 * CHOOSE( CONTROL!$C$14, $D$10, 100%, $F$10)</f>
        <v>4.3731</v>
      </c>
      <c r="H77" s="4">
        <f>5.2542 * CHOOSE(CONTROL!$C$14, $D$10, 100%, $F$10)</f>
        <v>5.2542</v>
      </c>
      <c r="I77" s="8">
        <f>4.3813 * CHOOSE(CONTROL!$C$14, $D$10, 100%, $F$10)</f>
        <v>4.3813000000000004</v>
      </c>
      <c r="J77" s="4">
        <f>4.2799 * CHOOSE(CONTROL!$C$14, $D$10, 100%, $F$10)</f>
        <v>4.2798999999999996</v>
      </c>
      <c r="K77" s="4"/>
      <c r="L77" s="9">
        <v>26.469899999999999</v>
      </c>
      <c r="M77" s="9">
        <v>10.8962</v>
      </c>
      <c r="N77" s="9">
        <v>4.4660000000000002</v>
      </c>
      <c r="O77" s="9">
        <v>0.33789999999999998</v>
      </c>
      <c r="P77" s="9">
        <v>1.1676</v>
      </c>
      <c r="Q77" s="9">
        <v>29.816600000000001</v>
      </c>
      <c r="R77" s="9"/>
      <c r="S77" s="11"/>
    </row>
    <row r="78" spans="1:19" ht="15.75">
      <c r="A78" s="13">
        <v>44256</v>
      </c>
      <c r="B78" s="8">
        <f>4.3633 * CHOOSE(CONTROL!$C$14, $D$10, 100%, $F$10)</f>
        <v>4.3632999999999997</v>
      </c>
      <c r="C78" s="8">
        <f>4.3684 * CHOOSE(CONTROL!$C$14, $D$10, 100%, $F$10)</f>
        <v>4.3684000000000003</v>
      </c>
      <c r="D78" s="8">
        <f>4.3518 * CHOOSE( CONTROL!$C$14, $D$10, 100%, $F$10)</f>
        <v>4.3517999999999999</v>
      </c>
      <c r="E78" s="12">
        <f>4.3573 * CHOOSE( CONTROL!$C$14, $D$10, 100%, $F$10)</f>
        <v>4.3573000000000004</v>
      </c>
      <c r="F78" s="4">
        <f>5.0159 * CHOOSE(CONTROL!$C$14, $D$10, 100%, $F$10)</f>
        <v>5.0159000000000002</v>
      </c>
      <c r="G78" s="8">
        <f>4.2722 * CHOOSE( CONTROL!$C$14, $D$10, 100%, $F$10)</f>
        <v>4.2721999999999998</v>
      </c>
      <c r="H78" s="4">
        <f>5.1615 * CHOOSE(CONTROL!$C$14, $D$10, 100%, $F$10)</f>
        <v>5.1615000000000002</v>
      </c>
      <c r="I78" s="8">
        <f>4.27 * CHOOSE(CONTROL!$C$14, $D$10, 100%, $F$10)</f>
        <v>4.2699999999999996</v>
      </c>
      <c r="J78" s="4">
        <f>4.1888 * CHOOSE(CONTROL!$C$14, $D$10, 100%, $F$10)</f>
        <v>4.1887999999999996</v>
      </c>
      <c r="K78" s="4"/>
      <c r="L78" s="9">
        <v>29.306000000000001</v>
      </c>
      <c r="M78" s="9">
        <v>12.063700000000001</v>
      </c>
      <c r="N78" s="9">
        <v>4.9444999999999997</v>
      </c>
      <c r="O78" s="9">
        <v>0.37409999999999999</v>
      </c>
      <c r="P78" s="9">
        <v>1.2927</v>
      </c>
      <c r="Q78" s="9">
        <v>33.011299999999999</v>
      </c>
      <c r="R78" s="9"/>
      <c r="S78" s="11"/>
    </row>
    <row r="79" spans="1:19" ht="15.75">
      <c r="A79" s="13">
        <v>44287</v>
      </c>
      <c r="B79" s="8">
        <f>4.4299 * CHOOSE(CONTROL!$C$14, $D$10, 100%, $F$10)</f>
        <v>4.4298999999999999</v>
      </c>
      <c r="C79" s="8">
        <f>4.4344 * CHOOSE(CONTROL!$C$14, $D$10, 100%, $F$10)</f>
        <v>4.4344000000000001</v>
      </c>
      <c r="D79" s="8">
        <f>4.444 * CHOOSE( CONTROL!$C$14, $D$10, 100%, $F$10)</f>
        <v>4.444</v>
      </c>
      <c r="E79" s="12">
        <f>4.4403 * CHOOSE( CONTROL!$C$14, $D$10, 100%, $F$10)</f>
        <v>4.4402999999999997</v>
      </c>
      <c r="F79" s="4">
        <f>5.1128 * CHOOSE(CONTROL!$C$14, $D$10, 100%, $F$10)</f>
        <v>5.1128</v>
      </c>
      <c r="G79" s="8">
        <f>4.3268 * CHOOSE( CONTROL!$C$14, $D$10, 100%, $F$10)</f>
        <v>4.3268000000000004</v>
      </c>
      <c r="H79" s="4">
        <f>5.2568 * CHOOSE(CONTROL!$C$14, $D$10, 100%, $F$10)</f>
        <v>5.2568000000000001</v>
      </c>
      <c r="I79" s="8">
        <f>4.3447 * CHOOSE(CONTROL!$C$14, $D$10, 100%, $F$10)</f>
        <v>4.3446999999999996</v>
      </c>
      <c r="J79" s="4">
        <f>4.2525 * CHOOSE(CONTROL!$C$14, $D$10, 100%, $F$10)</f>
        <v>4.2525000000000004</v>
      </c>
      <c r="K79" s="4"/>
      <c r="L79" s="9">
        <v>30.092199999999998</v>
      </c>
      <c r="M79" s="9">
        <v>11.6745</v>
      </c>
      <c r="N79" s="9">
        <v>4.7850000000000001</v>
      </c>
      <c r="O79" s="9">
        <v>0.36199999999999999</v>
      </c>
      <c r="P79" s="9">
        <v>1.1791</v>
      </c>
      <c r="Q79" s="9">
        <v>31.946400000000001</v>
      </c>
      <c r="R79" s="9"/>
      <c r="S79" s="11"/>
    </row>
    <row r="80" spans="1:19" ht="15.75">
      <c r="A80" s="13">
        <v>44317</v>
      </c>
      <c r="B80" s="8">
        <f>CHOOSE( CONTROL!$C$31, 4.5514, 4.5485) * CHOOSE(CONTROL!$C$14, $D$10, 100%, $F$10)</f>
        <v>4.5514000000000001</v>
      </c>
      <c r="C80" s="8">
        <f>CHOOSE( CONTROL!$C$31, 4.5594, 4.5565) * CHOOSE(CONTROL!$C$14, $D$10, 100%, $F$10)</f>
        <v>4.5594000000000001</v>
      </c>
      <c r="D80" s="8">
        <f>CHOOSE( CONTROL!$C$31, 4.564, 4.5611) * CHOOSE( CONTROL!$C$14, $D$10, 100%, $F$10)</f>
        <v>4.5640000000000001</v>
      </c>
      <c r="E80" s="12">
        <f>CHOOSE( CONTROL!$C$31, 4.5611, 4.5582) * CHOOSE( CONTROL!$C$14, $D$10, 100%, $F$10)</f>
        <v>4.5610999999999997</v>
      </c>
      <c r="F80" s="4">
        <f>CHOOSE( CONTROL!$C$31, 5.2329, 5.23) * CHOOSE(CONTROL!$C$14, $D$10, 100%, $F$10)</f>
        <v>5.2328999999999999</v>
      </c>
      <c r="G80" s="8">
        <f>CHOOSE( CONTROL!$C$31, 4.4459, 4.443) * CHOOSE( CONTROL!$C$14, $D$10, 100%, $F$10)</f>
        <v>4.4459</v>
      </c>
      <c r="H80" s="4">
        <f>CHOOSE( CONTROL!$C$31, 5.3749, 5.3721) * CHOOSE(CONTROL!$C$14, $D$10, 100%, $F$10)</f>
        <v>5.3749000000000002</v>
      </c>
      <c r="I80" s="8">
        <f>CHOOSE( CONTROL!$C$31, 4.4619, 4.4591) * CHOOSE(CONTROL!$C$14, $D$10, 100%, $F$10)</f>
        <v>4.4619</v>
      </c>
      <c r="J80" s="4">
        <f>CHOOSE( CONTROL!$C$31, 4.3686, 4.3658) * CHOOSE(CONTROL!$C$14, $D$10, 100%, $F$10)</f>
        <v>4.3685999999999998</v>
      </c>
      <c r="K80" s="4"/>
      <c r="L80" s="9">
        <v>30.7165</v>
      </c>
      <c r="M80" s="9">
        <v>12.063700000000001</v>
      </c>
      <c r="N80" s="9">
        <v>4.9444999999999997</v>
      </c>
      <c r="O80" s="9">
        <v>0.37409999999999999</v>
      </c>
      <c r="P80" s="9">
        <v>1.2183999999999999</v>
      </c>
      <c r="Q80" s="9">
        <v>33.011299999999999</v>
      </c>
      <c r="R80" s="9"/>
      <c r="S80" s="11"/>
    </row>
    <row r="81" spans="1:19" ht="15.75">
      <c r="A81" s="13">
        <v>44348</v>
      </c>
      <c r="B81" s="8">
        <f>CHOOSE( CONTROL!$C$31, 4.4788, 4.4759) * CHOOSE(CONTROL!$C$14, $D$10, 100%, $F$10)</f>
        <v>4.4787999999999997</v>
      </c>
      <c r="C81" s="8">
        <f>CHOOSE( CONTROL!$C$31, 4.4868, 4.4839) * CHOOSE(CONTROL!$C$14, $D$10, 100%, $F$10)</f>
        <v>4.4867999999999997</v>
      </c>
      <c r="D81" s="8">
        <f>CHOOSE( CONTROL!$C$31, 4.4917, 4.4888) * CHOOSE( CONTROL!$C$14, $D$10, 100%, $F$10)</f>
        <v>4.4916999999999998</v>
      </c>
      <c r="E81" s="12">
        <f>CHOOSE( CONTROL!$C$31, 4.4887, 4.4858) * CHOOSE( CONTROL!$C$14, $D$10, 100%, $F$10)</f>
        <v>4.4886999999999997</v>
      </c>
      <c r="F81" s="4">
        <f>CHOOSE( CONTROL!$C$31, 5.1603, 5.1574) * CHOOSE(CONTROL!$C$14, $D$10, 100%, $F$10)</f>
        <v>5.1603000000000003</v>
      </c>
      <c r="G81" s="8">
        <f>CHOOSE( CONTROL!$C$31, 4.3749, 4.372) * CHOOSE( CONTROL!$C$14, $D$10, 100%, $F$10)</f>
        <v>4.3749000000000002</v>
      </c>
      <c r="H81" s="4">
        <f>CHOOSE( CONTROL!$C$31, 5.3035, 5.3007) * CHOOSE(CONTROL!$C$14, $D$10, 100%, $F$10)</f>
        <v>5.3034999999999997</v>
      </c>
      <c r="I81" s="8">
        <f>CHOOSE( CONTROL!$C$31, 4.393, 4.3901) * CHOOSE(CONTROL!$C$14, $D$10, 100%, $F$10)</f>
        <v>4.3929999999999998</v>
      </c>
      <c r="J81" s="4">
        <f>CHOOSE( CONTROL!$C$31, 4.2984, 4.2956) * CHOOSE(CONTROL!$C$14, $D$10, 100%, $F$10)</f>
        <v>4.2984</v>
      </c>
      <c r="K81" s="4"/>
      <c r="L81" s="9">
        <v>29.7257</v>
      </c>
      <c r="M81" s="9">
        <v>11.6745</v>
      </c>
      <c r="N81" s="9">
        <v>4.7850000000000001</v>
      </c>
      <c r="O81" s="9">
        <v>0.36199999999999999</v>
      </c>
      <c r="P81" s="9">
        <v>1.1791</v>
      </c>
      <c r="Q81" s="9">
        <v>31.946400000000001</v>
      </c>
      <c r="R81" s="9"/>
      <c r="S81" s="11"/>
    </row>
    <row r="82" spans="1:19" ht="15.75">
      <c r="A82" s="13">
        <v>44378</v>
      </c>
      <c r="B82" s="8">
        <f>CHOOSE( CONTROL!$C$31, 4.67, 4.6671) * CHOOSE(CONTROL!$C$14, $D$10, 100%, $F$10)</f>
        <v>4.67</v>
      </c>
      <c r="C82" s="8">
        <f>CHOOSE( CONTROL!$C$31, 4.678, 4.6751) * CHOOSE(CONTROL!$C$14, $D$10, 100%, $F$10)</f>
        <v>4.6779999999999999</v>
      </c>
      <c r="D82" s="8">
        <f>CHOOSE( CONTROL!$C$31, 4.6831, 4.6802) * CHOOSE( CONTROL!$C$14, $D$10, 100%, $F$10)</f>
        <v>4.6830999999999996</v>
      </c>
      <c r="E82" s="12">
        <f>CHOOSE( CONTROL!$C$31, 4.68, 4.6771) * CHOOSE( CONTROL!$C$14, $D$10, 100%, $F$10)</f>
        <v>4.68</v>
      </c>
      <c r="F82" s="4">
        <f>CHOOSE( CONTROL!$C$31, 5.3515, 5.3486) * CHOOSE(CONTROL!$C$14, $D$10, 100%, $F$10)</f>
        <v>5.3514999999999997</v>
      </c>
      <c r="G82" s="8">
        <f>CHOOSE( CONTROL!$C$31, 4.5633, 4.5604) * CHOOSE( CONTROL!$C$14, $D$10, 100%, $F$10)</f>
        <v>4.5632999999999999</v>
      </c>
      <c r="H82" s="4">
        <f>CHOOSE( CONTROL!$C$31, 5.4916, 5.4887) * CHOOSE(CONTROL!$C$14, $D$10, 100%, $F$10)</f>
        <v>5.4916</v>
      </c>
      <c r="I82" s="8">
        <f>CHOOSE( CONTROL!$C$31, 4.579, 4.5762) * CHOOSE(CONTROL!$C$14, $D$10, 100%, $F$10)</f>
        <v>4.5789999999999997</v>
      </c>
      <c r="J82" s="4">
        <f>CHOOSE( CONTROL!$C$31, 4.4832, 4.4804) * CHOOSE(CONTROL!$C$14, $D$10, 100%, $F$10)</f>
        <v>4.4832000000000001</v>
      </c>
      <c r="K82" s="4"/>
      <c r="L82" s="9">
        <v>30.7165</v>
      </c>
      <c r="M82" s="9">
        <v>12.063700000000001</v>
      </c>
      <c r="N82" s="9">
        <v>4.9444999999999997</v>
      </c>
      <c r="O82" s="9">
        <v>0.37409999999999999</v>
      </c>
      <c r="P82" s="9">
        <v>1.2183999999999999</v>
      </c>
      <c r="Q82" s="9">
        <v>33.011299999999999</v>
      </c>
      <c r="R82" s="9"/>
      <c r="S82" s="11"/>
    </row>
    <row r="83" spans="1:19" ht="15.75">
      <c r="A83" s="13">
        <v>44409</v>
      </c>
      <c r="B83" s="8">
        <f>CHOOSE( CONTROL!$C$31, 4.3122, 4.3093) * CHOOSE(CONTROL!$C$14, $D$10, 100%, $F$10)</f>
        <v>4.3121999999999998</v>
      </c>
      <c r="C83" s="8">
        <f>CHOOSE( CONTROL!$C$31, 4.3202, 4.3173) * CHOOSE(CONTROL!$C$14, $D$10, 100%, $F$10)</f>
        <v>4.3201999999999998</v>
      </c>
      <c r="D83" s="8">
        <f>CHOOSE( CONTROL!$C$31, 4.3254, 4.3225) * CHOOSE( CONTROL!$C$14, $D$10, 100%, $F$10)</f>
        <v>4.3254000000000001</v>
      </c>
      <c r="E83" s="12">
        <f>CHOOSE( CONTROL!$C$31, 4.3223, 4.3194) * CHOOSE( CONTROL!$C$14, $D$10, 100%, $F$10)</f>
        <v>4.3223000000000003</v>
      </c>
      <c r="F83" s="4">
        <f>CHOOSE( CONTROL!$C$31, 4.9938, 4.9908) * CHOOSE(CONTROL!$C$14, $D$10, 100%, $F$10)</f>
        <v>4.9938000000000002</v>
      </c>
      <c r="G83" s="8">
        <f>CHOOSE( CONTROL!$C$31, 4.2116, 4.2087) * CHOOSE( CONTROL!$C$14, $D$10, 100%, $F$10)</f>
        <v>4.2115999999999998</v>
      </c>
      <c r="H83" s="4">
        <f>CHOOSE( CONTROL!$C$31, 5.1397, 5.1369) * CHOOSE(CONTROL!$C$14, $D$10, 100%, $F$10)</f>
        <v>5.1397000000000004</v>
      </c>
      <c r="I83" s="8">
        <f>CHOOSE( CONTROL!$C$31, 4.2334, 4.2306) * CHOOSE(CONTROL!$C$14, $D$10, 100%, $F$10)</f>
        <v>4.2333999999999996</v>
      </c>
      <c r="J83" s="4">
        <f>CHOOSE( CONTROL!$C$31, 4.1374, 4.1346) * CHOOSE(CONTROL!$C$14, $D$10, 100%, $F$10)</f>
        <v>4.1374000000000004</v>
      </c>
      <c r="K83" s="4"/>
      <c r="L83" s="9">
        <v>30.7165</v>
      </c>
      <c r="M83" s="9">
        <v>12.063700000000001</v>
      </c>
      <c r="N83" s="9">
        <v>4.9444999999999997</v>
      </c>
      <c r="O83" s="9">
        <v>0.37409999999999999</v>
      </c>
      <c r="P83" s="9">
        <v>1.2183999999999999</v>
      </c>
      <c r="Q83" s="9">
        <v>33.011299999999999</v>
      </c>
      <c r="R83" s="9"/>
      <c r="S83" s="11"/>
    </row>
    <row r="84" spans="1:19" ht="15.75">
      <c r="A84" s="13">
        <v>44440</v>
      </c>
      <c r="B84" s="8">
        <f>CHOOSE( CONTROL!$C$31, 4.2226, 4.2197) * CHOOSE(CONTROL!$C$14, $D$10, 100%, $F$10)</f>
        <v>4.2225999999999999</v>
      </c>
      <c r="C84" s="8">
        <f>CHOOSE( CONTROL!$C$31, 4.2306, 4.2277) * CHOOSE(CONTROL!$C$14, $D$10, 100%, $F$10)</f>
        <v>4.2305999999999999</v>
      </c>
      <c r="D84" s="8">
        <f>CHOOSE( CONTROL!$C$31, 4.2358, 4.2329) * CHOOSE( CONTROL!$C$14, $D$10, 100%, $F$10)</f>
        <v>4.2358000000000002</v>
      </c>
      <c r="E84" s="12">
        <f>CHOOSE( CONTROL!$C$31, 4.2327, 4.2298) * CHOOSE( CONTROL!$C$14, $D$10, 100%, $F$10)</f>
        <v>4.2327000000000004</v>
      </c>
      <c r="F84" s="4">
        <f>CHOOSE( CONTROL!$C$31, 4.9042, 4.9013) * CHOOSE(CONTROL!$C$14, $D$10, 100%, $F$10)</f>
        <v>4.9042000000000003</v>
      </c>
      <c r="G84" s="8">
        <f>CHOOSE( CONTROL!$C$31, 4.1235, 4.1206) * CHOOSE( CONTROL!$C$14, $D$10, 100%, $F$10)</f>
        <v>4.1234999999999999</v>
      </c>
      <c r="H84" s="4">
        <f>CHOOSE( CONTROL!$C$31, 5.0516, 5.0487) * CHOOSE(CONTROL!$C$14, $D$10, 100%, $F$10)</f>
        <v>5.0515999999999996</v>
      </c>
      <c r="I84" s="8">
        <f>CHOOSE( CONTROL!$C$31, 4.1467, 4.1439) * CHOOSE(CONTROL!$C$14, $D$10, 100%, $F$10)</f>
        <v>4.1467000000000001</v>
      </c>
      <c r="J84" s="4">
        <f>CHOOSE( CONTROL!$C$31, 4.0508, 4.048) * CHOOSE(CONTROL!$C$14, $D$10, 100%, $F$10)</f>
        <v>4.0507999999999997</v>
      </c>
      <c r="K84" s="4"/>
      <c r="L84" s="9">
        <v>29.7257</v>
      </c>
      <c r="M84" s="9">
        <v>11.6745</v>
      </c>
      <c r="N84" s="9">
        <v>4.7850000000000001</v>
      </c>
      <c r="O84" s="9">
        <v>0.36199999999999999</v>
      </c>
      <c r="P84" s="9">
        <v>1.1791</v>
      </c>
      <c r="Q84" s="9">
        <v>31.946400000000001</v>
      </c>
      <c r="R84" s="9"/>
      <c r="S84" s="11"/>
    </row>
    <row r="85" spans="1:19" ht="15.75">
      <c r="A85" s="13">
        <v>44470</v>
      </c>
      <c r="B85" s="8">
        <f>4.404 * CHOOSE(CONTROL!$C$14, $D$10, 100%, $F$10)</f>
        <v>4.4039999999999999</v>
      </c>
      <c r="C85" s="8">
        <f>4.4094 * CHOOSE(CONTROL!$C$14, $D$10, 100%, $F$10)</f>
        <v>4.4093999999999998</v>
      </c>
      <c r="D85" s="8">
        <f>4.4194 * CHOOSE( CONTROL!$C$14, $D$10, 100%, $F$10)</f>
        <v>4.4194000000000004</v>
      </c>
      <c r="E85" s="12">
        <f>4.4155 * CHOOSE( CONTROL!$C$14, $D$10, 100%, $F$10)</f>
        <v>4.4154999999999998</v>
      </c>
      <c r="F85" s="4">
        <f>5.0873 * CHOOSE(CONTROL!$C$14, $D$10, 100%, $F$10)</f>
        <v>5.0872999999999999</v>
      </c>
      <c r="G85" s="8">
        <f>4.3032 * CHOOSE( CONTROL!$C$14, $D$10, 100%, $F$10)</f>
        <v>4.3032000000000004</v>
      </c>
      <c r="H85" s="4">
        <f>5.2317 * CHOOSE(CONTROL!$C$14, $D$10, 100%, $F$10)</f>
        <v>5.2317</v>
      </c>
      <c r="I85" s="8">
        <f>4.3246 * CHOOSE(CONTROL!$C$14, $D$10, 100%, $F$10)</f>
        <v>4.3246000000000002</v>
      </c>
      <c r="J85" s="4">
        <f>4.2278 * CHOOSE(CONTROL!$C$14, $D$10, 100%, $F$10)</f>
        <v>4.2278000000000002</v>
      </c>
      <c r="K85" s="4"/>
      <c r="L85" s="9">
        <v>31.095300000000002</v>
      </c>
      <c r="M85" s="9">
        <v>12.063700000000001</v>
      </c>
      <c r="N85" s="9">
        <v>4.9444999999999997</v>
      </c>
      <c r="O85" s="9">
        <v>0.37409999999999999</v>
      </c>
      <c r="P85" s="9">
        <v>1.2183999999999999</v>
      </c>
      <c r="Q85" s="9">
        <v>33.011299999999999</v>
      </c>
      <c r="R85" s="9"/>
      <c r="S85" s="11"/>
    </row>
    <row r="86" spans="1:19" ht="15.75">
      <c r="A86" s="13">
        <v>44501</v>
      </c>
      <c r="B86" s="8">
        <f>4.747 * CHOOSE(CONTROL!$C$14, $D$10, 100%, $F$10)</f>
        <v>4.7469999999999999</v>
      </c>
      <c r="C86" s="8">
        <f>4.7521 * CHOOSE(CONTROL!$C$14, $D$10, 100%, $F$10)</f>
        <v>4.7521000000000004</v>
      </c>
      <c r="D86" s="8">
        <f>4.7283 * CHOOSE( CONTROL!$C$14, $D$10, 100%, $F$10)</f>
        <v>4.7282999999999999</v>
      </c>
      <c r="E86" s="12">
        <f>4.7365 * CHOOSE( CONTROL!$C$14, $D$10, 100%, $F$10)</f>
        <v>4.7365000000000004</v>
      </c>
      <c r="F86" s="4">
        <f>5.3944 * CHOOSE(CONTROL!$C$14, $D$10, 100%, $F$10)</f>
        <v>5.3944000000000001</v>
      </c>
      <c r="G86" s="8">
        <f>4.6506 * CHOOSE( CONTROL!$C$14, $D$10, 100%, $F$10)</f>
        <v>4.6505999999999998</v>
      </c>
      <c r="H86" s="4">
        <f>5.5337 * CHOOSE(CONTROL!$C$14, $D$10, 100%, $F$10)</f>
        <v>5.5336999999999996</v>
      </c>
      <c r="I86" s="8">
        <f>4.6872 * CHOOSE(CONTROL!$C$14, $D$10, 100%, $F$10)</f>
        <v>4.6871999999999998</v>
      </c>
      <c r="J86" s="4">
        <f>4.5597 * CHOOSE(CONTROL!$C$14, $D$10, 100%, $F$10)</f>
        <v>4.5597000000000003</v>
      </c>
      <c r="K86" s="4"/>
      <c r="L86" s="9">
        <v>28.360600000000002</v>
      </c>
      <c r="M86" s="9">
        <v>11.6745</v>
      </c>
      <c r="N86" s="9">
        <v>4.7850000000000001</v>
      </c>
      <c r="O86" s="9">
        <v>0.36199999999999999</v>
      </c>
      <c r="P86" s="9">
        <v>1.2509999999999999</v>
      </c>
      <c r="Q86" s="9">
        <v>31.946400000000001</v>
      </c>
      <c r="R86" s="9"/>
      <c r="S86" s="11"/>
    </row>
    <row r="87" spans="1:19" ht="15.75">
      <c r="A87" s="13">
        <v>44531</v>
      </c>
      <c r="B87" s="8">
        <f>4.7384 * CHOOSE(CONTROL!$C$14, $D$10, 100%, $F$10)</f>
        <v>4.7384000000000004</v>
      </c>
      <c r="C87" s="8">
        <f>4.7435 * CHOOSE(CONTROL!$C$14, $D$10, 100%, $F$10)</f>
        <v>4.7435</v>
      </c>
      <c r="D87" s="8">
        <f>4.7211 * CHOOSE( CONTROL!$C$14, $D$10, 100%, $F$10)</f>
        <v>4.7210999999999999</v>
      </c>
      <c r="E87" s="12">
        <f>4.7287 * CHOOSE( CONTROL!$C$14, $D$10, 100%, $F$10)</f>
        <v>4.7286999999999999</v>
      </c>
      <c r="F87" s="4">
        <f>5.3858 * CHOOSE(CONTROL!$C$14, $D$10, 100%, $F$10)</f>
        <v>5.3857999999999997</v>
      </c>
      <c r="G87" s="8">
        <f>4.6432 * CHOOSE( CONTROL!$C$14, $D$10, 100%, $F$10)</f>
        <v>4.6432000000000002</v>
      </c>
      <c r="H87" s="4">
        <f>5.5253 * CHOOSE(CONTROL!$C$14, $D$10, 100%, $F$10)</f>
        <v>5.5252999999999997</v>
      </c>
      <c r="I87" s="8">
        <f>4.6833 * CHOOSE(CONTROL!$C$14, $D$10, 100%, $F$10)</f>
        <v>4.6833</v>
      </c>
      <c r="J87" s="4">
        <f>4.5514 * CHOOSE(CONTROL!$C$14, $D$10, 100%, $F$10)</f>
        <v>4.5514000000000001</v>
      </c>
      <c r="K87" s="4"/>
      <c r="L87" s="9">
        <v>29.306000000000001</v>
      </c>
      <c r="M87" s="9">
        <v>12.063700000000001</v>
      </c>
      <c r="N87" s="9">
        <v>4.9444999999999997</v>
      </c>
      <c r="O87" s="9">
        <v>0.37409999999999999</v>
      </c>
      <c r="P87" s="9">
        <v>1.2927</v>
      </c>
      <c r="Q87" s="9">
        <v>33.011299999999999</v>
      </c>
      <c r="R87" s="9"/>
      <c r="S87" s="11"/>
    </row>
    <row r="88" spans="1:19" ht="15.75">
      <c r="A88" s="13">
        <v>44562</v>
      </c>
      <c r="B88" s="8">
        <f>5.0477 * CHOOSE(CONTROL!$C$14, $D$10, 100%, $F$10)</f>
        <v>5.0476999999999999</v>
      </c>
      <c r="C88" s="8">
        <f>5.0529 * CHOOSE(CONTROL!$C$14, $D$10, 100%, $F$10)</f>
        <v>5.0529000000000002</v>
      </c>
      <c r="D88" s="8">
        <f>5.0487 * CHOOSE( CONTROL!$C$14, $D$10, 100%, $F$10)</f>
        <v>5.0487000000000002</v>
      </c>
      <c r="E88" s="12">
        <f>5.0497 * CHOOSE( CONTROL!$C$14, $D$10, 100%, $F$10)</f>
        <v>5.0496999999999996</v>
      </c>
      <c r="F88" s="4">
        <f>5.7262 * CHOOSE(CONTROL!$C$14, $D$10, 100%, $F$10)</f>
        <v>5.7262000000000004</v>
      </c>
      <c r="G88" s="8">
        <f>4.9616 * CHOOSE( CONTROL!$C$14, $D$10, 100%, $F$10)</f>
        <v>4.9615999999999998</v>
      </c>
      <c r="H88" s="4">
        <f>5.8601 * CHOOSE(CONTROL!$C$14, $D$10, 100%, $F$10)</f>
        <v>5.8601000000000001</v>
      </c>
      <c r="I88" s="8">
        <f>4.9615 * CHOOSE(CONTROL!$C$14, $D$10, 100%, $F$10)</f>
        <v>4.9615</v>
      </c>
      <c r="J88" s="4">
        <f>4.8505 * CHOOSE(CONTROL!$C$14, $D$10, 100%, $F$10)</f>
        <v>4.8505000000000003</v>
      </c>
      <c r="K88" s="4"/>
      <c r="L88" s="9">
        <v>29.306000000000001</v>
      </c>
      <c r="M88" s="9">
        <v>12.063700000000001</v>
      </c>
      <c r="N88" s="9">
        <v>4.9444999999999997</v>
      </c>
      <c r="O88" s="9">
        <v>0.37409999999999999</v>
      </c>
      <c r="P88" s="9">
        <v>1.2927</v>
      </c>
      <c r="Q88" s="9">
        <v>32.8123</v>
      </c>
      <c r="R88" s="9"/>
      <c r="S88" s="11"/>
    </row>
    <row r="89" spans="1:19" ht="15.75">
      <c r="A89" s="13">
        <v>44593</v>
      </c>
      <c r="B89" s="8">
        <f>4.7234 * CHOOSE(CONTROL!$C$14, $D$10, 100%, $F$10)</f>
        <v>4.7233999999999998</v>
      </c>
      <c r="C89" s="8">
        <f>4.7285 * CHOOSE(CONTROL!$C$14, $D$10, 100%, $F$10)</f>
        <v>4.7285000000000004</v>
      </c>
      <c r="D89" s="8">
        <f>4.7184 * CHOOSE( CONTROL!$C$14, $D$10, 100%, $F$10)</f>
        <v>4.7183999999999999</v>
      </c>
      <c r="E89" s="12">
        <f>4.7215 * CHOOSE( CONTROL!$C$14, $D$10, 100%, $F$10)</f>
        <v>4.7214999999999998</v>
      </c>
      <c r="F89" s="4">
        <f>5.376 * CHOOSE(CONTROL!$C$14, $D$10, 100%, $F$10)</f>
        <v>5.3760000000000003</v>
      </c>
      <c r="G89" s="8">
        <f>4.6345 * CHOOSE( CONTROL!$C$14, $D$10, 100%, $F$10)</f>
        <v>4.6345000000000001</v>
      </c>
      <c r="H89" s="4">
        <f>5.5156 * CHOOSE(CONTROL!$C$14, $D$10, 100%, $F$10)</f>
        <v>5.5156000000000001</v>
      </c>
      <c r="I89" s="8">
        <f>4.6384 * CHOOSE(CONTROL!$C$14, $D$10, 100%, $F$10)</f>
        <v>4.6383999999999999</v>
      </c>
      <c r="J89" s="4">
        <f>4.5369 * CHOOSE(CONTROL!$C$14, $D$10, 100%, $F$10)</f>
        <v>4.5369000000000002</v>
      </c>
      <c r="K89" s="4"/>
      <c r="L89" s="9">
        <v>26.469899999999999</v>
      </c>
      <c r="M89" s="9">
        <v>10.8962</v>
      </c>
      <c r="N89" s="9">
        <v>4.4660000000000002</v>
      </c>
      <c r="O89" s="9">
        <v>0.33789999999999998</v>
      </c>
      <c r="P89" s="9">
        <v>1.1676</v>
      </c>
      <c r="Q89" s="9">
        <v>29.636900000000001</v>
      </c>
      <c r="R89" s="9"/>
      <c r="S89" s="11"/>
    </row>
    <row r="90" spans="1:19" ht="15.75">
      <c r="A90" s="13">
        <v>44621</v>
      </c>
      <c r="B90" s="8">
        <f>4.6235 * CHOOSE(CONTROL!$C$14, $D$10, 100%, $F$10)</f>
        <v>4.6234999999999999</v>
      </c>
      <c r="C90" s="8">
        <f>4.6286 * CHOOSE(CONTROL!$C$14, $D$10, 100%, $F$10)</f>
        <v>4.6285999999999996</v>
      </c>
      <c r="D90" s="8">
        <f>4.612 * CHOOSE( CONTROL!$C$14, $D$10, 100%, $F$10)</f>
        <v>4.6120000000000001</v>
      </c>
      <c r="E90" s="12">
        <f>4.6175 * CHOOSE( CONTROL!$C$14, $D$10, 100%, $F$10)</f>
        <v>4.6174999999999997</v>
      </c>
      <c r="F90" s="4">
        <f>5.2761 * CHOOSE(CONTROL!$C$14, $D$10, 100%, $F$10)</f>
        <v>5.2760999999999996</v>
      </c>
      <c r="G90" s="8">
        <f>4.5281 * CHOOSE( CONTROL!$C$14, $D$10, 100%, $F$10)</f>
        <v>4.5281000000000002</v>
      </c>
      <c r="H90" s="4">
        <f>5.4174 * CHOOSE(CONTROL!$C$14, $D$10, 100%, $F$10)</f>
        <v>5.4173999999999998</v>
      </c>
      <c r="I90" s="8">
        <f>4.5217 * CHOOSE(CONTROL!$C$14, $D$10, 100%, $F$10)</f>
        <v>4.5217000000000001</v>
      </c>
      <c r="J90" s="4">
        <f>4.4403 * CHOOSE(CONTROL!$C$14, $D$10, 100%, $F$10)</f>
        <v>4.4402999999999997</v>
      </c>
      <c r="K90" s="4"/>
      <c r="L90" s="9">
        <v>29.306000000000001</v>
      </c>
      <c r="M90" s="9">
        <v>12.063700000000001</v>
      </c>
      <c r="N90" s="9">
        <v>4.9444999999999997</v>
      </c>
      <c r="O90" s="9">
        <v>0.37409999999999999</v>
      </c>
      <c r="P90" s="9">
        <v>1.2927</v>
      </c>
      <c r="Q90" s="9">
        <v>32.8123</v>
      </c>
      <c r="R90" s="9"/>
      <c r="S90" s="11"/>
    </row>
    <row r="91" spans="1:19" ht="15.75">
      <c r="A91" s="13">
        <v>44652</v>
      </c>
      <c r="B91" s="8">
        <f>4.694 * CHOOSE(CONTROL!$C$14, $D$10, 100%, $F$10)</f>
        <v>4.694</v>
      </c>
      <c r="C91" s="8">
        <f>4.6986 * CHOOSE(CONTROL!$C$14, $D$10, 100%, $F$10)</f>
        <v>4.6985999999999999</v>
      </c>
      <c r="D91" s="8">
        <f>4.7081 * CHOOSE( CONTROL!$C$14, $D$10, 100%, $F$10)</f>
        <v>4.7081</v>
      </c>
      <c r="E91" s="12">
        <f>4.7044 * CHOOSE( CONTROL!$C$14, $D$10, 100%, $F$10)</f>
        <v>4.7043999999999997</v>
      </c>
      <c r="F91" s="4">
        <f>5.3769 * CHOOSE(CONTROL!$C$14, $D$10, 100%, $F$10)</f>
        <v>5.3769</v>
      </c>
      <c r="G91" s="8">
        <f>4.5866 * CHOOSE( CONTROL!$C$14, $D$10, 100%, $F$10)</f>
        <v>4.5865999999999998</v>
      </c>
      <c r="H91" s="4">
        <f>5.5165 * CHOOSE(CONTROL!$C$14, $D$10, 100%, $F$10)</f>
        <v>5.5164999999999997</v>
      </c>
      <c r="I91" s="8">
        <f>4.6001 * CHOOSE(CONTROL!$C$14, $D$10, 100%, $F$10)</f>
        <v>4.6001000000000003</v>
      </c>
      <c r="J91" s="4">
        <f>4.5078 * CHOOSE(CONTROL!$C$14, $D$10, 100%, $F$10)</f>
        <v>4.5077999999999996</v>
      </c>
      <c r="K91" s="4"/>
      <c r="L91" s="9">
        <v>30.092199999999998</v>
      </c>
      <c r="M91" s="9">
        <v>11.6745</v>
      </c>
      <c r="N91" s="9">
        <v>4.7850000000000001</v>
      </c>
      <c r="O91" s="9">
        <v>0.36199999999999999</v>
      </c>
      <c r="P91" s="9">
        <v>1.1791</v>
      </c>
      <c r="Q91" s="9">
        <v>31.753799999999998</v>
      </c>
      <c r="R91" s="9"/>
      <c r="S91" s="11"/>
    </row>
    <row r="92" spans="1:19" ht="15.75">
      <c r="A92" s="13">
        <v>44682</v>
      </c>
      <c r="B92" s="8">
        <f>CHOOSE( CONTROL!$C$31, 4.8226, 4.8196) * CHOOSE(CONTROL!$C$14, $D$10, 100%, $F$10)</f>
        <v>4.8226000000000004</v>
      </c>
      <c r="C92" s="8">
        <f>CHOOSE( CONTROL!$C$31, 4.8306, 4.8277) * CHOOSE(CONTROL!$C$14, $D$10, 100%, $F$10)</f>
        <v>4.8305999999999996</v>
      </c>
      <c r="D92" s="8">
        <f>CHOOSE( CONTROL!$C$31, 4.8352, 4.8323) * CHOOSE( CONTROL!$C$14, $D$10, 100%, $F$10)</f>
        <v>4.8352000000000004</v>
      </c>
      <c r="E92" s="12">
        <f>CHOOSE( CONTROL!$C$31, 4.8323, 4.8294) * CHOOSE( CONTROL!$C$14, $D$10, 100%, $F$10)</f>
        <v>4.8323</v>
      </c>
      <c r="F92" s="4">
        <f>CHOOSE( CONTROL!$C$31, 5.5041, 5.5012) * CHOOSE(CONTROL!$C$14, $D$10, 100%, $F$10)</f>
        <v>5.5041000000000002</v>
      </c>
      <c r="G92" s="8">
        <f>CHOOSE( CONTROL!$C$31, 4.7126, 4.7097) * CHOOSE( CONTROL!$C$14, $D$10, 100%, $F$10)</f>
        <v>4.7126000000000001</v>
      </c>
      <c r="H92" s="4">
        <f>CHOOSE( CONTROL!$C$31, 5.6416, 5.6387) * CHOOSE(CONTROL!$C$14, $D$10, 100%, $F$10)</f>
        <v>5.6416000000000004</v>
      </c>
      <c r="I92" s="8">
        <f>CHOOSE( CONTROL!$C$31, 4.7242, 4.7214) * CHOOSE(CONTROL!$C$14, $D$10, 100%, $F$10)</f>
        <v>4.7241999999999997</v>
      </c>
      <c r="J92" s="4">
        <f>CHOOSE( CONTROL!$C$31, 4.6307, 4.6279) * CHOOSE(CONTROL!$C$14, $D$10, 100%, $F$10)</f>
        <v>4.6307</v>
      </c>
      <c r="K92" s="4"/>
      <c r="L92" s="9">
        <v>30.7165</v>
      </c>
      <c r="M92" s="9">
        <v>12.063700000000001</v>
      </c>
      <c r="N92" s="9">
        <v>4.9444999999999997</v>
      </c>
      <c r="O92" s="9">
        <v>0.37409999999999999</v>
      </c>
      <c r="P92" s="9">
        <v>1.2183999999999999</v>
      </c>
      <c r="Q92" s="9">
        <v>32.8123</v>
      </c>
      <c r="R92" s="9"/>
      <c r="S92" s="11"/>
    </row>
    <row r="93" spans="1:19" ht="15.75">
      <c r="A93" s="13">
        <v>44713</v>
      </c>
      <c r="B93" s="8">
        <f>CHOOSE( CONTROL!$C$31, 4.7456, 4.7427) * CHOOSE(CONTROL!$C$14, $D$10, 100%, $F$10)</f>
        <v>4.7455999999999996</v>
      </c>
      <c r="C93" s="8">
        <f>CHOOSE( CONTROL!$C$31, 4.7536, 4.7507) * CHOOSE(CONTROL!$C$14, $D$10, 100%, $F$10)</f>
        <v>4.7535999999999996</v>
      </c>
      <c r="D93" s="8">
        <f>CHOOSE( CONTROL!$C$31, 4.7585, 4.7556) * CHOOSE( CONTROL!$C$14, $D$10, 100%, $F$10)</f>
        <v>4.7584999999999997</v>
      </c>
      <c r="E93" s="12">
        <f>CHOOSE( CONTROL!$C$31, 4.7555, 4.7526) * CHOOSE( CONTROL!$C$14, $D$10, 100%, $F$10)</f>
        <v>4.7554999999999996</v>
      </c>
      <c r="F93" s="4">
        <f>CHOOSE( CONTROL!$C$31, 5.4272, 5.4242) * CHOOSE(CONTROL!$C$14, $D$10, 100%, $F$10)</f>
        <v>5.4272</v>
      </c>
      <c r="G93" s="8">
        <f>CHOOSE( CONTROL!$C$31, 4.6373, 4.6344) * CHOOSE( CONTROL!$C$14, $D$10, 100%, $F$10)</f>
        <v>4.6372999999999998</v>
      </c>
      <c r="H93" s="4">
        <f>CHOOSE( CONTROL!$C$31, 5.5659, 5.563) * CHOOSE(CONTROL!$C$14, $D$10, 100%, $F$10)</f>
        <v>5.5659000000000001</v>
      </c>
      <c r="I93" s="8">
        <f>CHOOSE( CONTROL!$C$31, 4.651, 4.6482) * CHOOSE(CONTROL!$C$14, $D$10, 100%, $F$10)</f>
        <v>4.6509999999999998</v>
      </c>
      <c r="J93" s="4">
        <f>CHOOSE( CONTROL!$C$31, 4.5563, 4.5535) * CHOOSE(CONTROL!$C$14, $D$10, 100%, $F$10)</f>
        <v>4.5563000000000002</v>
      </c>
      <c r="K93" s="4"/>
      <c r="L93" s="9">
        <v>29.7257</v>
      </c>
      <c r="M93" s="9">
        <v>11.6745</v>
      </c>
      <c r="N93" s="9">
        <v>4.7850000000000001</v>
      </c>
      <c r="O93" s="9">
        <v>0.36199999999999999</v>
      </c>
      <c r="P93" s="9">
        <v>1.1791</v>
      </c>
      <c r="Q93" s="9">
        <v>31.753799999999998</v>
      </c>
      <c r="R93" s="9"/>
      <c r="S93" s="11"/>
    </row>
    <row r="94" spans="1:19" ht="15.75">
      <c r="A94" s="13">
        <v>44743</v>
      </c>
      <c r="B94" s="8">
        <f>CHOOSE( CONTROL!$C$31, 4.9483, 4.9454) * CHOOSE(CONTROL!$C$14, $D$10, 100%, $F$10)</f>
        <v>4.9482999999999997</v>
      </c>
      <c r="C94" s="8">
        <f>CHOOSE( CONTROL!$C$31, 4.9563, 4.9534) * CHOOSE(CONTROL!$C$14, $D$10, 100%, $F$10)</f>
        <v>4.9562999999999997</v>
      </c>
      <c r="D94" s="8">
        <f>CHOOSE( CONTROL!$C$31, 4.9614, 4.9585) * CHOOSE( CONTROL!$C$14, $D$10, 100%, $F$10)</f>
        <v>4.9614000000000003</v>
      </c>
      <c r="E94" s="12">
        <f>CHOOSE( CONTROL!$C$31, 4.9583, 4.9554) * CHOOSE( CONTROL!$C$14, $D$10, 100%, $F$10)</f>
        <v>4.9583000000000004</v>
      </c>
      <c r="F94" s="4">
        <f>CHOOSE( CONTROL!$C$31, 5.6298, 5.6269) * CHOOSE(CONTROL!$C$14, $D$10, 100%, $F$10)</f>
        <v>5.6298000000000004</v>
      </c>
      <c r="G94" s="8">
        <f>CHOOSE( CONTROL!$C$31, 4.837, 4.8341) * CHOOSE( CONTROL!$C$14, $D$10, 100%, $F$10)</f>
        <v>4.8369999999999997</v>
      </c>
      <c r="H94" s="4">
        <f>CHOOSE( CONTROL!$C$31, 5.7653, 5.7624) * CHOOSE(CONTROL!$C$14, $D$10, 100%, $F$10)</f>
        <v>5.7652999999999999</v>
      </c>
      <c r="I94" s="8">
        <f>CHOOSE( CONTROL!$C$31, 4.8482, 4.8454) * CHOOSE(CONTROL!$C$14, $D$10, 100%, $F$10)</f>
        <v>4.8482000000000003</v>
      </c>
      <c r="J94" s="4">
        <f>CHOOSE( CONTROL!$C$31, 4.7523, 4.7495) * CHOOSE(CONTROL!$C$14, $D$10, 100%, $F$10)</f>
        <v>4.7523</v>
      </c>
      <c r="K94" s="4"/>
      <c r="L94" s="9">
        <v>30.7165</v>
      </c>
      <c r="M94" s="9">
        <v>12.063700000000001</v>
      </c>
      <c r="N94" s="9">
        <v>4.9444999999999997</v>
      </c>
      <c r="O94" s="9">
        <v>0.37409999999999999</v>
      </c>
      <c r="P94" s="9">
        <v>1.2183999999999999</v>
      </c>
      <c r="Q94" s="9">
        <v>32.8123</v>
      </c>
      <c r="R94" s="9"/>
      <c r="S94" s="11"/>
    </row>
    <row r="95" spans="1:19" ht="15.75">
      <c r="A95" s="13">
        <v>44774</v>
      </c>
      <c r="B95" s="8">
        <f>CHOOSE( CONTROL!$C$31, 4.569, 4.5661) * CHOOSE(CONTROL!$C$14, $D$10, 100%, $F$10)</f>
        <v>4.569</v>
      </c>
      <c r="C95" s="8">
        <f>CHOOSE( CONTROL!$C$31, 4.5771, 4.5741) * CHOOSE(CONTROL!$C$14, $D$10, 100%, $F$10)</f>
        <v>4.5770999999999997</v>
      </c>
      <c r="D95" s="8">
        <f>CHOOSE( CONTROL!$C$31, 4.5823, 4.5793) * CHOOSE( CONTROL!$C$14, $D$10, 100%, $F$10)</f>
        <v>4.5823</v>
      </c>
      <c r="E95" s="12">
        <f>CHOOSE( CONTROL!$C$31, 4.5792, 4.5762) * CHOOSE( CONTROL!$C$14, $D$10, 100%, $F$10)</f>
        <v>4.5792000000000002</v>
      </c>
      <c r="F95" s="4">
        <f>CHOOSE( CONTROL!$C$31, 5.2506, 5.2477) * CHOOSE(CONTROL!$C$14, $D$10, 100%, $F$10)</f>
        <v>5.2506000000000004</v>
      </c>
      <c r="G95" s="8">
        <f>CHOOSE( CONTROL!$C$31, 4.4641, 4.4613) * CHOOSE( CONTROL!$C$14, $D$10, 100%, $F$10)</f>
        <v>4.4641000000000002</v>
      </c>
      <c r="H95" s="4">
        <f>CHOOSE( CONTROL!$C$31, 5.3923, 5.3894) * CHOOSE(CONTROL!$C$14, $D$10, 100%, $F$10)</f>
        <v>5.3922999999999996</v>
      </c>
      <c r="I95" s="8">
        <f>CHOOSE( CONTROL!$C$31, 4.4818, 4.479) * CHOOSE(CONTROL!$C$14, $D$10, 100%, $F$10)</f>
        <v>4.4817999999999998</v>
      </c>
      <c r="J95" s="4">
        <f>CHOOSE( CONTROL!$C$31, 4.3857, 4.3828) * CHOOSE(CONTROL!$C$14, $D$10, 100%, $F$10)</f>
        <v>4.3856999999999999</v>
      </c>
      <c r="K95" s="4"/>
      <c r="L95" s="9">
        <v>30.7165</v>
      </c>
      <c r="M95" s="9">
        <v>12.063700000000001</v>
      </c>
      <c r="N95" s="9">
        <v>4.9444999999999997</v>
      </c>
      <c r="O95" s="9">
        <v>0.37409999999999999</v>
      </c>
      <c r="P95" s="9">
        <v>1.2183999999999999</v>
      </c>
      <c r="Q95" s="9">
        <v>32.8123</v>
      </c>
      <c r="R95" s="9"/>
      <c r="S95" s="11"/>
    </row>
    <row r="96" spans="1:19" ht="15.75">
      <c r="A96" s="13">
        <v>44805</v>
      </c>
      <c r="B96" s="8">
        <f>CHOOSE( CONTROL!$C$31, 4.4741, 4.4711) * CHOOSE(CONTROL!$C$14, $D$10, 100%, $F$10)</f>
        <v>4.4741</v>
      </c>
      <c r="C96" s="8">
        <f>CHOOSE( CONTROL!$C$31, 4.4821, 4.4792) * CHOOSE(CONTROL!$C$14, $D$10, 100%, $F$10)</f>
        <v>4.4821</v>
      </c>
      <c r="D96" s="8">
        <f>CHOOSE( CONTROL!$C$31, 4.4873, 4.4844) * CHOOSE( CONTROL!$C$14, $D$10, 100%, $F$10)</f>
        <v>4.4873000000000003</v>
      </c>
      <c r="E96" s="12">
        <f>CHOOSE( CONTROL!$C$31, 4.4842, 4.4813) * CHOOSE( CONTROL!$C$14, $D$10, 100%, $F$10)</f>
        <v>4.4842000000000004</v>
      </c>
      <c r="F96" s="4">
        <f>CHOOSE( CONTROL!$C$31, 5.1556, 5.1527) * CHOOSE(CONTROL!$C$14, $D$10, 100%, $F$10)</f>
        <v>5.1555999999999997</v>
      </c>
      <c r="G96" s="8">
        <f>CHOOSE( CONTROL!$C$31, 4.3707, 4.3679) * CHOOSE( CONTROL!$C$14, $D$10, 100%, $F$10)</f>
        <v>4.3707000000000003</v>
      </c>
      <c r="H96" s="4">
        <f>CHOOSE( CONTROL!$C$31, 5.2989, 5.296) * CHOOSE(CONTROL!$C$14, $D$10, 100%, $F$10)</f>
        <v>5.2988999999999997</v>
      </c>
      <c r="I96" s="8">
        <f>CHOOSE( CONTROL!$C$31, 4.3899, 4.3871) * CHOOSE(CONTROL!$C$14, $D$10, 100%, $F$10)</f>
        <v>4.3898999999999999</v>
      </c>
      <c r="J96" s="4">
        <f>CHOOSE( CONTROL!$C$31, 4.2939, 4.291) * CHOOSE(CONTROL!$C$14, $D$10, 100%, $F$10)</f>
        <v>4.2938999999999998</v>
      </c>
      <c r="K96" s="4"/>
      <c r="L96" s="9">
        <v>29.7257</v>
      </c>
      <c r="M96" s="9">
        <v>11.6745</v>
      </c>
      <c r="N96" s="9">
        <v>4.7850000000000001</v>
      </c>
      <c r="O96" s="9">
        <v>0.36199999999999999</v>
      </c>
      <c r="P96" s="9">
        <v>1.1791</v>
      </c>
      <c r="Q96" s="9">
        <v>31.753799999999998</v>
      </c>
      <c r="R96" s="9"/>
      <c r="S96" s="11"/>
    </row>
    <row r="97" spans="1:19" ht="15.75">
      <c r="A97" s="13">
        <v>44835</v>
      </c>
      <c r="B97" s="8">
        <f>4.6666 * CHOOSE(CONTROL!$C$14, $D$10, 100%, $F$10)</f>
        <v>4.6665999999999999</v>
      </c>
      <c r="C97" s="8">
        <f>4.672 * CHOOSE(CONTROL!$C$14, $D$10, 100%, $F$10)</f>
        <v>4.6719999999999997</v>
      </c>
      <c r="D97" s="8">
        <f>4.682 * CHOOSE( CONTROL!$C$14, $D$10, 100%, $F$10)</f>
        <v>4.6820000000000004</v>
      </c>
      <c r="E97" s="12">
        <f>4.6781 * CHOOSE( CONTROL!$C$14, $D$10, 100%, $F$10)</f>
        <v>4.6780999999999997</v>
      </c>
      <c r="F97" s="4">
        <f>5.3499 * CHOOSE(CONTROL!$C$14, $D$10, 100%, $F$10)</f>
        <v>5.3498999999999999</v>
      </c>
      <c r="G97" s="8">
        <f>4.5614 * CHOOSE( CONTROL!$C$14, $D$10, 100%, $F$10)</f>
        <v>4.5613999999999999</v>
      </c>
      <c r="H97" s="4">
        <f>5.4899 * CHOOSE(CONTROL!$C$14, $D$10, 100%, $F$10)</f>
        <v>5.4898999999999996</v>
      </c>
      <c r="I97" s="8">
        <f>4.5786 * CHOOSE(CONTROL!$C$14, $D$10, 100%, $F$10)</f>
        <v>4.5785999999999998</v>
      </c>
      <c r="J97" s="4">
        <f>4.4816 * CHOOSE(CONTROL!$C$14, $D$10, 100%, $F$10)</f>
        <v>4.4816000000000003</v>
      </c>
      <c r="K97" s="4"/>
      <c r="L97" s="9">
        <v>31.095300000000002</v>
      </c>
      <c r="M97" s="9">
        <v>12.063700000000001</v>
      </c>
      <c r="N97" s="9">
        <v>4.9444999999999997</v>
      </c>
      <c r="O97" s="9">
        <v>0.37409999999999999</v>
      </c>
      <c r="P97" s="9">
        <v>1.2183999999999999</v>
      </c>
      <c r="Q97" s="9">
        <v>32.8123</v>
      </c>
      <c r="R97" s="9"/>
      <c r="S97" s="11"/>
    </row>
    <row r="98" spans="1:19" ht="15.75">
      <c r="A98" s="13">
        <v>44866</v>
      </c>
      <c r="B98" s="8">
        <f>5.0302 * CHOOSE(CONTROL!$C$14, $D$10, 100%, $F$10)</f>
        <v>5.0301999999999998</v>
      </c>
      <c r="C98" s="8">
        <f>5.0353 * CHOOSE(CONTROL!$C$14, $D$10, 100%, $F$10)</f>
        <v>5.0353000000000003</v>
      </c>
      <c r="D98" s="8">
        <f>5.0115 * CHOOSE( CONTROL!$C$14, $D$10, 100%, $F$10)</f>
        <v>5.0114999999999998</v>
      </c>
      <c r="E98" s="12">
        <f>5.0197 * CHOOSE( CONTROL!$C$14, $D$10, 100%, $F$10)</f>
        <v>5.0197000000000003</v>
      </c>
      <c r="F98" s="4">
        <f>5.6776 * CHOOSE(CONTROL!$C$14, $D$10, 100%, $F$10)</f>
        <v>5.6776</v>
      </c>
      <c r="G98" s="8">
        <f>4.9291 * CHOOSE( CONTROL!$C$14, $D$10, 100%, $F$10)</f>
        <v>4.9291</v>
      </c>
      <c r="H98" s="4">
        <f>5.8123 * CHOOSE(CONTROL!$C$14, $D$10, 100%, $F$10)</f>
        <v>5.8122999999999996</v>
      </c>
      <c r="I98" s="8">
        <f>4.9611 * CHOOSE(CONTROL!$C$14, $D$10, 100%, $F$10)</f>
        <v>4.9611000000000001</v>
      </c>
      <c r="J98" s="4">
        <f>4.8335 * CHOOSE(CONTROL!$C$14, $D$10, 100%, $F$10)</f>
        <v>4.8334999999999999</v>
      </c>
      <c r="K98" s="4"/>
      <c r="L98" s="9">
        <v>28.360600000000002</v>
      </c>
      <c r="M98" s="9">
        <v>11.6745</v>
      </c>
      <c r="N98" s="9">
        <v>4.7850000000000001</v>
      </c>
      <c r="O98" s="9">
        <v>0.36199999999999999</v>
      </c>
      <c r="P98" s="9">
        <v>1.2509999999999999</v>
      </c>
      <c r="Q98" s="9">
        <v>31.753799999999998</v>
      </c>
      <c r="R98" s="9"/>
      <c r="S98" s="11"/>
    </row>
    <row r="99" spans="1:19" ht="15.75">
      <c r="A99" s="13">
        <v>44896</v>
      </c>
      <c r="B99" s="8">
        <f>5.0211 * CHOOSE(CONTROL!$C$14, $D$10, 100%, $F$10)</f>
        <v>5.0210999999999997</v>
      </c>
      <c r="C99" s="8">
        <f>5.0262 * CHOOSE(CONTROL!$C$14, $D$10, 100%, $F$10)</f>
        <v>5.0262000000000002</v>
      </c>
      <c r="D99" s="8">
        <f>5.0038 * CHOOSE( CONTROL!$C$14, $D$10, 100%, $F$10)</f>
        <v>5.0038</v>
      </c>
      <c r="E99" s="12">
        <f>5.0114 * CHOOSE( CONTROL!$C$14, $D$10, 100%, $F$10)</f>
        <v>5.0114000000000001</v>
      </c>
      <c r="F99" s="4">
        <f>5.6686 * CHOOSE(CONTROL!$C$14, $D$10, 100%, $F$10)</f>
        <v>5.6685999999999996</v>
      </c>
      <c r="G99" s="8">
        <f>4.9212 * CHOOSE( CONTROL!$C$14, $D$10, 100%, $F$10)</f>
        <v>4.9211999999999998</v>
      </c>
      <c r="H99" s="4">
        <f>5.8033 * CHOOSE(CONTROL!$C$14, $D$10, 100%, $F$10)</f>
        <v>5.8033000000000001</v>
      </c>
      <c r="I99" s="8">
        <f>4.9567 * CHOOSE(CONTROL!$C$14, $D$10, 100%, $F$10)</f>
        <v>4.9566999999999997</v>
      </c>
      <c r="J99" s="4">
        <f>4.8247 * CHOOSE(CONTROL!$C$14, $D$10, 100%, $F$10)</f>
        <v>4.8247</v>
      </c>
      <c r="K99" s="4"/>
      <c r="L99" s="9">
        <v>29.306000000000001</v>
      </c>
      <c r="M99" s="9">
        <v>12.063700000000001</v>
      </c>
      <c r="N99" s="9">
        <v>4.9444999999999997</v>
      </c>
      <c r="O99" s="9">
        <v>0.37409999999999999</v>
      </c>
      <c r="P99" s="9">
        <v>1.2927</v>
      </c>
      <c r="Q99" s="9">
        <v>32.8123</v>
      </c>
      <c r="R99" s="9"/>
      <c r="S99" s="11"/>
    </row>
    <row r="100" spans="1:19" ht="15.75">
      <c r="A100" s="13">
        <v>44927</v>
      </c>
      <c r="B100" s="8">
        <f>5.3975 * CHOOSE(CONTROL!$C$14, $D$10, 100%, $F$10)</f>
        <v>5.3975</v>
      </c>
      <c r="C100" s="8">
        <f>5.4027 * CHOOSE(CONTROL!$C$14, $D$10, 100%, $F$10)</f>
        <v>5.4027000000000003</v>
      </c>
      <c r="D100" s="8">
        <f>5.3985 * CHOOSE( CONTROL!$C$14, $D$10, 100%, $F$10)</f>
        <v>5.3985000000000003</v>
      </c>
      <c r="E100" s="12">
        <f>5.3995 * CHOOSE( CONTROL!$C$14, $D$10, 100%, $F$10)</f>
        <v>5.3994999999999997</v>
      </c>
      <c r="F100" s="4">
        <f>6.0761 * CHOOSE(CONTROL!$C$14, $D$10, 100%, $F$10)</f>
        <v>6.0761000000000003</v>
      </c>
      <c r="G100" s="8">
        <f>5.3056 * CHOOSE( CONTROL!$C$14, $D$10, 100%, $F$10)</f>
        <v>5.3056000000000001</v>
      </c>
      <c r="H100" s="4">
        <f>6.2041 * CHOOSE(CONTROL!$C$14, $D$10, 100%, $F$10)</f>
        <v>6.2041000000000004</v>
      </c>
      <c r="I100" s="8">
        <f>5.2998 * CHOOSE(CONTROL!$C$14, $D$10, 100%, $F$10)</f>
        <v>5.2998000000000003</v>
      </c>
      <c r="J100" s="4">
        <f>5.1886 * CHOOSE(CONTROL!$C$14, $D$10, 100%, $F$10)</f>
        <v>5.1886000000000001</v>
      </c>
      <c r="K100" s="4"/>
      <c r="L100" s="9">
        <v>29.306000000000001</v>
      </c>
      <c r="M100" s="9">
        <v>12.063700000000001</v>
      </c>
      <c r="N100" s="9">
        <v>4.9444999999999997</v>
      </c>
      <c r="O100" s="9">
        <v>0.37409999999999999</v>
      </c>
      <c r="P100" s="9">
        <v>1.2927</v>
      </c>
      <c r="Q100" s="9">
        <v>32.624400000000001</v>
      </c>
      <c r="R100" s="9"/>
      <c r="S100" s="11"/>
    </row>
    <row r="101" spans="1:19" ht="15.75">
      <c r="A101" s="13">
        <v>44958</v>
      </c>
      <c r="B101" s="8">
        <f>5.0506 * CHOOSE(CONTROL!$C$14, $D$10, 100%, $F$10)</f>
        <v>5.0506000000000002</v>
      </c>
      <c r="C101" s="8">
        <f>5.0557 * CHOOSE(CONTROL!$C$14, $D$10, 100%, $F$10)</f>
        <v>5.0556999999999999</v>
      </c>
      <c r="D101" s="8">
        <f>5.0455 * CHOOSE( CONTROL!$C$14, $D$10, 100%, $F$10)</f>
        <v>5.0454999999999997</v>
      </c>
      <c r="E101" s="12">
        <f>5.0487 * CHOOSE( CONTROL!$C$14, $D$10, 100%, $F$10)</f>
        <v>5.0487000000000002</v>
      </c>
      <c r="F101" s="4">
        <f>5.7032 * CHOOSE(CONTROL!$C$14, $D$10, 100%, $F$10)</f>
        <v>5.7031999999999998</v>
      </c>
      <c r="G101" s="8">
        <f>4.9563 * CHOOSE( CONTROL!$C$14, $D$10, 100%, $F$10)</f>
        <v>4.9562999999999997</v>
      </c>
      <c r="H101" s="4">
        <f>5.8374 * CHOOSE(CONTROL!$C$14, $D$10, 100%, $F$10)</f>
        <v>5.8373999999999997</v>
      </c>
      <c r="I101" s="8">
        <f>4.9549 * CHOOSE(CONTROL!$C$14, $D$10, 100%, $F$10)</f>
        <v>4.9549000000000003</v>
      </c>
      <c r="J101" s="4">
        <f>4.8532 * CHOOSE(CONTROL!$C$14, $D$10, 100%, $F$10)</f>
        <v>4.8532000000000002</v>
      </c>
      <c r="K101" s="4"/>
      <c r="L101" s="9">
        <v>26.469899999999999</v>
      </c>
      <c r="M101" s="9">
        <v>10.8962</v>
      </c>
      <c r="N101" s="9">
        <v>4.4660000000000002</v>
      </c>
      <c r="O101" s="9">
        <v>0.33789999999999998</v>
      </c>
      <c r="P101" s="9">
        <v>1.1676</v>
      </c>
      <c r="Q101" s="9">
        <v>29.467199999999998</v>
      </c>
      <c r="R101" s="9"/>
      <c r="S101" s="11"/>
    </row>
    <row r="102" spans="1:19" ht="15.75">
      <c r="A102" s="13">
        <v>44986</v>
      </c>
      <c r="B102" s="8">
        <f>4.9437 * CHOOSE(CONTROL!$C$14, $D$10, 100%, $F$10)</f>
        <v>4.9436999999999998</v>
      </c>
      <c r="C102" s="8">
        <f>4.9488 * CHOOSE(CONTROL!$C$14, $D$10, 100%, $F$10)</f>
        <v>4.9488000000000003</v>
      </c>
      <c r="D102" s="8">
        <f>4.9322 * CHOOSE( CONTROL!$C$14, $D$10, 100%, $F$10)</f>
        <v>4.9321999999999999</v>
      </c>
      <c r="E102" s="12">
        <f>4.9377 * CHOOSE( CONTROL!$C$14, $D$10, 100%, $F$10)</f>
        <v>4.9377000000000004</v>
      </c>
      <c r="F102" s="4">
        <f>5.5963 * CHOOSE(CONTROL!$C$14, $D$10, 100%, $F$10)</f>
        <v>5.5963000000000003</v>
      </c>
      <c r="G102" s="8">
        <f>4.843 * CHOOSE( CONTROL!$C$14, $D$10, 100%, $F$10)</f>
        <v>4.843</v>
      </c>
      <c r="H102" s="4">
        <f>5.7323 * CHOOSE(CONTROL!$C$14, $D$10, 100%, $F$10)</f>
        <v>5.7323000000000004</v>
      </c>
      <c r="I102" s="8">
        <f>4.8314 * CHOOSE(CONTROL!$C$14, $D$10, 100%, $F$10)</f>
        <v>4.8314000000000004</v>
      </c>
      <c r="J102" s="4">
        <f>4.7499 * CHOOSE(CONTROL!$C$14, $D$10, 100%, $F$10)</f>
        <v>4.7499000000000002</v>
      </c>
      <c r="K102" s="4"/>
      <c r="L102" s="9">
        <v>29.306000000000001</v>
      </c>
      <c r="M102" s="9">
        <v>12.063700000000001</v>
      </c>
      <c r="N102" s="9">
        <v>4.9444999999999997</v>
      </c>
      <c r="O102" s="9">
        <v>0.37409999999999999</v>
      </c>
      <c r="P102" s="9">
        <v>1.2927</v>
      </c>
      <c r="Q102" s="9">
        <v>32.624400000000001</v>
      </c>
      <c r="R102" s="9"/>
      <c r="S102" s="11"/>
    </row>
    <row r="103" spans="1:19" ht="15.75">
      <c r="A103" s="13">
        <v>45017</v>
      </c>
      <c r="B103" s="8">
        <f>5.0191 * CHOOSE(CONTROL!$C$14, $D$10, 100%, $F$10)</f>
        <v>5.0190999999999999</v>
      </c>
      <c r="C103" s="8">
        <f>5.0237 * CHOOSE(CONTROL!$C$14, $D$10, 100%, $F$10)</f>
        <v>5.0236999999999998</v>
      </c>
      <c r="D103" s="8">
        <f>5.0332 * CHOOSE( CONTROL!$C$14, $D$10, 100%, $F$10)</f>
        <v>5.0331999999999999</v>
      </c>
      <c r="E103" s="12">
        <f>5.0295 * CHOOSE( CONTROL!$C$14, $D$10, 100%, $F$10)</f>
        <v>5.0294999999999996</v>
      </c>
      <c r="F103" s="4">
        <f>5.702 * CHOOSE(CONTROL!$C$14, $D$10, 100%, $F$10)</f>
        <v>5.702</v>
      </c>
      <c r="G103" s="8">
        <f>4.9063 * CHOOSE( CONTROL!$C$14, $D$10, 100%, $F$10)</f>
        <v>4.9062999999999999</v>
      </c>
      <c r="H103" s="4">
        <f>5.8363 * CHOOSE(CONTROL!$C$14, $D$10, 100%, $F$10)</f>
        <v>5.8362999999999996</v>
      </c>
      <c r="I103" s="8">
        <f>4.9146 * CHOOSE(CONTROL!$C$14, $D$10, 100%, $F$10)</f>
        <v>4.9146000000000001</v>
      </c>
      <c r="J103" s="4">
        <f>4.8221 * CHOOSE(CONTROL!$C$14, $D$10, 100%, $F$10)</f>
        <v>4.8220999999999998</v>
      </c>
      <c r="K103" s="4"/>
      <c r="L103" s="9">
        <v>30.092199999999998</v>
      </c>
      <c r="M103" s="9">
        <v>11.6745</v>
      </c>
      <c r="N103" s="9">
        <v>4.7850000000000001</v>
      </c>
      <c r="O103" s="9">
        <v>0.36199999999999999</v>
      </c>
      <c r="P103" s="9">
        <v>1.1791</v>
      </c>
      <c r="Q103" s="9">
        <v>31.571999999999999</v>
      </c>
      <c r="R103" s="9"/>
      <c r="S103" s="11"/>
    </row>
    <row r="104" spans="1:19" ht="15.75">
      <c r="A104" s="13">
        <v>45047</v>
      </c>
      <c r="B104" s="8">
        <f>CHOOSE( CONTROL!$C$31, 5.1563, 5.1534) * CHOOSE(CONTROL!$C$14, $D$10, 100%, $F$10)</f>
        <v>5.1562999999999999</v>
      </c>
      <c r="C104" s="8">
        <f>CHOOSE( CONTROL!$C$31, 5.1643, 5.1614) * CHOOSE(CONTROL!$C$14, $D$10, 100%, $F$10)</f>
        <v>5.1642999999999999</v>
      </c>
      <c r="D104" s="8">
        <f>CHOOSE( CONTROL!$C$31, 5.169, 5.166) * CHOOSE( CONTROL!$C$14, $D$10, 100%, $F$10)</f>
        <v>5.1689999999999996</v>
      </c>
      <c r="E104" s="12">
        <f>CHOOSE( CONTROL!$C$31, 5.1661, 5.1631) * CHOOSE( CONTROL!$C$14, $D$10, 100%, $F$10)</f>
        <v>5.1661000000000001</v>
      </c>
      <c r="F104" s="4">
        <f>CHOOSE( CONTROL!$C$31, 5.8379, 5.835) * CHOOSE(CONTROL!$C$14, $D$10, 100%, $F$10)</f>
        <v>5.8379000000000003</v>
      </c>
      <c r="G104" s="8">
        <f>CHOOSE( CONTROL!$C$31, 5.0408, 5.0379) * CHOOSE( CONTROL!$C$14, $D$10, 100%, $F$10)</f>
        <v>5.0407999999999999</v>
      </c>
      <c r="H104" s="4">
        <f>CHOOSE( CONTROL!$C$31, 5.9698, 5.967) * CHOOSE(CONTROL!$C$14, $D$10, 100%, $F$10)</f>
        <v>5.9698000000000002</v>
      </c>
      <c r="I104" s="8">
        <f>CHOOSE( CONTROL!$C$31, 5.047, 5.0442) * CHOOSE(CONTROL!$C$14, $D$10, 100%, $F$10)</f>
        <v>5.0469999999999997</v>
      </c>
      <c r="J104" s="4">
        <f>CHOOSE( CONTROL!$C$31, 4.9534, 4.9506) * CHOOSE(CONTROL!$C$14, $D$10, 100%, $F$10)</f>
        <v>4.9534000000000002</v>
      </c>
      <c r="K104" s="4"/>
      <c r="L104" s="9">
        <v>30.7165</v>
      </c>
      <c r="M104" s="9">
        <v>12.063700000000001</v>
      </c>
      <c r="N104" s="9">
        <v>4.9444999999999997</v>
      </c>
      <c r="O104" s="9">
        <v>0.37409999999999999</v>
      </c>
      <c r="P104" s="9">
        <v>1.2183999999999999</v>
      </c>
      <c r="Q104" s="9">
        <v>32.624400000000001</v>
      </c>
      <c r="R104" s="9"/>
      <c r="S104" s="11"/>
    </row>
    <row r="105" spans="1:19" ht="15.75">
      <c r="A105" s="13">
        <v>45078</v>
      </c>
      <c r="B105" s="8">
        <f>CHOOSE( CONTROL!$C$31, 5.074, 5.0711) * CHOOSE(CONTROL!$C$14, $D$10, 100%, $F$10)</f>
        <v>5.0739999999999998</v>
      </c>
      <c r="C105" s="8">
        <f>CHOOSE( CONTROL!$C$31, 5.082, 5.0791) * CHOOSE(CONTROL!$C$14, $D$10, 100%, $F$10)</f>
        <v>5.0819999999999999</v>
      </c>
      <c r="D105" s="8">
        <f>CHOOSE( CONTROL!$C$31, 5.0869, 5.084) * CHOOSE( CONTROL!$C$14, $D$10, 100%, $F$10)</f>
        <v>5.0869</v>
      </c>
      <c r="E105" s="12">
        <f>CHOOSE( CONTROL!$C$31, 5.0839, 5.081) * CHOOSE( CONTROL!$C$14, $D$10, 100%, $F$10)</f>
        <v>5.0838999999999999</v>
      </c>
      <c r="F105" s="4">
        <f>CHOOSE( CONTROL!$C$31, 5.7555, 5.7526) * CHOOSE(CONTROL!$C$14, $D$10, 100%, $F$10)</f>
        <v>5.7554999999999996</v>
      </c>
      <c r="G105" s="8">
        <f>CHOOSE( CONTROL!$C$31, 4.9602, 4.9574) * CHOOSE( CONTROL!$C$14, $D$10, 100%, $F$10)</f>
        <v>4.9602000000000004</v>
      </c>
      <c r="H105" s="4">
        <f>CHOOSE( CONTROL!$C$31, 5.8889, 5.886) * CHOOSE(CONTROL!$C$14, $D$10, 100%, $F$10)</f>
        <v>5.8888999999999996</v>
      </c>
      <c r="I105" s="8">
        <f>CHOOSE( CONTROL!$C$31, 4.9686, 4.9658) * CHOOSE(CONTROL!$C$14, $D$10, 100%, $F$10)</f>
        <v>4.9686000000000003</v>
      </c>
      <c r="J105" s="4">
        <f>CHOOSE( CONTROL!$C$31, 4.8738, 4.871) * CHOOSE(CONTROL!$C$14, $D$10, 100%, $F$10)</f>
        <v>4.8738000000000001</v>
      </c>
      <c r="K105" s="4"/>
      <c r="L105" s="9">
        <v>29.7257</v>
      </c>
      <c r="M105" s="9">
        <v>11.6745</v>
      </c>
      <c r="N105" s="9">
        <v>4.7850000000000001</v>
      </c>
      <c r="O105" s="9">
        <v>0.36199999999999999</v>
      </c>
      <c r="P105" s="9">
        <v>1.1791</v>
      </c>
      <c r="Q105" s="9">
        <v>31.571999999999999</v>
      </c>
      <c r="R105" s="9"/>
      <c r="S105" s="11"/>
    </row>
    <row r="106" spans="1:19" ht="15.75">
      <c r="A106" s="13">
        <v>45108</v>
      </c>
      <c r="B106" s="8">
        <f>CHOOSE( CONTROL!$C$31, 5.2908, 5.2879) * CHOOSE(CONTROL!$C$14, $D$10, 100%, $F$10)</f>
        <v>5.2907999999999999</v>
      </c>
      <c r="C106" s="8">
        <f>CHOOSE( CONTROL!$C$31, 5.2988, 5.2959) * CHOOSE(CONTROL!$C$14, $D$10, 100%, $F$10)</f>
        <v>5.2988</v>
      </c>
      <c r="D106" s="8">
        <f>CHOOSE( CONTROL!$C$31, 5.304, 5.301) * CHOOSE( CONTROL!$C$14, $D$10, 100%, $F$10)</f>
        <v>5.3040000000000003</v>
      </c>
      <c r="E106" s="12">
        <f>CHOOSE( CONTROL!$C$31, 5.3009, 5.2979) * CHOOSE( CONTROL!$C$14, $D$10, 100%, $F$10)</f>
        <v>5.3009000000000004</v>
      </c>
      <c r="F106" s="4">
        <f>CHOOSE( CONTROL!$C$31, 5.9724, 5.9694) * CHOOSE(CONTROL!$C$14, $D$10, 100%, $F$10)</f>
        <v>5.9724000000000004</v>
      </c>
      <c r="G106" s="8">
        <f>CHOOSE( CONTROL!$C$31, 5.1738, 5.1709) * CHOOSE( CONTROL!$C$14, $D$10, 100%, $F$10)</f>
        <v>5.1738</v>
      </c>
      <c r="H106" s="4">
        <f>CHOOSE( CONTROL!$C$31, 6.1021, 6.0992) * CHOOSE(CONTROL!$C$14, $D$10, 100%, $F$10)</f>
        <v>6.1021000000000001</v>
      </c>
      <c r="I106" s="8">
        <f>CHOOSE( CONTROL!$C$31, 5.1795, 5.1767) * CHOOSE(CONTROL!$C$14, $D$10, 100%, $F$10)</f>
        <v>5.1795</v>
      </c>
      <c r="J106" s="4">
        <f>CHOOSE( CONTROL!$C$31, 5.0834, 5.0806) * CHOOSE(CONTROL!$C$14, $D$10, 100%, $F$10)</f>
        <v>5.0834000000000001</v>
      </c>
      <c r="K106" s="4"/>
      <c r="L106" s="9">
        <v>30.7165</v>
      </c>
      <c r="M106" s="9">
        <v>12.063700000000001</v>
      </c>
      <c r="N106" s="9">
        <v>4.9444999999999997</v>
      </c>
      <c r="O106" s="9">
        <v>0.37409999999999999</v>
      </c>
      <c r="P106" s="9">
        <v>1.2183999999999999</v>
      </c>
      <c r="Q106" s="9">
        <v>32.624400000000001</v>
      </c>
      <c r="R106" s="9"/>
      <c r="S106" s="11"/>
    </row>
    <row r="107" spans="1:19" ht="15.75">
      <c r="A107" s="13">
        <v>45139</v>
      </c>
      <c r="B107" s="8">
        <f>CHOOSE( CONTROL!$C$31, 4.8851, 4.8822) * CHOOSE(CONTROL!$C$14, $D$10, 100%, $F$10)</f>
        <v>4.8851000000000004</v>
      </c>
      <c r="C107" s="8">
        <f>CHOOSE( CONTROL!$C$31, 4.8931, 4.8902) * CHOOSE(CONTROL!$C$14, $D$10, 100%, $F$10)</f>
        <v>4.8930999999999996</v>
      </c>
      <c r="D107" s="8">
        <f>CHOOSE( CONTROL!$C$31, 4.8983, 4.8954) * CHOOSE( CONTROL!$C$14, $D$10, 100%, $F$10)</f>
        <v>4.8982999999999999</v>
      </c>
      <c r="E107" s="12">
        <f>CHOOSE( CONTROL!$C$31, 4.8952, 4.8923) * CHOOSE( CONTROL!$C$14, $D$10, 100%, $F$10)</f>
        <v>4.8952</v>
      </c>
      <c r="F107" s="4">
        <f>CHOOSE( CONTROL!$C$31, 5.5667, 5.5637) * CHOOSE(CONTROL!$C$14, $D$10, 100%, $F$10)</f>
        <v>5.5667</v>
      </c>
      <c r="G107" s="8">
        <f>CHOOSE( CONTROL!$C$31, 4.775, 4.7721) * CHOOSE( CONTROL!$C$14, $D$10, 100%, $F$10)</f>
        <v>4.7750000000000004</v>
      </c>
      <c r="H107" s="4">
        <f>CHOOSE( CONTROL!$C$31, 5.7031, 5.7003) * CHOOSE(CONTROL!$C$14, $D$10, 100%, $F$10)</f>
        <v>5.7031000000000001</v>
      </c>
      <c r="I107" s="8">
        <f>CHOOSE( CONTROL!$C$31, 4.7875, 4.7847) * CHOOSE(CONTROL!$C$14, $D$10, 100%, $F$10)</f>
        <v>4.7874999999999996</v>
      </c>
      <c r="J107" s="4">
        <f>CHOOSE( CONTROL!$C$31, 4.6912, 4.6884) * CHOOSE(CONTROL!$C$14, $D$10, 100%, $F$10)</f>
        <v>4.6912000000000003</v>
      </c>
      <c r="K107" s="4"/>
      <c r="L107" s="9">
        <v>30.7165</v>
      </c>
      <c r="M107" s="9">
        <v>12.063700000000001</v>
      </c>
      <c r="N107" s="9">
        <v>4.9444999999999997</v>
      </c>
      <c r="O107" s="9">
        <v>0.37409999999999999</v>
      </c>
      <c r="P107" s="9">
        <v>1.2183999999999999</v>
      </c>
      <c r="Q107" s="9">
        <v>32.624400000000001</v>
      </c>
      <c r="R107" s="9"/>
      <c r="S107" s="11"/>
    </row>
    <row r="108" spans="1:19" ht="15.75">
      <c r="A108" s="13">
        <v>45170</v>
      </c>
      <c r="B108" s="8">
        <f>CHOOSE( CONTROL!$C$31, 4.7835, 4.7806) * CHOOSE(CONTROL!$C$14, $D$10, 100%, $F$10)</f>
        <v>4.7835000000000001</v>
      </c>
      <c r="C108" s="8">
        <f>CHOOSE( CONTROL!$C$31, 4.7915, 4.7886) * CHOOSE(CONTROL!$C$14, $D$10, 100%, $F$10)</f>
        <v>4.7915000000000001</v>
      </c>
      <c r="D108" s="8">
        <f>CHOOSE( CONTROL!$C$31, 4.7967, 4.7938) * CHOOSE( CONTROL!$C$14, $D$10, 100%, $F$10)</f>
        <v>4.7967000000000004</v>
      </c>
      <c r="E108" s="12">
        <f>CHOOSE( CONTROL!$C$31, 4.7936, 4.7907) * CHOOSE( CONTROL!$C$14, $D$10, 100%, $F$10)</f>
        <v>4.7935999999999996</v>
      </c>
      <c r="F108" s="4">
        <f>CHOOSE( CONTROL!$C$31, 5.4651, 5.4622) * CHOOSE(CONTROL!$C$14, $D$10, 100%, $F$10)</f>
        <v>5.4650999999999996</v>
      </c>
      <c r="G108" s="8">
        <f>CHOOSE( CONTROL!$C$31, 4.6751, 4.6722) * CHOOSE( CONTROL!$C$14, $D$10, 100%, $F$10)</f>
        <v>4.6750999999999996</v>
      </c>
      <c r="H108" s="4">
        <f>CHOOSE( CONTROL!$C$31, 5.6032, 5.6003) * CHOOSE(CONTROL!$C$14, $D$10, 100%, $F$10)</f>
        <v>5.6032000000000002</v>
      </c>
      <c r="I108" s="8">
        <f>CHOOSE( CONTROL!$C$31, 4.6892, 4.6864) * CHOOSE(CONTROL!$C$14, $D$10, 100%, $F$10)</f>
        <v>4.6891999999999996</v>
      </c>
      <c r="J108" s="4">
        <f>CHOOSE( CONTROL!$C$31, 4.593, 4.5902) * CHOOSE(CONTROL!$C$14, $D$10, 100%, $F$10)</f>
        <v>4.593</v>
      </c>
      <c r="K108" s="4"/>
      <c r="L108" s="9">
        <v>29.7257</v>
      </c>
      <c r="M108" s="9">
        <v>11.6745</v>
      </c>
      <c r="N108" s="9">
        <v>4.7850000000000001</v>
      </c>
      <c r="O108" s="9">
        <v>0.36199999999999999</v>
      </c>
      <c r="P108" s="9">
        <v>1.1791</v>
      </c>
      <c r="Q108" s="9">
        <v>31.571999999999999</v>
      </c>
      <c r="R108" s="9"/>
      <c r="S108" s="11"/>
    </row>
    <row r="109" spans="1:19" ht="15.75">
      <c r="A109" s="13">
        <v>45200</v>
      </c>
      <c r="B109" s="8">
        <f>4.9898 * CHOOSE(CONTROL!$C$14, $D$10, 100%, $F$10)</f>
        <v>4.9897999999999998</v>
      </c>
      <c r="C109" s="8">
        <f>4.9952 * CHOOSE(CONTROL!$C$14, $D$10, 100%, $F$10)</f>
        <v>4.9951999999999996</v>
      </c>
      <c r="D109" s="8">
        <f>5.0052 * CHOOSE( CONTROL!$C$14, $D$10, 100%, $F$10)</f>
        <v>5.0052000000000003</v>
      </c>
      <c r="E109" s="12">
        <f>5.0013 * CHOOSE( CONTROL!$C$14, $D$10, 100%, $F$10)</f>
        <v>5.0012999999999996</v>
      </c>
      <c r="F109" s="4">
        <f>5.6731 * CHOOSE(CONTROL!$C$14, $D$10, 100%, $F$10)</f>
        <v>5.6730999999999998</v>
      </c>
      <c r="G109" s="8">
        <f>4.8793 * CHOOSE( CONTROL!$C$14, $D$10, 100%, $F$10)</f>
        <v>4.8792999999999997</v>
      </c>
      <c r="H109" s="4">
        <f>5.8078 * CHOOSE(CONTROL!$C$14, $D$10, 100%, $F$10)</f>
        <v>5.8078000000000003</v>
      </c>
      <c r="I109" s="8">
        <f>4.8912 * CHOOSE(CONTROL!$C$14, $D$10, 100%, $F$10)</f>
        <v>4.8912000000000004</v>
      </c>
      <c r="J109" s="4">
        <f>4.7941 * CHOOSE(CONTROL!$C$14, $D$10, 100%, $F$10)</f>
        <v>4.7941000000000003</v>
      </c>
      <c r="K109" s="4"/>
      <c r="L109" s="9">
        <v>31.095300000000002</v>
      </c>
      <c r="M109" s="9">
        <v>12.063700000000001</v>
      </c>
      <c r="N109" s="9">
        <v>4.9444999999999997</v>
      </c>
      <c r="O109" s="9">
        <v>0.37409999999999999</v>
      </c>
      <c r="P109" s="9">
        <v>1.2183999999999999</v>
      </c>
      <c r="Q109" s="9">
        <v>32.624400000000001</v>
      </c>
      <c r="R109" s="9"/>
      <c r="S109" s="11"/>
    </row>
    <row r="110" spans="1:19" ht="15.75">
      <c r="A110" s="13">
        <v>45231</v>
      </c>
      <c r="B110" s="8">
        <f>5.3788 * CHOOSE(CONTROL!$C$14, $D$10, 100%, $F$10)</f>
        <v>5.3788</v>
      </c>
      <c r="C110" s="8">
        <f>5.3839 * CHOOSE(CONTROL!$C$14, $D$10, 100%, $F$10)</f>
        <v>5.3838999999999997</v>
      </c>
      <c r="D110" s="8">
        <f>5.3601 * CHOOSE( CONTROL!$C$14, $D$10, 100%, $F$10)</f>
        <v>5.3601000000000001</v>
      </c>
      <c r="E110" s="12">
        <f>5.3683 * CHOOSE( CONTROL!$C$14, $D$10, 100%, $F$10)</f>
        <v>5.3682999999999996</v>
      </c>
      <c r="F110" s="4">
        <f>6.0262 * CHOOSE(CONTROL!$C$14, $D$10, 100%, $F$10)</f>
        <v>6.0262000000000002</v>
      </c>
      <c r="G110" s="8">
        <f>5.2719 * CHOOSE( CONTROL!$C$14, $D$10, 100%, $F$10)</f>
        <v>5.2718999999999996</v>
      </c>
      <c r="H110" s="4">
        <f>6.1551 * CHOOSE(CONTROL!$C$14, $D$10, 100%, $F$10)</f>
        <v>6.1551</v>
      </c>
      <c r="I110" s="8">
        <f>5.2982 * CHOOSE(CONTROL!$C$14, $D$10, 100%, $F$10)</f>
        <v>5.2981999999999996</v>
      </c>
      <c r="J110" s="4">
        <f>5.1705 * CHOOSE(CONTROL!$C$14, $D$10, 100%, $F$10)</f>
        <v>5.1704999999999997</v>
      </c>
      <c r="K110" s="4"/>
      <c r="L110" s="9">
        <v>28.360600000000002</v>
      </c>
      <c r="M110" s="9">
        <v>11.6745</v>
      </c>
      <c r="N110" s="9">
        <v>4.7850000000000001</v>
      </c>
      <c r="O110" s="9">
        <v>0.36199999999999999</v>
      </c>
      <c r="P110" s="9">
        <v>1.2509999999999999</v>
      </c>
      <c r="Q110" s="9">
        <v>31.571999999999999</v>
      </c>
      <c r="R110" s="9"/>
      <c r="S110" s="11"/>
    </row>
    <row r="111" spans="1:19" ht="15.75">
      <c r="A111" s="13">
        <v>45261</v>
      </c>
      <c r="B111" s="8">
        <f>5.369 * CHOOSE(CONTROL!$C$14, $D$10, 100%, $F$10)</f>
        <v>5.3689999999999998</v>
      </c>
      <c r="C111" s="8">
        <f>5.3741 * CHOOSE(CONTROL!$C$14, $D$10, 100%, $F$10)</f>
        <v>5.3741000000000003</v>
      </c>
      <c r="D111" s="8">
        <f>5.3517 * CHOOSE( CONTROL!$C$14, $D$10, 100%, $F$10)</f>
        <v>5.3517000000000001</v>
      </c>
      <c r="E111" s="12">
        <f>5.3593 * CHOOSE( CONTROL!$C$14, $D$10, 100%, $F$10)</f>
        <v>5.3593000000000002</v>
      </c>
      <c r="F111" s="4">
        <f>6.0165 * CHOOSE(CONTROL!$C$14, $D$10, 100%, $F$10)</f>
        <v>6.0164999999999997</v>
      </c>
      <c r="G111" s="8">
        <f>5.2634 * CHOOSE( CONTROL!$C$14, $D$10, 100%, $F$10)</f>
        <v>5.2633999999999999</v>
      </c>
      <c r="H111" s="4">
        <f>6.1455 * CHOOSE(CONTROL!$C$14, $D$10, 100%, $F$10)</f>
        <v>6.1455000000000002</v>
      </c>
      <c r="I111" s="8">
        <f>5.2932 * CHOOSE(CONTROL!$C$14, $D$10, 100%, $F$10)</f>
        <v>5.2931999999999997</v>
      </c>
      <c r="J111" s="4">
        <f>5.1611 * CHOOSE(CONTROL!$C$14, $D$10, 100%, $F$10)</f>
        <v>5.1611000000000002</v>
      </c>
      <c r="K111" s="4"/>
      <c r="L111" s="9">
        <v>29.306000000000001</v>
      </c>
      <c r="M111" s="9">
        <v>12.063700000000001</v>
      </c>
      <c r="N111" s="9">
        <v>4.9444999999999997</v>
      </c>
      <c r="O111" s="9">
        <v>0.37409999999999999</v>
      </c>
      <c r="P111" s="9">
        <v>1.2927</v>
      </c>
      <c r="Q111" s="9">
        <v>32.624400000000001</v>
      </c>
      <c r="R111" s="9"/>
      <c r="S111" s="11"/>
    </row>
    <row r="112" spans="1:19" ht="15.75">
      <c r="A112" s="13">
        <v>45292</v>
      </c>
      <c r="B112" s="8">
        <f>6.0316 * CHOOSE(CONTROL!$C$14, $D$10, 100%, $F$10)</f>
        <v>6.0316000000000001</v>
      </c>
      <c r="C112" s="8">
        <f>6.0367 * CHOOSE(CONTROL!$C$14, $D$10, 100%, $F$10)</f>
        <v>6.0366999999999997</v>
      </c>
      <c r="D112" s="8">
        <f>6.0325 * CHOOSE( CONTROL!$C$14, $D$10, 100%, $F$10)</f>
        <v>6.0324999999999998</v>
      </c>
      <c r="E112" s="12">
        <f>6.0335 * CHOOSE( CONTROL!$C$14, $D$10, 100%, $F$10)</f>
        <v>6.0335000000000001</v>
      </c>
      <c r="F112" s="4">
        <f>6.7101 * CHOOSE(CONTROL!$C$14, $D$10, 100%, $F$10)</f>
        <v>6.7100999999999997</v>
      </c>
      <c r="G112" s="8">
        <f>5.9292 * CHOOSE( CONTROL!$C$14, $D$10, 100%, $F$10)</f>
        <v>5.9291999999999998</v>
      </c>
      <c r="H112" s="4">
        <f>6.8276 * CHOOSE(CONTROL!$C$14, $D$10, 100%, $F$10)</f>
        <v>6.8276000000000003</v>
      </c>
      <c r="I112" s="8">
        <f>5.913 * CHOOSE(CONTROL!$C$14, $D$10, 100%, $F$10)</f>
        <v>5.9130000000000003</v>
      </c>
      <c r="J112" s="4">
        <f>5.8015 * CHOOSE(CONTROL!$C$14, $D$10, 100%, $F$10)</f>
        <v>5.8014999999999999</v>
      </c>
      <c r="K112" s="4"/>
      <c r="L112" s="9">
        <v>29.306000000000001</v>
      </c>
      <c r="M112" s="9">
        <v>12.063700000000001</v>
      </c>
      <c r="N112" s="9">
        <v>4.9444999999999997</v>
      </c>
      <c r="O112" s="9">
        <v>0.37409999999999999</v>
      </c>
      <c r="P112" s="9">
        <v>1.2927</v>
      </c>
      <c r="Q112" s="9">
        <v>32.440300000000001</v>
      </c>
      <c r="R112" s="9"/>
      <c r="S112" s="11"/>
    </row>
    <row r="113" spans="1:19" ht="15.75">
      <c r="A113" s="13">
        <v>45323</v>
      </c>
      <c r="B113" s="8">
        <f>5.6436 * CHOOSE(CONTROL!$C$14, $D$10, 100%, $F$10)</f>
        <v>5.6436000000000002</v>
      </c>
      <c r="C113" s="8">
        <f>5.6487 * CHOOSE(CONTROL!$C$14, $D$10, 100%, $F$10)</f>
        <v>5.6486999999999998</v>
      </c>
      <c r="D113" s="8">
        <f>5.6386 * CHOOSE( CONTROL!$C$14, $D$10, 100%, $F$10)</f>
        <v>5.6386000000000003</v>
      </c>
      <c r="E113" s="12">
        <f>5.6417 * CHOOSE( CONTROL!$C$14, $D$10, 100%, $F$10)</f>
        <v>5.6417000000000002</v>
      </c>
      <c r="F113" s="4">
        <f>6.2962 * CHOOSE(CONTROL!$C$14, $D$10, 100%, $F$10)</f>
        <v>6.2961999999999998</v>
      </c>
      <c r="G113" s="8">
        <f>5.5395 * CHOOSE( CONTROL!$C$14, $D$10, 100%, $F$10)</f>
        <v>5.5395000000000003</v>
      </c>
      <c r="H113" s="4">
        <f>6.4206 * CHOOSE(CONTROL!$C$14, $D$10, 100%, $F$10)</f>
        <v>6.4206000000000003</v>
      </c>
      <c r="I113" s="8">
        <f>5.5285 * CHOOSE(CONTROL!$C$14, $D$10, 100%, $F$10)</f>
        <v>5.5285000000000002</v>
      </c>
      <c r="J113" s="4">
        <f>5.4265 * CHOOSE(CONTROL!$C$14, $D$10, 100%, $F$10)</f>
        <v>5.4264999999999999</v>
      </c>
      <c r="K113" s="4"/>
      <c r="L113" s="9">
        <v>27.415299999999998</v>
      </c>
      <c r="M113" s="9">
        <v>11.285299999999999</v>
      </c>
      <c r="N113" s="9">
        <v>4.6254999999999997</v>
      </c>
      <c r="O113" s="9">
        <v>0.34989999999999999</v>
      </c>
      <c r="P113" s="9">
        <v>1.2093</v>
      </c>
      <c r="Q113" s="9">
        <v>30.347300000000001</v>
      </c>
      <c r="R113" s="9"/>
      <c r="S113" s="11"/>
    </row>
    <row r="114" spans="1:19" ht="15.75">
      <c r="A114" s="13">
        <v>45352</v>
      </c>
      <c r="B114" s="8">
        <f>5.5241 * CHOOSE(CONTROL!$C$14, $D$10, 100%, $F$10)</f>
        <v>5.5240999999999998</v>
      </c>
      <c r="C114" s="8">
        <f>5.5292 * CHOOSE(CONTROL!$C$14, $D$10, 100%, $F$10)</f>
        <v>5.5292000000000003</v>
      </c>
      <c r="D114" s="8">
        <f>5.5126 * CHOOSE( CONTROL!$C$14, $D$10, 100%, $F$10)</f>
        <v>5.5125999999999999</v>
      </c>
      <c r="E114" s="12">
        <f>5.5181 * CHOOSE( CONTROL!$C$14, $D$10, 100%, $F$10)</f>
        <v>5.5180999999999996</v>
      </c>
      <c r="F114" s="4">
        <f>6.1767 * CHOOSE(CONTROL!$C$14, $D$10, 100%, $F$10)</f>
        <v>6.1767000000000003</v>
      </c>
      <c r="G114" s="8">
        <f>5.4138 * CHOOSE( CONTROL!$C$14, $D$10, 100%, $F$10)</f>
        <v>5.4138000000000002</v>
      </c>
      <c r="H114" s="4">
        <f>6.3031 * CHOOSE(CONTROL!$C$14, $D$10, 100%, $F$10)</f>
        <v>6.3030999999999997</v>
      </c>
      <c r="I114" s="8">
        <f>5.3928 * CHOOSE(CONTROL!$C$14, $D$10, 100%, $F$10)</f>
        <v>5.3928000000000003</v>
      </c>
      <c r="J114" s="4">
        <f>5.311 * CHOOSE(CONTROL!$C$14, $D$10, 100%, $F$10)</f>
        <v>5.3109999999999999</v>
      </c>
      <c r="K114" s="4"/>
      <c r="L114" s="9">
        <v>29.306000000000001</v>
      </c>
      <c r="M114" s="9">
        <v>12.063700000000001</v>
      </c>
      <c r="N114" s="9">
        <v>4.9444999999999997</v>
      </c>
      <c r="O114" s="9">
        <v>0.37409999999999999</v>
      </c>
      <c r="P114" s="9">
        <v>1.2927</v>
      </c>
      <c r="Q114" s="9">
        <v>32.440300000000001</v>
      </c>
      <c r="R114" s="9"/>
      <c r="S114" s="11"/>
    </row>
    <row r="115" spans="1:19" ht="15.75">
      <c r="A115" s="13">
        <v>45383</v>
      </c>
      <c r="B115" s="8">
        <f>5.6084 * CHOOSE(CONTROL!$C$14, $D$10, 100%, $F$10)</f>
        <v>5.6083999999999996</v>
      </c>
      <c r="C115" s="8">
        <f>5.6129 * CHOOSE(CONTROL!$C$14, $D$10, 100%, $F$10)</f>
        <v>5.6128999999999998</v>
      </c>
      <c r="D115" s="8">
        <f>5.6224 * CHOOSE( CONTROL!$C$14, $D$10, 100%, $F$10)</f>
        <v>5.6223999999999998</v>
      </c>
      <c r="E115" s="12">
        <f>5.6187 * CHOOSE( CONTROL!$C$14, $D$10, 100%, $F$10)</f>
        <v>5.6186999999999996</v>
      </c>
      <c r="F115" s="4">
        <f>6.2913 * CHOOSE(CONTROL!$C$14, $D$10, 100%, $F$10)</f>
        <v>6.2912999999999997</v>
      </c>
      <c r="G115" s="8">
        <f>5.4858 * CHOOSE( CONTROL!$C$14, $D$10, 100%, $F$10)</f>
        <v>5.4858000000000002</v>
      </c>
      <c r="H115" s="4">
        <f>6.4157 * CHOOSE(CONTROL!$C$14, $D$10, 100%, $F$10)</f>
        <v>6.4157000000000002</v>
      </c>
      <c r="I115" s="8">
        <f>5.4845 * CHOOSE(CONTROL!$C$14, $D$10, 100%, $F$10)</f>
        <v>5.4844999999999997</v>
      </c>
      <c r="J115" s="4">
        <f>5.3917 * CHOOSE(CONTROL!$C$14, $D$10, 100%, $F$10)</f>
        <v>5.3917000000000002</v>
      </c>
      <c r="K115" s="4"/>
      <c r="L115" s="9">
        <v>30.092199999999998</v>
      </c>
      <c r="M115" s="9">
        <v>11.6745</v>
      </c>
      <c r="N115" s="9">
        <v>4.7850000000000001</v>
      </c>
      <c r="O115" s="9">
        <v>0.36199999999999999</v>
      </c>
      <c r="P115" s="9">
        <v>1.1791</v>
      </c>
      <c r="Q115" s="9">
        <v>31.393799999999999</v>
      </c>
      <c r="R115" s="9"/>
      <c r="S115" s="11"/>
    </row>
    <row r="116" spans="1:19" ht="15.75">
      <c r="A116" s="13">
        <v>45413</v>
      </c>
      <c r="B116" s="8">
        <f>CHOOSE( CONTROL!$C$31, 5.7613, 5.7583) * CHOOSE(CONTROL!$C$14, $D$10, 100%, $F$10)</f>
        <v>5.7613000000000003</v>
      </c>
      <c r="C116" s="8">
        <f>CHOOSE( CONTROL!$C$31, 5.7693, 5.7664) * CHOOSE(CONTROL!$C$14, $D$10, 100%, $F$10)</f>
        <v>5.7693000000000003</v>
      </c>
      <c r="D116" s="8">
        <f>CHOOSE( CONTROL!$C$31, 5.7739, 5.771) * CHOOSE( CONTROL!$C$14, $D$10, 100%, $F$10)</f>
        <v>5.7739000000000003</v>
      </c>
      <c r="E116" s="12">
        <f>CHOOSE( CONTROL!$C$31, 5.771, 5.7681) * CHOOSE( CONTROL!$C$14, $D$10, 100%, $F$10)</f>
        <v>5.7709999999999999</v>
      </c>
      <c r="F116" s="4">
        <f>CHOOSE( CONTROL!$C$31, 6.4428, 6.4399) * CHOOSE(CONTROL!$C$14, $D$10, 100%, $F$10)</f>
        <v>6.4428000000000001</v>
      </c>
      <c r="G116" s="8">
        <f>CHOOSE( CONTROL!$C$31, 5.6357, 5.6328) * CHOOSE( CONTROL!$C$14, $D$10, 100%, $F$10)</f>
        <v>5.6356999999999999</v>
      </c>
      <c r="H116" s="4">
        <f>CHOOSE( CONTROL!$C$31, 6.5647, 6.5619) * CHOOSE(CONTROL!$C$14, $D$10, 100%, $F$10)</f>
        <v>6.5647000000000002</v>
      </c>
      <c r="I116" s="8">
        <f>CHOOSE( CONTROL!$C$31, 5.6321, 5.6293) * CHOOSE(CONTROL!$C$14, $D$10, 100%, $F$10)</f>
        <v>5.6321000000000003</v>
      </c>
      <c r="J116" s="4">
        <f>CHOOSE( CONTROL!$C$31, 5.5382, 5.5354) * CHOOSE(CONTROL!$C$14, $D$10, 100%, $F$10)</f>
        <v>5.5381999999999998</v>
      </c>
      <c r="K116" s="4"/>
      <c r="L116" s="9">
        <v>30.7165</v>
      </c>
      <c r="M116" s="9">
        <v>12.063700000000001</v>
      </c>
      <c r="N116" s="9">
        <v>4.9444999999999997</v>
      </c>
      <c r="O116" s="9">
        <v>0.37409999999999999</v>
      </c>
      <c r="P116" s="9">
        <v>1.2183999999999999</v>
      </c>
      <c r="Q116" s="9">
        <v>32.440300000000001</v>
      </c>
      <c r="R116" s="9"/>
      <c r="S116" s="11"/>
    </row>
    <row r="117" spans="1:19" ht="15.75">
      <c r="A117" s="13">
        <v>45444</v>
      </c>
      <c r="B117" s="8">
        <f>CHOOSE( CONTROL!$C$31, 5.6692, 5.6663) * CHOOSE(CONTROL!$C$14, $D$10, 100%, $F$10)</f>
        <v>5.6692</v>
      </c>
      <c r="C117" s="8">
        <f>CHOOSE( CONTROL!$C$31, 5.6772, 5.6743) * CHOOSE(CONTROL!$C$14, $D$10, 100%, $F$10)</f>
        <v>5.6772</v>
      </c>
      <c r="D117" s="8">
        <f>CHOOSE( CONTROL!$C$31, 5.6821, 5.6792) * CHOOSE( CONTROL!$C$14, $D$10, 100%, $F$10)</f>
        <v>5.6821000000000002</v>
      </c>
      <c r="E117" s="12">
        <f>CHOOSE( CONTROL!$C$31, 5.6791, 5.6762) * CHOOSE( CONTROL!$C$14, $D$10, 100%, $F$10)</f>
        <v>5.6791</v>
      </c>
      <c r="F117" s="4">
        <f>CHOOSE( CONTROL!$C$31, 6.3508, 6.3478) * CHOOSE(CONTROL!$C$14, $D$10, 100%, $F$10)</f>
        <v>6.3507999999999996</v>
      </c>
      <c r="G117" s="8">
        <f>CHOOSE( CONTROL!$C$31, 5.5456, 5.5427) * CHOOSE( CONTROL!$C$14, $D$10, 100%, $F$10)</f>
        <v>5.5456000000000003</v>
      </c>
      <c r="H117" s="4">
        <f>CHOOSE( CONTROL!$C$31, 6.4742, 6.4713) * CHOOSE(CONTROL!$C$14, $D$10, 100%, $F$10)</f>
        <v>6.4741999999999997</v>
      </c>
      <c r="I117" s="8">
        <f>CHOOSE( CONTROL!$C$31, 5.5443, 5.5415) * CHOOSE(CONTROL!$C$14, $D$10, 100%, $F$10)</f>
        <v>5.5442999999999998</v>
      </c>
      <c r="J117" s="4">
        <f>CHOOSE( CONTROL!$C$31, 5.4492, 5.4464) * CHOOSE(CONTROL!$C$14, $D$10, 100%, $F$10)</f>
        <v>5.4492000000000003</v>
      </c>
      <c r="K117" s="4"/>
      <c r="L117" s="9">
        <v>29.7257</v>
      </c>
      <c r="M117" s="9">
        <v>11.6745</v>
      </c>
      <c r="N117" s="9">
        <v>4.7850000000000001</v>
      </c>
      <c r="O117" s="9">
        <v>0.36199999999999999</v>
      </c>
      <c r="P117" s="9">
        <v>1.1791</v>
      </c>
      <c r="Q117" s="9">
        <v>31.393799999999999</v>
      </c>
      <c r="R117" s="9"/>
      <c r="S117" s="11"/>
    </row>
    <row r="118" spans="1:19" ht="15.75">
      <c r="A118" s="13">
        <v>45474</v>
      </c>
      <c r="B118" s="8">
        <f>CHOOSE( CONTROL!$C$31, 5.9116, 5.9087) * CHOOSE(CONTROL!$C$14, $D$10, 100%, $F$10)</f>
        <v>5.9116</v>
      </c>
      <c r="C118" s="8">
        <f>CHOOSE( CONTROL!$C$31, 5.9197, 5.9167) * CHOOSE(CONTROL!$C$14, $D$10, 100%, $F$10)</f>
        <v>5.9196999999999997</v>
      </c>
      <c r="D118" s="8">
        <f>CHOOSE( CONTROL!$C$31, 5.9248, 5.9218) * CHOOSE( CONTROL!$C$14, $D$10, 100%, $F$10)</f>
        <v>5.9248000000000003</v>
      </c>
      <c r="E118" s="12">
        <f>CHOOSE( CONTROL!$C$31, 5.9217, 5.9187) * CHOOSE( CONTROL!$C$14, $D$10, 100%, $F$10)</f>
        <v>5.9217000000000004</v>
      </c>
      <c r="F118" s="4">
        <f>CHOOSE( CONTROL!$C$31, 6.5932, 6.5903) * CHOOSE(CONTROL!$C$14, $D$10, 100%, $F$10)</f>
        <v>6.5932000000000004</v>
      </c>
      <c r="G118" s="8">
        <f>CHOOSE( CONTROL!$C$31, 5.7843, 5.7815) * CHOOSE( CONTROL!$C$14, $D$10, 100%, $F$10)</f>
        <v>5.7843</v>
      </c>
      <c r="H118" s="4">
        <f>CHOOSE( CONTROL!$C$31, 6.7126, 6.7097) * CHOOSE(CONTROL!$C$14, $D$10, 100%, $F$10)</f>
        <v>6.7126000000000001</v>
      </c>
      <c r="I118" s="8">
        <f>CHOOSE( CONTROL!$C$31, 5.7799, 5.7771) * CHOOSE(CONTROL!$C$14, $D$10, 100%, $F$10)</f>
        <v>5.7798999999999996</v>
      </c>
      <c r="J118" s="4">
        <f>CHOOSE( CONTROL!$C$31, 5.6835, 5.6807) * CHOOSE(CONTROL!$C$14, $D$10, 100%, $F$10)</f>
        <v>5.6835000000000004</v>
      </c>
      <c r="K118" s="4"/>
      <c r="L118" s="9">
        <v>30.7165</v>
      </c>
      <c r="M118" s="9">
        <v>12.063700000000001</v>
      </c>
      <c r="N118" s="9">
        <v>4.9444999999999997</v>
      </c>
      <c r="O118" s="9">
        <v>0.37409999999999999</v>
      </c>
      <c r="P118" s="9">
        <v>1.2183999999999999</v>
      </c>
      <c r="Q118" s="9">
        <v>32.440300000000001</v>
      </c>
      <c r="R118" s="9"/>
      <c r="S118" s="11"/>
    </row>
    <row r="119" spans="1:19" ht="15.75">
      <c r="A119" s="13">
        <v>45505</v>
      </c>
      <c r="B119" s="8">
        <f>CHOOSE( CONTROL!$C$31, 5.458, 5.4551) * CHOOSE(CONTROL!$C$14, $D$10, 100%, $F$10)</f>
        <v>5.4580000000000002</v>
      </c>
      <c r="C119" s="8">
        <f>CHOOSE( CONTROL!$C$31, 5.466, 5.4631) * CHOOSE(CONTROL!$C$14, $D$10, 100%, $F$10)</f>
        <v>5.4660000000000002</v>
      </c>
      <c r="D119" s="8">
        <f>CHOOSE( CONTROL!$C$31, 5.4712, 5.4683) * CHOOSE( CONTROL!$C$14, $D$10, 100%, $F$10)</f>
        <v>5.4711999999999996</v>
      </c>
      <c r="E119" s="12">
        <f>CHOOSE( CONTROL!$C$31, 5.4681, 5.4652) * CHOOSE( CONTROL!$C$14, $D$10, 100%, $F$10)</f>
        <v>5.4680999999999997</v>
      </c>
      <c r="F119" s="4">
        <f>CHOOSE( CONTROL!$C$31, 6.1396, 6.1366) * CHOOSE(CONTROL!$C$14, $D$10, 100%, $F$10)</f>
        <v>6.1395999999999997</v>
      </c>
      <c r="G119" s="8">
        <f>CHOOSE( CONTROL!$C$31, 5.3384, 5.3355) * CHOOSE( CONTROL!$C$14, $D$10, 100%, $F$10)</f>
        <v>5.3384</v>
      </c>
      <c r="H119" s="4">
        <f>CHOOSE( CONTROL!$C$31, 6.2665, 6.2637) * CHOOSE(CONTROL!$C$14, $D$10, 100%, $F$10)</f>
        <v>6.2664999999999997</v>
      </c>
      <c r="I119" s="8">
        <f>CHOOSE( CONTROL!$C$31, 5.3416, 5.3388) * CHOOSE(CONTROL!$C$14, $D$10, 100%, $F$10)</f>
        <v>5.3415999999999997</v>
      </c>
      <c r="J119" s="4">
        <f>CHOOSE( CONTROL!$C$31, 5.245, 5.2422) * CHOOSE(CONTROL!$C$14, $D$10, 100%, $F$10)</f>
        <v>5.2450000000000001</v>
      </c>
      <c r="K119" s="4"/>
      <c r="L119" s="9">
        <v>30.7165</v>
      </c>
      <c r="M119" s="9">
        <v>12.063700000000001</v>
      </c>
      <c r="N119" s="9">
        <v>4.9444999999999997</v>
      </c>
      <c r="O119" s="9">
        <v>0.37409999999999999</v>
      </c>
      <c r="P119" s="9">
        <v>1.2183999999999999</v>
      </c>
      <c r="Q119" s="9">
        <v>32.440300000000001</v>
      </c>
      <c r="R119" s="9"/>
      <c r="S119" s="11"/>
    </row>
    <row r="120" spans="1:19" ht="15.75">
      <c r="A120" s="13">
        <v>45536</v>
      </c>
      <c r="B120" s="8">
        <f>CHOOSE( CONTROL!$C$31, 5.3444, 5.3415) * CHOOSE(CONTROL!$C$14, $D$10, 100%, $F$10)</f>
        <v>5.3444000000000003</v>
      </c>
      <c r="C120" s="8">
        <f>CHOOSE( CONTROL!$C$31, 5.3524, 5.3495) * CHOOSE(CONTROL!$C$14, $D$10, 100%, $F$10)</f>
        <v>5.3524000000000003</v>
      </c>
      <c r="D120" s="8">
        <f>CHOOSE( CONTROL!$C$31, 5.3576, 5.3547) * CHOOSE( CONTROL!$C$14, $D$10, 100%, $F$10)</f>
        <v>5.3575999999999997</v>
      </c>
      <c r="E120" s="12">
        <f>CHOOSE( CONTROL!$C$31, 5.3545, 5.3516) * CHOOSE( CONTROL!$C$14, $D$10, 100%, $F$10)</f>
        <v>5.3544999999999998</v>
      </c>
      <c r="F120" s="4">
        <f>CHOOSE( CONTROL!$C$31, 6.026, 6.0231) * CHOOSE(CONTROL!$C$14, $D$10, 100%, $F$10)</f>
        <v>6.0259999999999998</v>
      </c>
      <c r="G120" s="8">
        <f>CHOOSE( CONTROL!$C$31, 5.2267, 5.2238) * CHOOSE( CONTROL!$C$14, $D$10, 100%, $F$10)</f>
        <v>5.2267000000000001</v>
      </c>
      <c r="H120" s="4">
        <f>CHOOSE( CONTROL!$C$31, 6.1548, 6.1519) * CHOOSE(CONTROL!$C$14, $D$10, 100%, $F$10)</f>
        <v>6.1547999999999998</v>
      </c>
      <c r="I120" s="8">
        <f>CHOOSE( CONTROL!$C$31, 5.2317, 5.2289) * CHOOSE(CONTROL!$C$14, $D$10, 100%, $F$10)</f>
        <v>5.2317</v>
      </c>
      <c r="J120" s="4">
        <f>CHOOSE( CONTROL!$C$31, 5.1352, 5.1324) * CHOOSE(CONTROL!$C$14, $D$10, 100%, $F$10)</f>
        <v>5.1352000000000002</v>
      </c>
      <c r="K120" s="4"/>
      <c r="L120" s="9">
        <v>29.7257</v>
      </c>
      <c r="M120" s="9">
        <v>11.6745</v>
      </c>
      <c r="N120" s="9">
        <v>4.7850000000000001</v>
      </c>
      <c r="O120" s="9">
        <v>0.36199999999999999</v>
      </c>
      <c r="P120" s="9">
        <v>1.1791</v>
      </c>
      <c r="Q120" s="9">
        <v>31.393799999999999</v>
      </c>
      <c r="R120" s="9"/>
      <c r="S120" s="11"/>
    </row>
    <row r="121" spans="1:19" ht="15.75">
      <c r="A121" s="13">
        <v>45566</v>
      </c>
      <c r="B121" s="8">
        <f>5.5756 * CHOOSE(CONTROL!$C$14, $D$10, 100%, $F$10)</f>
        <v>5.5755999999999997</v>
      </c>
      <c r="C121" s="8">
        <f>5.581 * CHOOSE(CONTROL!$C$14, $D$10, 100%, $F$10)</f>
        <v>5.5810000000000004</v>
      </c>
      <c r="D121" s="8">
        <f>5.591 * CHOOSE( CONTROL!$C$14, $D$10, 100%, $F$10)</f>
        <v>5.5910000000000002</v>
      </c>
      <c r="E121" s="12">
        <f>5.5871 * CHOOSE( CONTROL!$C$14, $D$10, 100%, $F$10)</f>
        <v>5.5871000000000004</v>
      </c>
      <c r="F121" s="4">
        <f>6.2589 * CHOOSE(CONTROL!$C$14, $D$10, 100%, $F$10)</f>
        <v>6.2588999999999997</v>
      </c>
      <c r="G121" s="8">
        <f>5.4554 * CHOOSE( CONTROL!$C$14, $D$10, 100%, $F$10)</f>
        <v>5.4554</v>
      </c>
      <c r="H121" s="4">
        <f>6.3839 * CHOOSE(CONTROL!$C$14, $D$10, 100%, $F$10)</f>
        <v>6.3838999999999997</v>
      </c>
      <c r="I121" s="8">
        <f>5.4578 * CHOOSE(CONTROL!$C$14, $D$10, 100%, $F$10)</f>
        <v>5.4577999999999998</v>
      </c>
      <c r="J121" s="4">
        <f>5.3604 * CHOOSE(CONTROL!$C$14, $D$10, 100%, $F$10)</f>
        <v>5.3604000000000003</v>
      </c>
      <c r="K121" s="4"/>
      <c r="L121" s="9">
        <v>31.095300000000002</v>
      </c>
      <c r="M121" s="9">
        <v>12.063700000000001</v>
      </c>
      <c r="N121" s="9">
        <v>4.9444999999999997</v>
      </c>
      <c r="O121" s="9">
        <v>0.37409999999999999</v>
      </c>
      <c r="P121" s="9">
        <v>1.2183999999999999</v>
      </c>
      <c r="Q121" s="9">
        <v>32.440300000000001</v>
      </c>
      <c r="R121" s="9"/>
      <c r="S121" s="11"/>
    </row>
    <row r="122" spans="1:19" ht="15.75">
      <c r="A122" s="13">
        <v>45597</v>
      </c>
      <c r="B122" s="8">
        <f>6.0106 * CHOOSE(CONTROL!$C$14, $D$10, 100%, $F$10)</f>
        <v>6.0106000000000002</v>
      </c>
      <c r="C122" s="8">
        <f>6.0157 * CHOOSE(CONTROL!$C$14, $D$10, 100%, $F$10)</f>
        <v>6.0156999999999998</v>
      </c>
      <c r="D122" s="8">
        <f>5.9919 * CHOOSE( CONTROL!$C$14, $D$10, 100%, $F$10)</f>
        <v>5.9919000000000002</v>
      </c>
      <c r="E122" s="12">
        <f>6.0001 * CHOOSE( CONTROL!$C$14, $D$10, 100%, $F$10)</f>
        <v>6.0000999999999998</v>
      </c>
      <c r="F122" s="4">
        <f>6.658 * CHOOSE(CONTROL!$C$14, $D$10, 100%, $F$10)</f>
        <v>6.6580000000000004</v>
      </c>
      <c r="G122" s="8">
        <f>5.8933 * CHOOSE( CONTROL!$C$14, $D$10, 100%, $F$10)</f>
        <v>5.8933</v>
      </c>
      <c r="H122" s="4">
        <f>6.7764 * CHOOSE(CONTROL!$C$14, $D$10, 100%, $F$10)</f>
        <v>6.7763999999999998</v>
      </c>
      <c r="I122" s="8">
        <f>5.9093 * CHOOSE(CONTROL!$C$14, $D$10, 100%, $F$10)</f>
        <v>5.9093</v>
      </c>
      <c r="J122" s="4">
        <f>5.7812 * CHOOSE(CONTROL!$C$14, $D$10, 100%, $F$10)</f>
        <v>5.7812000000000001</v>
      </c>
      <c r="K122" s="4"/>
      <c r="L122" s="9">
        <v>28.360600000000002</v>
      </c>
      <c r="M122" s="9">
        <v>11.6745</v>
      </c>
      <c r="N122" s="9">
        <v>4.7850000000000001</v>
      </c>
      <c r="O122" s="9">
        <v>0.36199999999999999</v>
      </c>
      <c r="P122" s="9">
        <v>1.2509999999999999</v>
      </c>
      <c r="Q122" s="9">
        <v>31.393799999999999</v>
      </c>
      <c r="R122" s="9"/>
      <c r="S122" s="11"/>
    </row>
    <row r="123" spans="1:19" ht="15.75">
      <c r="A123" s="13">
        <v>45627</v>
      </c>
      <c r="B123" s="8">
        <f>5.9997 * CHOOSE(CONTROL!$C$14, $D$10, 100%, $F$10)</f>
        <v>5.9996999999999998</v>
      </c>
      <c r="C123" s="8">
        <f>6.0048 * CHOOSE(CONTROL!$C$14, $D$10, 100%, $F$10)</f>
        <v>6.0048000000000004</v>
      </c>
      <c r="D123" s="8">
        <f>5.9824 * CHOOSE( CONTROL!$C$14, $D$10, 100%, $F$10)</f>
        <v>5.9824000000000002</v>
      </c>
      <c r="E123" s="12">
        <f>5.99 * CHOOSE( CONTROL!$C$14, $D$10, 100%, $F$10)</f>
        <v>5.99</v>
      </c>
      <c r="F123" s="4">
        <f>6.6472 * CHOOSE(CONTROL!$C$14, $D$10, 100%, $F$10)</f>
        <v>6.6471999999999998</v>
      </c>
      <c r="G123" s="8">
        <f>5.8836 * CHOOSE( CONTROL!$C$14, $D$10, 100%, $F$10)</f>
        <v>5.8836000000000004</v>
      </c>
      <c r="H123" s="4">
        <f>6.7657 * CHOOSE(CONTROL!$C$14, $D$10, 100%, $F$10)</f>
        <v>6.7656999999999998</v>
      </c>
      <c r="I123" s="8">
        <f>5.9032 * CHOOSE(CONTROL!$C$14, $D$10, 100%, $F$10)</f>
        <v>5.9032</v>
      </c>
      <c r="J123" s="4">
        <f>5.7707 * CHOOSE(CONTROL!$C$14, $D$10, 100%, $F$10)</f>
        <v>5.7706999999999997</v>
      </c>
      <c r="K123" s="4"/>
      <c r="L123" s="9">
        <v>29.306000000000001</v>
      </c>
      <c r="M123" s="9">
        <v>12.063700000000001</v>
      </c>
      <c r="N123" s="9">
        <v>4.9444999999999997</v>
      </c>
      <c r="O123" s="9">
        <v>0.37409999999999999</v>
      </c>
      <c r="P123" s="9">
        <v>1.2927</v>
      </c>
      <c r="Q123" s="9">
        <v>32.440300000000001</v>
      </c>
      <c r="R123" s="9"/>
      <c r="S123" s="11"/>
    </row>
    <row r="124" spans="1:19" ht="15.75">
      <c r="A124" s="13">
        <v>45658</v>
      </c>
      <c r="B124" s="8">
        <f>6.0206 * CHOOSE(CONTROL!$C$14, $D$10, 100%, $F$10)</f>
        <v>6.0206</v>
      </c>
      <c r="C124" s="8">
        <f>6.0258 * CHOOSE(CONTROL!$C$14, $D$10, 100%, $F$10)</f>
        <v>6.0258000000000003</v>
      </c>
      <c r="D124" s="8">
        <f>6.0216 * CHOOSE( CONTROL!$C$14, $D$10, 100%, $F$10)</f>
        <v>6.0216000000000003</v>
      </c>
      <c r="E124" s="12">
        <f>6.0226 * CHOOSE( CONTROL!$C$14, $D$10, 100%, $F$10)</f>
        <v>6.0225999999999997</v>
      </c>
      <c r="F124" s="4">
        <f>6.6991 * CHOOSE(CONTROL!$C$14, $D$10, 100%, $F$10)</f>
        <v>6.6990999999999996</v>
      </c>
      <c r="G124" s="8">
        <f>5.9184 * CHOOSE( CONTROL!$C$14, $D$10, 100%, $F$10)</f>
        <v>5.9184000000000001</v>
      </c>
      <c r="H124" s="4">
        <f>6.8168 * CHOOSE(CONTROL!$C$14, $D$10, 100%, $F$10)</f>
        <v>6.8167999999999997</v>
      </c>
      <c r="I124" s="8">
        <f>5.9025 * CHOOSE(CONTROL!$C$14, $D$10, 100%, $F$10)</f>
        <v>5.9024999999999999</v>
      </c>
      <c r="J124" s="4">
        <f>5.791 * CHOOSE(CONTROL!$C$14, $D$10, 100%, $F$10)</f>
        <v>5.7910000000000004</v>
      </c>
      <c r="K124" s="4"/>
      <c r="L124" s="9">
        <v>29.306000000000001</v>
      </c>
      <c r="M124" s="9">
        <v>12.063700000000001</v>
      </c>
      <c r="N124" s="9">
        <v>4.9444999999999997</v>
      </c>
      <c r="O124" s="9">
        <v>0.37409999999999999</v>
      </c>
      <c r="P124" s="9">
        <v>1.2927</v>
      </c>
      <c r="Q124" s="9">
        <v>32.254300000000001</v>
      </c>
      <c r="R124" s="9"/>
      <c r="S124" s="11"/>
    </row>
    <row r="125" spans="1:19" ht="15.75">
      <c r="A125" s="13">
        <v>45689</v>
      </c>
      <c r="B125" s="8">
        <f>5.6334 * CHOOSE(CONTROL!$C$14, $D$10, 100%, $F$10)</f>
        <v>5.6334</v>
      </c>
      <c r="C125" s="8">
        <f>5.6385 * CHOOSE(CONTROL!$C$14, $D$10, 100%, $F$10)</f>
        <v>5.6384999999999996</v>
      </c>
      <c r="D125" s="8">
        <f>5.6284 * CHOOSE( CONTROL!$C$14, $D$10, 100%, $F$10)</f>
        <v>5.6284000000000001</v>
      </c>
      <c r="E125" s="12">
        <f>5.6315 * CHOOSE( CONTROL!$C$14, $D$10, 100%, $F$10)</f>
        <v>5.6315</v>
      </c>
      <c r="F125" s="4">
        <f>6.286 * CHOOSE(CONTROL!$C$14, $D$10, 100%, $F$10)</f>
        <v>6.2859999999999996</v>
      </c>
      <c r="G125" s="8">
        <f>5.5294 * CHOOSE( CONTROL!$C$14, $D$10, 100%, $F$10)</f>
        <v>5.5293999999999999</v>
      </c>
      <c r="H125" s="4">
        <f>6.4105 * CHOOSE(CONTROL!$C$14, $D$10, 100%, $F$10)</f>
        <v>6.4104999999999999</v>
      </c>
      <c r="I125" s="8">
        <f>5.5186 * CHOOSE(CONTROL!$C$14, $D$10, 100%, $F$10)</f>
        <v>5.5186000000000002</v>
      </c>
      <c r="J125" s="4">
        <f>5.4166 * CHOOSE(CONTROL!$C$14, $D$10, 100%, $F$10)</f>
        <v>5.4165999999999999</v>
      </c>
      <c r="K125" s="4"/>
      <c r="L125" s="9">
        <v>26.469899999999999</v>
      </c>
      <c r="M125" s="9">
        <v>10.8962</v>
      </c>
      <c r="N125" s="9">
        <v>4.4660000000000002</v>
      </c>
      <c r="O125" s="9">
        <v>0.33789999999999998</v>
      </c>
      <c r="P125" s="9">
        <v>1.1676</v>
      </c>
      <c r="Q125" s="9">
        <v>29.132899999999999</v>
      </c>
      <c r="R125" s="9"/>
      <c r="S125" s="11"/>
    </row>
    <row r="126" spans="1:19" ht="15.75">
      <c r="A126" s="13">
        <v>45717</v>
      </c>
      <c r="B126" s="8">
        <f>5.5141 * CHOOSE(CONTROL!$C$14, $D$10, 100%, $F$10)</f>
        <v>5.5141</v>
      </c>
      <c r="C126" s="8">
        <f>5.5192 * CHOOSE(CONTROL!$C$14, $D$10, 100%, $F$10)</f>
        <v>5.5191999999999997</v>
      </c>
      <c r="D126" s="8">
        <f>5.5026 * CHOOSE( CONTROL!$C$14, $D$10, 100%, $F$10)</f>
        <v>5.5026000000000002</v>
      </c>
      <c r="E126" s="12">
        <f>5.5081 * CHOOSE( CONTROL!$C$14, $D$10, 100%, $F$10)</f>
        <v>5.5080999999999998</v>
      </c>
      <c r="F126" s="4">
        <f>6.1667 * CHOOSE(CONTROL!$C$14, $D$10, 100%, $F$10)</f>
        <v>6.1666999999999996</v>
      </c>
      <c r="G126" s="8">
        <f>5.4039 * CHOOSE( CONTROL!$C$14, $D$10, 100%, $F$10)</f>
        <v>5.4039000000000001</v>
      </c>
      <c r="H126" s="4">
        <f>6.2932 * CHOOSE(CONTROL!$C$14, $D$10, 100%, $F$10)</f>
        <v>6.2931999999999997</v>
      </c>
      <c r="I126" s="8">
        <f>5.3831 * CHOOSE(CONTROL!$C$14, $D$10, 100%, $F$10)</f>
        <v>5.3830999999999998</v>
      </c>
      <c r="J126" s="4">
        <f>5.3013 * CHOOSE(CONTROL!$C$14, $D$10, 100%, $F$10)</f>
        <v>5.3013000000000003</v>
      </c>
      <c r="K126" s="4"/>
      <c r="L126" s="9">
        <v>29.306000000000001</v>
      </c>
      <c r="M126" s="9">
        <v>12.063700000000001</v>
      </c>
      <c r="N126" s="9">
        <v>4.9444999999999997</v>
      </c>
      <c r="O126" s="9">
        <v>0.37409999999999999</v>
      </c>
      <c r="P126" s="9">
        <v>1.2927</v>
      </c>
      <c r="Q126" s="9">
        <v>32.254300000000001</v>
      </c>
      <c r="R126" s="9"/>
      <c r="S126" s="11"/>
    </row>
    <row r="127" spans="1:19" ht="15.75">
      <c r="A127" s="13">
        <v>45748</v>
      </c>
      <c r="B127" s="8">
        <f>5.5982 * CHOOSE(CONTROL!$C$14, $D$10, 100%, $F$10)</f>
        <v>5.5982000000000003</v>
      </c>
      <c r="C127" s="8">
        <f>5.6028 * CHOOSE(CONTROL!$C$14, $D$10, 100%, $F$10)</f>
        <v>5.6028000000000002</v>
      </c>
      <c r="D127" s="8">
        <f>5.6123 * CHOOSE( CONTROL!$C$14, $D$10, 100%, $F$10)</f>
        <v>5.6123000000000003</v>
      </c>
      <c r="E127" s="12">
        <f>5.6086 * CHOOSE( CONTROL!$C$14, $D$10, 100%, $F$10)</f>
        <v>5.6086</v>
      </c>
      <c r="F127" s="4">
        <f>6.2811 * CHOOSE(CONTROL!$C$14, $D$10, 100%, $F$10)</f>
        <v>6.2811000000000003</v>
      </c>
      <c r="G127" s="8">
        <f>5.4758 * CHOOSE( CONTROL!$C$14, $D$10, 100%, $F$10)</f>
        <v>5.4757999999999996</v>
      </c>
      <c r="H127" s="4">
        <f>6.4057 * CHOOSE(CONTROL!$C$14, $D$10, 100%, $F$10)</f>
        <v>6.4057000000000004</v>
      </c>
      <c r="I127" s="8">
        <f>5.4746 * CHOOSE(CONTROL!$C$14, $D$10, 100%, $F$10)</f>
        <v>5.4745999999999997</v>
      </c>
      <c r="J127" s="4">
        <f>5.3819 * CHOOSE(CONTROL!$C$14, $D$10, 100%, $F$10)</f>
        <v>5.3818999999999999</v>
      </c>
      <c r="K127" s="4"/>
      <c r="L127" s="9">
        <v>30.092199999999998</v>
      </c>
      <c r="M127" s="9">
        <v>11.6745</v>
      </c>
      <c r="N127" s="9">
        <v>4.7850000000000001</v>
      </c>
      <c r="O127" s="9">
        <v>0.36199999999999999</v>
      </c>
      <c r="P127" s="9">
        <v>1.1791</v>
      </c>
      <c r="Q127" s="9">
        <v>31.213799999999999</v>
      </c>
      <c r="R127" s="9"/>
      <c r="S127" s="11"/>
    </row>
    <row r="128" spans="1:19" ht="15.75">
      <c r="A128" s="13">
        <v>45778</v>
      </c>
      <c r="B128" s="8">
        <f>CHOOSE( CONTROL!$C$31, 5.7508, 5.7479) * CHOOSE(CONTROL!$C$14, $D$10, 100%, $F$10)</f>
        <v>5.7507999999999999</v>
      </c>
      <c r="C128" s="8">
        <f>CHOOSE( CONTROL!$C$31, 5.7589, 5.7559) * CHOOSE(CONTROL!$C$14, $D$10, 100%, $F$10)</f>
        <v>5.7588999999999997</v>
      </c>
      <c r="D128" s="8">
        <f>CHOOSE( CONTROL!$C$31, 5.7635, 5.7606) * CHOOSE( CONTROL!$C$14, $D$10, 100%, $F$10)</f>
        <v>5.7634999999999996</v>
      </c>
      <c r="E128" s="12">
        <f>CHOOSE( CONTROL!$C$31, 5.7606, 5.7577) * CHOOSE( CONTROL!$C$14, $D$10, 100%, $F$10)</f>
        <v>5.7606000000000002</v>
      </c>
      <c r="F128" s="4">
        <f>CHOOSE( CONTROL!$C$31, 6.4324, 6.4295) * CHOOSE(CONTROL!$C$14, $D$10, 100%, $F$10)</f>
        <v>6.4324000000000003</v>
      </c>
      <c r="G128" s="8">
        <f>CHOOSE( CONTROL!$C$31, 5.6255, 5.6226) * CHOOSE( CONTROL!$C$14, $D$10, 100%, $F$10)</f>
        <v>5.6254999999999997</v>
      </c>
      <c r="H128" s="4">
        <f>CHOOSE( CONTROL!$C$31, 6.5545, 6.5516) * CHOOSE(CONTROL!$C$14, $D$10, 100%, $F$10)</f>
        <v>6.5545</v>
      </c>
      <c r="I128" s="8">
        <f>CHOOSE( CONTROL!$C$31, 5.622, 5.6192) * CHOOSE(CONTROL!$C$14, $D$10, 100%, $F$10)</f>
        <v>5.6219999999999999</v>
      </c>
      <c r="J128" s="4">
        <f>CHOOSE( CONTROL!$C$31, 5.5281, 5.5253) * CHOOSE(CONTROL!$C$14, $D$10, 100%, $F$10)</f>
        <v>5.5281000000000002</v>
      </c>
      <c r="K128" s="4"/>
      <c r="L128" s="9">
        <v>30.7165</v>
      </c>
      <c r="M128" s="9">
        <v>12.063700000000001</v>
      </c>
      <c r="N128" s="9">
        <v>4.9444999999999997</v>
      </c>
      <c r="O128" s="9">
        <v>0.37409999999999999</v>
      </c>
      <c r="P128" s="9">
        <v>1.2183999999999999</v>
      </c>
      <c r="Q128" s="9">
        <v>32.254300000000001</v>
      </c>
      <c r="R128" s="9"/>
      <c r="S128" s="11"/>
    </row>
    <row r="129" spans="1:19" ht="15.75">
      <c r="A129" s="13">
        <v>45809</v>
      </c>
      <c r="B129" s="8">
        <f>CHOOSE( CONTROL!$C$31, 5.6589, 5.656) * CHOOSE(CONTROL!$C$14, $D$10, 100%, $F$10)</f>
        <v>5.6589</v>
      </c>
      <c r="C129" s="8">
        <f>CHOOSE( CONTROL!$C$31, 5.667, 5.664) * CHOOSE(CONTROL!$C$14, $D$10, 100%, $F$10)</f>
        <v>5.6669999999999998</v>
      </c>
      <c r="D129" s="8">
        <f>CHOOSE( CONTROL!$C$31, 5.6718, 5.6689) * CHOOSE( CONTROL!$C$14, $D$10, 100%, $F$10)</f>
        <v>5.6718000000000002</v>
      </c>
      <c r="E129" s="12">
        <f>CHOOSE( CONTROL!$C$31, 5.6688, 5.6659) * CHOOSE( CONTROL!$C$14, $D$10, 100%, $F$10)</f>
        <v>5.6688000000000001</v>
      </c>
      <c r="F129" s="4">
        <f>CHOOSE( CONTROL!$C$31, 6.3405, 6.3376) * CHOOSE(CONTROL!$C$14, $D$10, 100%, $F$10)</f>
        <v>6.3404999999999996</v>
      </c>
      <c r="G129" s="8">
        <f>CHOOSE( CONTROL!$C$31, 5.5355, 5.5326) * CHOOSE( CONTROL!$C$14, $D$10, 100%, $F$10)</f>
        <v>5.5354999999999999</v>
      </c>
      <c r="H129" s="4">
        <f>CHOOSE( CONTROL!$C$31, 6.4641, 6.4612) * CHOOSE(CONTROL!$C$14, $D$10, 100%, $F$10)</f>
        <v>6.4641000000000002</v>
      </c>
      <c r="I129" s="8">
        <f>CHOOSE( CONTROL!$C$31, 5.5344, 5.5316) * CHOOSE(CONTROL!$C$14, $D$10, 100%, $F$10)</f>
        <v>5.5343999999999998</v>
      </c>
      <c r="J129" s="4">
        <f>CHOOSE( CONTROL!$C$31, 5.4393, 5.4364) * CHOOSE(CONTROL!$C$14, $D$10, 100%, $F$10)</f>
        <v>5.4393000000000002</v>
      </c>
      <c r="K129" s="4"/>
      <c r="L129" s="9">
        <v>29.7257</v>
      </c>
      <c r="M129" s="9">
        <v>11.6745</v>
      </c>
      <c r="N129" s="9">
        <v>4.7850000000000001</v>
      </c>
      <c r="O129" s="9">
        <v>0.36199999999999999</v>
      </c>
      <c r="P129" s="9">
        <v>1.1791</v>
      </c>
      <c r="Q129" s="9">
        <v>31.213799999999999</v>
      </c>
      <c r="R129" s="9"/>
      <c r="S129" s="11"/>
    </row>
    <row r="130" spans="1:19" ht="15.75">
      <c r="A130" s="13">
        <v>45839</v>
      </c>
      <c r="B130" s="8">
        <f>CHOOSE( CONTROL!$C$31, 5.9009, 5.898) * CHOOSE(CONTROL!$C$14, $D$10, 100%, $F$10)</f>
        <v>5.9009</v>
      </c>
      <c r="C130" s="8">
        <f>CHOOSE( CONTROL!$C$31, 5.9089, 5.906) * CHOOSE(CONTROL!$C$14, $D$10, 100%, $F$10)</f>
        <v>5.9089</v>
      </c>
      <c r="D130" s="8">
        <f>CHOOSE( CONTROL!$C$31, 5.9141, 5.9111) * CHOOSE( CONTROL!$C$14, $D$10, 100%, $F$10)</f>
        <v>5.9141000000000004</v>
      </c>
      <c r="E130" s="12">
        <f>CHOOSE( CONTROL!$C$31, 5.911, 5.908) * CHOOSE( CONTROL!$C$14, $D$10, 100%, $F$10)</f>
        <v>5.9109999999999996</v>
      </c>
      <c r="F130" s="4">
        <f>CHOOSE( CONTROL!$C$31, 6.5825, 6.5796) * CHOOSE(CONTROL!$C$14, $D$10, 100%, $F$10)</f>
        <v>6.5824999999999996</v>
      </c>
      <c r="G130" s="8">
        <f>CHOOSE( CONTROL!$C$31, 5.7738, 5.7709) * CHOOSE( CONTROL!$C$14, $D$10, 100%, $F$10)</f>
        <v>5.7737999999999996</v>
      </c>
      <c r="H130" s="4">
        <f>CHOOSE( CONTROL!$C$31, 6.7021, 6.6992) * CHOOSE(CONTROL!$C$14, $D$10, 100%, $F$10)</f>
        <v>6.7020999999999997</v>
      </c>
      <c r="I130" s="8">
        <f>CHOOSE( CONTROL!$C$31, 5.7696, 5.7668) * CHOOSE(CONTROL!$C$14, $D$10, 100%, $F$10)</f>
        <v>5.7695999999999996</v>
      </c>
      <c r="J130" s="4">
        <f>CHOOSE( CONTROL!$C$31, 5.6732, 5.6704) * CHOOSE(CONTROL!$C$14, $D$10, 100%, $F$10)</f>
        <v>5.6731999999999996</v>
      </c>
      <c r="K130" s="4"/>
      <c r="L130" s="9">
        <v>30.7165</v>
      </c>
      <c r="M130" s="9">
        <v>12.063700000000001</v>
      </c>
      <c r="N130" s="9">
        <v>4.9444999999999997</v>
      </c>
      <c r="O130" s="9">
        <v>0.37409999999999999</v>
      </c>
      <c r="P130" s="9">
        <v>1.2183999999999999</v>
      </c>
      <c r="Q130" s="9">
        <v>32.254300000000001</v>
      </c>
      <c r="R130" s="9"/>
      <c r="S130" s="11"/>
    </row>
    <row r="131" spans="1:19" ht="15.75">
      <c r="A131" s="13">
        <v>45870</v>
      </c>
      <c r="B131" s="8">
        <f>CHOOSE( CONTROL!$C$31, 5.4481, 5.4452) * CHOOSE(CONTROL!$C$14, $D$10, 100%, $F$10)</f>
        <v>5.4481000000000002</v>
      </c>
      <c r="C131" s="8">
        <f>CHOOSE( CONTROL!$C$31, 5.4562, 5.4532) * CHOOSE(CONTROL!$C$14, $D$10, 100%, $F$10)</f>
        <v>5.4561999999999999</v>
      </c>
      <c r="D131" s="8">
        <f>CHOOSE( CONTROL!$C$31, 5.4614, 5.4584) * CHOOSE( CONTROL!$C$14, $D$10, 100%, $F$10)</f>
        <v>5.4614000000000003</v>
      </c>
      <c r="E131" s="12">
        <f>CHOOSE( CONTROL!$C$31, 5.4583, 5.4553) * CHOOSE( CONTROL!$C$14, $D$10, 100%, $F$10)</f>
        <v>5.4583000000000004</v>
      </c>
      <c r="F131" s="4">
        <f>CHOOSE( CONTROL!$C$31, 6.1297, 6.1268) * CHOOSE(CONTROL!$C$14, $D$10, 100%, $F$10)</f>
        <v>6.1296999999999997</v>
      </c>
      <c r="G131" s="8">
        <f>CHOOSE( CONTROL!$C$31, 5.3287, 5.3258) * CHOOSE( CONTROL!$C$14, $D$10, 100%, $F$10)</f>
        <v>5.3287000000000004</v>
      </c>
      <c r="H131" s="4">
        <f>CHOOSE( CONTROL!$C$31, 6.2568, 6.2539) * CHOOSE(CONTROL!$C$14, $D$10, 100%, $F$10)</f>
        <v>6.2568000000000001</v>
      </c>
      <c r="I131" s="8">
        <f>CHOOSE( CONTROL!$C$31, 5.3321, 5.3292) * CHOOSE(CONTROL!$C$14, $D$10, 100%, $F$10)</f>
        <v>5.3320999999999996</v>
      </c>
      <c r="J131" s="4">
        <f>CHOOSE( CONTROL!$C$31, 5.2355, 5.2327) * CHOOSE(CONTROL!$C$14, $D$10, 100%, $F$10)</f>
        <v>5.2355</v>
      </c>
      <c r="K131" s="4"/>
      <c r="L131" s="9">
        <v>30.7165</v>
      </c>
      <c r="M131" s="9">
        <v>12.063700000000001</v>
      </c>
      <c r="N131" s="9">
        <v>4.9444999999999997</v>
      </c>
      <c r="O131" s="9">
        <v>0.37409999999999999</v>
      </c>
      <c r="P131" s="9">
        <v>1.2183999999999999</v>
      </c>
      <c r="Q131" s="9">
        <v>32.254300000000001</v>
      </c>
      <c r="R131" s="9"/>
      <c r="S131" s="11"/>
    </row>
    <row r="132" spans="1:19" ht="15.75">
      <c r="A132" s="13">
        <v>45901</v>
      </c>
      <c r="B132" s="8">
        <f>CHOOSE( CONTROL!$C$31, 5.3348, 5.3318) * CHOOSE(CONTROL!$C$14, $D$10, 100%, $F$10)</f>
        <v>5.3348000000000004</v>
      </c>
      <c r="C132" s="8">
        <f>CHOOSE( CONTROL!$C$31, 5.3428, 5.3399) * CHOOSE(CONTROL!$C$14, $D$10, 100%, $F$10)</f>
        <v>5.3428000000000004</v>
      </c>
      <c r="D132" s="8">
        <f>CHOOSE( CONTROL!$C$31, 5.348, 5.345) * CHOOSE( CONTROL!$C$14, $D$10, 100%, $F$10)</f>
        <v>5.3479999999999999</v>
      </c>
      <c r="E132" s="12">
        <f>CHOOSE( CONTROL!$C$31, 5.3449, 5.3419) * CHOOSE( CONTROL!$C$14, $D$10, 100%, $F$10)</f>
        <v>5.3449</v>
      </c>
      <c r="F132" s="4">
        <f>CHOOSE( CONTROL!$C$31, 6.0163, 6.0134) * CHOOSE(CONTROL!$C$14, $D$10, 100%, $F$10)</f>
        <v>6.0163000000000002</v>
      </c>
      <c r="G132" s="8">
        <f>CHOOSE( CONTROL!$C$31, 5.2171, 5.2143) * CHOOSE( CONTROL!$C$14, $D$10, 100%, $F$10)</f>
        <v>5.2171000000000003</v>
      </c>
      <c r="H132" s="4">
        <f>CHOOSE( CONTROL!$C$31, 6.1453, 6.1424) * CHOOSE(CONTROL!$C$14, $D$10, 100%, $F$10)</f>
        <v>6.1452999999999998</v>
      </c>
      <c r="I132" s="8">
        <f>CHOOSE( CONTROL!$C$31, 5.2223, 5.2195) * CHOOSE(CONTROL!$C$14, $D$10, 100%, $F$10)</f>
        <v>5.2222999999999997</v>
      </c>
      <c r="J132" s="4">
        <f>CHOOSE( CONTROL!$C$31, 5.1259, 5.1231) * CHOOSE(CONTROL!$C$14, $D$10, 100%, $F$10)</f>
        <v>5.1258999999999997</v>
      </c>
      <c r="K132" s="4"/>
      <c r="L132" s="9">
        <v>29.7257</v>
      </c>
      <c r="M132" s="9">
        <v>11.6745</v>
      </c>
      <c r="N132" s="9">
        <v>4.7850000000000001</v>
      </c>
      <c r="O132" s="9">
        <v>0.36199999999999999</v>
      </c>
      <c r="P132" s="9">
        <v>1.1791</v>
      </c>
      <c r="Q132" s="9">
        <v>31.213799999999999</v>
      </c>
      <c r="R132" s="9"/>
      <c r="S132" s="11"/>
    </row>
    <row r="133" spans="1:19" ht="15.75">
      <c r="A133" s="13">
        <v>45931</v>
      </c>
      <c r="B133" s="8">
        <f>5.5655 * CHOOSE(CONTROL!$C$14, $D$10, 100%, $F$10)</f>
        <v>5.5655000000000001</v>
      </c>
      <c r="C133" s="8">
        <f>5.5709 * CHOOSE(CONTROL!$C$14, $D$10, 100%, $F$10)</f>
        <v>5.5709</v>
      </c>
      <c r="D133" s="8">
        <f>5.5809 * CHOOSE( CONTROL!$C$14, $D$10, 100%, $F$10)</f>
        <v>5.5808999999999997</v>
      </c>
      <c r="E133" s="12">
        <f>5.577 * CHOOSE( CONTROL!$C$14, $D$10, 100%, $F$10)</f>
        <v>5.577</v>
      </c>
      <c r="F133" s="4">
        <f>6.2488 * CHOOSE(CONTROL!$C$14, $D$10, 100%, $F$10)</f>
        <v>6.2488000000000001</v>
      </c>
      <c r="G133" s="8">
        <f>5.4454 * CHOOSE( CONTROL!$C$14, $D$10, 100%, $F$10)</f>
        <v>5.4454000000000002</v>
      </c>
      <c r="H133" s="4">
        <f>6.374 * CHOOSE(CONTROL!$C$14, $D$10, 100%, $F$10)</f>
        <v>6.3739999999999997</v>
      </c>
      <c r="I133" s="8">
        <f>5.448 * CHOOSE(CONTROL!$C$14, $D$10, 100%, $F$10)</f>
        <v>5.4480000000000004</v>
      </c>
      <c r="J133" s="4">
        <f>5.3506 * CHOOSE(CONTROL!$C$14, $D$10, 100%, $F$10)</f>
        <v>5.3506</v>
      </c>
      <c r="K133" s="4"/>
      <c r="L133" s="9">
        <v>31.095300000000002</v>
      </c>
      <c r="M133" s="9">
        <v>12.063700000000001</v>
      </c>
      <c r="N133" s="9">
        <v>4.9444999999999997</v>
      </c>
      <c r="O133" s="9">
        <v>0.37409999999999999</v>
      </c>
      <c r="P133" s="9">
        <v>1.2183999999999999</v>
      </c>
      <c r="Q133" s="9">
        <v>32.254300000000001</v>
      </c>
      <c r="R133" s="9"/>
      <c r="S133" s="11"/>
    </row>
    <row r="134" spans="1:19" ht="15.75">
      <c r="A134" s="13">
        <v>45962</v>
      </c>
      <c r="B134" s="8">
        <f>5.9997 * CHOOSE(CONTROL!$C$14, $D$10, 100%, $F$10)</f>
        <v>5.9996999999999998</v>
      </c>
      <c r="C134" s="8">
        <f>6.0048 * CHOOSE(CONTROL!$C$14, $D$10, 100%, $F$10)</f>
        <v>6.0048000000000004</v>
      </c>
      <c r="D134" s="8">
        <f>5.981 * CHOOSE( CONTROL!$C$14, $D$10, 100%, $F$10)</f>
        <v>5.9809999999999999</v>
      </c>
      <c r="E134" s="12">
        <f>5.9892 * CHOOSE( CONTROL!$C$14, $D$10, 100%, $F$10)</f>
        <v>5.9892000000000003</v>
      </c>
      <c r="F134" s="4">
        <f>6.6471 * CHOOSE(CONTROL!$C$14, $D$10, 100%, $F$10)</f>
        <v>6.6471</v>
      </c>
      <c r="G134" s="8">
        <f>5.8826 * CHOOSE( CONTROL!$C$14, $D$10, 100%, $F$10)</f>
        <v>5.8826000000000001</v>
      </c>
      <c r="H134" s="4">
        <f>6.7657 * CHOOSE(CONTROL!$C$14, $D$10, 100%, $F$10)</f>
        <v>6.7656999999999998</v>
      </c>
      <c r="I134" s="8">
        <f>5.8988 * CHOOSE(CONTROL!$C$14, $D$10, 100%, $F$10)</f>
        <v>5.8987999999999996</v>
      </c>
      <c r="J134" s="4">
        <f>5.7707 * CHOOSE(CONTROL!$C$14, $D$10, 100%, $F$10)</f>
        <v>5.7706999999999997</v>
      </c>
      <c r="K134" s="4"/>
      <c r="L134" s="9">
        <v>28.360600000000002</v>
      </c>
      <c r="M134" s="9">
        <v>11.6745</v>
      </c>
      <c r="N134" s="9">
        <v>4.7850000000000001</v>
      </c>
      <c r="O134" s="9">
        <v>0.36199999999999999</v>
      </c>
      <c r="P134" s="9">
        <v>1.2509999999999999</v>
      </c>
      <c r="Q134" s="9">
        <v>31.213799999999999</v>
      </c>
      <c r="R134" s="9"/>
      <c r="S134" s="11"/>
    </row>
    <row r="135" spans="1:19" ht="15.75">
      <c r="A135" s="13">
        <v>45992</v>
      </c>
      <c r="B135" s="8">
        <f>5.9888 * CHOOSE(CONTROL!$C$14, $D$10, 100%, $F$10)</f>
        <v>5.9888000000000003</v>
      </c>
      <c r="C135" s="8">
        <f>5.9939 * CHOOSE(CONTROL!$C$14, $D$10, 100%, $F$10)</f>
        <v>5.9939</v>
      </c>
      <c r="D135" s="8">
        <f>5.9715 * CHOOSE( CONTROL!$C$14, $D$10, 100%, $F$10)</f>
        <v>5.9714999999999998</v>
      </c>
      <c r="E135" s="12">
        <f>5.9791 * CHOOSE( CONTROL!$C$14, $D$10, 100%, $F$10)</f>
        <v>5.9790999999999999</v>
      </c>
      <c r="F135" s="4">
        <f>6.6363 * CHOOSE(CONTROL!$C$14, $D$10, 100%, $F$10)</f>
        <v>6.6363000000000003</v>
      </c>
      <c r="G135" s="8">
        <f>5.8729 * CHOOSE( CONTROL!$C$14, $D$10, 100%, $F$10)</f>
        <v>5.8728999999999996</v>
      </c>
      <c r="H135" s="4">
        <f>6.755 * CHOOSE(CONTROL!$C$14, $D$10, 100%, $F$10)</f>
        <v>6.7549999999999999</v>
      </c>
      <c r="I135" s="8">
        <f>5.8927 * CHOOSE(CONTROL!$C$14, $D$10, 100%, $F$10)</f>
        <v>5.8926999999999996</v>
      </c>
      <c r="J135" s="4">
        <f>5.7602 * CHOOSE(CONTROL!$C$14, $D$10, 100%, $F$10)</f>
        <v>5.7602000000000002</v>
      </c>
      <c r="K135" s="4"/>
      <c r="L135" s="9">
        <v>29.306000000000001</v>
      </c>
      <c r="M135" s="9">
        <v>12.063700000000001</v>
      </c>
      <c r="N135" s="9">
        <v>4.9444999999999997</v>
      </c>
      <c r="O135" s="9">
        <v>0.37409999999999999</v>
      </c>
      <c r="P135" s="9">
        <v>1.2927</v>
      </c>
      <c r="Q135" s="9">
        <v>32.254300000000001</v>
      </c>
      <c r="R135" s="9"/>
      <c r="S135" s="11"/>
    </row>
    <row r="136" spans="1:19" ht="15.75">
      <c r="A136" s="13">
        <v>46023</v>
      </c>
      <c r="B136" s="8">
        <f>5.9988 * CHOOSE(CONTROL!$C$14, $D$10, 100%, $F$10)</f>
        <v>5.9988000000000001</v>
      </c>
      <c r="C136" s="8">
        <f>6.0039 * CHOOSE(CONTROL!$C$14, $D$10, 100%, $F$10)</f>
        <v>6.0038999999999998</v>
      </c>
      <c r="D136" s="8">
        <f>5.9997 * CHOOSE( CONTROL!$C$14, $D$10, 100%, $F$10)</f>
        <v>5.9996999999999998</v>
      </c>
      <c r="E136" s="12">
        <f>6.0007 * CHOOSE( CONTROL!$C$14, $D$10, 100%, $F$10)</f>
        <v>6.0007000000000001</v>
      </c>
      <c r="F136" s="4">
        <f>6.6773 * CHOOSE(CONTROL!$C$14, $D$10, 100%, $F$10)</f>
        <v>6.6772999999999998</v>
      </c>
      <c r="G136" s="8">
        <f>5.8969 * CHOOSE( CONTROL!$C$14, $D$10, 100%, $F$10)</f>
        <v>5.8968999999999996</v>
      </c>
      <c r="H136" s="4">
        <f>6.7953 * CHOOSE(CONTROL!$C$14, $D$10, 100%, $F$10)</f>
        <v>6.7953000000000001</v>
      </c>
      <c r="I136" s="8">
        <f>5.8813 * CHOOSE(CONTROL!$C$14, $D$10, 100%, $F$10)</f>
        <v>5.8813000000000004</v>
      </c>
      <c r="J136" s="4">
        <f>5.7698 * CHOOSE(CONTROL!$C$14, $D$10, 100%, $F$10)</f>
        <v>5.7698</v>
      </c>
      <c r="K136" s="4"/>
      <c r="L136" s="9">
        <v>29.306000000000001</v>
      </c>
      <c r="M136" s="9">
        <v>12.063700000000001</v>
      </c>
      <c r="N136" s="9">
        <v>4.9444999999999997</v>
      </c>
      <c r="O136" s="9">
        <v>0.37409999999999999</v>
      </c>
      <c r="P136" s="9">
        <v>1.2927</v>
      </c>
      <c r="Q136" s="9">
        <v>32.070099999999996</v>
      </c>
      <c r="R136" s="9"/>
      <c r="S136" s="11"/>
    </row>
    <row r="137" spans="1:19" ht="15.75">
      <c r="A137" s="13">
        <v>46054</v>
      </c>
      <c r="B137" s="8">
        <f>5.6129 * CHOOSE(CONTROL!$C$14, $D$10, 100%, $F$10)</f>
        <v>5.6128999999999998</v>
      </c>
      <c r="C137" s="8">
        <f>5.618 * CHOOSE(CONTROL!$C$14, $D$10, 100%, $F$10)</f>
        <v>5.6180000000000003</v>
      </c>
      <c r="D137" s="8">
        <f>5.6079 * CHOOSE( CONTROL!$C$14, $D$10, 100%, $F$10)</f>
        <v>5.6078999999999999</v>
      </c>
      <c r="E137" s="12">
        <f>5.611 * CHOOSE( CONTROL!$C$14, $D$10, 100%, $F$10)</f>
        <v>5.6109999999999998</v>
      </c>
      <c r="F137" s="4">
        <f>6.2656 * CHOOSE(CONTROL!$C$14, $D$10, 100%, $F$10)</f>
        <v>6.2656000000000001</v>
      </c>
      <c r="G137" s="8">
        <f>5.5093 * CHOOSE( CONTROL!$C$14, $D$10, 100%, $F$10)</f>
        <v>5.5092999999999996</v>
      </c>
      <c r="H137" s="4">
        <f>6.3904 * CHOOSE(CONTROL!$C$14, $D$10, 100%, $F$10)</f>
        <v>6.3903999999999996</v>
      </c>
      <c r="I137" s="8">
        <f>5.4988 * CHOOSE(CONTROL!$C$14, $D$10, 100%, $F$10)</f>
        <v>5.4988000000000001</v>
      </c>
      <c r="J137" s="4">
        <f>5.3968 * CHOOSE(CONTROL!$C$14, $D$10, 100%, $F$10)</f>
        <v>5.3967999999999998</v>
      </c>
      <c r="K137" s="4"/>
      <c r="L137" s="9">
        <v>26.469899999999999</v>
      </c>
      <c r="M137" s="9">
        <v>10.8962</v>
      </c>
      <c r="N137" s="9">
        <v>4.4660000000000002</v>
      </c>
      <c r="O137" s="9">
        <v>0.33789999999999998</v>
      </c>
      <c r="P137" s="9">
        <v>1.1676</v>
      </c>
      <c r="Q137" s="9">
        <v>28.9666</v>
      </c>
      <c r="R137" s="9"/>
      <c r="S137" s="11"/>
    </row>
    <row r="138" spans="1:19" ht="15.75">
      <c r="A138" s="13">
        <v>46082</v>
      </c>
      <c r="B138" s="8">
        <f>5.4941 * CHOOSE(CONTROL!$C$14, $D$10, 100%, $F$10)</f>
        <v>5.4941000000000004</v>
      </c>
      <c r="C138" s="8">
        <f>5.4992 * CHOOSE(CONTROL!$C$14, $D$10, 100%, $F$10)</f>
        <v>5.4992000000000001</v>
      </c>
      <c r="D138" s="8">
        <f>5.4826 * CHOOSE( CONTROL!$C$14, $D$10, 100%, $F$10)</f>
        <v>5.4825999999999997</v>
      </c>
      <c r="E138" s="12">
        <f>5.4881 * CHOOSE( CONTROL!$C$14, $D$10, 100%, $F$10)</f>
        <v>5.4881000000000002</v>
      </c>
      <c r="F138" s="4">
        <f>6.1467 * CHOOSE(CONTROL!$C$14, $D$10, 100%, $F$10)</f>
        <v>6.1467000000000001</v>
      </c>
      <c r="G138" s="8">
        <f>5.3843 * CHOOSE( CONTROL!$C$14, $D$10, 100%, $F$10)</f>
        <v>5.3842999999999996</v>
      </c>
      <c r="H138" s="4">
        <f>6.2736 * CHOOSE(CONTROL!$C$14, $D$10, 100%, $F$10)</f>
        <v>6.2736000000000001</v>
      </c>
      <c r="I138" s="8">
        <f>5.3637 * CHOOSE(CONTROL!$C$14, $D$10, 100%, $F$10)</f>
        <v>5.3636999999999997</v>
      </c>
      <c r="J138" s="4">
        <f>5.2819 * CHOOSE(CONTROL!$C$14, $D$10, 100%, $F$10)</f>
        <v>5.2819000000000003</v>
      </c>
      <c r="K138" s="4"/>
      <c r="L138" s="9">
        <v>29.306000000000001</v>
      </c>
      <c r="M138" s="9">
        <v>12.063700000000001</v>
      </c>
      <c r="N138" s="9">
        <v>4.9444999999999997</v>
      </c>
      <c r="O138" s="9">
        <v>0.37409999999999999</v>
      </c>
      <c r="P138" s="9">
        <v>1.2927</v>
      </c>
      <c r="Q138" s="9">
        <v>32.070099999999996</v>
      </c>
      <c r="R138" s="9"/>
      <c r="S138" s="11"/>
    </row>
    <row r="139" spans="1:19" ht="15.75">
      <c r="A139" s="13">
        <v>46113</v>
      </c>
      <c r="B139" s="8">
        <f>5.5779 * CHOOSE(CONTROL!$C$14, $D$10, 100%, $F$10)</f>
        <v>5.5778999999999996</v>
      </c>
      <c r="C139" s="8">
        <f>5.5824 * CHOOSE(CONTROL!$C$14, $D$10, 100%, $F$10)</f>
        <v>5.5823999999999998</v>
      </c>
      <c r="D139" s="8">
        <f>5.592 * CHOOSE( CONTROL!$C$14, $D$10, 100%, $F$10)</f>
        <v>5.5919999999999996</v>
      </c>
      <c r="E139" s="12">
        <f>5.5883 * CHOOSE( CONTROL!$C$14, $D$10, 100%, $F$10)</f>
        <v>5.5883000000000003</v>
      </c>
      <c r="F139" s="4">
        <f>6.2608 * CHOOSE(CONTROL!$C$14, $D$10, 100%, $F$10)</f>
        <v>6.2607999999999997</v>
      </c>
      <c r="G139" s="8">
        <f>5.4558 * CHOOSE( CONTROL!$C$14, $D$10, 100%, $F$10)</f>
        <v>5.4558</v>
      </c>
      <c r="H139" s="4">
        <f>6.3857 * CHOOSE(CONTROL!$C$14, $D$10, 100%, $F$10)</f>
        <v>6.3856999999999999</v>
      </c>
      <c r="I139" s="8">
        <f>5.455 * CHOOSE(CONTROL!$C$14, $D$10, 100%, $F$10)</f>
        <v>5.4550000000000001</v>
      </c>
      <c r="J139" s="4">
        <f>5.3622 * CHOOSE(CONTROL!$C$14, $D$10, 100%, $F$10)</f>
        <v>5.3621999999999996</v>
      </c>
      <c r="K139" s="4"/>
      <c r="L139" s="9">
        <v>30.092199999999998</v>
      </c>
      <c r="M139" s="9">
        <v>11.6745</v>
      </c>
      <c r="N139" s="9">
        <v>4.7850000000000001</v>
      </c>
      <c r="O139" s="9">
        <v>0.36199999999999999</v>
      </c>
      <c r="P139" s="9">
        <v>1.1791</v>
      </c>
      <c r="Q139" s="9">
        <v>31.035599999999999</v>
      </c>
      <c r="R139" s="9"/>
      <c r="S139" s="11"/>
    </row>
    <row r="140" spans="1:19" ht="15.75">
      <c r="A140" s="13">
        <v>46143</v>
      </c>
      <c r="B140" s="8">
        <f>CHOOSE( CONTROL!$C$31, 5.73, 5.7271) * CHOOSE(CONTROL!$C$14, $D$10, 100%, $F$10)</f>
        <v>5.73</v>
      </c>
      <c r="C140" s="8">
        <f>CHOOSE( CONTROL!$C$31, 5.738, 5.7351) * CHOOSE(CONTROL!$C$14, $D$10, 100%, $F$10)</f>
        <v>5.7380000000000004</v>
      </c>
      <c r="D140" s="8">
        <f>CHOOSE( CONTROL!$C$31, 5.7426, 5.7397) * CHOOSE( CONTROL!$C$14, $D$10, 100%, $F$10)</f>
        <v>5.7426000000000004</v>
      </c>
      <c r="E140" s="12">
        <f>CHOOSE( CONTROL!$C$31, 5.7397, 5.7368) * CHOOSE( CONTROL!$C$14, $D$10, 100%, $F$10)</f>
        <v>5.7397</v>
      </c>
      <c r="F140" s="4">
        <f>CHOOSE( CONTROL!$C$31, 6.4115, 6.4086) * CHOOSE(CONTROL!$C$14, $D$10, 100%, $F$10)</f>
        <v>6.4115000000000002</v>
      </c>
      <c r="G140" s="8">
        <f>CHOOSE( CONTROL!$C$31, 5.605, 5.6021) * CHOOSE( CONTROL!$C$14, $D$10, 100%, $F$10)</f>
        <v>5.6050000000000004</v>
      </c>
      <c r="H140" s="4">
        <f>CHOOSE( CONTROL!$C$31, 6.534, 6.5311) * CHOOSE(CONTROL!$C$14, $D$10, 100%, $F$10)</f>
        <v>6.5339999999999998</v>
      </c>
      <c r="I140" s="8">
        <f>CHOOSE( CONTROL!$C$31, 5.6018, 5.599) * CHOOSE(CONTROL!$C$14, $D$10, 100%, $F$10)</f>
        <v>5.6017999999999999</v>
      </c>
      <c r="J140" s="4">
        <f>CHOOSE( CONTROL!$C$31, 5.5079, 5.5051) * CHOOSE(CONTROL!$C$14, $D$10, 100%, $F$10)</f>
        <v>5.5079000000000002</v>
      </c>
      <c r="K140" s="4"/>
      <c r="L140" s="9">
        <v>30.7165</v>
      </c>
      <c r="M140" s="9">
        <v>12.063700000000001</v>
      </c>
      <c r="N140" s="9">
        <v>4.9444999999999997</v>
      </c>
      <c r="O140" s="9">
        <v>0.37409999999999999</v>
      </c>
      <c r="P140" s="9">
        <v>1.2183999999999999</v>
      </c>
      <c r="Q140" s="9">
        <v>32.070099999999996</v>
      </c>
      <c r="R140" s="9"/>
      <c r="S140" s="11"/>
    </row>
    <row r="141" spans="1:19" ht="15.75">
      <c r="A141" s="13">
        <v>46174</v>
      </c>
      <c r="B141" s="8">
        <f>CHOOSE( CONTROL!$C$31, 5.6384, 5.6355) * CHOOSE(CONTROL!$C$14, $D$10, 100%, $F$10)</f>
        <v>5.6383999999999999</v>
      </c>
      <c r="C141" s="8">
        <f>CHOOSE( CONTROL!$C$31, 5.6464, 5.6435) * CHOOSE(CONTROL!$C$14, $D$10, 100%, $F$10)</f>
        <v>5.6463999999999999</v>
      </c>
      <c r="D141" s="8">
        <f>CHOOSE( CONTROL!$C$31, 5.6513, 5.6484) * CHOOSE( CONTROL!$C$14, $D$10, 100%, $F$10)</f>
        <v>5.6513</v>
      </c>
      <c r="E141" s="12">
        <f>CHOOSE( CONTROL!$C$31, 5.6483, 5.6454) * CHOOSE( CONTROL!$C$14, $D$10, 100%, $F$10)</f>
        <v>5.6482999999999999</v>
      </c>
      <c r="F141" s="4">
        <f>CHOOSE( CONTROL!$C$31, 6.32, 6.317) * CHOOSE(CONTROL!$C$14, $D$10, 100%, $F$10)</f>
        <v>6.32</v>
      </c>
      <c r="G141" s="8">
        <f>CHOOSE( CONTROL!$C$31, 5.5153, 5.5124) * CHOOSE( CONTROL!$C$14, $D$10, 100%, $F$10)</f>
        <v>5.5152999999999999</v>
      </c>
      <c r="H141" s="4">
        <f>CHOOSE( CONTROL!$C$31, 6.4439, 6.4411) * CHOOSE(CONTROL!$C$14, $D$10, 100%, $F$10)</f>
        <v>6.4439000000000002</v>
      </c>
      <c r="I141" s="8">
        <f>CHOOSE( CONTROL!$C$31, 5.5145, 5.5117) * CHOOSE(CONTROL!$C$14, $D$10, 100%, $F$10)</f>
        <v>5.5145</v>
      </c>
      <c r="J141" s="4">
        <f>CHOOSE( CONTROL!$C$31, 5.4194, 5.4166) * CHOOSE(CONTROL!$C$14, $D$10, 100%, $F$10)</f>
        <v>5.4194000000000004</v>
      </c>
      <c r="K141" s="4"/>
      <c r="L141" s="9">
        <v>29.7257</v>
      </c>
      <c r="M141" s="9">
        <v>11.6745</v>
      </c>
      <c r="N141" s="9">
        <v>4.7850000000000001</v>
      </c>
      <c r="O141" s="9">
        <v>0.36199999999999999</v>
      </c>
      <c r="P141" s="9">
        <v>1.1791</v>
      </c>
      <c r="Q141" s="9">
        <v>31.035599999999999</v>
      </c>
      <c r="R141" s="9"/>
      <c r="S141" s="11"/>
    </row>
    <row r="142" spans="1:19" ht="15.75">
      <c r="A142" s="13">
        <v>46204</v>
      </c>
      <c r="B142" s="8">
        <f>CHOOSE( CONTROL!$C$31, 5.8795, 5.8766) * CHOOSE(CONTROL!$C$14, $D$10, 100%, $F$10)</f>
        <v>5.8795000000000002</v>
      </c>
      <c r="C142" s="8">
        <f>CHOOSE( CONTROL!$C$31, 5.8875, 5.8846) * CHOOSE(CONTROL!$C$14, $D$10, 100%, $F$10)</f>
        <v>5.8875000000000002</v>
      </c>
      <c r="D142" s="8">
        <f>CHOOSE( CONTROL!$C$31, 5.8927, 5.8897) * CHOOSE( CONTROL!$C$14, $D$10, 100%, $F$10)</f>
        <v>5.8926999999999996</v>
      </c>
      <c r="E142" s="12">
        <f>CHOOSE( CONTROL!$C$31, 5.8896, 5.8866) * CHOOSE( CONTROL!$C$14, $D$10, 100%, $F$10)</f>
        <v>5.8895999999999997</v>
      </c>
      <c r="F142" s="4">
        <f>CHOOSE( CONTROL!$C$31, 6.5611, 6.5581) * CHOOSE(CONTROL!$C$14, $D$10, 100%, $F$10)</f>
        <v>6.5610999999999997</v>
      </c>
      <c r="G142" s="8">
        <f>CHOOSE( CONTROL!$C$31, 5.7528, 5.7499) * CHOOSE( CONTROL!$C$14, $D$10, 100%, $F$10)</f>
        <v>5.7527999999999997</v>
      </c>
      <c r="H142" s="4">
        <f>CHOOSE( CONTROL!$C$31, 6.681, 6.6782) * CHOOSE(CONTROL!$C$14, $D$10, 100%, $F$10)</f>
        <v>6.681</v>
      </c>
      <c r="I142" s="8">
        <f>CHOOSE( CONTROL!$C$31, 5.7489, 5.746) * CHOOSE(CONTROL!$C$14, $D$10, 100%, $F$10)</f>
        <v>5.7488999999999999</v>
      </c>
      <c r="J142" s="4">
        <f>CHOOSE( CONTROL!$C$31, 5.6525, 5.6497) * CHOOSE(CONTROL!$C$14, $D$10, 100%, $F$10)</f>
        <v>5.6524999999999999</v>
      </c>
      <c r="K142" s="4"/>
      <c r="L142" s="9">
        <v>30.7165</v>
      </c>
      <c r="M142" s="9">
        <v>12.063700000000001</v>
      </c>
      <c r="N142" s="9">
        <v>4.9444999999999997</v>
      </c>
      <c r="O142" s="9">
        <v>0.37409999999999999</v>
      </c>
      <c r="P142" s="9">
        <v>1.2183999999999999</v>
      </c>
      <c r="Q142" s="9">
        <v>32.070099999999996</v>
      </c>
      <c r="R142" s="9"/>
      <c r="S142" s="11"/>
    </row>
    <row r="143" spans="1:19" ht="15.75">
      <c r="A143" s="13">
        <v>46235</v>
      </c>
      <c r="B143" s="8">
        <f>CHOOSE( CONTROL!$C$31, 5.4284, 5.4255) * CHOOSE(CONTROL!$C$14, $D$10, 100%, $F$10)</f>
        <v>5.4283999999999999</v>
      </c>
      <c r="C143" s="8">
        <f>CHOOSE( CONTROL!$C$31, 5.4364, 5.4335) * CHOOSE(CONTROL!$C$14, $D$10, 100%, $F$10)</f>
        <v>5.4363999999999999</v>
      </c>
      <c r="D143" s="8">
        <f>CHOOSE( CONTROL!$C$31, 5.4416, 5.4387) * CHOOSE( CONTROL!$C$14, $D$10, 100%, $F$10)</f>
        <v>5.4416000000000002</v>
      </c>
      <c r="E143" s="12">
        <f>CHOOSE( CONTROL!$C$31, 5.4385, 5.4356) * CHOOSE( CONTROL!$C$14, $D$10, 100%, $F$10)</f>
        <v>5.4385000000000003</v>
      </c>
      <c r="F143" s="4">
        <f>CHOOSE( CONTROL!$C$31, 6.1099, 6.107) * CHOOSE(CONTROL!$C$14, $D$10, 100%, $F$10)</f>
        <v>6.1098999999999997</v>
      </c>
      <c r="G143" s="8">
        <f>CHOOSE( CONTROL!$C$31, 5.3092, 5.3064) * CHOOSE( CONTROL!$C$14, $D$10, 100%, $F$10)</f>
        <v>5.3091999999999997</v>
      </c>
      <c r="H143" s="4">
        <f>CHOOSE( CONTROL!$C$31, 6.2374, 6.2345) * CHOOSE(CONTROL!$C$14, $D$10, 100%, $F$10)</f>
        <v>6.2374000000000001</v>
      </c>
      <c r="I143" s="8">
        <f>CHOOSE( CONTROL!$C$31, 5.3129, 5.3101) * CHOOSE(CONTROL!$C$14, $D$10, 100%, $F$10)</f>
        <v>5.3129</v>
      </c>
      <c r="J143" s="4">
        <f>CHOOSE( CONTROL!$C$31, 5.2164, 5.2136) * CHOOSE(CONTROL!$C$14, $D$10, 100%, $F$10)</f>
        <v>5.2164000000000001</v>
      </c>
      <c r="K143" s="4"/>
      <c r="L143" s="9">
        <v>30.7165</v>
      </c>
      <c r="M143" s="9">
        <v>12.063700000000001</v>
      </c>
      <c r="N143" s="9">
        <v>4.9444999999999997</v>
      </c>
      <c r="O143" s="9">
        <v>0.37409999999999999</v>
      </c>
      <c r="P143" s="9">
        <v>1.2183999999999999</v>
      </c>
      <c r="Q143" s="9">
        <v>32.070099999999996</v>
      </c>
      <c r="R143" s="9"/>
      <c r="S143" s="11"/>
    </row>
    <row r="144" spans="1:19" ht="15.75">
      <c r="A144" s="13">
        <v>46266</v>
      </c>
      <c r="B144" s="8">
        <f>CHOOSE( CONTROL!$C$31, 5.3154, 5.3125) * CHOOSE(CONTROL!$C$14, $D$10, 100%, $F$10)</f>
        <v>5.3154000000000003</v>
      </c>
      <c r="C144" s="8">
        <f>CHOOSE( CONTROL!$C$31, 5.3234, 5.3205) * CHOOSE(CONTROL!$C$14, $D$10, 100%, $F$10)</f>
        <v>5.3234000000000004</v>
      </c>
      <c r="D144" s="8">
        <f>CHOOSE( CONTROL!$C$31, 5.3286, 5.3257) * CHOOSE( CONTROL!$C$14, $D$10, 100%, $F$10)</f>
        <v>5.3285999999999998</v>
      </c>
      <c r="E144" s="12">
        <f>CHOOSE( CONTROL!$C$31, 5.3255, 5.3226) * CHOOSE( CONTROL!$C$14, $D$10, 100%, $F$10)</f>
        <v>5.3254999999999999</v>
      </c>
      <c r="F144" s="4">
        <f>CHOOSE( CONTROL!$C$31, 5.997, 5.994) * CHOOSE(CONTROL!$C$14, $D$10, 100%, $F$10)</f>
        <v>5.9969999999999999</v>
      </c>
      <c r="G144" s="8">
        <f>CHOOSE( CONTROL!$C$31, 5.1981, 5.1952) * CHOOSE( CONTROL!$C$14, $D$10, 100%, $F$10)</f>
        <v>5.1981000000000002</v>
      </c>
      <c r="H144" s="4">
        <f>CHOOSE( CONTROL!$C$31, 6.1263, 6.1234) * CHOOSE(CONTROL!$C$14, $D$10, 100%, $F$10)</f>
        <v>6.1262999999999996</v>
      </c>
      <c r="I144" s="8">
        <f>CHOOSE( CONTROL!$C$31, 5.2036, 5.2008) * CHOOSE(CONTROL!$C$14, $D$10, 100%, $F$10)</f>
        <v>5.2035999999999998</v>
      </c>
      <c r="J144" s="4">
        <f>CHOOSE( CONTROL!$C$31, 5.1072, 5.1044) * CHOOSE(CONTROL!$C$14, $D$10, 100%, $F$10)</f>
        <v>5.1071999999999997</v>
      </c>
      <c r="K144" s="4"/>
      <c r="L144" s="9">
        <v>29.7257</v>
      </c>
      <c r="M144" s="9">
        <v>11.6745</v>
      </c>
      <c r="N144" s="9">
        <v>4.7850000000000001</v>
      </c>
      <c r="O144" s="9">
        <v>0.36199999999999999</v>
      </c>
      <c r="P144" s="9">
        <v>1.1791</v>
      </c>
      <c r="Q144" s="9">
        <v>31.035599999999999</v>
      </c>
      <c r="R144" s="9"/>
      <c r="S144" s="11"/>
    </row>
    <row r="145" spans="1:19" ht="15.75">
      <c r="A145" s="13">
        <v>46296</v>
      </c>
      <c r="B145" s="8">
        <f>5.5453 * CHOOSE(CONTROL!$C$14, $D$10, 100%, $F$10)</f>
        <v>5.5453000000000001</v>
      </c>
      <c r="C145" s="8">
        <f>5.5507 * CHOOSE(CONTROL!$C$14, $D$10, 100%, $F$10)</f>
        <v>5.5507</v>
      </c>
      <c r="D145" s="8">
        <f>5.5607 * CHOOSE( CONTROL!$C$14, $D$10, 100%, $F$10)</f>
        <v>5.5606999999999998</v>
      </c>
      <c r="E145" s="12">
        <f>5.5568 * CHOOSE( CONTROL!$C$14, $D$10, 100%, $F$10)</f>
        <v>5.5568</v>
      </c>
      <c r="F145" s="4">
        <f>6.2286 * CHOOSE(CONTROL!$C$14, $D$10, 100%, $F$10)</f>
        <v>6.2286000000000001</v>
      </c>
      <c r="G145" s="8">
        <f>5.4256 * CHOOSE( CONTROL!$C$14, $D$10, 100%, $F$10)</f>
        <v>5.4256000000000002</v>
      </c>
      <c r="H145" s="4">
        <f>6.3541 * CHOOSE(CONTROL!$C$14, $D$10, 100%, $F$10)</f>
        <v>6.3540999999999999</v>
      </c>
      <c r="I145" s="8">
        <f>5.4285 * CHOOSE(CONTROL!$C$14, $D$10, 100%, $F$10)</f>
        <v>5.4284999999999997</v>
      </c>
      <c r="J145" s="4">
        <f>5.3311 * CHOOSE(CONTROL!$C$14, $D$10, 100%, $F$10)</f>
        <v>5.3311000000000002</v>
      </c>
      <c r="K145" s="4"/>
      <c r="L145" s="9">
        <v>31.095300000000002</v>
      </c>
      <c r="M145" s="9">
        <v>12.063700000000001</v>
      </c>
      <c r="N145" s="9">
        <v>4.9444999999999997</v>
      </c>
      <c r="O145" s="9">
        <v>0.37409999999999999</v>
      </c>
      <c r="P145" s="9">
        <v>1.2183999999999999</v>
      </c>
      <c r="Q145" s="9">
        <v>32.070099999999996</v>
      </c>
      <c r="R145" s="9"/>
      <c r="S145" s="11"/>
    </row>
    <row r="146" spans="1:19" ht="15.75">
      <c r="A146" s="13">
        <v>46327</v>
      </c>
      <c r="B146" s="8">
        <f>5.9779 * CHOOSE(CONTROL!$C$14, $D$10, 100%, $F$10)</f>
        <v>5.9779</v>
      </c>
      <c r="C146" s="8">
        <f>5.983 * CHOOSE(CONTROL!$C$14, $D$10, 100%, $F$10)</f>
        <v>5.9829999999999997</v>
      </c>
      <c r="D146" s="8">
        <f>5.9592 * CHOOSE( CONTROL!$C$14, $D$10, 100%, $F$10)</f>
        <v>5.9592000000000001</v>
      </c>
      <c r="E146" s="12">
        <f>5.9674 * CHOOSE( CONTROL!$C$14, $D$10, 100%, $F$10)</f>
        <v>5.9673999999999996</v>
      </c>
      <c r="F146" s="4">
        <f>6.6254 * CHOOSE(CONTROL!$C$14, $D$10, 100%, $F$10)</f>
        <v>6.6254</v>
      </c>
      <c r="G146" s="8">
        <f>5.8611 * CHOOSE( CONTROL!$C$14, $D$10, 100%, $F$10)</f>
        <v>5.8611000000000004</v>
      </c>
      <c r="H146" s="4">
        <f>6.7443 * CHOOSE(CONTROL!$C$14, $D$10, 100%, $F$10)</f>
        <v>6.7443</v>
      </c>
      <c r="I146" s="8">
        <f>5.8777 * CHOOSE(CONTROL!$C$14, $D$10, 100%, $F$10)</f>
        <v>5.8776999999999999</v>
      </c>
      <c r="J146" s="4">
        <f>5.7496 * CHOOSE(CONTROL!$C$14, $D$10, 100%, $F$10)</f>
        <v>5.7496</v>
      </c>
      <c r="K146" s="4"/>
      <c r="L146" s="9">
        <v>28.360600000000002</v>
      </c>
      <c r="M146" s="9">
        <v>11.6745</v>
      </c>
      <c r="N146" s="9">
        <v>4.7850000000000001</v>
      </c>
      <c r="O146" s="9">
        <v>0.36199999999999999</v>
      </c>
      <c r="P146" s="9">
        <v>1.2509999999999999</v>
      </c>
      <c r="Q146" s="9">
        <v>31.035599999999999</v>
      </c>
      <c r="R146" s="9"/>
      <c r="S146" s="11"/>
    </row>
    <row r="147" spans="1:19" ht="15.75">
      <c r="A147" s="13">
        <v>46357</v>
      </c>
      <c r="B147" s="8">
        <f>5.9671 * CHOOSE(CONTROL!$C$14, $D$10, 100%, $F$10)</f>
        <v>5.9671000000000003</v>
      </c>
      <c r="C147" s="8">
        <f>5.9722 * CHOOSE(CONTROL!$C$14, $D$10, 100%, $F$10)</f>
        <v>5.9722</v>
      </c>
      <c r="D147" s="8">
        <f>5.9498 * CHOOSE( CONTROL!$C$14, $D$10, 100%, $F$10)</f>
        <v>5.9497999999999998</v>
      </c>
      <c r="E147" s="12">
        <f>5.9574 * CHOOSE( CONTROL!$C$14, $D$10, 100%, $F$10)</f>
        <v>5.9573999999999998</v>
      </c>
      <c r="F147" s="4">
        <f>6.6145 * CHOOSE(CONTROL!$C$14, $D$10, 100%, $F$10)</f>
        <v>6.6144999999999996</v>
      </c>
      <c r="G147" s="8">
        <f>5.8515 * CHOOSE( CONTROL!$C$14, $D$10, 100%, $F$10)</f>
        <v>5.8514999999999997</v>
      </c>
      <c r="H147" s="4">
        <f>6.7336 * CHOOSE(CONTROL!$C$14, $D$10, 100%, $F$10)</f>
        <v>6.7336</v>
      </c>
      <c r="I147" s="8">
        <f>5.8716 * CHOOSE(CONTROL!$C$14, $D$10, 100%, $F$10)</f>
        <v>5.8715999999999999</v>
      </c>
      <c r="J147" s="4">
        <f>5.7392 * CHOOSE(CONTROL!$C$14, $D$10, 100%, $F$10)</f>
        <v>5.7392000000000003</v>
      </c>
      <c r="K147" s="4"/>
      <c r="L147" s="9">
        <v>29.306000000000001</v>
      </c>
      <c r="M147" s="9">
        <v>12.063700000000001</v>
      </c>
      <c r="N147" s="9">
        <v>4.9444999999999997</v>
      </c>
      <c r="O147" s="9">
        <v>0.37409999999999999</v>
      </c>
      <c r="P147" s="9">
        <v>1.2927</v>
      </c>
      <c r="Q147" s="9">
        <v>32.070099999999996</v>
      </c>
      <c r="R147" s="9"/>
      <c r="S147" s="11"/>
    </row>
    <row r="148" spans="1:19" ht="15.75">
      <c r="A148" s="13">
        <v>46388</v>
      </c>
      <c r="B148" s="8">
        <f>6.1846 * CHOOSE(CONTROL!$C$14, $D$10, 100%, $F$10)</f>
        <v>6.1845999999999997</v>
      </c>
      <c r="C148" s="8">
        <f>6.1897 * CHOOSE(CONTROL!$C$14, $D$10, 100%, $F$10)</f>
        <v>6.1897000000000002</v>
      </c>
      <c r="D148" s="8">
        <f>6.1855 * CHOOSE( CONTROL!$C$14, $D$10, 100%, $F$10)</f>
        <v>6.1855000000000002</v>
      </c>
      <c r="E148" s="12">
        <f>6.1865 * CHOOSE( CONTROL!$C$14, $D$10, 100%, $F$10)</f>
        <v>6.1864999999999997</v>
      </c>
      <c r="F148" s="4">
        <f>6.8631 * CHOOSE(CONTROL!$C$14, $D$10, 100%, $F$10)</f>
        <v>6.8631000000000002</v>
      </c>
      <c r="G148" s="8">
        <f>6.0797 * CHOOSE( CONTROL!$C$14, $D$10, 100%, $F$10)</f>
        <v>6.0796999999999999</v>
      </c>
      <c r="H148" s="4">
        <f>6.9781 * CHOOSE(CONTROL!$C$14, $D$10, 100%, $F$10)</f>
        <v>6.9781000000000004</v>
      </c>
      <c r="I148" s="8">
        <f>6.0611 * CHOOSE(CONTROL!$C$14, $D$10, 100%, $F$10)</f>
        <v>6.0610999999999997</v>
      </c>
      <c r="J148" s="4">
        <f>5.9495 * CHOOSE(CONTROL!$C$14, $D$10, 100%, $F$10)</f>
        <v>5.9494999999999996</v>
      </c>
      <c r="K148" s="4"/>
      <c r="L148" s="9">
        <v>29.306000000000001</v>
      </c>
      <c r="M148" s="9">
        <v>12.063700000000001</v>
      </c>
      <c r="N148" s="9">
        <v>4.9444999999999997</v>
      </c>
      <c r="O148" s="9">
        <v>0.37409999999999999</v>
      </c>
      <c r="P148" s="9">
        <v>1.2927</v>
      </c>
      <c r="Q148" s="9">
        <v>31.885999999999999</v>
      </c>
      <c r="R148" s="9"/>
      <c r="S148" s="11"/>
    </row>
    <row r="149" spans="1:19" ht="15.75">
      <c r="A149" s="13">
        <v>46419</v>
      </c>
      <c r="B149" s="8">
        <f>5.7867 * CHOOSE(CONTROL!$C$14, $D$10, 100%, $F$10)</f>
        <v>5.7866999999999997</v>
      </c>
      <c r="C149" s="8">
        <f>5.7919 * CHOOSE(CONTROL!$C$14, $D$10, 100%, $F$10)</f>
        <v>5.7919</v>
      </c>
      <c r="D149" s="8">
        <f>5.7817 * CHOOSE( CONTROL!$C$14, $D$10, 100%, $F$10)</f>
        <v>5.7816999999999998</v>
      </c>
      <c r="E149" s="12">
        <f>5.7849 * CHOOSE( CONTROL!$C$14, $D$10, 100%, $F$10)</f>
        <v>5.7849000000000004</v>
      </c>
      <c r="F149" s="4">
        <f>6.4394 * CHOOSE(CONTROL!$C$14, $D$10, 100%, $F$10)</f>
        <v>6.4394</v>
      </c>
      <c r="G149" s="8">
        <f>5.6803 * CHOOSE( CONTROL!$C$14, $D$10, 100%, $F$10)</f>
        <v>5.6802999999999999</v>
      </c>
      <c r="H149" s="4">
        <f>6.5614 * CHOOSE(CONTROL!$C$14, $D$10, 100%, $F$10)</f>
        <v>6.5613999999999999</v>
      </c>
      <c r="I149" s="8">
        <f>5.6669 * CHOOSE(CONTROL!$C$14, $D$10, 100%, $F$10)</f>
        <v>5.6669</v>
      </c>
      <c r="J149" s="4">
        <f>5.5649 * CHOOSE(CONTROL!$C$14, $D$10, 100%, $F$10)</f>
        <v>5.5648999999999997</v>
      </c>
      <c r="K149" s="4"/>
      <c r="L149" s="9">
        <v>26.469899999999999</v>
      </c>
      <c r="M149" s="9">
        <v>10.8962</v>
      </c>
      <c r="N149" s="9">
        <v>4.4660000000000002</v>
      </c>
      <c r="O149" s="9">
        <v>0.33789999999999998</v>
      </c>
      <c r="P149" s="9">
        <v>1.1676</v>
      </c>
      <c r="Q149" s="9">
        <v>28.8002</v>
      </c>
      <c r="R149" s="9"/>
      <c r="S149" s="11"/>
    </row>
    <row r="150" spans="1:19" ht="15.75">
      <c r="A150" s="13">
        <v>46447</v>
      </c>
      <c r="B150" s="8">
        <f>5.6642 * CHOOSE(CONTROL!$C$14, $D$10, 100%, $F$10)</f>
        <v>5.6642000000000001</v>
      </c>
      <c r="C150" s="8">
        <f>5.6693 * CHOOSE(CONTROL!$C$14, $D$10, 100%, $F$10)</f>
        <v>5.6692999999999998</v>
      </c>
      <c r="D150" s="8">
        <f>5.6527 * CHOOSE( CONTROL!$C$14, $D$10, 100%, $F$10)</f>
        <v>5.6527000000000003</v>
      </c>
      <c r="E150" s="12">
        <f>5.6582 * CHOOSE( CONTROL!$C$14, $D$10, 100%, $F$10)</f>
        <v>5.6581999999999999</v>
      </c>
      <c r="F150" s="4">
        <f>6.3168 * CHOOSE(CONTROL!$C$14, $D$10, 100%, $F$10)</f>
        <v>6.3167999999999997</v>
      </c>
      <c r="G150" s="8">
        <f>5.5516 * CHOOSE( CONTROL!$C$14, $D$10, 100%, $F$10)</f>
        <v>5.5515999999999996</v>
      </c>
      <c r="H150" s="4">
        <f>6.4409 * CHOOSE(CONTROL!$C$14, $D$10, 100%, $F$10)</f>
        <v>6.4409000000000001</v>
      </c>
      <c r="I150" s="8">
        <f>5.5283 * CHOOSE(CONTROL!$C$14, $D$10, 100%, $F$10)</f>
        <v>5.5282999999999998</v>
      </c>
      <c r="J150" s="4">
        <f>5.4464 * CHOOSE(CONTROL!$C$14, $D$10, 100%, $F$10)</f>
        <v>5.4463999999999997</v>
      </c>
      <c r="K150" s="4"/>
      <c r="L150" s="9">
        <v>29.306000000000001</v>
      </c>
      <c r="M150" s="9">
        <v>12.063700000000001</v>
      </c>
      <c r="N150" s="9">
        <v>4.9444999999999997</v>
      </c>
      <c r="O150" s="9">
        <v>0.37409999999999999</v>
      </c>
      <c r="P150" s="9">
        <v>1.2927</v>
      </c>
      <c r="Q150" s="9">
        <v>31.885999999999999</v>
      </c>
      <c r="R150" s="9"/>
      <c r="S150" s="11"/>
    </row>
    <row r="151" spans="1:19" ht="15.75">
      <c r="A151" s="13">
        <v>46478</v>
      </c>
      <c r="B151" s="8">
        <f>5.7506 * CHOOSE(CONTROL!$C$14, $D$10, 100%, $F$10)</f>
        <v>5.7506000000000004</v>
      </c>
      <c r="C151" s="8">
        <f>5.7551 * CHOOSE(CONTROL!$C$14, $D$10, 100%, $F$10)</f>
        <v>5.7550999999999997</v>
      </c>
      <c r="D151" s="8">
        <f>5.7647 * CHOOSE( CONTROL!$C$14, $D$10, 100%, $F$10)</f>
        <v>5.7647000000000004</v>
      </c>
      <c r="E151" s="12">
        <f>5.761 * CHOOSE( CONTROL!$C$14, $D$10, 100%, $F$10)</f>
        <v>5.7610000000000001</v>
      </c>
      <c r="F151" s="4">
        <f>6.4335 * CHOOSE(CONTROL!$C$14, $D$10, 100%, $F$10)</f>
        <v>6.4335000000000004</v>
      </c>
      <c r="G151" s="8">
        <f>5.6256 * CHOOSE( CONTROL!$C$14, $D$10, 100%, $F$10)</f>
        <v>5.6256000000000004</v>
      </c>
      <c r="H151" s="4">
        <f>6.5556 * CHOOSE(CONTROL!$C$14, $D$10, 100%, $F$10)</f>
        <v>6.5556000000000001</v>
      </c>
      <c r="I151" s="8">
        <f>5.622 * CHOOSE(CONTROL!$C$14, $D$10, 100%, $F$10)</f>
        <v>5.6219999999999999</v>
      </c>
      <c r="J151" s="4">
        <f>5.5292 * CHOOSE(CONTROL!$C$14, $D$10, 100%, $F$10)</f>
        <v>5.5292000000000003</v>
      </c>
      <c r="K151" s="4"/>
      <c r="L151" s="9">
        <v>30.092199999999998</v>
      </c>
      <c r="M151" s="9">
        <v>11.6745</v>
      </c>
      <c r="N151" s="9">
        <v>4.7850000000000001</v>
      </c>
      <c r="O151" s="9">
        <v>0.36199999999999999</v>
      </c>
      <c r="P151" s="9">
        <v>1.1791</v>
      </c>
      <c r="Q151" s="9">
        <v>30.857399999999998</v>
      </c>
      <c r="R151" s="9"/>
      <c r="S151" s="11"/>
    </row>
    <row r="152" spans="1:19" ht="15.75">
      <c r="A152" s="13">
        <v>46508</v>
      </c>
      <c r="B152" s="8">
        <f>CHOOSE( CONTROL!$C$31, 5.9073, 5.9044) * CHOOSE(CONTROL!$C$14, $D$10, 100%, $F$10)</f>
        <v>5.9073000000000002</v>
      </c>
      <c r="C152" s="8">
        <f>CHOOSE( CONTROL!$C$31, 5.9153, 5.9124) * CHOOSE(CONTROL!$C$14, $D$10, 100%, $F$10)</f>
        <v>5.9153000000000002</v>
      </c>
      <c r="D152" s="8">
        <f>CHOOSE( CONTROL!$C$31, 5.9199, 5.917) * CHOOSE( CONTROL!$C$14, $D$10, 100%, $F$10)</f>
        <v>5.9199000000000002</v>
      </c>
      <c r="E152" s="12">
        <f>CHOOSE( CONTROL!$C$31, 5.917, 5.9141) * CHOOSE( CONTROL!$C$14, $D$10, 100%, $F$10)</f>
        <v>5.9169999999999998</v>
      </c>
      <c r="F152" s="4">
        <f>CHOOSE( CONTROL!$C$31, 6.5888, 6.5859) * CHOOSE(CONTROL!$C$14, $D$10, 100%, $F$10)</f>
        <v>6.5888</v>
      </c>
      <c r="G152" s="8">
        <f>CHOOSE( CONTROL!$C$31, 5.7793, 5.7764) * CHOOSE( CONTROL!$C$14, $D$10, 100%, $F$10)</f>
        <v>5.7793000000000001</v>
      </c>
      <c r="H152" s="4">
        <f>CHOOSE( CONTROL!$C$31, 6.7083, 6.7055) * CHOOSE(CONTROL!$C$14, $D$10, 100%, $F$10)</f>
        <v>6.7083000000000004</v>
      </c>
      <c r="I152" s="8">
        <f>CHOOSE( CONTROL!$C$31, 5.7733, 5.7705) * CHOOSE(CONTROL!$C$14, $D$10, 100%, $F$10)</f>
        <v>5.7732999999999999</v>
      </c>
      <c r="J152" s="4">
        <f>CHOOSE( CONTROL!$C$31, 5.6793, 5.6765) * CHOOSE(CONTROL!$C$14, $D$10, 100%, $F$10)</f>
        <v>5.6792999999999996</v>
      </c>
      <c r="K152" s="4"/>
      <c r="L152" s="9">
        <v>30.7165</v>
      </c>
      <c r="M152" s="9">
        <v>12.063700000000001</v>
      </c>
      <c r="N152" s="9">
        <v>4.9444999999999997</v>
      </c>
      <c r="O152" s="9">
        <v>0.37409999999999999</v>
      </c>
      <c r="P152" s="9">
        <v>1.2183999999999999</v>
      </c>
      <c r="Q152" s="9">
        <v>31.885999999999999</v>
      </c>
      <c r="R152" s="9"/>
      <c r="S152" s="11"/>
    </row>
    <row r="153" spans="1:19" ht="15.75">
      <c r="A153" s="13">
        <v>46539</v>
      </c>
      <c r="B153" s="8">
        <f>CHOOSE( CONTROL!$C$31, 5.8129, 5.81) * CHOOSE(CONTROL!$C$14, $D$10, 100%, $F$10)</f>
        <v>5.8129</v>
      </c>
      <c r="C153" s="8">
        <f>CHOOSE( CONTROL!$C$31, 5.8209, 5.818) * CHOOSE(CONTROL!$C$14, $D$10, 100%, $F$10)</f>
        <v>5.8209</v>
      </c>
      <c r="D153" s="8">
        <f>CHOOSE( CONTROL!$C$31, 5.8258, 5.8229) * CHOOSE( CONTROL!$C$14, $D$10, 100%, $F$10)</f>
        <v>5.8258000000000001</v>
      </c>
      <c r="E153" s="12">
        <f>CHOOSE( CONTROL!$C$31, 5.8228, 5.8199) * CHOOSE( CONTROL!$C$14, $D$10, 100%, $F$10)</f>
        <v>5.8228</v>
      </c>
      <c r="F153" s="4">
        <f>CHOOSE( CONTROL!$C$31, 6.4944, 6.4915) * CHOOSE(CONTROL!$C$14, $D$10, 100%, $F$10)</f>
        <v>6.4943999999999997</v>
      </c>
      <c r="G153" s="8">
        <f>CHOOSE( CONTROL!$C$31, 5.6869, 5.684) * CHOOSE( CONTROL!$C$14, $D$10, 100%, $F$10)</f>
        <v>5.6868999999999996</v>
      </c>
      <c r="H153" s="4">
        <f>CHOOSE( CONTROL!$C$31, 6.6155, 6.6126) * CHOOSE(CONTROL!$C$14, $D$10, 100%, $F$10)</f>
        <v>6.6154999999999999</v>
      </c>
      <c r="I153" s="8">
        <f>CHOOSE( CONTROL!$C$31, 5.6833, 5.6804) * CHOOSE(CONTROL!$C$14, $D$10, 100%, $F$10)</f>
        <v>5.6833</v>
      </c>
      <c r="J153" s="4">
        <f>CHOOSE( CONTROL!$C$31, 5.5881, 5.5852) * CHOOSE(CONTROL!$C$14, $D$10, 100%, $F$10)</f>
        <v>5.5880999999999998</v>
      </c>
      <c r="K153" s="4"/>
      <c r="L153" s="9">
        <v>29.7257</v>
      </c>
      <c r="M153" s="9">
        <v>11.6745</v>
      </c>
      <c r="N153" s="9">
        <v>4.7850000000000001</v>
      </c>
      <c r="O153" s="9">
        <v>0.36199999999999999</v>
      </c>
      <c r="P153" s="9">
        <v>1.1791</v>
      </c>
      <c r="Q153" s="9">
        <v>30.857399999999998</v>
      </c>
      <c r="R153" s="9"/>
      <c r="S153" s="11"/>
    </row>
    <row r="154" spans="1:19" ht="15.75">
      <c r="A154" s="13">
        <v>46569</v>
      </c>
      <c r="B154" s="8">
        <f>CHOOSE( CONTROL!$C$31, 6.0615, 6.0586) * CHOOSE(CONTROL!$C$14, $D$10, 100%, $F$10)</f>
        <v>6.0614999999999997</v>
      </c>
      <c r="C154" s="8">
        <f>CHOOSE( CONTROL!$C$31, 6.0695, 6.0666) * CHOOSE(CONTROL!$C$14, $D$10, 100%, $F$10)</f>
        <v>6.0694999999999997</v>
      </c>
      <c r="D154" s="8">
        <f>CHOOSE( CONTROL!$C$31, 6.0746, 6.0717) * CHOOSE( CONTROL!$C$14, $D$10, 100%, $F$10)</f>
        <v>6.0746000000000002</v>
      </c>
      <c r="E154" s="12">
        <f>CHOOSE( CONTROL!$C$31, 6.0715, 6.0686) * CHOOSE( CONTROL!$C$14, $D$10, 100%, $F$10)</f>
        <v>6.0715000000000003</v>
      </c>
      <c r="F154" s="4">
        <f>CHOOSE( CONTROL!$C$31, 6.743, 6.7401) * CHOOSE(CONTROL!$C$14, $D$10, 100%, $F$10)</f>
        <v>6.7430000000000003</v>
      </c>
      <c r="G154" s="8">
        <f>CHOOSE( CONTROL!$C$31, 5.9317, 5.9288) * CHOOSE( CONTROL!$C$14, $D$10, 100%, $F$10)</f>
        <v>5.9317000000000002</v>
      </c>
      <c r="H154" s="4">
        <f>CHOOSE( CONTROL!$C$31, 6.86, 6.8571) * CHOOSE(CONTROL!$C$14, $D$10, 100%, $F$10)</f>
        <v>6.86</v>
      </c>
      <c r="I154" s="8">
        <f>CHOOSE( CONTROL!$C$31, 5.9249, 5.922) * CHOOSE(CONTROL!$C$14, $D$10, 100%, $F$10)</f>
        <v>5.9249000000000001</v>
      </c>
      <c r="J154" s="4">
        <f>CHOOSE( CONTROL!$C$31, 5.8284, 5.8256) * CHOOSE(CONTROL!$C$14, $D$10, 100%, $F$10)</f>
        <v>5.8284000000000002</v>
      </c>
      <c r="K154" s="4"/>
      <c r="L154" s="9">
        <v>30.7165</v>
      </c>
      <c r="M154" s="9">
        <v>12.063700000000001</v>
      </c>
      <c r="N154" s="9">
        <v>4.9444999999999997</v>
      </c>
      <c r="O154" s="9">
        <v>0.37409999999999999</v>
      </c>
      <c r="P154" s="9">
        <v>1.2183999999999999</v>
      </c>
      <c r="Q154" s="9">
        <v>31.885999999999999</v>
      </c>
      <c r="R154" s="9"/>
      <c r="S154" s="11"/>
    </row>
    <row r="155" spans="1:19" ht="15.75">
      <c r="A155" s="13">
        <v>46600</v>
      </c>
      <c r="B155" s="8">
        <f>CHOOSE( CONTROL!$C$31, 5.5963, 5.5934) * CHOOSE(CONTROL!$C$14, $D$10, 100%, $F$10)</f>
        <v>5.5963000000000003</v>
      </c>
      <c r="C155" s="8">
        <f>CHOOSE( CONTROL!$C$31, 5.6043, 5.6014) * CHOOSE(CONTROL!$C$14, $D$10, 100%, $F$10)</f>
        <v>5.6043000000000003</v>
      </c>
      <c r="D155" s="8">
        <f>CHOOSE( CONTROL!$C$31, 5.6095, 5.6066) * CHOOSE( CONTROL!$C$14, $D$10, 100%, $F$10)</f>
        <v>5.6094999999999997</v>
      </c>
      <c r="E155" s="12">
        <f>CHOOSE( CONTROL!$C$31, 5.6064, 5.6035) * CHOOSE( CONTROL!$C$14, $D$10, 100%, $F$10)</f>
        <v>5.6063999999999998</v>
      </c>
      <c r="F155" s="4">
        <f>CHOOSE( CONTROL!$C$31, 6.2779, 6.2749) * CHOOSE(CONTROL!$C$14, $D$10, 100%, $F$10)</f>
        <v>6.2778999999999998</v>
      </c>
      <c r="G155" s="8">
        <f>CHOOSE( CONTROL!$C$31, 5.4744, 5.4715) * CHOOSE( CONTROL!$C$14, $D$10, 100%, $F$10)</f>
        <v>5.4744000000000002</v>
      </c>
      <c r="H155" s="4">
        <f>CHOOSE( CONTROL!$C$31, 6.4025, 6.3996) * CHOOSE(CONTROL!$C$14, $D$10, 100%, $F$10)</f>
        <v>6.4024999999999999</v>
      </c>
      <c r="I155" s="8">
        <f>CHOOSE( CONTROL!$C$31, 5.4754, 5.4725) * CHOOSE(CONTROL!$C$14, $D$10, 100%, $F$10)</f>
        <v>5.4753999999999996</v>
      </c>
      <c r="J155" s="4">
        <f>CHOOSE( CONTROL!$C$31, 5.3787, 5.3759) * CHOOSE(CONTROL!$C$14, $D$10, 100%, $F$10)</f>
        <v>5.3787000000000003</v>
      </c>
      <c r="K155" s="4"/>
      <c r="L155" s="9">
        <v>30.7165</v>
      </c>
      <c r="M155" s="9">
        <v>12.063700000000001</v>
      </c>
      <c r="N155" s="9">
        <v>4.9444999999999997</v>
      </c>
      <c r="O155" s="9">
        <v>0.37409999999999999</v>
      </c>
      <c r="P155" s="9">
        <v>1.2183999999999999</v>
      </c>
      <c r="Q155" s="9">
        <v>31.885999999999999</v>
      </c>
      <c r="R155" s="9"/>
      <c r="S155" s="11"/>
    </row>
    <row r="156" spans="1:19" ht="15.75">
      <c r="A156" s="13">
        <v>46631</v>
      </c>
      <c r="B156" s="8">
        <f>CHOOSE( CONTROL!$C$31, 5.4798, 5.4769) * CHOOSE(CONTROL!$C$14, $D$10, 100%, $F$10)</f>
        <v>5.4798</v>
      </c>
      <c r="C156" s="8">
        <f>CHOOSE( CONTROL!$C$31, 5.4878, 5.4849) * CHOOSE(CONTROL!$C$14, $D$10, 100%, $F$10)</f>
        <v>5.4878</v>
      </c>
      <c r="D156" s="8">
        <f>CHOOSE( CONTROL!$C$31, 5.493, 5.4901) * CHOOSE( CONTROL!$C$14, $D$10, 100%, $F$10)</f>
        <v>5.4930000000000003</v>
      </c>
      <c r="E156" s="12">
        <f>CHOOSE( CONTROL!$C$31, 5.4899, 5.487) * CHOOSE( CONTROL!$C$14, $D$10, 100%, $F$10)</f>
        <v>5.4898999999999996</v>
      </c>
      <c r="F156" s="4">
        <f>CHOOSE( CONTROL!$C$31, 6.1614, 6.1584) * CHOOSE(CONTROL!$C$14, $D$10, 100%, $F$10)</f>
        <v>6.1614000000000004</v>
      </c>
      <c r="G156" s="8">
        <f>CHOOSE( CONTROL!$C$31, 5.3598, 5.3569) * CHOOSE( CONTROL!$C$14, $D$10, 100%, $F$10)</f>
        <v>5.3597999999999999</v>
      </c>
      <c r="H156" s="4">
        <f>CHOOSE( CONTROL!$C$31, 6.288, 6.2851) * CHOOSE(CONTROL!$C$14, $D$10, 100%, $F$10)</f>
        <v>6.2880000000000003</v>
      </c>
      <c r="I156" s="8">
        <f>CHOOSE( CONTROL!$C$31, 5.3626, 5.3598) * CHOOSE(CONTROL!$C$14, $D$10, 100%, $F$10)</f>
        <v>5.3625999999999996</v>
      </c>
      <c r="J156" s="4">
        <f>CHOOSE( CONTROL!$C$31, 5.2661, 5.2633) * CHOOSE(CONTROL!$C$14, $D$10, 100%, $F$10)</f>
        <v>5.2660999999999998</v>
      </c>
      <c r="K156" s="4"/>
      <c r="L156" s="9">
        <v>29.7257</v>
      </c>
      <c r="M156" s="9">
        <v>11.6745</v>
      </c>
      <c r="N156" s="9">
        <v>4.7850000000000001</v>
      </c>
      <c r="O156" s="9">
        <v>0.36199999999999999</v>
      </c>
      <c r="P156" s="9">
        <v>1.1791</v>
      </c>
      <c r="Q156" s="9">
        <v>30.857399999999998</v>
      </c>
      <c r="R156" s="9"/>
      <c r="S156" s="11"/>
    </row>
    <row r="157" spans="1:19" ht="15.75">
      <c r="A157" s="13">
        <v>46661</v>
      </c>
      <c r="B157" s="8">
        <f>5.717 * CHOOSE(CONTROL!$C$14, $D$10, 100%, $F$10)</f>
        <v>5.7169999999999996</v>
      </c>
      <c r="C157" s="8">
        <f>5.7224 * CHOOSE(CONTROL!$C$14, $D$10, 100%, $F$10)</f>
        <v>5.7224000000000004</v>
      </c>
      <c r="D157" s="8">
        <f>5.7324 * CHOOSE( CONTROL!$C$14, $D$10, 100%, $F$10)</f>
        <v>5.7324000000000002</v>
      </c>
      <c r="E157" s="12">
        <f>5.7285 * CHOOSE( CONTROL!$C$14, $D$10, 100%, $F$10)</f>
        <v>5.7285000000000004</v>
      </c>
      <c r="F157" s="4">
        <f>6.4003 * CHOOSE(CONTROL!$C$14, $D$10, 100%, $F$10)</f>
        <v>6.4002999999999997</v>
      </c>
      <c r="G157" s="8">
        <f>5.5944 * CHOOSE( CONTROL!$C$14, $D$10, 100%, $F$10)</f>
        <v>5.5944000000000003</v>
      </c>
      <c r="H157" s="4">
        <f>6.5229 * CHOOSE(CONTROL!$C$14, $D$10, 100%, $F$10)</f>
        <v>6.5228999999999999</v>
      </c>
      <c r="I157" s="8">
        <f>5.5945 * CHOOSE(CONTROL!$C$14, $D$10, 100%, $F$10)</f>
        <v>5.5945</v>
      </c>
      <c r="J157" s="4">
        <f>5.4971 * CHOOSE(CONTROL!$C$14, $D$10, 100%, $F$10)</f>
        <v>5.4970999999999997</v>
      </c>
      <c r="K157" s="4"/>
      <c r="L157" s="9">
        <v>31.095300000000002</v>
      </c>
      <c r="M157" s="9">
        <v>12.063700000000001</v>
      </c>
      <c r="N157" s="9">
        <v>4.9444999999999997</v>
      </c>
      <c r="O157" s="9">
        <v>0.37409999999999999</v>
      </c>
      <c r="P157" s="9">
        <v>1.2183999999999999</v>
      </c>
      <c r="Q157" s="9">
        <v>31.885999999999999</v>
      </c>
      <c r="R157" s="9"/>
      <c r="S157" s="11"/>
    </row>
    <row r="158" spans="1:19" ht="15.75">
      <c r="A158" s="13">
        <v>46692</v>
      </c>
      <c r="B158" s="8">
        <f>6.1631 * CHOOSE(CONTROL!$C$14, $D$10, 100%, $F$10)</f>
        <v>6.1631</v>
      </c>
      <c r="C158" s="8">
        <f>6.1682 * CHOOSE(CONTROL!$C$14, $D$10, 100%, $F$10)</f>
        <v>6.1681999999999997</v>
      </c>
      <c r="D158" s="8">
        <f>6.1444 * CHOOSE( CONTROL!$C$14, $D$10, 100%, $F$10)</f>
        <v>6.1444000000000001</v>
      </c>
      <c r="E158" s="12">
        <f>6.1526 * CHOOSE( CONTROL!$C$14, $D$10, 100%, $F$10)</f>
        <v>6.1525999999999996</v>
      </c>
      <c r="F158" s="4">
        <f>6.8105 * CHOOSE(CONTROL!$C$14, $D$10, 100%, $F$10)</f>
        <v>6.8105000000000002</v>
      </c>
      <c r="G158" s="8">
        <f>6.0432 * CHOOSE( CONTROL!$C$14, $D$10, 100%, $F$10)</f>
        <v>6.0431999999999997</v>
      </c>
      <c r="H158" s="4">
        <f>6.9264 * CHOOSE(CONTROL!$C$14, $D$10, 100%, $F$10)</f>
        <v>6.9264000000000001</v>
      </c>
      <c r="I158" s="8">
        <f>6.0568 * CHOOSE(CONTROL!$C$14, $D$10, 100%, $F$10)</f>
        <v>6.0568</v>
      </c>
      <c r="J158" s="4">
        <f>5.9287 * CHOOSE(CONTROL!$C$14, $D$10, 100%, $F$10)</f>
        <v>5.9287000000000001</v>
      </c>
      <c r="K158" s="4"/>
      <c r="L158" s="9">
        <v>28.360600000000002</v>
      </c>
      <c r="M158" s="9">
        <v>11.6745</v>
      </c>
      <c r="N158" s="9">
        <v>4.7850000000000001</v>
      </c>
      <c r="O158" s="9">
        <v>0.36199999999999999</v>
      </c>
      <c r="P158" s="9">
        <v>1.2509999999999999</v>
      </c>
      <c r="Q158" s="9">
        <v>30.857399999999998</v>
      </c>
      <c r="R158" s="9"/>
      <c r="S158" s="11"/>
    </row>
    <row r="159" spans="1:19" ht="15.75">
      <c r="A159" s="13">
        <v>46722</v>
      </c>
      <c r="B159" s="8">
        <f>6.1519 * CHOOSE(CONTROL!$C$14, $D$10, 100%, $F$10)</f>
        <v>6.1519000000000004</v>
      </c>
      <c r="C159" s="8">
        <f>6.157 * CHOOSE(CONTROL!$C$14, $D$10, 100%, $F$10)</f>
        <v>6.157</v>
      </c>
      <c r="D159" s="8">
        <f>6.1346 * CHOOSE( CONTROL!$C$14, $D$10, 100%, $F$10)</f>
        <v>6.1345999999999998</v>
      </c>
      <c r="E159" s="12">
        <f>6.1422 * CHOOSE( CONTROL!$C$14, $D$10, 100%, $F$10)</f>
        <v>6.1421999999999999</v>
      </c>
      <c r="F159" s="4">
        <f>6.7994 * CHOOSE(CONTROL!$C$14, $D$10, 100%, $F$10)</f>
        <v>6.7994000000000003</v>
      </c>
      <c r="G159" s="8">
        <f>6.0333 * CHOOSE( CONTROL!$C$14, $D$10, 100%, $F$10)</f>
        <v>6.0332999999999997</v>
      </c>
      <c r="H159" s="4">
        <f>6.9154 * CHOOSE(CONTROL!$C$14, $D$10, 100%, $F$10)</f>
        <v>6.9154</v>
      </c>
      <c r="I159" s="8">
        <f>6.0504 * CHOOSE(CONTROL!$C$14, $D$10, 100%, $F$10)</f>
        <v>6.0503999999999998</v>
      </c>
      <c r="J159" s="4">
        <f>5.9179 * CHOOSE(CONTROL!$C$14, $D$10, 100%, $F$10)</f>
        <v>5.9179000000000004</v>
      </c>
      <c r="K159" s="4"/>
      <c r="L159" s="9">
        <v>29.306000000000001</v>
      </c>
      <c r="M159" s="9">
        <v>12.063700000000001</v>
      </c>
      <c r="N159" s="9">
        <v>4.9444999999999997</v>
      </c>
      <c r="O159" s="9">
        <v>0.37409999999999999</v>
      </c>
      <c r="P159" s="9">
        <v>1.2927</v>
      </c>
      <c r="Q159" s="9">
        <v>31.885999999999999</v>
      </c>
      <c r="R159" s="9"/>
      <c r="S159" s="11"/>
    </row>
    <row r="160" spans="1:19" ht="15.75">
      <c r="A160" s="13">
        <v>46753</v>
      </c>
      <c r="B160" s="8">
        <f>6.3814 * CHOOSE(CONTROL!$C$14, $D$10, 100%, $F$10)</f>
        <v>6.3814000000000002</v>
      </c>
      <c r="C160" s="8">
        <f>6.3865 * CHOOSE(CONTROL!$C$14, $D$10, 100%, $F$10)</f>
        <v>6.3864999999999998</v>
      </c>
      <c r="D160" s="8">
        <f>6.3823 * CHOOSE( CONTROL!$C$14, $D$10, 100%, $F$10)</f>
        <v>6.3822999999999999</v>
      </c>
      <c r="E160" s="12">
        <f>6.3833 * CHOOSE( CONTROL!$C$14, $D$10, 100%, $F$10)</f>
        <v>6.3833000000000002</v>
      </c>
      <c r="F160" s="4">
        <f>7.0599 * CHOOSE(CONTROL!$C$14, $D$10, 100%, $F$10)</f>
        <v>7.0598999999999998</v>
      </c>
      <c r="G160" s="8">
        <f>6.2732 * CHOOSE( CONTROL!$C$14, $D$10, 100%, $F$10)</f>
        <v>6.2732000000000001</v>
      </c>
      <c r="H160" s="4">
        <f>7.1716 * CHOOSE(CONTROL!$C$14, $D$10, 100%, $F$10)</f>
        <v>7.1715999999999998</v>
      </c>
      <c r="I160" s="8">
        <f>6.2514 * CHOOSE(CONTROL!$C$14, $D$10, 100%, $F$10)</f>
        <v>6.2514000000000003</v>
      </c>
      <c r="J160" s="4">
        <f>6.1397 * CHOOSE(CONTROL!$C$14, $D$10, 100%, $F$10)</f>
        <v>6.1397000000000004</v>
      </c>
      <c r="K160" s="4"/>
      <c r="L160" s="9">
        <v>29.306000000000001</v>
      </c>
      <c r="M160" s="9">
        <v>12.063700000000001</v>
      </c>
      <c r="N160" s="9">
        <v>4.9444999999999997</v>
      </c>
      <c r="O160" s="9">
        <v>0.37409999999999999</v>
      </c>
      <c r="P160" s="9">
        <v>1.2927</v>
      </c>
      <c r="Q160" s="9">
        <v>31.701799999999999</v>
      </c>
      <c r="R160" s="9"/>
      <c r="S160" s="11"/>
    </row>
    <row r="161" spans="1:19" ht="15.75">
      <c r="A161" s="13">
        <v>46784</v>
      </c>
      <c r="B161" s="8">
        <f>5.9708 * CHOOSE(CONTROL!$C$14, $D$10, 100%, $F$10)</f>
        <v>5.9707999999999997</v>
      </c>
      <c r="C161" s="8">
        <f>5.9759 * CHOOSE(CONTROL!$C$14, $D$10, 100%, $F$10)</f>
        <v>5.9759000000000002</v>
      </c>
      <c r="D161" s="8">
        <f>5.9658 * CHOOSE( CONTROL!$C$14, $D$10, 100%, $F$10)</f>
        <v>5.9657999999999998</v>
      </c>
      <c r="E161" s="12">
        <f>5.9689 * CHOOSE( CONTROL!$C$14, $D$10, 100%, $F$10)</f>
        <v>5.9688999999999997</v>
      </c>
      <c r="F161" s="4">
        <f>6.6234 * CHOOSE(CONTROL!$C$14, $D$10, 100%, $F$10)</f>
        <v>6.6234000000000002</v>
      </c>
      <c r="G161" s="8">
        <f>5.8613 * CHOOSE( CONTROL!$C$14, $D$10, 100%, $F$10)</f>
        <v>5.8613</v>
      </c>
      <c r="H161" s="4">
        <f>6.7424 * CHOOSE(CONTROL!$C$14, $D$10, 100%, $F$10)</f>
        <v>6.7423999999999999</v>
      </c>
      <c r="I161" s="8">
        <f>5.8449 * CHOOSE(CONTROL!$C$14, $D$10, 100%, $F$10)</f>
        <v>5.8449</v>
      </c>
      <c r="J161" s="4">
        <f>5.7428 * CHOOSE(CONTROL!$C$14, $D$10, 100%, $F$10)</f>
        <v>5.7427999999999999</v>
      </c>
      <c r="K161" s="4"/>
      <c r="L161" s="9">
        <v>27.415299999999998</v>
      </c>
      <c r="M161" s="9">
        <v>11.285299999999999</v>
      </c>
      <c r="N161" s="9">
        <v>4.6254999999999997</v>
      </c>
      <c r="O161" s="9">
        <v>0.34989999999999999</v>
      </c>
      <c r="P161" s="9">
        <v>1.2093</v>
      </c>
      <c r="Q161" s="9">
        <v>29.656600000000001</v>
      </c>
      <c r="R161" s="9"/>
      <c r="S161" s="11"/>
    </row>
    <row r="162" spans="1:19" ht="15.75">
      <c r="A162" s="13">
        <v>46813</v>
      </c>
      <c r="B162" s="8">
        <f>5.8443 * CHOOSE(CONTROL!$C$14, $D$10, 100%, $F$10)</f>
        <v>5.8442999999999996</v>
      </c>
      <c r="C162" s="8">
        <f>5.8494 * CHOOSE(CONTROL!$C$14, $D$10, 100%, $F$10)</f>
        <v>5.8494000000000002</v>
      </c>
      <c r="D162" s="8">
        <f>5.8328 * CHOOSE( CONTROL!$C$14, $D$10, 100%, $F$10)</f>
        <v>5.8327999999999998</v>
      </c>
      <c r="E162" s="12">
        <f>5.8383 * CHOOSE( CONTROL!$C$14, $D$10, 100%, $F$10)</f>
        <v>5.8383000000000003</v>
      </c>
      <c r="F162" s="4">
        <f>6.497 * CHOOSE(CONTROL!$C$14, $D$10, 100%, $F$10)</f>
        <v>6.4969999999999999</v>
      </c>
      <c r="G162" s="8">
        <f>5.7287 * CHOOSE( CONTROL!$C$14, $D$10, 100%, $F$10)</f>
        <v>5.7286999999999999</v>
      </c>
      <c r="H162" s="4">
        <f>6.618 * CHOOSE(CONTROL!$C$14, $D$10, 100%, $F$10)</f>
        <v>6.6180000000000003</v>
      </c>
      <c r="I162" s="8">
        <f>5.7025 * CHOOSE(CONTROL!$C$14, $D$10, 100%, $F$10)</f>
        <v>5.7024999999999997</v>
      </c>
      <c r="J162" s="4">
        <f>5.6205 * CHOOSE(CONTROL!$C$14, $D$10, 100%, $F$10)</f>
        <v>5.6204999999999998</v>
      </c>
      <c r="K162" s="4"/>
      <c r="L162" s="9">
        <v>29.306000000000001</v>
      </c>
      <c r="M162" s="9">
        <v>12.063700000000001</v>
      </c>
      <c r="N162" s="9">
        <v>4.9444999999999997</v>
      </c>
      <c r="O162" s="9">
        <v>0.37409999999999999</v>
      </c>
      <c r="P162" s="9">
        <v>1.2927</v>
      </c>
      <c r="Q162" s="9">
        <v>31.701799999999999</v>
      </c>
      <c r="R162" s="9"/>
      <c r="S162" s="11"/>
    </row>
    <row r="163" spans="1:19" ht="15.75">
      <c r="A163" s="13">
        <v>46844</v>
      </c>
      <c r="B163" s="8">
        <f>5.9335 * CHOOSE(CONTROL!$C$14, $D$10, 100%, $F$10)</f>
        <v>5.9335000000000004</v>
      </c>
      <c r="C163" s="8">
        <f>5.938 * CHOOSE(CONTROL!$C$14, $D$10, 100%, $F$10)</f>
        <v>5.9379999999999997</v>
      </c>
      <c r="D163" s="8">
        <f>5.9475 * CHOOSE( CONTROL!$C$14, $D$10, 100%, $F$10)</f>
        <v>5.9474999999999998</v>
      </c>
      <c r="E163" s="12">
        <f>5.9438 * CHOOSE( CONTROL!$C$14, $D$10, 100%, $F$10)</f>
        <v>5.9438000000000004</v>
      </c>
      <c r="F163" s="4">
        <f>6.6164 * CHOOSE(CONTROL!$C$14, $D$10, 100%, $F$10)</f>
        <v>6.6163999999999996</v>
      </c>
      <c r="G163" s="8">
        <f>5.8055 * CHOOSE( CONTROL!$C$14, $D$10, 100%, $F$10)</f>
        <v>5.8055000000000003</v>
      </c>
      <c r="H163" s="4">
        <f>6.7354 * CHOOSE(CONTROL!$C$14, $D$10, 100%, $F$10)</f>
        <v>6.7354000000000003</v>
      </c>
      <c r="I163" s="8">
        <f>5.7989 * CHOOSE(CONTROL!$C$14, $D$10, 100%, $F$10)</f>
        <v>5.7988999999999997</v>
      </c>
      <c r="J163" s="4">
        <f>5.706 * CHOOSE(CONTROL!$C$14, $D$10, 100%, $F$10)</f>
        <v>5.7060000000000004</v>
      </c>
      <c r="K163" s="4"/>
      <c r="L163" s="9">
        <v>30.092199999999998</v>
      </c>
      <c r="M163" s="9">
        <v>11.6745</v>
      </c>
      <c r="N163" s="9">
        <v>4.7850000000000001</v>
      </c>
      <c r="O163" s="9">
        <v>0.36199999999999999</v>
      </c>
      <c r="P163" s="9">
        <v>1.1791</v>
      </c>
      <c r="Q163" s="9">
        <v>30.679200000000002</v>
      </c>
      <c r="R163" s="9"/>
      <c r="S163" s="11"/>
    </row>
    <row r="164" spans="1:19" ht="15.75">
      <c r="A164" s="13">
        <v>46874</v>
      </c>
      <c r="B164" s="8">
        <f>CHOOSE( CONTROL!$C$31, 6.095, 6.0921) * CHOOSE(CONTROL!$C$14, $D$10, 100%, $F$10)</f>
        <v>6.0949999999999998</v>
      </c>
      <c r="C164" s="8">
        <f>CHOOSE( CONTROL!$C$31, 6.103, 6.1001) * CHOOSE(CONTROL!$C$14, $D$10, 100%, $F$10)</f>
        <v>6.1029999999999998</v>
      </c>
      <c r="D164" s="8">
        <f>CHOOSE( CONTROL!$C$31, 6.1077, 6.1047) * CHOOSE( CONTROL!$C$14, $D$10, 100%, $F$10)</f>
        <v>6.1077000000000004</v>
      </c>
      <c r="E164" s="12">
        <f>CHOOSE( CONTROL!$C$31, 6.1048, 6.1018) * CHOOSE( CONTROL!$C$14, $D$10, 100%, $F$10)</f>
        <v>6.1048</v>
      </c>
      <c r="F164" s="4">
        <f>CHOOSE( CONTROL!$C$31, 6.7766, 6.7736) * CHOOSE(CONTROL!$C$14, $D$10, 100%, $F$10)</f>
        <v>6.7766000000000002</v>
      </c>
      <c r="G164" s="8">
        <f>CHOOSE( CONTROL!$C$31, 5.9639, 5.9611) * CHOOSE( CONTROL!$C$14, $D$10, 100%, $F$10)</f>
        <v>5.9638999999999998</v>
      </c>
      <c r="H164" s="4">
        <f>CHOOSE( CONTROL!$C$31, 6.893, 6.8901) * CHOOSE(CONTROL!$C$14, $D$10, 100%, $F$10)</f>
        <v>6.8929999999999998</v>
      </c>
      <c r="I164" s="8">
        <f>CHOOSE( CONTROL!$C$31, 5.9549, 5.9521) * CHOOSE(CONTROL!$C$14, $D$10, 100%, $F$10)</f>
        <v>5.9549000000000003</v>
      </c>
      <c r="J164" s="4">
        <f>CHOOSE( CONTROL!$C$31, 5.8608, 5.858) * CHOOSE(CONTROL!$C$14, $D$10, 100%, $F$10)</f>
        <v>5.8608000000000002</v>
      </c>
      <c r="K164" s="4"/>
      <c r="L164" s="9">
        <v>30.7165</v>
      </c>
      <c r="M164" s="9">
        <v>12.063700000000001</v>
      </c>
      <c r="N164" s="9">
        <v>4.9444999999999997</v>
      </c>
      <c r="O164" s="9">
        <v>0.37409999999999999</v>
      </c>
      <c r="P164" s="9">
        <v>1.2183999999999999</v>
      </c>
      <c r="Q164" s="9">
        <v>31.701799999999999</v>
      </c>
      <c r="R164" s="9"/>
      <c r="S164" s="11"/>
    </row>
    <row r="165" spans="1:19" ht="15.75">
      <c r="A165" s="13">
        <v>46905</v>
      </c>
      <c r="B165" s="8">
        <f>CHOOSE( CONTROL!$C$31, 5.9976, 5.9947) * CHOOSE(CONTROL!$C$14, $D$10, 100%, $F$10)</f>
        <v>5.9976000000000003</v>
      </c>
      <c r="C165" s="8">
        <f>CHOOSE( CONTROL!$C$31, 6.0056, 6.0027) * CHOOSE(CONTROL!$C$14, $D$10, 100%, $F$10)</f>
        <v>6.0056000000000003</v>
      </c>
      <c r="D165" s="8">
        <f>CHOOSE( CONTROL!$C$31, 6.0105, 6.0076) * CHOOSE( CONTROL!$C$14, $D$10, 100%, $F$10)</f>
        <v>6.0105000000000004</v>
      </c>
      <c r="E165" s="12">
        <f>CHOOSE( CONTROL!$C$31, 6.0075, 6.0046) * CHOOSE( CONTROL!$C$14, $D$10, 100%, $F$10)</f>
        <v>6.0075000000000003</v>
      </c>
      <c r="F165" s="4">
        <f>CHOOSE( CONTROL!$C$31, 6.6791, 6.6762) * CHOOSE(CONTROL!$C$14, $D$10, 100%, $F$10)</f>
        <v>6.6791</v>
      </c>
      <c r="G165" s="8">
        <f>CHOOSE( CONTROL!$C$31, 5.8685, 5.8656) * CHOOSE( CONTROL!$C$14, $D$10, 100%, $F$10)</f>
        <v>5.8685</v>
      </c>
      <c r="H165" s="4">
        <f>CHOOSE( CONTROL!$C$31, 6.7972, 6.7943) * CHOOSE(CONTROL!$C$14, $D$10, 100%, $F$10)</f>
        <v>6.7972000000000001</v>
      </c>
      <c r="I165" s="8">
        <f>CHOOSE( CONTROL!$C$31, 5.8619, 5.8591) * CHOOSE(CONTROL!$C$14, $D$10, 100%, $F$10)</f>
        <v>5.8619000000000003</v>
      </c>
      <c r="J165" s="4">
        <f>CHOOSE( CONTROL!$C$31, 5.7666, 5.7638) * CHOOSE(CONTROL!$C$14, $D$10, 100%, $F$10)</f>
        <v>5.7666000000000004</v>
      </c>
      <c r="K165" s="4"/>
      <c r="L165" s="9">
        <v>29.7257</v>
      </c>
      <c r="M165" s="9">
        <v>11.6745</v>
      </c>
      <c r="N165" s="9">
        <v>4.7850000000000001</v>
      </c>
      <c r="O165" s="9">
        <v>0.36199999999999999</v>
      </c>
      <c r="P165" s="9">
        <v>1.1791</v>
      </c>
      <c r="Q165" s="9">
        <v>30.679200000000002</v>
      </c>
      <c r="R165" s="9"/>
      <c r="S165" s="11"/>
    </row>
    <row r="166" spans="1:19" ht="15.75">
      <c r="A166" s="13">
        <v>46935</v>
      </c>
      <c r="B166" s="8">
        <f>CHOOSE( CONTROL!$C$31, 6.2542, 6.2512) * CHOOSE(CONTROL!$C$14, $D$10, 100%, $F$10)</f>
        <v>6.2542</v>
      </c>
      <c r="C166" s="8">
        <f>CHOOSE( CONTROL!$C$31, 6.2622, 6.2592) * CHOOSE(CONTROL!$C$14, $D$10, 100%, $F$10)</f>
        <v>6.2622</v>
      </c>
      <c r="D166" s="8">
        <f>CHOOSE( CONTROL!$C$31, 6.2673, 6.2644) * CHOOSE( CONTROL!$C$14, $D$10, 100%, $F$10)</f>
        <v>6.2672999999999996</v>
      </c>
      <c r="E166" s="12">
        <f>CHOOSE( CONTROL!$C$31, 6.2642, 6.2613) * CHOOSE( CONTROL!$C$14, $D$10, 100%, $F$10)</f>
        <v>6.2641999999999998</v>
      </c>
      <c r="F166" s="4">
        <f>CHOOSE( CONTROL!$C$31, 6.9357, 6.9328) * CHOOSE(CONTROL!$C$14, $D$10, 100%, $F$10)</f>
        <v>6.9356999999999998</v>
      </c>
      <c r="G166" s="8">
        <f>CHOOSE( CONTROL!$C$31, 6.1212, 6.1183) * CHOOSE( CONTROL!$C$14, $D$10, 100%, $F$10)</f>
        <v>6.1212</v>
      </c>
      <c r="H166" s="4">
        <f>CHOOSE( CONTROL!$C$31, 7.0495, 7.0466) * CHOOSE(CONTROL!$C$14, $D$10, 100%, $F$10)</f>
        <v>7.0495000000000001</v>
      </c>
      <c r="I166" s="8">
        <f>CHOOSE( CONTROL!$C$31, 6.1112, 6.1084) * CHOOSE(CONTROL!$C$14, $D$10, 100%, $F$10)</f>
        <v>6.1112000000000002</v>
      </c>
      <c r="J166" s="4">
        <f>CHOOSE( CONTROL!$C$31, 6.0147, 6.0118) * CHOOSE(CONTROL!$C$14, $D$10, 100%, $F$10)</f>
        <v>6.0147000000000004</v>
      </c>
      <c r="K166" s="4"/>
      <c r="L166" s="9">
        <v>30.7165</v>
      </c>
      <c r="M166" s="9">
        <v>12.063700000000001</v>
      </c>
      <c r="N166" s="9">
        <v>4.9444999999999997</v>
      </c>
      <c r="O166" s="9">
        <v>0.37409999999999999</v>
      </c>
      <c r="P166" s="9">
        <v>1.2183999999999999</v>
      </c>
      <c r="Q166" s="9">
        <v>31.701799999999999</v>
      </c>
      <c r="R166" s="9"/>
      <c r="S166" s="11"/>
    </row>
    <row r="167" spans="1:19" ht="15.75">
      <c r="A167" s="13">
        <v>46966</v>
      </c>
      <c r="B167" s="8">
        <f>CHOOSE( CONTROL!$C$31, 5.7741, 5.7712) * CHOOSE(CONTROL!$C$14, $D$10, 100%, $F$10)</f>
        <v>5.7740999999999998</v>
      </c>
      <c r="C167" s="8">
        <f>CHOOSE( CONTROL!$C$31, 5.7821, 5.7792) * CHOOSE(CONTROL!$C$14, $D$10, 100%, $F$10)</f>
        <v>5.7820999999999998</v>
      </c>
      <c r="D167" s="8">
        <f>CHOOSE( CONTROL!$C$31, 5.7873, 5.7844) * CHOOSE( CONTROL!$C$14, $D$10, 100%, $F$10)</f>
        <v>5.7873000000000001</v>
      </c>
      <c r="E167" s="12">
        <f>CHOOSE( CONTROL!$C$31, 5.7842, 5.7813) * CHOOSE( CONTROL!$C$14, $D$10, 100%, $F$10)</f>
        <v>5.7842000000000002</v>
      </c>
      <c r="F167" s="4">
        <f>CHOOSE( CONTROL!$C$31, 6.4557, 6.4527) * CHOOSE(CONTROL!$C$14, $D$10, 100%, $F$10)</f>
        <v>6.4557000000000002</v>
      </c>
      <c r="G167" s="8">
        <f>CHOOSE( CONTROL!$C$31, 5.6492, 5.6463) * CHOOSE( CONTROL!$C$14, $D$10, 100%, $F$10)</f>
        <v>5.6492000000000004</v>
      </c>
      <c r="H167" s="4">
        <f>CHOOSE( CONTROL!$C$31, 6.5774, 6.5745) * CHOOSE(CONTROL!$C$14, $D$10, 100%, $F$10)</f>
        <v>6.5773999999999999</v>
      </c>
      <c r="I167" s="8">
        <f>CHOOSE( CONTROL!$C$31, 5.6473, 5.6445) * CHOOSE(CONTROL!$C$14, $D$10, 100%, $F$10)</f>
        <v>5.6473000000000004</v>
      </c>
      <c r="J167" s="4">
        <f>CHOOSE( CONTROL!$C$31, 5.5506, 5.5478) * CHOOSE(CONTROL!$C$14, $D$10, 100%, $F$10)</f>
        <v>5.5506000000000002</v>
      </c>
      <c r="K167" s="4"/>
      <c r="L167" s="9">
        <v>30.7165</v>
      </c>
      <c r="M167" s="9">
        <v>12.063700000000001</v>
      </c>
      <c r="N167" s="9">
        <v>4.9444999999999997</v>
      </c>
      <c r="O167" s="9">
        <v>0.37409999999999999</v>
      </c>
      <c r="P167" s="9">
        <v>1.2183999999999999</v>
      </c>
      <c r="Q167" s="9">
        <v>31.701799999999999</v>
      </c>
      <c r="R167" s="9"/>
      <c r="S167" s="11"/>
    </row>
    <row r="168" spans="1:19" ht="15.75">
      <c r="A168" s="13">
        <v>46997</v>
      </c>
      <c r="B168" s="8">
        <f>CHOOSE( CONTROL!$C$31, 5.6539, 5.651) * CHOOSE(CONTROL!$C$14, $D$10, 100%, $F$10)</f>
        <v>5.6539000000000001</v>
      </c>
      <c r="C168" s="8">
        <f>CHOOSE( CONTROL!$C$31, 5.6619, 5.659) * CHOOSE(CONTROL!$C$14, $D$10, 100%, $F$10)</f>
        <v>5.6619000000000002</v>
      </c>
      <c r="D168" s="8">
        <f>CHOOSE( CONTROL!$C$31, 5.6671, 5.6642) * CHOOSE( CONTROL!$C$14, $D$10, 100%, $F$10)</f>
        <v>5.6670999999999996</v>
      </c>
      <c r="E168" s="12">
        <f>CHOOSE( CONTROL!$C$31, 5.664, 5.6611) * CHOOSE( CONTROL!$C$14, $D$10, 100%, $F$10)</f>
        <v>5.6639999999999997</v>
      </c>
      <c r="F168" s="4">
        <f>CHOOSE( CONTROL!$C$31, 6.3354, 6.3325) * CHOOSE(CONTROL!$C$14, $D$10, 100%, $F$10)</f>
        <v>6.3353999999999999</v>
      </c>
      <c r="G168" s="8">
        <f>CHOOSE( CONTROL!$C$31, 5.531, 5.5281) * CHOOSE( CONTROL!$C$14, $D$10, 100%, $F$10)</f>
        <v>5.5309999999999997</v>
      </c>
      <c r="H168" s="4">
        <f>CHOOSE( CONTROL!$C$31, 6.4592, 6.4563) * CHOOSE(CONTROL!$C$14, $D$10, 100%, $F$10)</f>
        <v>6.4592000000000001</v>
      </c>
      <c r="I168" s="8">
        <f>CHOOSE( CONTROL!$C$31, 5.531, 5.5282) * CHOOSE(CONTROL!$C$14, $D$10, 100%, $F$10)</f>
        <v>5.5309999999999997</v>
      </c>
      <c r="J168" s="4">
        <f>CHOOSE( CONTROL!$C$31, 5.4344, 5.4316) * CHOOSE(CONTROL!$C$14, $D$10, 100%, $F$10)</f>
        <v>5.4344000000000001</v>
      </c>
      <c r="K168" s="4"/>
      <c r="L168" s="9">
        <v>29.7257</v>
      </c>
      <c r="M168" s="9">
        <v>11.6745</v>
      </c>
      <c r="N168" s="9">
        <v>4.7850000000000001</v>
      </c>
      <c r="O168" s="9">
        <v>0.36199999999999999</v>
      </c>
      <c r="P168" s="9">
        <v>1.1791</v>
      </c>
      <c r="Q168" s="9">
        <v>30.679200000000002</v>
      </c>
      <c r="R168" s="9"/>
      <c r="S168" s="11"/>
    </row>
    <row r="169" spans="1:19" ht="15.75">
      <c r="A169" s="13">
        <v>47027</v>
      </c>
      <c r="B169" s="8">
        <f>5.8988 * CHOOSE(CONTROL!$C$14, $D$10, 100%, $F$10)</f>
        <v>5.8987999999999996</v>
      </c>
      <c r="C169" s="8">
        <f>5.9042 * CHOOSE(CONTROL!$C$14, $D$10, 100%, $F$10)</f>
        <v>5.9042000000000003</v>
      </c>
      <c r="D169" s="8">
        <f>5.9142 * CHOOSE( CONTROL!$C$14, $D$10, 100%, $F$10)</f>
        <v>5.9142000000000001</v>
      </c>
      <c r="E169" s="12">
        <f>5.9103 * CHOOSE( CONTROL!$C$14, $D$10, 100%, $F$10)</f>
        <v>5.9103000000000003</v>
      </c>
      <c r="F169" s="4">
        <f>6.5821 * CHOOSE(CONTROL!$C$14, $D$10, 100%, $F$10)</f>
        <v>6.5820999999999996</v>
      </c>
      <c r="G169" s="8">
        <f>5.7732 * CHOOSE( CONTROL!$C$14, $D$10, 100%, $F$10)</f>
        <v>5.7732000000000001</v>
      </c>
      <c r="H169" s="4">
        <f>6.7017 * CHOOSE(CONTROL!$C$14, $D$10, 100%, $F$10)</f>
        <v>6.7016999999999998</v>
      </c>
      <c r="I169" s="8">
        <f>5.7704 * CHOOSE(CONTROL!$C$14, $D$10, 100%, $F$10)</f>
        <v>5.7704000000000004</v>
      </c>
      <c r="J169" s="4">
        <f>5.6728 * CHOOSE(CONTROL!$C$14, $D$10, 100%, $F$10)</f>
        <v>5.6727999999999996</v>
      </c>
      <c r="K169" s="4"/>
      <c r="L169" s="9">
        <v>31.095300000000002</v>
      </c>
      <c r="M169" s="9">
        <v>12.063700000000001</v>
      </c>
      <c r="N169" s="9">
        <v>4.9444999999999997</v>
      </c>
      <c r="O169" s="9">
        <v>0.37409999999999999</v>
      </c>
      <c r="P169" s="9">
        <v>1.2183999999999999</v>
      </c>
      <c r="Q169" s="9">
        <v>31.701799999999999</v>
      </c>
      <c r="R169" s="9"/>
      <c r="S169" s="11"/>
    </row>
    <row r="170" spans="1:19" ht="15.75">
      <c r="A170" s="13">
        <v>47058</v>
      </c>
      <c r="B170" s="8">
        <f>6.3591 * CHOOSE(CONTROL!$C$14, $D$10, 100%, $F$10)</f>
        <v>6.3590999999999998</v>
      </c>
      <c r="C170" s="8">
        <f>6.3643 * CHOOSE(CONTROL!$C$14, $D$10, 100%, $F$10)</f>
        <v>6.3643000000000001</v>
      </c>
      <c r="D170" s="8">
        <f>6.3405 * CHOOSE( CONTROL!$C$14, $D$10, 100%, $F$10)</f>
        <v>6.3404999999999996</v>
      </c>
      <c r="E170" s="12">
        <f>6.3486 * CHOOSE( CONTROL!$C$14, $D$10, 100%, $F$10)</f>
        <v>6.3486000000000002</v>
      </c>
      <c r="F170" s="4">
        <f>7.0066 * CHOOSE(CONTROL!$C$14, $D$10, 100%, $F$10)</f>
        <v>7.0065999999999997</v>
      </c>
      <c r="G170" s="8">
        <f>6.2361 * CHOOSE( CONTROL!$C$14, $D$10, 100%, $F$10)</f>
        <v>6.2361000000000004</v>
      </c>
      <c r="H170" s="4">
        <f>7.1192 * CHOOSE(CONTROL!$C$14, $D$10, 100%, $F$10)</f>
        <v>7.1192000000000002</v>
      </c>
      <c r="I170" s="8">
        <f>6.2464 * CHOOSE(CONTROL!$C$14, $D$10, 100%, $F$10)</f>
        <v>6.2464000000000004</v>
      </c>
      <c r="J170" s="4">
        <f>6.1182 * CHOOSE(CONTROL!$C$14, $D$10, 100%, $F$10)</f>
        <v>6.1181999999999999</v>
      </c>
      <c r="K170" s="4"/>
      <c r="L170" s="9">
        <v>28.360600000000002</v>
      </c>
      <c r="M170" s="9">
        <v>11.6745</v>
      </c>
      <c r="N170" s="9">
        <v>4.7850000000000001</v>
      </c>
      <c r="O170" s="9">
        <v>0.36199999999999999</v>
      </c>
      <c r="P170" s="9">
        <v>1.2509999999999999</v>
      </c>
      <c r="Q170" s="9">
        <v>30.679200000000002</v>
      </c>
      <c r="R170" s="9"/>
      <c r="S170" s="11"/>
    </row>
    <row r="171" spans="1:19" ht="15.75">
      <c r="A171" s="13">
        <v>47088</v>
      </c>
      <c r="B171" s="8">
        <f>6.3476 * CHOOSE(CONTROL!$C$14, $D$10, 100%, $F$10)</f>
        <v>6.3475999999999999</v>
      </c>
      <c r="C171" s="8">
        <f>6.3528 * CHOOSE(CONTROL!$C$14, $D$10, 100%, $F$10)</f>
        <v>6.3528000000000002</v>
      </c>
      <c r="D171" s="8">
        <f>6.3303 * CHOOSE( CONTROL!$C$14, $D$10, 100%, $F$10)</f>
        <v>6.3303000000000003</v>
      </c>
      <c r="E171" s="12">
        <f>6.338 * CHOOSE( CONTROL!$C$14, $D$10, 100%, $F$10)</f>
        <v>6.3380000000000001</v>
      </c>
      <c r="F171" s="4">
        <f>6.9951 * CHOOSE(CONTROL!$C$14, $D$10, 100%, $F$10)</f>
        <v>6.9950999999999999</v>
      </c>
      <c r="G171" s="8">
        <f>6.2258 * CHOOSE( CONTROL!$C$14, $D$10, 100%, $F$10)</f>
        <v>6.2257999999999996</v>
      </c>
      <c r="H171" s="4">
        <f>7.1079 * CHOOSE(CONTROL!$C$14, $D$10, 100%, $F$10)</f>
        <v>7.1078999999999999</v>
      </c>
      <c r="I171" s="8">
        <f>6.2397 * CHOOSE(CONTROL!$C$14, $D$10, 100%, $F$10)</f>
        <v>6.2397</v>
      </c>
      <c r="J171" s="4">
        <f>6.1071 * CHOOSE(CONTROL!$C$14, $D$10, 100%, $F$10)</f>
        <v>6.1071</v>
      </c>
      <c r="K171" s="4"/>
      <c r="L171" s="9">
        <v>29.306000000000001</v>
      </c>
      <c r="M171" s="9">
        <v>12.063700000000001</v>
      </c>
      <c r="N171" s="9">
        <v>4.9444999999999997</v>
      </c>
      <c r="O171" s="9">
        <v>0.37409999999999999</v>
      </c>
      <c r="P171" s="9">
        <v>1.2927</v>
      </c>
      <c r="Q171" s="9">
        <v>31.701799999999999</v>
      </c>
      <c r="R171" s="9"/>
      <c r="S171" s="11"/>
    </row>
    <row r="172" spans="1:19" ht="15.75">
      <c r="A172" s="13">
        <v>47119</v>
      </c>
      <c r="B172" s="8">
        <f>6.5781 * CHOOSE(CONTROL!$C$14, $D$10, 100%, $F$10)</f>
        <v>6.5781000000000001</v>
      </c>
      <c r="C172" s="8">
        <f>6.5833 * CHOOSE(CONTROL!$C$14, $D$10, 100%, $F$10)</f>
        <v>6.5833000000000004</v>
      </c>
      <c r="D172" s="8">
        <f>6.5791 * CHOOSE( CONTROL!$C$14, $D$10, 100%, $F$10)</f>
        <v>6.5791000000000004</v>
      </c>
      <c r="E172" s="12">
        <f>6.5801 * CHOOSE( CONTROL!$C$14, $D$10, 100%, $F$10)</f>
        <v>6.5800999999999998</v>
      </c>
      <c r="F172" s="4">
        <f>7.2567 * CHOOSE(CONTROL!$C$14, $D$10, 100%, $F$10)</f>
        <v>7.2567000000000004</v>
      </c>
      <c r="G172" s="8">
        <f>6.4667 * CHOOSE( CONTROL!$C$14, $D$10, 100%, $F$10)</f>
        <v>6.4667000000000003</v>
      </c>
      <c r="H172" s="4">
        <f>7.3651 * CHOOSE(CONTROL!$C$14, $D$10, 100%, $F$10)</f>
        <v>7.3651</v>
      </c>
      <c r="I172" s="8">
        <f>6.4417 * CHOOSE(CONTROL!$C$14, $D$10, 100%, $F$10)</f>
        <v>6.4417</v>
      </c>
      <c r="J172" s="4">
        <f>6.3299 * CHOOSE(CONTROL!$C$14, $D$10, 100%, $F$10)</f>
        <v>6.3299000000000003</v>
      </c>
      <c r="K172" s="4"/>
      <c r="L172" s="9">
        <v>29.306000000000001</v>
      </c>
      <c r="M172" s="9">
        <v>12.063700000000001</v>
      </c>
      <c r="N172" s="9">
        <v>4.9444999999999997</v>
      </c>
      <c r="O172" s="9">
        <v>0.37409999999999999</v>
      </c>
      <c r="P172" s="9">
        <v>1.2927</v>
      </c>
      <c r="Q172" s="9">
        <v>31.517700000000001</v>
      </c>
      <c r="R172" s="9"/>
      <c r="S172" s="11"/>
    </row>
    <row r="173" spans="1:19" ht="15.75">
      <c r="A173" s="13">
        <v>47150</v>
      </c>
      <c r="B173" s="8">
        <f>6.1548 * CHOOSE(CONTROL!$C$14, $D$10, 100%, $F$10)</f>
        <v>6.1547999999999998</v>
      </c>
      <c r="C173" s="8">
        <f>6.1599 * CHOOSE(CONTROL!$C$14, $D$10, 100%, $F$10)</f>
        <v>6.1599000000000004</v>
      </c>
      <c r="D173" s="8">
        <f>6.1498 * CHOOSE( CONTROL!$C$14, $D$10, 100%, $F$10)</f>
        <v>6.1497999999999999</v>
      </c>
      <c r="E173" s="12">
        <f>6.1529 * CHOOSE( CONTROL!$C$14, $D$10, 100%, $F$10)</f>
        <v>6.1528999999999998</v>
      </c>
      <c r="F173" s="4">
        <f>6.8075 * CHOOSE(CONTROL!$C$14, $D$10, 100%, $F$10)</f>
        <v>6.8075000000000001</v>
      </c>
      <c r="G173" s="8">
        <f>6.0423 * CHOOSE( CONTROL!$C$14, $D$10, 100%, $F$10)</f>
        <v>6.0423</v>
      </c>
      <c r="H173" s="4">
        <f>6.9234 * CHOOSE(CONTROL!$C$14, $D$10, 100%, $F$10)</f>
        <v>6.9234</v>
      </c>
      <c r="I173" s="8">
        <f>6.0229 * CHOOSE(CONTROL!$C$14, $D$10, 100%, $F$10)</f>
        <v>6.0228999999999999</v>
      </c>
      <c r="J173" s="4">
        <f>5.9207 * CHOOSE(CONTROL!$C$14, $D$10, 100%, $F$10)</f>
        <v>5.9207000000000001</v>
      </c>
      <c r="K173" s="4"/>
      <c r="L173" s="9">
        <v>26.469899999999999</v>
      </c>
      <c r="M173" s="9">
        <v>10.8962</v>
      </c>
      <c r="N173" s="9">
        <v>4.4660000000000002</v>
      </c>
      <c r="O173" s="9">
        <v>0.33789999999999998</v>
      </c>
      <c r="P173" s="9">
        <v>1.1676</v>
      </c>
      <c r="Q173" s="9">
        <v>28.467600000000001</v>
      </c>
      <c r="R173" s="9"/>
      <c r="S173" s="11"/>
    </row>
    <row r="174" spans="1:19" ht="15.75">
      <c r="A174" s="13">
        <v>47178</v>
      </c>
      <c r="B174" s="8">
        <f>6.0245 * CHOOSE(CONTROL!$C$14, $D$10, 100%, $F$10)</f>
        <v>6.0244999999999997</v>
      </c>
      <c r="C174" s="8">
        <f>6.0296 * CHOOSE(CONTROL!$C$14, $D$10, 100%, $F$10)</f>
        <v>6.0296000000000003</v>
      </c>
      <c r="D174" s="8">
        <f>6.013 * CHOOSE( CONTROL!$C$14, $D$10, 100%, $F$10)</f>
        <v>6.0129999999999999</v>
      </c>
      <c r="E174" s="12">
        <f>6.0185 * CHOOSE( CONTROL!$C$14, $D$10, 100%, $F$10)</f>
        <v>6.0185000000000004</v>
      </c>
      <c r="F174" s="4">
        <f>6.6771 * CHOOSE(CONTROL!$C$14, $D$10, 100%, $F$10)</f>
        <v>6.6771000000000003</v>
      </c>
      <c r="G174" s="8">
        <f>5.9058 * CHOOSE( CONTROL!$C$14, $D$10, 100%, $F$10)</f>
        <v>5.9058000000000002</v>
      </c>
      <c r="H174" s="4">
        <f>6.7951 * CHOOSE(CONTROL!$C$14, $D$10, 100%, $F$10)</f>
        <v>6.7950999999999997</v>
      </c>
      <c r="I174" s="8">
        <f>5.8767 * CHOOSE(CONTROL!$C$14, $D$10, 100%, $F$10)</f>
        <v>5.8766999999999996</v>
      </c>
      <c r="J174" s="4">
        <f>5.7947 * CHOOSE(CONTROL!$C$14, $D$10, 100%, $F$10)</f>
        <v>5.7946999999999997</v>
      </c>
      <c r="K174" s="4"/>
      <c r="L174" s="9">
        <v>29.306000000000001</v>
      </c>
      <c r="M174" s="9">
        <v>12.063700000000001</v>
      </c>
      <c r="N174" s="9">
        <v>4.9444999999999997</v>
      </c>
      <c r="O174" s="9">
        <v>0.37409999999999999</v>
      </c>
      <c r="P174" s="9">
        <v>1.2927</v>
      </c>
      <c r="Q174" s="9">
        <v>31.517700000000001</v>
      </c>
      <c r="R174" s="9"/>
      <c r="S174" s="11"/>
    </row>
    <row r="175" spans="1:19" ht="15.75">
      <c r="A175" s="13">
        <v>47209</v>
      </c>
      <c r="B175" s="8">
        <f>6.1163 * CHOOSE(CONTROL!$C$14, $D$10, 100%, $F$10)</f>
        <v>6.1162999999999998</v>
      </c>
      <c r="C175" s="8">
        <f>6.1209 * CHOOSE(CONTROL!$C$14, $D$10, 100%, $F$10)</f>
        <v>6.1208999999999998</v>
      </c>
      <c r="D175" s="8">
        <f>6.1304 * CHOOSE( CONTROL!$C$14, $D$10, 100%, $F$10)</f>
        <v>6.1303999999999998</v>
      </c>
      <c r="E175" s="12">
        <f>6.1267 * CHOOSE( CONTROL!$C$14, $D$10, 100%, $F$10)</f>
        <v>6.1266999999999996</v>
      </c>
      <c r="F175" s="4">
        <f>6.7992 * CHOOSE(CONTROL!$C$14, $D$10, 100%, $F$10)</f>
        <v>6.7991999999999999</v>
      </c>
      <c r="G175" s="8">
        <f>5.9853 * CHOOSE( CONTROL!$C$14, $D$10, 100%, $F$10)</f>
        <v>5.9852999999999996</v>
      </c>
      <c r="H175" s="4">
        <f>6.9153 * CHOOSE(CONTROL!$C$14, $D$10, 100%, $F$10)</f>
        <v>6.9153000000000002</v>
      </c>
      <c r="I175" s="8">
        <f>5.9758 * CHOOSE(CONTROL!$C$14, $D$10, 100%, $F$10)</f>
        <v>5.9757999999999996</v>
      </c>
      <c r="J175" s="4">
        <f>5.8827 * CHOOSE(CONTROL!$C$14, $D$10, 100%, $F$10)</f>
        <v>5.8826999999999998</v>
      </c>
      <c r="K175" s="4"/>
      <c r="L175" s="9">
        <v>30.092199999999998</v>
      </c>
      <c r="M175" s="9">
        <v>11.6745</v>
      </c>
      <c r="N175" s="9">
        <v>4.7850000000000001</v>
      </c>
      <c r="O175" s="9">
        <v>0.36199999999999999</v>
      </c>
      <c r="P175" s="9">
        <v>1.1791</v>
      </c>
      <c r="Q175" s="9">
        <v>30.501000000000001</v>
      </c>
      <c r="R175" s="9"/>
      <c r="S175" s="11"/>
    </row>
    <row r="176" spans="1:19" ht="15.75">
      <c r="A176" s="13">
        <v>47239</v>
      </c>
      <c r="B176" s="8">
        <f>CHOOSE( CONTROL!$C$31, 6.2828, 6.2798) * CHOOSE(CONTROL!$C$14, $D$10, 100%, $F$10)</f>
        <v>6.2827999999999999</v>
      </c>
      <c r="C176" s="8">
        <f>CHOOSE( CONTROL!$C$31, 6.2908, 6.2879) * CHOOSE(CONTROL!$C$14, $D$10, 100%, $F$10)</f>
        <v>6.2907999999999999</v>
      </c>
      <c r="D176" s="8">
        <f>CHOOSE( CONTROL!$C$31, 6.2954, 6.2925) * CHOOSE( CONTROL!$C$14, $D$10, 100%, $F$10)</f>
        <v>6.2953999999999999</v>
      </c>
      <c r="E176" s="12">
        <f>CHOOSE( CONTROL!$C$31, 6.2925, 6.2896) * CHOOSE( CONTROL!$C$14, $D$10, 100%, $F$10)</f>
        <v>6.2925000000000004</v>
      </c>
      <c r="F176" s="4">
        <f>CHOOSE( CONTROL!$C$31, 6.9643, 6.9614) * CHOOSE(CONTROL!$C$14, $D$10, 100%, $F$10)</f>
        <v>6.9642999999999997</v>
      </c>
      <c r="G176" s="8">
        <f>CHOOSE( CONTROL!$C$31, 6.1486, 6.1457) * CHOOSE( CONTROL!$C$14, $D$10, 100%, $F$10)</f>
        <v>6.1486000000000001</v>
      </c>
      <c r="H176" s="4">
        <f>CHOOSE( CONTROL!$C$31, 7.0776, 7.0747) * CHOOSE(CONTROL!$C$14, $D$10, 100%, $F$10)</f>
        <v>7.0776000000000003</v>
      </c>
      <c r="I176" s="8">
        <f>CHOOSE( CONTROL!$C$31, 6.1365, 6.1337) * CHOOSE(CONTROL!$C$14, $D$10, 100%, $F$10)</f>
        <v>6.1364999999999998</v>
      </c>
      <c r="J176" s="4">
        <f>CHOOSE( CONTROL!$C$31, 6.0423, 6.0395) * CHOOSE(CONTROL!$C$14, $D$10, 100%, $F$10)</f>
        <v>6.0423</v>
      </c>
      <c r="K176" s="4"/>
      <c r="L176" s="9">
        <v>30.7165</v>
      </c>
      <c r="M176" s="9">
        <v>12.063700000000001</v>
      </c>
      <c r="N176" s="9">
        <v>4.9444999999999997</v>
      </c>
      <c r="O176" s="9">
        <v>0.37409999999999999</v>
      </c>
      <c r="P176" s="9">
        <v>1.2183999999999999</v>
      </c>
      <c r="Q176" s="9">
        <v>31.517700000000001</v>
      </c>
      <c r="R176" s="9"/>
      <c r="S176" s="11"/>
    </row>
    <row r="177" spans="1:19" ht="15.75">
      <c r="A177" s="13">
        <v>47270</v>
      </c>
      <c r="B177" s="8">
        <f>CHOOSE( CONTROL!$C$31, 6.1823, 6.1794) * CHOOSE(CONTROL!$C$14, $D$10, 100%, $F$10)</f>
        <v>6.1822999999999997</v>
      </c>
      <c r="C177" s="8">
        <f>CHOOSE( CONTROL!$C$31, 6.1903, 6.1874) * CHOOSE(CONTROL!$C$14, $D$10, 100%, $F$10)</f>
        <v>6.1902999999999997</v>
      </c>
      <c r="D177" s="8">
        <f>CHOOSE( CONTROL!$C$31, 6.1952, 6.1923) * CHOOSE( CONTROL!$C$14, $D$10, 100%, $F$10)</f>
        <v>6.1951999999999998</v>
      </c>
      <c r="E177" s="12">
        <f>CHOOSE( CONTROL!$C$31, 6.1922, 6.1893) * CHOOSE( CONTROL!$C$14, $D$10, 100%, $F$10)</f>
        <v>6.1921999999999997</v>
      </c>
      <c r="F177" s="4">
        <f>CHOOSE( CONTROL!$C$31, 6.8639, 6.8609) * CHOOSE(CONTROL!$C$14, $D$10, 100%, $F$10)</f>
        <v>6.8639000000000001</v>
      </c>
      <c r="G177" s="8">
        <f>CHOOSE( CONTROL!$C$31, 6.0502, 6.0473) * CHOOSE( CONTROL!$C$14, $D$10, 100%, $F$10)</f>
        <v>6.0502000000000002</v>
      </c>
      <c r="H177" s="4">
        <f>CHOOSE( CONTROL!$C$31, 6.9788, 6.9759) * CHOOSE(CONTROL!$C$14, $D$10, 100%, $F$10)</f>
        <v>6.9787999999999997</v>
      </c>
      <c r="I177" s="8">
        <f>CHOOSE( CONTROL!$C$31, 6.0406, 6.0378) * CHOOSE(CONTROL!$C$14, $D$10, 100%, $F$10)</f>
        <v>6.0406000000000004</v>
      </c>
      <c r="J177" s="4">
        <f>CHOOSE( CONTROL!$C$31, 5.9452, 5.9424) * CHOOSE(CONTROL!$C$14, $D$10, 100%, $F$10)</f>
        <v>5.9451999999999998</v>
      </c>
      <c r="K177" s="4"/>
      <c r="L177" s="9">
        <v>29.7257</v>
      </c>
      <c r="M177" s="9">
        <v>11.6745</v>
      </c>
      <c r="N177" s="9">
        <v>4.7850000000000001</v>
      </c>
      <c r="O177" s="9">
        <v>0.36199999999999999</v>
      </c>
      <c r="P177" s="9">
        <v>1.1791</v>
      </c>
      <c r="Q177" s="9">
        <v>30.501000000000001</v>
      </c>
      <c r="R177" s="9"/>
      <c r="S177" s="11"/>
    </row>
    <row r="178" spans="1:19" ht="15.75">
      <c r="A178" s="13">
        <v>47300</v>
      </c>
      <c r="B178" s="8">
        <f>CHOOSE( CONTROL!$C$31, 6.4468, 6.4439) * CHOOSE(CONTROL!$C$14, $D$10, 100%, $F$10)</f>
        <v>6.4467999999999996</v>
      </c>
      <c r="C178" s="8">
        <f>CHOOSE( CONTROL!$C$31, 6.4548, 6.4519) * CHOOSE(CONTROL!$C$14, $D$10, 100%, $F$10)</f>
        <v>6.4547999999999996</v>
      </c>
      <c r="D178" s="8">
        <f>CHOOSE( CONTROL!$C$31, 6.46, 6.457) * CHOOSE( CONTROL!$C$14, $D$10, 100%, $F$10)</f>
        <v>6.46</v>
      </c>
      <c r="E178" s="12">
        <f>CHOOSE( CONTROL!$C$31, 6.4569, 6.4539) * CHOOSE( CONTROL!$C$14, $D$10, 100%, $F$10)</f>
        <v>6.4569000000000001</v>
      </c>
      <c r="F178" s="4">
        <f>CHOOSE( CONTROL!$C$31, 7.1284, 7.1255) * CHOOSE(CONTROL!$C$14, $D$10, 100%, $F$10)</f>
        <v>7.1284000000000001</v>
      </c>
      <c r="G178" s="8">
        <f>CHOOSE( CONTROL!$C$31, 6.3107, 6.3078) * CHOOSE( CONTROL!$C$14, $D$10, 100%, $F$10)</f>
        <v>6.3106999999999998</v>
      </c>
      <c r="H178" s="4">
        <f>CHOOSE( CONTROL!$C$31, 7.2389, 7.2361) * CHOOSE(CONTROL!$C$14, $D$10, 100%, $F$10)</f>
        <v>7.2389000000000001</v>
      </c>
      <c r="I178" s="8">
        <f>CHOOSE( CONTROL!$C$31, 6.2976, 6.2947) * CHOOSE(CONTROL!$C$14, $D$10, 100%, $F$10)</f>
        <v>6.2976000000000001</v>
      </c>
      <c r="J178" s="4">
        <f>CHOOSE( CONTROL!$C$31, 6.2009, 6.1981) * CHOOSE(CONTROL!$C$14, $D$10, 100%, $F$10)</f>
        <v>6.2008999999999999</v>
      </c>
      <c r="K178" s="4"/>
      <c r="L178" s="9">
        <v>30.7165</v>
      </c>
      <c r="M178" s="9">
        <v>12.063700000000001</v>
      </c>
      <c r="N178" s="9">
        <v>4.9444999999999997</v>
      </c>
      <c r="O178" s="9">
        <v>0.37409999999999999</v>
      </c>
      <c r="P178" s="9">
        <v>1.2183999999999999</v>
      </c>
      <c r="Q178" s="9">
        <v>31.517700000000001</v>
      </c>
      <c r="R178" s="9"/>
      <c r="S178" s="11"/>
    </row>
    <row r="179" spans="1:19" ht="15.75">
      <c r="A179" s="13">
        <v>47331</v>
      </c>
      <c r="B179" s="8">
        <f>CHOOSE( CONTROL!$C$31, 5.9519, 5.949) * CHOOSE(CONTROL!$C$14, $D$10, 100%, $F$10)</f>
        <v>5.9519000000000002</v>
      </c>
      <c r="C179" s="8">
        <f>CHOOSE( CONTROL!$C$31, 5.9599, 5.957) * CHOOSE(CONTROL!$C$14, $D$10, 100%, $F$10)</f>
        <v>5.9599000000000002</v>
      </c>
      <c r="D179" s="8">
        <f>CHOOSE( CONTROL!$C$31, 5.9651, 5.9622) * CHOOSE( CONTROL!$C$14, $D$10, 100%, $F$10)</f>
        <v>5.9650999999999996</v>
      </c>
      <c r="E179" s="12">
        <f>CHOOSE( CONTROL!$C$31, 5.962, 5.9591) * CHOOSE( CONTROL!$C$14, $D$10, 100%, $F$10)</f>
        <v>5.9619999999999997</v>
      </c>
      <c r="F179" s="4">
        <f>CHOOSE( CONTROL!$C$31, 6.6334, 6.6305) * CHOOSE(CONTROL!$C$14, $D$10, 100%, $F$10)</f>
        <v>6.6334</v>
      </c>
      <c r="G179" s="8">
        <f>CHOOSE( CONTROL!$C$31, 5.8241, 5.8212) * CHOOSE( CONTROL!$C$14, $D$10, 100%, $F$10)</f>
        <v>5.8240999999999996</v>
      </c>
      <c r="H179" s="4">
        <f>CHOOSE( CONTROL!$C$31, 6.7522, 6.7493) * CHOOSE(CONTROL!$C$14, $D$10, 100%, $F$10)</f>
        <v>6.7522000000000002</v>
      </c>
      <c r="I179" s="8">
        <f>CHOOSE( CONTROL!$C$31, 5.8193, 5.8165) * CHOOSE(CONTROL!$C$14, $D$10, 100%, $F$10)</f>
        <v>5.8193000000000001</v>
      </c>
      <c r="J179" s="4">
        <f>CHOOSE( CONTROL!$C$31, 5.7225, 5.7196) * CHOOSE(CONTROL!$C$14, $D$10, 100%, $F$10)</f>
        <v>5.7225000000000001</v>
      </c>
      <c r="K179" s="4"/>
      <c r="L179" s="9">
        <v>30.7165</v>
      </c>
      <c r="M179" s="9">
        <v>12.063700000000001</v>
      </c>
      <c r="N179" s="9">
        <v>4.9444999999999997</v>
      </c>
      <c r="O179" s="9">
        <v>0.37409999999999999</v>
      </c>
      <c r="P179" s="9">
        <v>1.2183999999999999</v>
      </c>
      <c r="Q179" s="9">
        <v>31.517700000000001</v>
      </c>
      <c r="R179" s="9"/>
      <c r="S179" s="11"/>
    </row>
    <row r="180" spans="1:19" ht="15.75">
      <c r="A180" s="13">
        <v>47362</v>
      </c>
      <c r="B180" s="8">
        <f>CHOOSE( CONTROL!$C$31, 5.828, 5.825) * CHOOSE(CONTROL!$C$14, $D$10, 100%, $F$10)</f>
        <v>5.8280000000000003</v>
      </c>
      <c r="C180" s="8">
        <f>CHOOSE( CONTROL!$C$31, 5.836, 5.8331) * CHOOSE(CONTROL!$C$14, $D$10, 100%, $F$10)</f>
        <v>5.8360000000000003</v>
      </c>
      <c r="D180" s="8">
        <f>CHOOSE( CONTROL!$C$31, 5.8412, 5.8382) * CHOOSE( CONTROL!$C$14, $D$10, 100%, $F$10)</f>
        <v>5.8411999999999997</v>
      </c>
      <c r="E180" s="12">
        <f>CHOOSE( CONTROL!$C$31, 5.8381, 5.8351) * CHOOSE( CONTROL!$C$14, $D$10, 100%, $F$10)</f>
        <v>5.8380999999999998</v>
      </c>
      <c r="F180" s="4">
        <f>CHOOSE( CONTROL!$C$31, 6.5095, 6.5066) * CHOOSE(CONTROL!$C$14, $D$10, 100%, $F$10)</f>
        <v>6.5095000000000001</v>
      </c>
      <c r="G180" s="8">
        <f>CHOOSE( CONTROL!$C$31, 5.7022, 5.6993) * CHOOSE( CONTROL!$C$14, $D$10, 100%, $F$10)</f>
        <v>5.7022000000000004</v>
      </c>
      <c r="H180" s="4">
        <f>CHOOSE( CONTROL!$C$31, 6.6303, 6.6275) * CHOOSE(CONTROL!$C$14, $D$10, 100%, $F$10)</f>
        <v>6.6303000000000001</v>
      </c>
      <c r="I180" s="8">
        <f>CHOOSE( CONTROL!$C$31, 5.6994, 5.6965) * CHOOSE(CONTROL!$C$14, $D$10, 100%, $F$10)</f>
        <v>5.6993999999999998</v>
      </c>
      <c r="J180" s="4">
        <f>CHOOSE( CONTROL!$C$31, 5.6027, 5.5998) * CHOOSE(CONTROL!$C$14, $D$10, 100%, $F$10)</f>
        <v>5.6026999999999996</v>
      </c>
      <c r="K180" s="4"/>
      <c r="L180" s="9">
        <v>29.7257</v>
      </c>
      <c r="M180" s="9">
        <v>11.6745</v>
      </c>
      <c r="N180" s="9">
        <v>4.7850000000000001</v>
      </c>
      <c r="O180" s="9">
        <v>0.36199999999999999</v>
      </c>
      <c r="P180" s="9">
        <v>1.1791</v>
      </c>
      <c r="Q180" s="9">
        <v>30.501000000000001</v>
      </c>
      <c r="R180" s="9"/>
      <c r="S180" s="11"/>
    </row>
    <row r="181" spans="1:19" ht="15.75">
      <c r="A181" s="13">
        <v>47392</v>
      </c>
      <c r="B181" s="8">
        <f>6.0806 * CHOOSE(CONTROL!$C$14, $D$10, 100%, $F$10)</f>
        <v>6.0805999999999996</v>
      </c>
      <c r="C181" s="8">
        <f>6.086 * CHOOSE(CONTROL!$C$14, $D$10, 100%, $F$10)</f>
        <v>6.0860000000000003</v>
      </c>
      <c r="D181" s="8">
        <f>6.096 * CHOOSE( CONTROL!$C$14, $D$10, 100%, $F$10)</f>
        <v>6.0960000000000001</v>
      </c>
      <c r="E181" s="12">
        <f>6.0921 * CHOOSE( CONTROL!$C$14, $D$10, 100%, $F$10)</f>
        <v>6.0921000000000003</v>
      </c>
      <c r="F181" s="4">
        <f>6.7639 * CHOOSE(CONTROL!$C$14, $D$10, 100%, $F$10)</f>
        <v>6.7638999999999996</v>
      </c>
      <c r="G181" s="8">
        <f>5.952 * CHOOSE( CONTROL!$C$14, $D$10, 100%, $F$10)</f>
        <v>5.952</v>
      </c>
      <c r="H181" s="4">
        <f>6.8805 * CHOOSE(CONTROL!$C$14, $D$10, 100%, $F$10)</f>
        <v>6.8804999999999996</v>
      </c>
      <c r="I181" s="8">
        <f>5.9462 * CHOOSE(CONTROL!$C$14, $D$10, 100%, $F$10)</f>
        <v>5.9462000000000002</v>
      </c>
      <c r="J181" s="4">
        <f>5.8486 * CHOOSE(CONTROL!$C$14, $D$10, 100%, $F$10)</f>
        <v>5.8486000000000002</v>
      </c>
      <c r="K181" s="4"/>
      <c r="L181" s="9">
        <v>31.095300000000002</v>
      </c>
      <c r="M181" s="9">
        <v>12.063700000000001</v>
      </c>
      <c r="N181" s="9">
        <v>4.9444999999999997</v>
      </c>
      <c r="O181" s="9">
        <v>0.37409999999999999</v>
      </c>
      <c r="P181" s="9">
        <v>1.2183999999999999</v>
      </c>
      <c r="Q181" s="9">
        <v>31.517700000000001</v>
      </c>
      <c r="R181" s="9"/>
      <c r="S181" s="11"/>
    </row>
    <row r="182" spans="1:19" ht="15.75">
      <c r="A182" s="13">
        <v>47423</v>
      </c>
      <c r="B182" s="8">
        <f>6.5552 * CHOOSE(CONTROL!$C$14, $D$10, 100%, $F$10)</f>
        <v>6.5552000000000001</v>
      </c>
      <c r="C182" s="8">
        <f>6.5603 * CHOOSE(CONTROL!$C$14, $D$10, 100%, $F$10)</f>
        <v>6.5602999999999998</v>
      </c>
      <c r="D182" s="8">
        <f>6.5366 * CHOOSE( CONTROL!$C$14, $D$10, 100%, $F$10)</f>
        <v>6.5366</v>
      </c>
      <c r="E182" s="12">
        <f>6.5447 * CHOOSE( CONTROL!$C$14, $D$10, 100%, $F$10)</f>
        <v>6.5446999999999997</v>
      </c>
      <c r="F182" s="4">
        <f>7.2027 * CHOOSE(CONTROL!$C$14, $D$10, 100%, $F$10)</f>
        <v>7.2027000000000001</v>
      </c>
      <c r="G182" s="8">
        <f>6.4289 * CHOOSE( CONTROL!$C$14, $D$10, 100%, $F$10)</f>
        <v>6.4288999999999996</v>
      </c>
      <c r="H182" s="4">
        <f>7.312 * CHOOSE(CONTROL!$C$14, $D$10, 100%, $F$10)</f>
        <v>7.3120000000000003</v>
      </c>
      <c r="I182" s="8">
        <f>6.4361 * CHOOSE(CONTROL!$C$14, $D$10, 100%, $F$10)</f>
        <v>6.4360999999999997</v>
      </c>
      <c r="J182" s="4">
        <f>6.3078 * CHOOSE(CONTROL!$C$14, $D$10, 100%, $F$10)</f>
        <v>6.3078000000000003</v>
      </c>
      <c r="K182" s="4"/>
      <c r="L182" s="9">
        <v>28.360600000000002</v>
      </c>
      <c r="M182" s="9">
        <v>11.6745</v>
      </c>
      <c r="N182" s="9">
        <v>4.7850000000000001</v>
      </c>
      <c r="O182" s="9">
        <v>0.36199999999999999</v>
      </c>
      <c r="P182" s="9">
        <v>1.2509999999999999</v>
      </c>
      <c r="Q182" s="9">
        <v>30.501000000000001</v>
      </c>
      <c r="R182" s="9"/>
      <c r="S182" s="11"/>
    </row>
    <row r="183" spans="1:19" ht="15.75">
      <c r="A183" s="13">
        <v>47453</v>
      </c>
      <c r="B183" s="8">
        <f>6.5434 * CHOOSE(CONTROL!$C$14, $D$10, 100%, $F$10)</f>
        <v>6.5434000000000001</v>
      </c>
      <c r="C183" s="8">
        <f>6.5485 * CHOOSE(CONTROL!$C$14, $D$10, 100%, $F$10)</f>
        <v>6.5484999999999998</v>
      </c>
      <c r="D183" s="8">
        <f>6.5261 * CHOOSE( CONTROL!$C$14, $D$10, 100%, $F$10)</f>
        <v>6.5260999999999996</v>
      </c>
      <c r="E183" s="12">
        <f>6.5337 * CHOOSE( CONTROL!$C$14, $D$10, 100%, $F$10)</f>
        <v>6.5336999999999996</v>
      </c>
      <c r="F183" s="4">
        <f>7.1908 * CHOOSE(CONTROL!$C$14, $D$10, 100%, $F$10)</f>
        <v>7.1908000000000003</v>
      </c>
      <c r="G183" s="8">
        <f>6.4182 * CHOOSE( CONTROL!$C$14, $D$10, 100%, $F$10)</f>
        <v>6.4181999999999997</v>
      </c>
      <c r="H183" s="4">
        <f>7.3004 * CHOOSE(CONTROL!$C$14, $D$10, 100%, $F$10)</f>
        <v>7.3003999999999998</v>
      </c>
      <c r="I183" s="8">
        <f>6.429 * CHOOSE(CONTROL!$C$14, $D$10, 100%, $F$10)</f>
        <v>6.4290000000000003</v>
      </c>
      <c r="J183" s="4">
        <f>6.2963 * CHOOSE(CONTROL!$C$14, $D$10, 100%, $F$10)</f>
        <v>6.2962999999999996</v>
      </c>
      <c r="K183" s="4"/>
      <c r="L183" s="9">
        <v>29.306000000000001</v>
      </c>
      <c r="M183" s="9">
        <v>12.063700000000001</v>
      </c>
      <c r="N183" s="9">
        <v>4.9444999999999997</v>
      </c>
      <c r="O183" s="9">
        <v>0.37409999999999999</v>
      </c>
      <c r="P183" s="9">
        <v>1.2927</v>
      </c>
      <c r="Q183" s="9">
        <v>31.517700000000001</v>
      </c>
      <c r="R183" s="9"/>
      <c r="S183" s="11"/>
    </row>
    <row r="184" spans="1:19" ht="15.75">
      <c r="A184" s="13">
        <v>47484</v>
      </c>
      <c r="B184" s="8">
        <f>6.7858 * CHOOSE(CONTROL!$C$14, $D$10, 100%, $F$10)</f>
        <v>6.7858000000000001</v>
      </c>
      <c r="C184" s="8">
        <f>6.791 * CHOOSE(CONTROL!$C$14, $D$10, 100%, $F$10)</f>
        <v>6.7910000000000004</v>
      </c>
      <c r="D184" s="8">
        <f>6.7868 * CHOOSE( CONTROL!$C$14, $D$10, 100%, $F$10)</f>
        <v>6.7868000000000004</v>
      </c>
      <c r="E184" s="12">
        <f>6.7878 * CHOOSE( CONTROL!$C$14, $D$10, 100%, $F$10)</f>
        <v>6.7877999999999998</v>
      </c>
      <c r="F184" s="4">
        <f>7.4644 * CHOOSE(CONTROL!$C$14, $D$10, 100%, $F$10)</f>
        <v>7.4644000000000004</v>
      </c>
      <c r="G184" s="8">
        <f>6.6709 * CHOOSE( CONTROL!$C$14, $D$10, 100%, $F$10)</f>
        <v>6.6708999999999996</v>
      </c>
      <c r="H184" s="4">
        <f>7.5693 * CHOOSE(CONTROL!$C$14, $D$10, 100%, $F$10)</f>
        <v>7.5693000000000001</v>
      </c>
      <c r="I184" s="8">
        <f>6.6426 * CHOOSE(CONTROL!$C$14, $D$10, 100%, $F$10)</f>
        <v>6.6425999999999998</v>
      </c>
      <c r="J184" s="4">
        <f>6.5307 * CHOOSE(CONTROL!$C$14, $D$10, 100%, $F$10)</f>
        <v>6.5307000000000004</v>
      </c>
      <c r="K184" s="4"/>
      <c r="L184" s="9">
        <v>29.306000000000001</v>
      </c>
      <c r="M184" s="9">
        <v>12.063700000000001</v>
      </c>
      <c r="N184" s="9">
        <v>4.9444999999999997</v>
      </c>
      <c r="O184" s="9">
        <v>0.37409999999999999</v>
      </c>
      <c r="P184" s="9">
        <v>1.2927</v>
      </c>
      <c r="Q184" s="9">
        <v>31.333600000000001</v>
      </c>
      <c r="R184" s="9"/>
      <c r="S184" s="11"/>
    </row>
    <row r="185" spans="1:19" ht="15.75">
      <c r="A185" s="13">
        <v>47515</v>
      </c>
      <c r="B185" s="8">
        <f>6.3491 * CHOOSE(CONTROL!$C$14, $D$10, 100%, $F$10)</f>
        <v>6.3491</v>
      </c>
      <c r="C185" s="8">
        <f>6.3542 * CHOOSE(CONTROL!$C$14, $D$10, 100%, $F$10)</f>
        <v>6.3541999999999996</v>
      </c>
      <c r="D185" s="8">
        <f>6.3441 * CHOOSE( CONTROL!$C$14, $D$10, 100%, $F$10)</f>
        <v>6.3441000000000001</v>
      </c>
      <c r="E185" s="12">
        <f>6.3472 * CHOOSE( CONTROL!$C$14, $D$10, 100%, $F$10)</f>
        <v>6.3472</v>
      </c>
      <c r="F185" s="4">
        <f>7.0017 * CHOOSE(CONTROL!$C$14, $D$10, 100%, $F$10)</f>
        <v>7.0016999999999996</v>
      </c>
      <c r="G185" s="8">
        <f>6.2333 * CHOOSE( CONTROL!$C$14, $D$10, 100%, $F$10)</f>
        <v>6.2332999999999998</v>
      </c>
      <c r="H185" s="4">
        <f>7.1144 * CHOOSE(CONTROL!$C$14, $D$10, 100%, $F$10)</f>
        <v>7.1143999999999998</v>
      </c>
      <c r="I185" s="8">
        <f>6.2108 * CHOOSE(CONTROL!$C$14, $D$10, 100%, $F$10)</f>
        <v>6.2107999999999999</v>
      </c>
      <c r="J185" s="4">
        <f>6.1085 * CHOOSE(CONTROL!$C$14, $D$10, 100%, $F$10)</f>
        <v>6.1085000000000003</v>
      </c>
      <c r="K185" s="4"/>
      <c r="L185" s="9">
        <v>26.469899999999999</v>
      </c>
      <c r="M185" s="9">
        <v>10.8962</v>
      </c>
      <c r="N185" s="9">
        <v>4.4660000000000002</v>
      </c>
      <c r="O185" s="9">
        <v>0.33789999999999998</v>
      </c>
      <c r="P185" s="9">
        <v>1.1676</v>
      </c>
      <c r="Q185" s="9">
        <v>28.301300000000001</v>
      </c>
      <c r="R185" s="9"/>
      <c r="S185" s="11"/>
    </row>
    <row r="186" spans="1:19" ht="15.75">
      <c r="A186" s="13">
        <v>47543</v>
      </c>
      <c r="B186" s="8">
        <f>6.2146 * CHOOSE(CONTROL!$C$14, $D$10, 100%, $F$10)</f>
        <v>6.2145999999999999</v>
      </c>
      <c r="C186" s="8">
        <f>6.2197 * CHOOSE(CONTROL!$C$14, $D$10, 100%, $F$10)</f>
        <v>6.2196999999999996</v>
      </c>
      <c r="D186" s="8">
        <f>6.2031 * CHOOSE( CONTROL!$C$14, $D$10, 100%, $F$10)</f>
        <v>6.2031000000000001</v>
      </c>
      <c r="E186" s="12">
        <f>6.2086 * CHOOSE( CONTROL!$C$14, $D$10, 100%, $F$10)</f>
        <v>6.2085999999999997</v>
      </c>
      <c r="F186" s="4">
        <f>6.8672 * CHOOSE(CONTROL!$C$14, $D$10, 100%, $F$10)</f>
        <v>6.8672000000000004</v>
      </c>
      <c r="G186" s="8">
        <f>6.0928 * CHOOSE( CONTROL!$C$14, $D$10, 100%, $F$10)</f>
        <v>6.0928000000000004</v>
      </c>
      <c r="H186" s="4">
        <f>6.9821 * CHOOSE(CONTROL!$C$14, $D$10, 100%, $F$10)</f>
        <v>6.9821</v>
      </c>
      <c r="I186" s="8">
        <f>6.0606 * CHOOSE(CONTROL!$C$14, $D$10, 100%, $F$10)</f>
        <v>6.0606</v>
      </c>
      <c r="J186" s="4">
        <f>5.9785 * CHOOSE(CONTROL!$C$14, $D$10, 100%, $F$10)</f>
        <v>5.9785000000000004</v>
      </c>
      <c r="K186" s="4"/>
      <c r="L186" s="9">
        <v>29.306000000000001</v>
      </c>
      <c r="M186" s="9">
        <v>12.063700000000001</v>
      </c>
      <c r="N186" s="9">
        <v>4.9444999999999997</v>
      </c>
      <c r="O186" s="9">
        <v>0.37409999999999999</v>
      </c>
      <c r="P186" s="9">
        <v>1.2927</v>
      </c>
      <c r="Q186" s="9">
        <v>31.333600000000001</v>
      </c>
      <c r="R186" s="9"/>
      <c r="S186" s="11"/>
    </row>
    <row r="187" spans="1:19" ht="15.75">
      <c r="A187" s="13">
        <v>47574</v>
      </c>
      <c r="B187" s="8">
        <f>6.3093 * CHOOSE(CONTROL!$C$14, $D$10, 100%, $F$10)</f>
        <v>6.3093000000000004</v>
      </c>
      <c r="C187" s="8">
        <f>6.3139 * CHOOSE(CONTROL!$C$14, $D$10, 100%, $F$10)</f>
        <v>6.3139000000000003</v>
      </c>
      <c r="D187" s="8">
        <f>6.3234 * CHOOSE( CONTROL!$C$14, $D$10, 100%, $F$10)</f>
        <v>6.3234000000000004</v>
      </c>
      <c r="E187" s="12">
        <f>6.3197 * CHOOSE( CONTROL!$C$14, $D$10, 100%, $F$10)</f>
        <v>6.3197000000000001</v>
      </c>
      <c r="F187" s="4">
        <f>6.9923 * CHOOSE(CONTROL!$C$14, $D$10, 100%, $F$10)</f>
        <v>6.9923000000000002</v>
      </c>
      <c r="G187" s="8">
        <f>6.1751 * CHOOSE( CONTROL!$C$14, $D$10, 100%, $F$10)</f>
        <v>6.1750999999999996</v>
      </c>
      <c r="H187" s="4">
        <f>7.1051 * CHOOSE(CONTROL!$C$14, $D$10, 100%, $F$10)</f>
        <v>7.1051000000000002</v>
      </c>
      <c r="I187" s="8">
        <f>6.1625 * CHOOSE(CONTROL!$C$14, $D$10, 100%, $F$10)</f>
        <v>6.1624999999999996</v>
      </c>
      <c r="J187" s="4">
        <f>6.0693 * CHOOSE(CONTROL!$C$14, $D$10, 100%, $F$10)</f>
        <v>6.0693000000000001</v>
      </c>
      <c r="K187" s="4"/>
      <c r="L187" s="9">
        <v>30.092199999999998</v>
      </c>
      <c r="M187" s="9">
        <v>11.6745</v>
      </c>
      <c r="N187" s="9">
        <v>4.7850000000000001</v>
      </c>
      <c r="O187" s="9">
        <v>0.36199999999999999</v>
      </c>
      <c r="P187" s="9">
        <v>1.1791</v>
      </c>
      <c r="Q187" s="9">
        <v>30.322800000000001</v>
      </c>
      <c r="R187" s="9"/>
      <c r="S187" s="11"/>
    </row>
    <row r="188" spans="1:19" ht="15.75">
      <c r="A188" s="13">
        <v>47604</v>
      </c>
      <c r="B188" s="8">
        <f>CHOOSE( CONTROL!$C$31, 6.4809, 6.478) * CHOOSE(CONTROL!$C$14, $D$10, 100%, $F$10)</f>
        <v>6.4809000000000001</v>
      </c>
      <c r="C188" s="8">
        <f>CHOOSE( CONTROL!$C$31, 6.4889, 6.486) * CHOOSE(CONTROL!$C$14, $D$10, 100%, $F$10)</f>
        <v>6.4889000000000001</v>
      </c>
      <c r="D188" s="8">
        <f>CHOOSE( CONTROL!$C$31, 6.4936, 6.4906) * CHOOSE( CONTROL!$C$14, $D$10, 100%, $F$10)</f>
        <v>6.4935999999999998</v>
      </c>
      <c r="E188" s="12">
        <f>CHOOSE( CONTROL!$C$31, 6.4907, 6.4877) * CHOOSE( CONTROL!$C$14, $D$10, 100%, $F$10)</f>
        <v>6.4907000000000004</v>
      </c>
      <c r="F188" s="4">
        <f>CHOOSE( CONTROL!$C$31, 7.1625, 7.1596) * CHOOSE(CONTROL!$C$14, $D$10, 100%, $F$10)</f>
        <v>7.1624999999999996</v>
      </c>
      <c r="G188" s="8">
        <f>CHOOSE( CONTROL!$C$31, 6.3435, 6.3406) * CHOOSE( CONTROL!$C$14, $D$10, 100%, $F$10)</f>
        <v>6.3434999999999997</v>
      </c>
      <c r="H188" s="4">
        <f>CHOOSE( CONTROL!$C$31, 7.2725, 7.2696) * CHOOSE(CONTROL!$C$14, $D$10, 100%, $F$10)</f>
        <v>7.2725</v>
      </c>
      <c r="I188" s="8">
        <f>CHOOSE( CONTROL!$C$31, 6.3282, 6.3253) * CHOOSE(CONTROL!$C$14, $D$10, 100%, $F$10)</f>
        <v>6.3281999999999998</v>
      </c>
      <c r="J188" s="4">
        <f>CHOOSE( CONTROL!$C$31, 6.2339, 6.2311) * CHOOSE(CONTROL!$C$14, $D$10, 100%, $F$10)</f>
        <v>6.2339000000000002</v>
      </c>
      <c r="K188" s="4"/>
      <c r="L188" s="9">
        <v>30.7165</v>
      </c>
      <c r="M188" s="9">
        <v>12.063700000000001</v>
      </c>
      <c r="N188" s="9">
        <v>4.9444999999999997</v>
      </c>
      <c r="O188" s="9">
        <v>0.37409999999999999</v>
      </c>
      <c r="P188" s="9">
        <v>1.2183999999999999</v>
      </c>
      <c r="Q188" s="9">
        <v>31.333600000000001</v>
      </c>
      <c r="R188" s="9"/>
      <c r="S188" s="11"/>
    </row>
    <row r="189" spans="1:19" ht="15.75">
      <c r="A189" s="13">
        <v>47635</v>
      </c>
      <c r="B189" s="8">
        <f>CHOOSE( CONTROL!$C$31, 6.3773, 6.3744) * CHOOSE(CONTROL!$C$14, $D$10, 100%, $F$10)</f>
        <v>6.3773</v>
      </c>
      <c r="C189" s="8">
        <f>CHOOSE( CONTROL!$C$31, 6.3853, 6.3824) * CHOOSE(CONTROL!$C$14, $D$10, 100%, $F$10)</f>
        <v>6.3853</v>
      </c>
      <c r="D189" s="8">
        <f>CHOOSE( CONTROL!$C$31, 6.3902, 6.3873) * CHOOSE( CONTROL!$C$14, $D$10, 100%, $F$10)</f>
        <v>6.3902000000000001</v>
      </c>
      <c r="E189" s="12">
        <f>CHOOSE( CONTROL!$C$31, 6.3872, 6.3843) * CHOOSE( CONTROL!$C$14, $D$10, 100%, $F$10)</f>
        <v>6.3872</v>
      </c>
      <c r="F189" s="4">
        <f>CHOOSE( CONTROL!$C$31, 7.0588, 7.0559) * CHOOSE(CONTROL!$C$14, $D$10, 100%, $F$10)</f>
        <v>7.0587999999999997</v>
      </c>
      <c r="G189" s="8">
        <f>CHOOSE( CONTROL!$C$31, 6.2419, 6.2391) * CHOOSE( CONTROL!$C$14, $D$10, 100%, $F$10)</f>
        <v>6.2419000000000002</v>
      </c>
      <c r="H189" s="4">
        <f>CHOOSE( CONTROL!$C$31, 7.1706, 7.1677) * CHOOSE(CONTROL!$C$14, $D$10, 100%, $F$10)</f>
        <v>7.1706000000000003</v>
      </c>
      <c r="I189" s="8">
        <f>CHOOSE( CONTROL!$C$31, 6.2292, 6.2263) * CHOOSE(CONTROL!$C$14, $D$10, 100%, $F$10)</f>
        <v>6.2291999999999996</v>
      </c>
      <c r="J189" s="4">
        <f>CHOOSE( CONTROL!$C$31, 6.1337, 6.1309) * CHOOSE(CONTROL!$C$14, $D$10, 100%, $F$10)</f>
        <v>6.1337000000000002</v>
      </c>
      <c r="K189" s="4"/>
      <c r="L189" s="9">
        <v>29.7257</v>
      </c>
      <c r="M189" s="9">
        <v>11.6745</v>
      </c>
      <c r="N189" s="9">
        <v>4.7850000000000001</v>
      </c>
      <c r="O189" s="9">
        <v>0.36199999999999999</v>
      </c>
      <c r="P189" s="9">
        <v>1.1791</v>
      </c>
      <c r="Q189" s="9">
        <v>30.322800000000001</v>
      </c>
      <c r="R189" s="9"/>
      <c r="S189" s="11"/>
    </row>
    <row r="190" spans="1:19" ht="15.75">
      <c r="A190" s="13">
        <v>47665</v>
      </c>
      <c r="B190" s="8">
        <f>CHOOSE( CONTROL!$C$31, 6.6502, 6.6473) * CHOOSE(CONTROL!$C$14, $D$10, 100%, $F$10)</f>
        <v>6.6501999999999999</v>
      </c>
      <c r="C190" s="8">
        <f>CHOOSE( CONTROL!$C$31, 6.6582, 6.6553) * CHOOSE(CONTROL!$C$14, $D$10, 100%, $F$10)</f>
        <v>6.6581999999999999</v>
      </c>
      <c r="D190" s="8">
        <f>CHOOSE( CONTROL!$C$31, 6.6633, 6.6604) * CHOOSE( CONTROL!$C$14, $D$10, 100%, $F$10)</f>
        <v>6.6632999999999996</v>
      </c>
      <c r="E190" s="12">
        <f>CHOOSE( CONTROL!$C$31, 6.6602, 6.6573) * CHOOSE( CONTROL!$C$14, $D$10, 100%, $F$10)</f>
        <v>6.6601999999999997</v>
      </c>
      <c r="F190" s="4">
        <f>CHOOSE( CONTROL!$C$31, 7.3317, 7.3288) * CHOOSE(CONTROL!$C$14, $D$10, 100%, $F$10)</f>
        <v>7.3316999999999997</v>
      </c>
      <c r="G190" s="8">
        <f>CHOOSE( CONTROL!$C$31, 6.5107, 6.5078) * CHOOSE( CONTROL!$C$14, $D$10, 100%, $F$10)</f>
        <v>6.5106999999999999</v>
      </c>
      <c r="H190" s="4">
        <f>CHOOSE( CONTROL!$C$31, 7.4389, 7.4361) * CHOOSE(CONTROL!$C$14, $D$10, 100%, $F$10)</f>
        <v>7.4389000000000003</v>
      </c>
      <c r="I190" s="8">
        <f>CHOOSE( CONTROL!$C$31, 6.4943, 6.4914) * CHOOSE(CONTROL!$C$14, $D$10, 100%, $F$10)</f>
        <v>6.4943</v>
      </c>
      <c r="J190" s="4">
        <f>CHOOSE( CONTROL!$C$31, 6.3975, 6.3947) * CHOOSE(CONTROL!$C$14, $D$10, 100%, $F$10)</f>
        <v>6.3975</v>
      </c>
      <c r="K190" s="4"/>
      <c r="L190" s="9">
        <v>30.7165</v>
      </c>
      <c r="M190" s="9">
        <v>12.063700000000001</v>
      </c>
      <c r="N190" s="9">
        <v>4.9444999999999997</v>
      </c>
      <c r="O190" s="9">
        <v>0.37409999999999999</v>
      </c>
      <c r="P190" s="9">
        <v>1.2183999999999999</v>
      </c>
      <c r="Q190" s="9">
        <v>31.333600000000001</v>
      </c>
      <c r="R190" s="9"/>
      <c r="S190" s="11"/>
    </row>
    <row r="191" spans="1:19" ht="15.75">
      <c r="A191" s="13">
        <v>47696</v>
      </c>
      <c r="B191" s="8">
        <f>CHOOSE( CONTROL!$C$31, 6.1396, 6.1366) * CHOOSE(CONTROL!$C$14, $D$10, 100%, $F$10)</f>
        <v>6.1395999999999997</v>
      </c>
      <c r="C191" s="8">
        <f>CHOOSE( CONTROL!$C$31, 6.1476, 6.1447) * CHOOSE(CONTROL!$C$14, $D$10, 100%, $F$10)</f>
        <v>6.1475999999999997</v>
      </c>
      <c r="D191" s="8">
        <f>CHOOSE( CONTROL!$C$31, 6.1528, 6.1499) * CHOOSE( CONTROL!$C$14, $D$10, 100%, $F$10)</f>
        <v>6.1528</v>
      </c>
      <c r="E191" s="12">
        <f>CHOOSE( CONTROL!$C$31, 6.1497, 6.1468) * CHOOSE( CONTROL!$C$14, $D$10, 100%, $F$10)</f>
        <v>6.1497000000000002</v>
      </c>
      <c r="F191" s="4">
        <f>CHOOSE( CONTROL!$C$31, 6.8211, 6.8182) * CHOOSE(CONTROL!$C$14, $D$10, 100%, $F$10)</f>
        <v>6.8211000000000004</v>
      </c>
      <c r="G191" s="8">
        <f>CHOOSE( CONTROL!$C$31, 6.0086, 6.0058) * CHOOSE( CONTROL!$C$14, $D$10, 100%, $F$10)</f>
        <v>6.0086000000000004</v>
      </c>
      <c r="H191" s="4">
        <f>CHOOSE( CONTROL!$C$31, 6.9368, 6.9339) * CHOOSE(CONTROL!$C$14, $D$10, 100%, $F$10)</f>
        <v>6.9367999999999999</v>
      </c>
      <c r="I191" s="8">
        <f>CHOOSE( CONTROL!$C$31, 6.0008, 5.998) * CHOOSE(CONTROL!$C$14, $D$10, 100%, $F$10)</f>
        <v>6.0007999999999999</v>
      </c>
      <c r="J191" s="4">
        <f>CHOOSE( CONTROL!$C$31, 5.9039, 5.9011) * CHOOSE(CONTROL!$C$14, $D$10, 100%, $F$10)</f>
        <v>5.9039000000000001</v>
      </c>
      <c r="K191" s="4"/>
      <c r="L191" s="9">
        <v>30.7165</v>
      </c>
      <c r="M191" s="9">
        <v>12.063700000000001</v>
      </c>
      <c r="N191" s="9">
        <v>4.9444999999999997</v>
      </c>
      <c r="O191" s="9">
        <v>0.37409999999999999</v>
      </c>
      <c r="P191" s="9">
        <v>1.2183999999999999</v>
      </c>
      <c r="Q191" s="9">
        <v>31.333600000000001</v>
      </c>
      <c r="R191" s="9"/>
      <c r="S191" s="11"/>
    </row>
    <row r="192" spans="1:19" ht="15.75">
      <c r="A192" s="13">
        <v>47727</v>
      </c>
      <c r="B192" s="8">
        <f>CHOOSE( CONTROL!$C$31, 6.0117, 6.0088) * CHOOSE(CONTROL!$C$14, $D$10, 100%, $F$10)</f>
        <v>6.0117000000000003</v>
      </c>
      <c r="C192" s="8">
        <f>CHOOSE( CONTROL!$C$31, 6.0197, 6.0168) * CHOOSE(CONTROL!$C$14, $D$10, 100%, $F$10)</f>
        <v>6.0197000000000003</v>
      </c>
      <c r="D192" s="8">
        <f>CHOOSE( CONTROL!$C$31, 6.0249, 6.022) * CHOOSE( CONTROL!$C$14, $D$10, 100%, $F$10)</f>
        <v>6.0248999999999997</v>
      </c>
      <c r="E192" s="12">
        <f>CHOOSE( CONTROL!$C$31, 6.0218, 6.0189) * CHOOSE( CONTROL!$C$14, $D$10, 100%, $F$10)</f>
        <v>6.0217999999999998</v>
      </c>
      <c r="F192" s="4">
        <f>CHOOSE( CONTROL!$C$31, 6.6933, 6.6903) * CHOOSE(CONTROL!$C$14, $D$10, 100%, $F$10)</f>
        <v>6.6932999999999998</v>
      </c>
      <c r="G192" s="8">
        <f>CHOOSE( CONTROL!$C$31, 5.8829, 5.88) * CHOOSE( CONTROL!$C$14, $D$10, 100%, $F$10)</f>
        <v>5.8829000000000002</v>
      </c>
      <c r="H192" s="4">
        <f>CHOOSE( CONTROL!$C$31, 6.811, 6.8082) * CHOOSE(CONTROL!$C$14, $D$10, 100%, $F$10)</f>
        <v>6.8109999999999999</v>
      </c>
      <c r="I192" s="8">
        <f>CHOOSE( CONTROL!$C$31, 5.8771, 5.8742) * CHOOSE(CONTROL!$C$14, $D$10, 100%, $F$10)</f>
        <v>5.8771000000000004</v>
      </c>
      <c r="J192" s="4">
        <f>CHOOSE( CONTROL!$C$31, 5.7803, 5.7775) * CHOOSE(CONTROL!$C$14, $D$10, 100%, $F$10)</f>
        <v>5.7803000000000004</v>
      </c>
      <c r="K192" s="4"/>
      <c r="L192" s="9">
        <v>29.7257</v>
      </c>
      <c r="M192" s="9">
        <v>11.6745</v>
      </c>
      <c r="N192" s="9">
        <v>4.7850000000000001</v>
      </c>
      <c r="O192" s="9">
        <v>0.36199999999999999</v>
      </c>
      <c r="P192" s="9">
        <v>1.1791</v>
      </c>
      <c r="Q192" s="9">
        <v>30.322800000000001</v>
      </c>
      <c r="R192" s="9"/>
      <c r="S192" s="11"/>
    </row>
    <row r="193" spans="1:19" ht="15.75">
      <c r="A193" s="13">
        <v>47757</v>
      </c>
      <c r="B193" s="8">
        <f>6.2726 * CHOOSE(CONTROL!$C$14, $D$10, 100%, $F$10)</f>
        <v>6.2725999999999997</v>
      </c>
      <c r="C193" s="8">
        <f>6.2779 * CHOOSE(CONTROL!$C$14, $D$10, 100%, $F$10)</f>
        <v>6.2778999999999998</v>
      </c>
      <c r="D193" s="8">
        <f>6.2879 * CHOOSE( CONTROL!$C$14, $D$10, 100%, $F$10)</f>
        <v>6.2878999999999996</v>
      </c>
      <c r="E193" s="12">
        <f>6.284 * CHOOSE( CONTROL!$C$14, $D$10, 100%, $F$10)</f>
        <v>6.2839999999999998</v>
      </c>
      <c r="F193" s="4">
        <f>6.9558 * CHOOSE(CONTROL!$C$14, $D$10, 100%, $F$10)</f>
        <v>6.9558</v>
      </c>
      <c r="G193" s="8">
        <f>6.1407 * CHOOSE( CONTROL!$C$14, $D$10, 100%, $F$10)</f>
        <v>6.1406999999999998</v>
      </c>
      <c r="H193" s="4">
        <f>7.0692 * CHOOSE(CONTROL!$C$14, $D$10, 100%, $F$10)</f>
        <v>7.0692000000000004</v>
      </c>
      <c r="I193" s="8">
        <f>6.1318 * CHOOSE(CONTROL!$C$14, $D$10, 100%, $F$10)</f>
        <v>6.1318000000000001</v>
      </c>
      <c r="J193" s="4">
        <f>6.0341 * CHOOSE(CONTROL!$C$14, $D$10, 100%, $F$10)</f>
        <v>6.0340999999999996</v>
      </c>
      <c r="K193" s="4"/>
      <c r="L193" s="9">
        <v>31.095300000000002</v>
      </c>
      <c r="M193" s="9">
        <v>12.063700000000001</v>
      </c>
      <c r="N193" s="9">
        <v>4.9444999999999997</v>
      </c>
      <c r="O193" s="9">
        <v>0.37409999999999999</v>
      </c>
      <c r="P193" s="9">
        <v>1.2183999999999999</v>
      </c>
      <c r="Q193" s="9">
        <v>31.333600000000001</v>
      </c>
      <c r="R193" s="9"/>
      <c r="S193" s="11"/>
    </row>
    <row r="194" spans="1:19" ht="15.75">
      <c r="A194" s="13">
        <v>47788</v>
      </c>
      <c r="B194" s="8">
        <f>6.7622 * CHOOSE(CONTROL!$C$14, $D$10, 100%, $F$10)</f>
        <v>6.7622</v>
      </c>
      <c r="C194" s="8">
        <f>6.7673 * CHOOSE(CONTROL!$C$14, $D$10, 100%, $F$10)</f>
        <v>6.7672999999999996</v>
      </c>
      <c r="D194" s="8">
        <f>6.7435 * CHOOSE( CONTROL!$C$14, $D$10, 100%, $F$10)</f>
        <v>6.7435</v>
      </c>
      <c r="E194" s="12">
        <f>6.7517 * CHOOSE( CONTROL!$C$14, $D$10, 100%, $F$10)</f>
        <v>6.7516999999999996</v>
      </c>
      <c r="F194" s="4">
        <f>7.4097 * CHOOSE(CONTROL!$C$14, $D$10, 100%, $F$10)</f>
        <v>7.4097</v>
      </c>
      <c r="G194" s="8">
        <f>6.6324 * CHOOSE( CONTROL!$C$14, $D$10, 100%, $F$10)</f>
        <v>6.6323999999999996</v>
      </c>
      <c r="H194" s="4">
        <f>7.5156 * CHOOSE(CONTROL!$C$14, $D$10, 100%, $F$10)</f>
        <v>7.5156000000000001</v>
      </c>
      <c r="I194" s="8">
        <f>6.6363 * CHOOSE(CONTROL!$C$14, $D$10, 100%, $F$10)</f>
        <v>6.6363000000000003</v>
      </c>
      <c r="J194" s="4">
        <f>6.5078 * CHOOSE(CONTROL!$C$14, $D$10, 100%, $F$10)</f>
        <v>6.5077999999999996</v>
      </c>
      <c r="K194" s="4"/>
      <c r="L194" s="9">
        <v>28.360600000000002</v>
      </c>
      <c r="M194" s="9">
        <v>11.6745</v>
      </c>
      <c r="N194" s="9">
        <v>4.7850000000000001</v>
      </c>
      <c r="O194" s="9">
        <v>0.36199999999999999</v>
      </c>
      <c r="P194" s="9">
        <v>1.2509999999999999</v>
      </c>
      <c r="Q194" s="9">
        <v>30.322800000000001</v>
      </c>
      <c r="R194" s="9"/>
      <c r="S194" s="11"/>
    </row>
    <row r="195" spans="1:19" ht="15.75">
      <c r="A195" s="13">
        <v>47818</v>
      </c>
      <c r="B195" s="8">
        <f>6.75 * CHOOSE(CONTROL!$C$14, $D$10, 100%, $F$10)</f>
        <v>6.75</v>
      </c>
      <c r="C195" s="8">
        <f>6.7551 * CHOOSE(CONTROL!$C$14, $D$10, 100%, $F$10)</f>
        <v>6.7550999999999997</v>
      </c>
      <c r="D195" s="8">
        <f>6.7327 * CHOOSE( CONTROL!$C$14, $D$10, 100%, $F$10)</f>
        <v>6.7327000000000004</v>
      </c>
      <c r="E195" s="12">
        <f>6.7403 * CHOOSE( CONTROL!$C$14, $D$10, 100%, $F$10)</f>
        <v>6.7403000000000004</v>
      </c>
      <c r="F195" s="4">
        <f>7.3974 * CHOOSE(CONTROL!$C$14, $D$10, 100%, $F$10)</f>
        <v>7.3974000000000002</v>
      </c>
      <c r="G195" s="8">
        <f>6.6214 * CHOOSE( CONTROL!$C$14, $D$10, 100%, $F$10)</f>
        <v>6.6214000000000004</v>
      </c>
      <c r="H195" s="4">
        <f>7.5035 * CHOOSE(CONTROL!$C$14, $D$10, 100%, $F$10)</f>
        <v>7.5034999999999998</v>
      </c>
      <c r="I195" s="8">
        <f>6.6288 * CHOOSE(CONTROL!$C$14, $D$10, 100%, $F$10)</f>
        <v>6.6288</v>
      </c>
      <c r="J195" s="4">
        <f>6.496 * CHOOSE(CONTROL!$C$14, $D$10, 100%, $F$10)</f>
        <v>6.4960000000000004</v>
      </c>
      <c r="K195" s="4"/>
      <c r="L195" s="9">
        <v>29.306000000000001</v>
      </c>
      <c r="M195" s="9">
        <v>12.063700000000001</v>
      </c>
      <c r="N195" s="9">
        <v>4.9444999999999997</v>
      </c>
      <c r="O195" s="9">
        <v>0.37409999999999999</v>
      </c>
      <c r="P195" s="9">
        <v>1.2927</v>
      </c>
      <c r="Q195" s="9">
        <v>31.333600000000001</v>
      </c>
      <c r="R195" s="9"/>
      <c r="S195" s="11"/>
    </row>
    <row r="196" spans="1:19" ht="15.75">
      <c r="A196" s="13">
        <v>47849</v>
      </c>
      <c r="B196" s="8">
        <f>6.9935 * CHOOSE(CONTROL!$C$14, $D$10, 100%, $F$10)</f>
        <v>6.9935</v>
      </c>
      <c r="C196" s="8">
        <f>6.9987 * CHOOSE(CONTROL!$C$14, $D$10, 100%, $F$10)</f>
        <v>6.9987000000000004</v>
      </c>
      <c r="D196" s="8">
        <f>6.9945 * CHOOSE( CONTROL!$C$14, $D$10, 100%, $F$10)</f>
        <v>6.9945000000000004</v>
      </c>
      <c r="E196" s="12">
        <f>6.9955 * CHOOSE( CONTROL!$C$14, $D$10, 100%, $F$10)</f>
        <v>6.9954999999999998</v>
      </c>
      <c r="F196" s="4">
        <f>7.672 * CHOOSE(CONTROL!$C$14, $D$10, 100%, $F$10)</f>
        <v>7.6719999999999997</v>
      </c>
      <c r="G196" s="8">
        <f>6.8752 * CHOOSE( CONTROL!$C$14, $D$10, 100%, $F$10)</f>
        <v>6.8752000000000004</v>
      </c>
      <c r="H196" s="4">
        <f>7.7736 * CHOOSE(CONTROL!$C$14, $D$10, 100%, $F$10)</f>
        <v>7.7736000000000001</v>
      </c>
      <c r="I196" s="8">
        <f>6.8434 * CHOOSE(CONTROL!$C$14, $D$10, 100%, $F$10)</f>
        <v>6.8433999999999999</v>
      </c>
      <c r="J196" s="4">
        <f>6.7315 * CHOOSE(CONTROL!$C$14, $D$10, 100%, $F$10)</f>
        <v>6.7314999999999996</v>
      </c>
      <c r="K196" s="4"/>
      <c r="L196" s="9">
        <v>29.306000000000001</v>
      </c>
      <c r="M196" s="9">
        <v>12.063700000000001</v>
      </c>
      <c r="N196" s="9">
        <v>4.9444999999999997</v>
      </c>
      <c r="O196" s="9">
        <v>0.37409999999999999</v>
      </c>
      <c r="P196" s="9">
        <v>1.2927</v>
      </c>
      <c r="Q196" s="9">
        <v>31.026700000000002</v>
      </c>
      <c r="R196" s="9"/>
      <c r="S196" s="11"/>
    </row>
    <row r="197" spans="1:19" ht="15.75">
      <c r="A197" s="13">
        <v>47880</v>
      </c>
      <c r="B197" s="8">
        <f>6.5434 * CHOOSE(CONTROL!$C$14, $D$10, 100%, $F$10)</f>
        <v>6.5434000000000001</v>
      </c>
      <c r="C197" s="8">
        <f>6.5485 * CHOOSE(CONTROL!$C$14, $D$10, 100%, $F$10)</f>
        <v>6.5484999999999998</v>
      </c>
      <c r="D197" s="8">
        <f>6.5384 * CHOOSE( CONTROL!$C$14, $D$10, 100%, $F$10)</f>
        <v>6.5384000000000002</v>
      </c>
      <c r="E197" s="12">
        <f>6.5415 * CHOOSE( CONTROL!$C$14, $D$10, 100%, $F$10)</f>
        <v>6.5415000000000001</v>
      </c>
      <c r="F197" s="4">
        <f>7.196 * CHOOSE(CONTROL!$C$14, $D$10, 100%, $F$10)</f>
        <v>7.1959999999999997</v>
      </c>
      <c r="G197" s="8">
        <f>6.4244 * CHOOSE( CONTROL!$C$14, $D$10, 100%, $F$10)</f>
        <v>6.4244000000000003</v>
      </c>
      <c r="H197" s="4">
        <f>7.3055 * CHOOSE(CONTROL!$C$14, $D$10, 100%, $F$10)</f>
        <v>7.3055000000000003</v>
      </c>
      <c r="I197" s="8">
        <f>6.3987 * CHOOSE(CONTROL!$C$14, $D$10, 100%, $F$10)</f>
        <v>6.3986999999999998</v>
      </c>
      <c r="J197" s="4">
        <f>6.2963 * CHOOSE(CONTROL!$C$14, $D$10, 100%, $F$10)</f>
        <v>6.2962999999999996</v>
      </c>
      <c r="K197" s="4"/>
      <c r="L197" s="9">
        <v>26.469899999999999</v>
      </c>
      <c r="M197" s="9">
        <v>10.8962</v>
      </c>
      <c r="N197" s="9">
        <v>4.4660000000000002</v>
      </c>
      <c r="O197" s="9">
        <v>0.33789999999999998</v>
      </c>
      <c r="P197" s="9">
        <v>1.1676</v>
      </c>
      <c r="Q197" s="9">
        <v>28.024100000000001</v>
      </c>
      <c r="R197" s="9"/>
      <c r="S197" s="11"/>
    </row>
    <row r="198" spans="1:19" ht="15.75">
      <c r="A198" s="13">
        <v>47908</v>
      </c>
      <c r="B198" s="8">
        <f>6.4047 * CHOOSE(CONTROL!$C$14, $D$10, 100%, $F$10)</f>
        <v>6.4047000000000001</v>
      </c>
      <c r="C198" s="8">
        <f>6.4098 * CHOOSE(CONTROL!$C$14, $D$10, 100%, $F$10)</f>
        <v>6.4097999999999997</v>
      </c>
      <c r="D198" s="8">
        <f>6.3932 * CHOOSE( CONTROL!$C$14, $D$10, 100%, $F$10)</f>
        <v>6.3932000000000002</v>
      </c>
      <c r="E198" s="12">
        <f>6.3987 * CHOOSE( CONTROL!$C$14, $D$10, 100%, $F$10)</f>
        <v>6.3986999999999998</v>
      </c>
      <c r="F198" s="4">
        <f>7.0574 * CHOOSE(CONTROL!$C$14, $D$10, 100%, $F$10)</f>
        <v>7.0574000000000003</v>
      </c>
      <c r="G198" s="8">
        <f>6.2798 * CHOOSE( CONTROL!$C$14, $D$10, 100%, $F$10)</f>
        <v>6.2797999999999998</v>
      </c>
      <c r="H198" s="4">
        <f>7.1691 * CHOOSE(CONTROL!$C$14, $D$10, 100%, $F$10)</f>
        <v>7.1691000000000003</v>
      </c>
      <c r="I198" s="8">
        <f>6.2445 * CHOOSE(CONTROL!$C$14, $D$10, 100%, $F$10)</f>
        <v>6.2445000000000004</v>
      </c>
      <c r="J198" s="4">
        <f>6.1623 * CHOOSE(CONTROL!$C$14, $D$10, 100%, $F$10)</f>
        <v>6.1623000000000001</v>
      </c>
      <c r="K198" s="4"/>
      <c r="L198" s="9">
        <v>29.306000000000001</v>
      </c>
      <c r="M198" s="9">
        <v>12.063700000000001</v>
      </c>
      <c r="N198" s="9">
        <v>4.9444999999999997</v>
      </c>
      <c r="O198" s="9">
        <v>0.37409999999999999</v>
      </c>
      <c r="P198" s="9">
        <v>1.2927</v>
      </c>
      <c r="Q198" s="9">
        <v>31.026700000000002</v>
      </c>
      <c r="R198" s="9"/>
      <c r="S198" s="11"/>
    </row>
    <row r="199" spans="1:19" ht="15.75">
      <c r="A199" s="13">
        <v>47939</v>
      </c>
      <c r="B199" s="8">
        <f>6.5024 * CHOOSE(CONTROL!$C$14, $D$10, 100%, $F$10)</f>
        <v>6.5023999999999997</v>
      </c>
      <c r="C199" s="8">
        <f>6.5069 * CHOOSE(CONTROL!$C$14, $D$10, 100%, $F$10)</f>
        <v>6.5068999999999999</v>
      </c>
      <c r="D199" s="8">
        <f>6.5164 * CHOOSE( CONTROL!$C$14, $D$10, 100%, $F$10)</f>
        <v>6.5164</v>
      </c>
      <c r="E199" s="12">
        <f>6.5127 * CHOOSE( CONTROL!$C$14, $D$10, 100%, $F$10)</f>
        <v>6.5126999999999997</v>
      </c>
      <c r="F199" s="4">
        <f>7.1853 * CHOOSE(CONTROL!$C$14, $D$10, 100%, $F$10)</f>
        <v>7.1852999999999998</v>
      </c>
      <c r="G199" s="8">
        <f>6.365 * CHOOSE( CONTROL!$C$14, $D$10, 100%, $F$10)</f>
        <v>6.3650000000000002</v>
      </c>
      <c r="H199" s="4">
        <f>7.2949 * CHOOSE(CONTROL!$C$14, $D$10, 100%, $F$10)</f>
        <v>7.2949000000000002</v>
      </c>
      <c r="I199" s="8">
        <f>6.3491 * CHOOSE(CONTROL!$C$14, $D$10, 100%, $F$10)</f>
        <v>6.3491</v>
      </c>
      <c r="J199" s="4">
        <f>6.2559 * CHOOSE(CONTROL!$C$14, $D$10, 100%, $F$10)</f>
        <v>6.2558999999999996</v>
      </c>
      <c r="K199" s="4"/>
      <c r="L199" s="9">
        <v>30.092199999999998</v>
      </c>
      <c r="M199" s="9">
        <v>11.6745</v>
      </c>
      <c r="N199" s="9">
        <v>4.7850000000000001</v>
      </c>
      <c r="O199" s="9">
        <v>0.36199999999999999</v>
      </c>
      <c r="P199" s="9">
        <v>1.1791</v>
      </c>
      <c r="Q199" s="9">
        <v>30.0258</v>
      </c>
      <c r="R199" s="9"/>
      <c r="S199" s="11"/>
    </row>
    <row r="200" spans="1:19" ht="15.75">
      <c r="A200" s="13">
        <v>47969</v>
      </c>
      <c r="B200" s="8">
        <f>CHOOSE( CONTROL!$C$31, 6.6791, 6.6762) * CHOOSE(CONTROL!$C$14, $D$10, 100%, $F$10)</f>
        <v>6.6791</v>
      </c>
      <c r="C200" s="8">
        <f>CHOOSE( CONTROL!$C$31, 6.6871, 6.6842) * CHOOSE(CONTROL!$C$14, $D$10, 100%, $F$10)</f>
        <v>6.6871</v>
      </c>
      <c r="D200" s="8">
        <f>CHOOSE( CONTROL!$C$31, 6.6917, 6.6888) * CHOOSE( CONTROL!$C$14, $D$10, 100%, $F$10)</f>
        <v>6.6917</v>
      </c>
      <c r="E200" s="12">
        <f>CHOOSE( CONTROL!$C$31, 6.6888, 6.6859) * CHOOSE( CONTROL!$C$14, $D$10, 100%, $F$10)</f>
        <v>6.6887999999999996</v>
      </c>
      <c r="F200" s="4">
        <f>CHOOSE( CONTROL!$C$31, 7.3606, 7.3577) * CHOOSE(CONTROL!$C$14, $D$10, 100%, $F$10)</f>
        <v>7.3605999999999998</v>
      </c>
      <c r="G200" s="8">
        <f>CHOOSE( CONTROL!$C$31, 6.5383, 6.5355) * CHOOSE( CONTROL!$C$14, $D$10, 100%, $F$10)</f>
        <v>6.5382999999999996</v>
      </c>
      <c r="H200" s="4">
        <f>CHOOSE( CONTROL!$C$31, 7.4674, 7.4645) * CHOOSE(CONTROL!$C$14, $D$10, 100%, $F$10)</f>
        <v>7.4673999999999996</v>
      </c>
      <c r="I200" s="8">
        <f>CHOOSE( CONTROL!$C$31, 6.5198, 6.517) * CHOOSE(CONTROL!$C$14, $D$10, 100%, $F$10)</f>
        <v>6.5198</v>
      </c>
      <c r="J200" s="4">
        <f>CHOOSE( CONTROL!$C$31, 6.4255, 6.4226) * CHOOSE(CONTROL!$C$14, $D$10, 100%, $F$10)</f>
        <v>6.4255000000000004</v>
      </c>
      <c r="K200" s="4"/>
      <c r="L200" s="9">
        <v>30.7165</v>
      </c>
      <c r="M200" s="9">
        <v>12.063700000000001</v>
      </c>
      <c r="N200" s="9">
        <v>4.9444999999999997</v>
      </c>
      <c r="O200" s="9">
        <v>0.37409999999999999</v>
      </c>
      <c r="P200" s="9">
        <v>1.2183999999999999</v>
      </c>
      <c r="Q200" s="9">
        <v>31.026700000000002</v>
      </c>
      <c r="R200" s="9"/>
      <c r="S200" s="11"/>
    </row>
    <row r="201" spans="1:19" ht="15.75">
      <c r="A201" s="13">
        <v>48000</v>
      </c>
      <c r="B201" s="8">
        <f>CHOOSE( CONTROL!$C$31, 6.5723, 6.5694) * CHOOSE(CONTROL!$C$14, $D$10, 100%, $F$10)</f>
        <v>6.5723000000000003</v>
      </c>
      <c r="C201" s="8">
        <f>CHOOSE( CONTROL!$C$31, 6.5803, 6.5774) * CHOOSE(CONTROL!$C$14, $D$10, 100%, $F$10)</f>
        <v>6.5803000000000003</v>
      </c>
      <c r="D201" s="8">
        <f>CHOOSE( CONTROL!$C$31, 6.5852, 6.5823) * CHOOSE( CONTROL!$C$14, $D$10, 100%, $F$10)</f>
        <v>6.5852000000000004</v>
      </c>
      <c r="E201" s="12">
        <f>CHOOSE( CONTROL!$C$31, 6.5822, 6.5793) * CHOOSE( CONTROL!$C$14, $D$10, 100%, $F$10)</f>
        <v>6.5822000000000003</v>
      </c>
      <c r="F201" s="4">
        <f>CHOOSE( CONTROL!$C$31, 7.2538, 7.2509) * CHOOSE(CONTROL!$C$14, $D$10, 100%, $F$10)</f>
        <v>7.2538</v>
      </c>
      <c r="G201" s="8">
        <f>CHOOSE( CONTROL!$C$31, 6.4337, 6.4308) * CHOOSE( CONTROL!$C$14, $D$10, 100%, $F$10)</f>
        <v>6.4337</v>
      </c>
      <c r="H201" s="4">
        <f>CHOOSE( CONTROL!$C$31, 7.3623, 7.3594) * CHOOSE(CONTROL!$C$14, $D$10, 100%, $F$10)</f>
        <v>7.3623000000000003</v>
      </c>
      <c r="I201" s="8">
        <f>CHOOSE( CONTROL!$C$31, 6.4177, 6.4149) * CHOOSE(CONTROL!$C$14, $D$10, 100%, $F$10)</f>
        <v>6.4177</v>
      </c>
      <c r="J201" s="4">
        <f>CHOOSE( CONTROL!$C$31, 6.3222, 6.3194) * CHOOSE(CONTROL!$C$14, $D$10, 100%, $F$10)</f>
        <v>6.3221999999999996</v>
      </c>
      <c r="K201" s="4"/>
      <c r="L201" s="9">
        <v>29.7257</v>
      </c>
      <c r="M201" s="9">
        <v>11.6745</v>
      </c>
      <c r="N201" s="9">
        <v>4.7850000000000001</v>
      </c>
      <c r="O201" s="9">
        <v>0.36199999999999999</v>
      </c>
      <c r="P201" s="9">
        <v>1.1791</v>
      </c>
      <c r="Q201" s="9">
        <v>30.0258</v>
      </c>
      <c r="R201" s="9"/>
      <c r="S201" s="11"/>
    </row>
    <row r="202" spans="1:19" ht="15.75">
      <c r="A202" s="13">
        <v>48030</v>
      </c>
      <c r="B202" s="8">
        <f>CHOOSE( CONTROL!$C$31, 6.8536, 6.8506) * CHOOSE(CONTROL!$C$14, $D$10, 100%, $F$10)</f>
        <v>6.8536000000000001</v>
      </c>
      <c r="C202" s="8">
        <f>CHOOSE( CONTROL!$C$31, 6.8616, 6.8587) * CHOOSE(CONTROL!$C$14, $D$10, 100%, $F$10)</f>
        <v>6.8616000000000001</v>
      </c>
      <c r="D202" s="8">
        <f>CHOOSE( CONTROL!$C$31, 6.8667, 6.8638) * CHOOSE( CONTROL!$C$14, $D$10, 100%, $F$10)</f>
        <v>6.8666999999999998</v>
      </c>
      <c r="E202" s="12">
        <f>CHOOSE( CONTROL!$C$31, 6.8636, 6.8607) * CHOOSE( CONTROL!$C$14, $D$10, 100%, $F$10)</f>
        <v>6.8635999999999999</v>
      </c>
      <c r="F202" s="4">
        <f>CHOOSE( CONTROL!$C$31, 7.5351, 7.5322) * CHOOSE(CONTROL!$C$14, $D$10, 100%, $F$10)</f>
        <v>7.5350999999999999</v>
      </c>
      <c r="G202" s="8">
        <f>CHOOSE( CONTROL!$C$31, 6.7107, 6.7078) * CHOOSE( CONTROL!$C$14, $D$10, 100%, $F$10)</f>
        <v>6.7107000000000001</v>
      </c>
      <c r="H202" s="4">
        <f>CHOOSE( CONTROL!$C$31, 7.6389, 7.6361) * CHOOSE(CONTROL!$C$14, $D$10, 100%, $F$10)</f>
        <v>7.6388999999999996</v>
      </c>
      <c r="I202" s="8">
        <f>CHOOSE( CONTROL!$C$31, 6.691, 6.6881) * CHOOSE(CONTROL!$C$14, $D$10, 100%, $F$10)</f>
        <v>6.6909999999999998</v>
      </c>
      <c r="J202" s="4">
        <f>CHOOSE( CONTROL!$C$31, 6.5941, 6.5913) * CHOOSE(CONTROL!$C$14, $D$10, 100%, $F$10)</f>
        <v>6.5941000000000001</v>
      </c>
      <c r="K202" s="4"/>
      <c r="L202" s="9">
        <v>30.7165</v>
      </c>
      <c r="M202" s="9">
        <v>12.063700000000001</v>
      </c>
      <c r="N202" s="9">
        <v>4.9444999999999997</v>
      </c>
      <c r="O202" s="9">
        <v>0.37409999999999999</v>
      </c>
      <c r="P202" s="9">
        <v>1.2183999999999999</v>
      </c>
      <c r="Q202" s="9">
        <v>31.026700000000002</v>
      </c>
      <c r="R202" s="9"/>
      <c r="S202" s="11"/>
    </row>
    <row r="203" spans="1:19" ht="15.75">
      <c r="A203" s="13">
        <v>48061</v>
      </c>
      <c r="B203" s="8">
        <f>CHOOSE( CONTROL!$C$31, 6.3272, 6.3243) * CHOOSE(CONTROL!$C$14, $D$10, 100%, $F$10)</f>
        <v>6.3272000000000004</v>
      </c>
      <c r="C203" s="8">
        <f>CHOOSE( CONTROL!$C$31, 6.3353, 6.3323) * CHOOSE(CONTROL!$C$14, $D$10, 100%, $F$10)</f>
        <v>6.3353000000000002</v>
      </c>
      <c r="D203" s="8">
        <f>CHOOSE( CONTROL!$C$31, 6.3405, 6.3375) * CHOOSE( CONTROL!$C$14, $D$10, 100%, $F$10)</f>
        <v>6.3404999999999996</v>
      </c>
      <c r="E203" s="12">
        <f>CHOOSE( CONTROL!$C$31, 6.3374, 6.3344) * CHOOSE( CONTROL!$C$14, $D$10, 100%, $F$10)</f>
        <v>6.3373999999999997</v>
      </c>
      <c r="F203" s="4">
        <f>CHOOSE( CONTROL!$C$31, 7.0088, 7.0059) * CHOOSE(CONTROL!$C$14, $D$10, 100%, $F$10)</f>
        <v>7.0087999999999999</v>
      </c>
      <c r="G203" s="8">
        <f>CHOOSE( CONTROL!$C$31, 6.1932, 6.1903) * CHOOSE( CONTROL!$C$14, $D$10, 100%, $F$10)</f>
        <v>6.1932</v>
      </c>
      <c r="H203" s="4">
        <f>CHOOSE( CONTROL!$C$31, 7.1213, 7.1185) * CHOOSE(CONTROL!$C$14, $D$10, 100%, $F$10)</f>
        <v>7.1212999999999997</v>
      </c>
      <c r="I203" s="8">
        <f>CHOOSE( CONTROL!$C$31, 6.1823, 6.1795) * CHOOSE(CONTROL!$C$14, $D$10, 100%, $F$10)</f>
        <v>6.1822999999999997</v>
      </c>
      <c r="J203" s="4">
        <f>CHOOSE( CONTROL!$C$31, 6.0853, 6.0825) * CHOOSE(CONTROL!$C$14, $D$10, 100%, $F$10)</f>
        <v>6.0853000000000002</v>
      </c>
      <c r="K203" s="4"/>
      <c r="L203" s="9">
        <v>30.7165</v>
      </c>
      <c r="M203" s="9">
        <v>12.063700000000001</v>
      </c>
      <c r="N203" s="9">
        <v>4.9444999999999997</v>
      </c>
      <c r="O203" s="9">
        <v>0.37409999999999999</v>
      </c>
      <c r="P203" s="9">
        <v>1.2183999999999999</v>
      </c>
      <c r="Q203" s="9">
        <v>31.026700000000002</v>
      </c>
      <c r="R203" s="9"/>
      <c r="S203" s="11"/>
    </row>
    <row r="204" spans="1:19" ht="15.75">
      <c r="A204" s="13">
        <v>48092</v>
      </c>
      <c r="B204" s="8">
        <f>CHOOSE( CONTROL!$C$31, 6.1955, 6.1925) * CHOOSE(CONTROL!$C$14, $D$10, 100%, $F$10)</f>
        <v>6.1955</v>
      </c>
      <c r="C204" s="8">
        <f>CHOOSE( CONTROL!$C$31, 6.2035, 6.2005) * CHOOSE(CONTROL!$C$14, $D$10, 100%, $F$10)</f>
        <v>6.2035</v>
      </c>
      <c r="D204" s="8">
        <f>CHOOSE( CONTROL!$C$31, 6.2087, 6.2057) * CHOOSE( CONTROL!$C$14, $D$10, 100%, $F$10)</f>
        <v>6.2087000000000003</v>
      </c>
      <c r="E204" s="12">
        <f>CHOOSE( CONTROL!$C$31, 6.2056, 6.2026) * CHOOSE( CONTROL!$C$14, $D$10, 100%, $F$10)</f>
        <v>6.2055999999999996</v>
      </c>
      <c r="F204" s="4">
        <f>CHOOSE( CONTROL!$C$31, 6.877, 6.8741) * CHOOSE(CONTROL!$C$14, $D$10, 100%, $F$10)</f>
        <v>6.8769999999999998</v>
      </c>
      <c r="G204" s="8">
        <f>CHOOSE( CONTROL!$C$31, 6.0636, 6.0607) * CHOOSE( CONTROL!$C$14, $D$10, 100%, $F$10)</f>
        <v>6.0636000000000001</v>
      </c>
      <c r="H204" s="4">
        <f>CHOOSE( CONTROL!$C$31, 6.9917, 6.9889) * CHOOSE(CONTROL!$C$14, $D$10, 100%, $F$10)</f>
        <v>6.9916999999999998</v>
      </c>
      <c r="I204" s="8">
        <f>CHOOSE( CONTROL!$C$31, 6.0548, 6.052) * CHOOSE(CONTROL!$C$14, $D$10, 100%, $F$10)</f>
        <v>6.0548000000000002</v>
      </c>
      <c r="J204" s="4">
        <f>CHOOSE( CONTROL!$C$31, 5.9579, 5.9551) * CHOOSE(CONTROL!$C$14, $D$10, 100%, $F$10)</f>
        <v>5.9579000000000004</v>
      </c>
      <c r="K204" s="4"/>
      <c r="L204" s="9">
        <v>29.7257</v>
      </c>
      <c r="M204" s="9">
        <v>11.6745</v>
      </c>
      <c r="N204" s="9">
        <v>4.7850000000000001</v>
      </c>
      <c r="O204" s="9">
        <v>0.36199999999999999</v>
      </c>
      <c r="P204" s="9">
        <v>1.1791</v>
      </c>
      <c r="Q204" s="9">
        <v>30.0258</v>
      </c>
      <c r="R204" s="9"/>
      <c r="S204" s="11"/>
    </row>
    <row r="205" spans="1:19" ht="15.75">
      <c r="A205" s="13">
        <v>48122</v>
      </c>
      <c r="B205" s="8">
        <f>6.4645 * CHOOSE(CONTROL!$C$14, $D$10, 100%, $F$10)</f>
        <v>6.4645000000000001</v>
      </c>
      <c r="C205" s="8">
        <f>6.4698 * CHOOSE(CONTROL!$C$14, $D$10, 100%, $F$10)</f>
        <v>6.4698000000000002</v>
      </c>
      <c r="D205" s="8">
        <f>6.4798 * CHOOSE( CONTROL!$C$14, $D$10, 100%, $F$10)</f>
        <v>6.4798</v>
      </c>
      <c r="E205" s="12">
        <f>6.4759 * CHOOSE( CONTROL!$C$14, $D$10, 100%, $F$10)</f>
        <v>6.4759000000000002</v>
      </c>
      <c r="F205" s="4">
        <f>7.1477 * CHOOSE(CONTROL!$C$14, $D$10, 100%, $F$10)</f>
        <v>7.1477000000000004</v>
      </c>
      <c r="G205" s="8">
        <f>6.3295 * CHOOSE( CONTROL!$C$14, $D$10, 100%, $F$10)</f>
        <v>6.3295000000000003</v>
      </c>
      <c r="H205" s="4">
        <f>7.258 * CHOOSE(CONTROL!$C$14, $D$10, 100%, $F$10)</f>
        <v>7.258</v>
      </c>
      <c r="I205" s="8">
        <f>6.3174 * CHOOSE(CONTROL!$C$14, $D$10, 100%, $F$10)</f>
        <v>6.3174000000000001</v>
      </c>
      <c r="J205" s="4">
        <f>6.2196 * CHOOSE(CONTROL!$C$14, $D$10, 100%, $F$10)</f>
        <v>6.2195999999999998</v>
      </c>
      <c r="K205" s="4"/>
      <c r="L205" s="9">
        <v>31.095300000000002</v>
      </c>
      <c r="M205" s="9">
        <v>12.063700000000001</v>
      </c>
      <c r="N205" s="9">
        <v>4.9444999999999997</v>
      </c>
      <c r="O205" s="9">
        <v>0.37409999999999999</v>
      </c>
      <c r="P205" s="9">
        <v>1.2183999999999999</v>
      </c>
      <c r="Q205" s="9">
        <v>31.026700000000002</v>
      </c>
      <c r="R205" s="9"/>
      <c r="S205" s="11"/>
    </row>
    <row r="206" spans="1:19" ht="15.75">
      <c r="A206" s="13">
        <v>48153</v>
      </c>
      <c r="B206" s="8">
        <f>6.9692 * CHOOSE(CONTROL!$C$14, $D$10, 100%, $F$10)</f>
        <v>6.9691999999999998</v>
      </c>
      <c r="C206" s="8">
        <f>6.9743 * CHOOSE(CONTROL!$C$14, $D$10, 100%, $F$10)</f>
        <v>6.9743000000000004</v>
      </c>
      <c r="D206" s="8">
        <f>6.9505 * CHOOSE( CONTROL!$C$14, $D$10, 100%, $F$10)</f>
        <v>6.9504999999999999</v>
      </c>
      <c r="E206" s="12">
        <f>6.9587 * CHOOSE( CONTROL!$C$14, $D$10, 100%, $F$10)</f>
        <v>6.9587000000000003</v>
      </c>
      <c r="F206" s="4">
        <f>7.6166 * CHOOSE(CONTROL!$C$14, $D$10, 100%, $F$10)</f>
        <v>7.6166</v>
      </c>
      <c r="G206" s="8">
        <f>6.836 * CHOOSE( CONTROL!$C$14, $D$10, 100%, $F$10)</f>
        <v>6.8360000000000003</v>
      </c>
      <c r="H206" s="4">
        <f>7.7191 * CHOOSE(CONTROL!$C$14, $D$10, 100%, $F$10)</f>
        <v>7.7191000000000001</v>
      </c>
      <c r="I206" s="8">
        <f>6.8364 * CHOOSE(CONTROL!$C$14, $D$10, 100%, $F$10)</f>
        <v>6.8364000000000003</v>
      </c>
      <c r="J206" s="4">
        <f>6.7079 * CHOOSE(CONTROL!$C$14, $D$10, 100%, $F$10)</f>
        <v>6.7079000000000004</v>
      </c>
      <c r="K206" s="4"/>
      <c r="L206" s="9">
        <v>28.360600000000002</v>
      </c>
      <c r="M206" s="9">
        <v>11.6745</v>
      </c>
      <c r="N206" s="9">
        <v>4.7850000000000001</v>
      </c>
      <c r="O206" s="9">
        <v>0.36199999999999999</v>
      </c>
      <c r="P206" s="9">
        <v>1.2509999999999999</v>
      </c>
      <c r="Q206" s="9">
        <v>30.0258</v>
      </c>
      <c r="R206" s="9"/>
      <c r="S206" s="11"/>
    </row>
    <row r="207" spans="1:19" ht="15.75">
      <c r="A207" s="13">
        <v>48183</v>
      </c>
      <c r="B207" s="8">
        <f>6.9566 * CHOOSE(CONTROL!$C$14, $D$10, 100%, $F$10)</f>
        <v>6.9565999999999999</v>
      </c>
      <c r="C207" s="8">
        <f>6.9617 * CHOOSE(CONTROL!$C$14, $D$10, 100%, $F$10)</f>
        <v>6.9617000000000004</v>
      </c>
      <c r="D207" s="8">
        <f>6.9392 * CHOOSE( CONTROL!$C$14, $D$10, 100%, $F$10)</f>
        <v>6.9391999999999996</v>
      </c>
      <c r="E207" s="12">
        <f>6.9469 * CHOOSE( CONTROL!$C$14, $D$10, 100%, $F$10)</f>
        <v>6.9469000000000003</v>
      </c>
      <c r="F207" s="4">
        <f>7.604 * CHOOSE(CONTROL!$C$14, $D$10, 100%, $F$10)</f>
        <v>7.6040000000000001</v>
      </c>
      <c r="G207" s="8">
        <f>6.8246 * CHOOSE( CONTROL!$C$14, $D$10, 100%, $F$10)</f>
        <v>6.8246000000000002</v>
      </c>
      <c r="H207" s="4">
        <f>7.7067 * CHOOSE(CONTROL!$C$14, $D$10, 100%, $F$10)</f>
        <v>7.7066999999999997</v>
      </c>
      <c r="I207" s="8">
        <f>6.8286 * CHOOSE(CONTROL!$C$14, $D$10, 100%, $F$10)</f>
        <v>6.8285999999999998</v>
      </c>
      <c r="J207" s="4">
        <f>6.6957 * CHOOSE(CONTROL!$C$14, $D$10, 100%, $F$10)</f>
        <v>6.6957000000000004</v>
      </c>
      <c r="K207" s="4"/>
      <c r="L207" s="9">
        <v>29.306000000000001</v>
      </c>
      <c r="M207" s="9">
        <v>12.063700000000001</v>
      </c>
      <c r="N207" s="9">
        <v>4.9444999999999997</v>
      </c>
      <c r="O207" s="9">
        <v>0.37409999999999999</v>
      </c>
      <c r="P207" s="9">
        <v>1.2927</v>
      </c>
      <c r="Q207" s="9">
        <v>31.026700000000002</v>
      </c>
      <c r="R207" s="9"/>
      <c r="S207" s="11"/>
    </row>
    <row r="208" spans="1:19" ht="15.75">
      <c r="A208" s="13">
        <v>48214</v>
      </c>
      <c r="B208" s="8">
        <f>7.2122 * CHOOSE(CONTROL!$C$14, $D$10, 100%, $F$10)</f>
        <v>7.2122000000000002</v>
      </c>
      <c r="C208" s="8">
        <f>7.2173 * CHOOSE(CONTROL!$C$14, $D$10, 100%, $F$10)</f>
        <v>7.2172999999999998</v>
      </c>
      <c r="D208" s="8">
        <f>7.2131 * CHOOSE( CONTROL!$C$14, $D$10, 100%, $F$10)</f>
        <v>7.2130999999999998</v>
      </c>
      <c r="E208" s="12">
        <f>7.2141 * CHOOSE( CONTROL!$C$14, $D$10, 100%, $F$10)</f>
        <v>7.2141000000000002</v>
      </c>
      <c r="F208" s="4">
        <f>7.8907 * CHOOSE(CONTROL!$C$14, $D$10, 100%, $F$10)</f>
        <v>7.8906999999999998</v>
      </c>
      <c r="G208" s="8">
        <f>7.0902 * CHOOSE( CONTROL!$C$14, $D$10, 100%, $F$10)</f>
        <v>7.0902000000000003</v>
      </c>
      <c r="H208" s="4">
        <f>7.9886 * CHOOSE(CONTROL!$C$14, $D$10, 100%, $F$10)</f>
        <v>7.9885999999999999</v>
      </c>
      <c r="I208" s="8">
        <f>7.0549 * CHOOSE(CONTROL!$C$14, $D$10, 100%, $F$10)</f>
        <v>7.0548999999999999</v>
      </c>
      <c r="J208" s="4">
        <f>6.9428 * CHOOSE(CONTROL!$C$14, $D$10, 100%, $F$10)</f>
        <v>6.9428000000000001</v>
      </c>
      <c r="K208" s="4"/>
      <c r="L208" s="9">
        <v>29.306000000000001</v>
      </c>
      <c r="M208" s="9">
        <v>12.063700000000001</v>
      </c>
      <c r="N208" s="9">
        <v>4.9444999999999997</v>
      </c>
      <c r="O208" s="9">
        <v>0.37409999999999999</v>
      </c>
      <c r="P208" s="9">
        <v>1.2927</v>
      </c>
      <c r="Q208" s="9">
        <v>30.8704</v>
      </c>
      <c r="R208" s="9"/>
      <c r="S208" s="11"/>
    </row>
    <row r="209" spans="1:19" ht="15.75">
      <c r="A209" s="13">
        <v>48245</v>
      </c>
      <c r="B209" s="8">
        <f>6.7479 * CHOOSE(CONTROL!$C$14, $D$10, 100%, $F$10)</f>
        <v>6.7478999999999996</v>
      </c>
      <c r="C209" s="8">
        <f>6.753 * CHOOSE(CONTROL!$C$14, $D$10, 100%, $F$10)</f>
        <v>6.7530000000000001</v>
      </c>
      <c r="D209" s="8">
        <f>6.7429 * CHOOSE( CONTROL!$C$14, $D$10, 100%, $F$10)</f>
        <v>6.7428999999999997</v>
      </c>
      <c r="E209" s="12">
        <f>6.746 * CHOOSE( CONTROL!$C$14, $D$10, 100%, $F$10)</f>
        <v>6.7460000000000004</v>
      </c>
      <c r="F209" s="4">
        <f>7.4005 * CHOOSE(CONTROL!$C$14, $D$10, 100%, $F$10)</f>
        <v>7.4005000000000001</v>
      </c>
      <c r="G209" s="8">
        <f>6.6255 * CHOOSE( CONTROL!$C$14, $D$10, 100%, $F$10)</f>
        <v>6.6254999999999997</v>
      </c>
      <c r="H209" s="4">
        <f>7.5066 * CHOOSE(CONTROL!$C$14, $D$10, 100%, $F$10)</f>
        <v>7.5065999999999997</v>
      </c>
      <c r="I209" s="8">
        <f>6.5965 * CHOOSE(CONTROL!$C$14, $D$10, 100%, $F$10)</f>
        <v>6.5964999999999998</v>
      </c>
      <c r="J209" s="4">
        <f>6.494 * CHOOSE(CONTROL!$C$14, $D$10, 100%, $F$10)</f>
        <v>6.4939999999999998</v>
      </c>
      <c r="K209" s="4"/>
      <c r="L209" s="9">
        <v>27.415299999999998</v>
      </c>
      <c r="M209" s="9">
        <v>11.285299999999999</v>
      </c>
      <c r="N209" s="9">
        <v>4.6254999999999997</v>
      </c>
      <c r="O209" s="9">
        <v>0.34989999999999999</v>
      </c>
      <c r="P209" s="9">
        <v>1.2093</v>
      </c>
      <c r="Q209" s="9">
        <v>28.878799999999998</v>
      </c>
      <c r="R209" s="9"/>
      <c r="S209" s="11"/>
    </row>
    <row r="210" spans="1:19" ht="15.75">
      <c r="A210" s="13">
        <v>48274</v>
      </c>
      <c r="B210" s="8">
        <f>6.6049 * CHOOSE(CONTROL!$C$14, $D$10, 100%, $F$10)</f>
        <v>6.6048999999999998</v>
      </c>
      <c r="C210" s="8">
        <f>6.61 * CHOOSE(CONTROL!$C$14, $D$10, 100%, $F$10)</f>
        <v>6.61</v>
      </c>
      <c r="D210" s="8">
        <f>6.5934 * CHOOSE( CONTROL!$C$14, $D$10, 100%, $F$10)</f>
        <v>6.5933999999999999</v>
      </c>
      <c r="E210" s="12">
        <f>6.5989 * CHOOSE( CONTROL!$C$14, $D$10, 100%, $F$10)</f>
        <v>6.5989000000000004</v>
      </c>
      <c r="F210" s="4">
        <f>7.2575 * CHOOSE(CONTROL!$C$14, $D$10, 100%, $F$10)</f>
        <v>7.2575000000000003</v>
      </c>
      <c r="G210" s="8">
        <f>6.4766 * CHOOSE( CONTROL!$C$14, $D$10, 100%, $F$10)</f>
        <v>6.4766000000000004</v>
      </c>
      <c r="H210" s="4">
        <f>7.3659 * CHOOSE(CONTROL!$C$14, $D$10, 100%, $F$10)</f>
        <v>7.3658999999999999</v>
      </c>
      <c r="I210" s="8">
        <f>6.4381 * CHOOSE(CONTROL!$C$14, $D$10, 100%, $F$10)</f>
        <v>6.4381000000000004</v>
      </c>
      <c r="J210" s="4">
        <f>6.3558 * CHOOSE(CONTROL!$C$14, $D$10, 100%, $F$10)</f>
        <v>6.3558000000000003</v>
      </c>
      <c r="K210" s="4"/>
      <c r="L210" s="9">
        <v>29.306000000000001</v>
      </c>
      <c r="M210" s="9">
        <v>12.063700000000001</v>
      </c>
      <c r="N210" s="9">
        <v>4.9444999999999997</v>
      </c>
      <c r="O210" s="9">
        <v>0.37409999999999999</v>
      </c>
      <c r="P210" s="9">
        <v>1.2927</v>
      </c>
      <c r="Q210" s="9">
        <v>30.8704</v>
      </c>
      <c r="R210" s="9"/>
      <c r="S210" s="11"/>
    </row>
    <row r="211" spans="1:19" ht="15.75">
      <c r="A211" s="13">
        <v>48305</v>
      </c>
      <c r="B211" s="8">
        <f>6.7056 * CHOOSE(CONTROL!$C$14, $D$10, 100%, $F$10)</f>
        <v>6.7055999999999996</v>
      </c>
      <c r="C211" s="8">
        <f>6.7101 * CHOOSE(CONTROL!$C$14, $D$10, 100%, $F$10)</f>
        <v>6.7100999999999997</v>
      </c>
      <c r="D211" s="8">
        <f>6.7196 * CHOOSE( CONTROL!$C$14, $D$10, 100%, $F$10)</f>
        <v>6.7195999999999998</v>
      </c>
      <c r="E211" s="12">
        <f>6.7159 * CHOOSE( CONTROL!$C$14, $D$10, 100%, $F$10)</f>
        <v>6.7159000000000004</v>
      </c>
      <c r="F211" s="4">
        <f>7.3885 * CHOOSE(CONTROL!$C$14, $D$10, 100%, $F$10)</f>
        <v>7.3884999999999996</v>
      </c>
      <c r="G211" s="8">
        <f>6.5648 * CHOOSE( CONTROL!$C$14, $D$10, 100%, $F$10)</f>
        <v>6.5648</v>
      </c>
      <c r="H211" s="4">
        <f>7.4947 * CHOOSE(CONTROL!$C$14, $D$10, 100%, $F$10)</f>
        <v>7.4946999999999999</v>
      </c>
      <c r="I211" s="8">
        <f>6.5457 * CHOOSE(CONTROL!$C$14, $D$10, 100%, $F$10)</f>
        <v>6.5457000000000001</v>
      </c>
      <c r="J211" s="4">
        <f>6.4524 * CHOOSE(CONTROL!$C$14, $D$10, 100%, $F$10)</f>
        <v>6.4523999999999999</v>
      </c>
      <c r="K211" s="4"/>
      <c r="L211" s="9">
        <v>30.092199999999998</v>
      </c>
      <c r="M211" s="9">
        <v>11.6745</v>
      </c>
      <c r="N211" s="9">
        <v>4.7850000000000001</v>
      </c>
      <c r="O211" s="9">
        <v>0.36199999999999999</v>
      </c>
      <c r="P211" s="9">
        <v>1.1791</v>
      </c>
      <c r="Q211" s="9">
        <v>29.874600000000001</v>
      </c>
      <c r="R211" s="9"/>
      <c r="S211" s="11"/>
    </row>
    <row r="212" spans="1:19" ht="15.75">
      <c r="A212" s="13">
        <v>48335</v>
      </c>
      <c r="B212" s="8">
        <f>CHOOSE( CONTROL!$C$31, 6.8877, 6.8848) * CHOOSE(CONTROL!$C$14, $D$10, 100%, $F$10)</f>
        <v>6.8876999999999997</v>
      </c>
      <c r="C212" s="8">
        <f>CHOOSE( CONTROL!$C$31, 6.8957, 6.8928) * CHOOSE(CONTROL!$C$14, $D$10, 100%, $F$10)</f>
        <v>6.8956999999999997</v>
      </c>
      <c r="D212" s="8">
        <f>CHOOSE( CONTROL!$C$31, 6.9003, 6.8974) * CHOOSE( CONTROL!$C$14, $D$10, 100%, $F$10)</f>
        <v>6.9002999999999997</v>
      </c>
      <c r="E212" s="12">
        <f>CHOOSE( CONTROL!$C$31, 6.8974, 6.8945) * CHOOSE( CONTROL!$C$14, $D$10, 100%, $F$10)</f>
        <v>6.8974000000000002</v>
      </c>
      <c r="F212" s="4">
        <f>CHOOSE( CONTROL!$C$31, 7.5692, 7.5663) * CHOOSE(CONTROL!$C$14, $D$10, 100%, $F$10)</f>
        <v>7.5692000000000004</v>
      </c>
      <c r="G212" s="8">
        <f>CHOOSE( CONTROL!$C$31, 6.7435, 6.7406) * CHOOSE( CONTROL!$C$14, $D$10, 100%, $F$10)</f>
        <v>6.7435</v>
      </c>
      <c r="H212" s="4">
        <f>CHOOSE( CONTROL!$C$31, 7.6725, 7.6696) * CHOOSE(CONTROL!$C$14, $D$10, 100%, $F$10)</f>
        <v>7.6725000000000003</v>
      </c>
      <c r="I212" s="8">
        <f>CHOOSE( CONTROL!$C$31, 6.7216, 6.7187) * CHOOSE(CONTROL!$C$14, $D$10, 100%, $F$10)</f>
        <v>6.7215999999999996</v>
      </c>
      <c r="J212" s="4">
        <f>CHOOSE( CONTROL!$C$31, 6.6271, 6.6243) * CHOOSE(CONTROL!$C$14, $D$10, 100%, $F$10)</f>
        <v>6.6271000000000004</v>
      </c>
      <c r="K212" s="4"/>
      <c r="L212" s="9">
        <v>30.7165</v>
      </c>
      <c r="M212" s="9">
        <v>12.063700000000001</v>
      </c>
      <c r="N212" s="9">
        <v>4.9444999999999997</v>
      </c>
      <c r="O212" s="9">
        <v>0.37409999999999999</v>
      </c>
      <c r="P212" s="9">
        <v>1.2183999999999999</v>
      </c>
      <c r="Q212" s="9">
        <v>30.8704</v>
      </c>
      <c r="R212" s="9"/>
      <c r="S212" s="11"/>
    </row>
    <row r="213" spans="1:19" ht="15.75">
      <c r="A213" s="13">
        <v>48366</v>
      </c>
      <c r="B213" s="8">
        <f>CHOOSE( CONTROL!$C$31, 6.7775, 6.7746) * CHOOSE(CONTROL!$C$14, $D$10, 100%, $F$10)</f>
        <v>6.7774999999999999</v>
      </c>
      <c r="C213" s="8">
        <f>CHOOSE( CONTROL!$C$31, 6.7855, 6.7826) * CHOOSE(CONTROL!$C$14, $D$10, 100%, $F$10)</f>
        <v>6.7854999999999999</v>
      </c>
      <c r="D213" s="8">
        <f>CHOOSE( CONTROL!$C$31, 6.7904, 6.7875) * CHOOSE( CONTROL!$C$14, $D$10, 100%, $F$10)</f>
        <v>6.7904</v>
      </c>
      <c r="E213" s="12">
        <f>CHOOSE( CONTROL!$C$31, 6.7874, 6.7845) * CHOOSE( CONTROL!$C$14, $D$10, 100%, $F$10)</f>
        <v>6.7873999999999999</v>
      </c>
      <c r="F213" s="4">
        <f>CHOOSE( CONTROL!$C$31, 7.4591, 7.4561) * CHOOSE(CONTROL!$C$14, $D$10, 100%, $F$10)</f>
        <v>7.4591000000000003</v>
      </c>
      <c r="G213" s="8">
        <f>CHOOSE( CONTROL!$C$31, 6.6355, 6.6326) * CHOOSE( CONTROL!$C$14, $D$10, 100%, $F$10)</f>
        <v>6.6355000000000004</v>
      </c>
      <c r="H213" s="4">
        <f>CHOOSE( CONTROL!$C$31, 7.5642, 7.5613) * CHOOSE(CONTROL!$C$14, $D$10, 100%, $F$10)</f>
        <v>7.5641999999999996</v>
      </c>
      <c r="I213" s="8">
        <f>CHOOSE( CONTROL!$C$31, 6.6163, 6.6134) * CHOOSE(CONTROL!$C$14, $D$10, 100%, $F$10)</f>
        <v>6.6162999999999998</v>
      </c>
      <c r="J213" s="4">
        <f>CHOOSE( CONTROL!$C$31, 6.5206, 6.5178) * CHOOSE(CONTROL!$C$14, $D$10, 100%, $F$10)</f>
        <v>6.5206</v>
      </c>
      <c r="K213" s="4"/>
      <c r="L213" s="9">
        <v>29.7257</v>
      </c>
      <c r="M213" s="9">
        <v>11.6745</v>
      </c>
      <c r="N213" s="9">
        <v>4.7850000000000001</v>
      </c>
      <c r="O213" s="9">
        <v>0.36199999999999999</v>
      </c>
      <c r="P213" s="9">
        <v>1.1791</v>
      </c>
      <c r="Q213" s="9">
        <v>29.874600000000001</v>
      </c>
      <c r="R213" s="9"/>
      <c r="S213" s="11"/>
    </row>
    <row r="214" spans="1:19" ht="15.75">
      <c r="A214" s="13">
        <v>48396</v>
      </c>
      <c r="B214" s="8">
        <f>CHOOSE( CONTROL!$C$31, 7.0677, 7.0647) * CHOOSE(CONTROL!$C$14, $D$10, 100%, $F$10)</f>
        <v>7.0677000000000003</v>
      </c>
      <c r="C214" s="8">
        <f>CHOOSE( CONTROL!$C$31, 7.0757, 7.0727) * CHOOSE(CONTROL!$C$14, $D$10, 100%, $F$10)</f>
        <v>7.0757000000000003</v>
      </c>
      <c r="D214" s="8">
        <f>CHOOSE( CONTROL!$C$31, 7.0808, 7.0779) * CHOOSE( CONTROL!$C$14, $D$10, 100%, $F$10)</f>
        <v>7.0808</v>
      </c>
      <c r="E214" s="12">
        <f>CHOOSE( CONTROL!$C$31, 7.0777, 7.0748) * CHOOSE( CONTROL!$C$14, $D$10, 100%, $F$10)</f>
        <v>7.0777000000000001</v>
      </c>
      <c r="F214" s="4">
        <f>CHOOSE( CONTROL!$C$31, 7.7492, 7.7463) * CHOOSE(CONTROL!$C$14, $D$10, 100%, $F$10)</f>
        <v>7.7492000000000001</v>
      </c>
      <c r="G214" s="8">
        <f>CHOOSE( CONTROL!$C$31, 6.9212, 6.9183) * CHOOSE( CONTROL!$C$14, $D$10, 100%, $F$10)</f>
        <v>6.9211999999999998</v>
      </c>
      <c r="H214" s="4">
        <f>CHOOSE( CONTROL!$C$31, 7.8495, 7.8466) * CHOOSE(CONTROL!$C$14, $D$10, 100%, $F$10)</f>
        <v>7.8494999999999999</v>
      </c>
      <c r="I214" s="8">
        <f>CHOOSE( CONTROL!$C$31, 6.898, 6.8952) * CHOOSE(CONTROL!$C$14, $D$10, 100%, $F$10)</f>
        <v>6.8979999999999997</v>
      </c>
      <c r="J214" s="4">
        <f>CHOOSE( CONTROL!$C$31, 6.8011, 6.7982) * CHOOSE(CONTROL!$C$14, $D$10, 100%, $F$10)</f>
        <v>6.8010999999999999</v>
      </c>
      <c r="K214" s="4"/>
      <c r="L214" s="9">
        <v>30.7165</v>
      </c>
      <c r="M214" s="9">
        <v>12.063700000000001</v>
      </c>
      <c r="N214" s="9">
        <v>4.9444999999999997</v>
      </c>
      <c r="O214" s="9">
        <v>0.37409999999999999</v>
      </c>
      <c r="P214" s="9">
        <v>1.2183999999999999</v>
      </c>
      <c r="Q214" s="9">
        <v>30.8704</v>
      </c>
      <c r="R214" s="9"/>
      <c r="S214" s="11"/>
    </row>
    <row r="215" spans="1:19" ht="15.75">
      <c r="A215" s="13">
        <v>48427</v>
      </c>
      <c r="B215" s="8">
        <f>CHOOSE( CONTROL!$C$31, 6.5248, 6.5219) * CHOOSE(CONTROL!$C$14, $D$10, 100%, $F$10)</f>
        <v>6.5247999999999999</v>
      </c>
      <c r="C215" s="8">
        <f>CHOOSE( CONTROL!$C$31, 6.5328, 6.5299) * CHOOSE(CONTROL!$C$14, $D$10, 100%, $F$10)</f>
        <v>6.5327999999999999</v>
      </c>
      <c r="D215" s="8">
        <f>CHOOSE( CONTROL!$C$31, 6.538, 6.5351) * CHOOSE( CONTROL!$C$14, $D$10, 100%, $F$10)</f>
        <v>6.5380000000000003</v>
      </c>
      <c r="E215" s="12">
        <f>CHOOSE( CONTROL!$C$31, 6.5349, 6.532) * CHOOSE( CONTROL!$C$14, $D$10, 100%, $F$10)</f>
        <v>6.5349000000000004</v>
      </c>
      <c r="F215" s="4">
        <f>CHOOSE( CONTROL!$C$31, 7.2063, 7.2034) * CHOOSE(CONTROL!$C$14, $D$10, 100%, $F$10)</f>
        <v>7.2062999999999997</v>
      </c>
      <c r="G215" s="8">
        <f>CHOOSE( CONTROL!$C$31, 6.3875, 6.3846) * CHOOSE( CONTROL!$C$14, $D$10, 100%, $F$10)</f>
        <v>6.3875000000000002</v>
      </c>
      <c r="H215" s="4">
        <f>CHOOSE( CONTROL!$C$31, 7.3156, 7.3127) * CHOOSE(CONTROL!$C$14, $D$10, 100%, $F$10)</f>
        <v>7.3155999999999999</v>
      </c>
      <c r="I215" s="8">
        <f>CHOOSE( CONTROL!$C$31, 6.3734, 6.3705) * CHOOSE(CONTROL!$C$14, $D$10, 100%, $F$10)</f>
        <v>6.3734000000000002</v>
      </c>
      <c r="J215" s="4">
        <f>CHOOSE( CONTROL!$C$31, 6.2763, 6.2735) * CHOOSE(CONTROL!$C$14, $D$10, 100%, $F$10)</f>
        <v>6.2763</v>
      </c>
      <c r="K215" s="4"/>
      <c r="L215" s="9">
        <v>30.7165</v>
      </c>
      <c r="M215" s="9">
        <v>12.063700000000001</v>
      </c>
      <c r="N215" s="9">
        <v>4.9444999999999997</v>
      </c>
      <c r="O215" s="9">
        <v>0.37409999999999999</v>
      </c>
      <c r="P215" s="9">
        <v>1.2183999999999999</v>
      </c>
      <c r="Q215" s="9">
        <v>30.8704</v>
      </c>
      <c r="R215" s="9"/>
      <c r="S215" s="11"/>
    </row>
    <row r="216" spans="1:19" ht="15.75">
      <c r="A216" s="13">
        <v>48458</v>
      </c>
      <c r="B216" s="8">
        <f>CHOOSE( CONTROL!$C$31, 6.3889, 6.3859) * CHOOSE(CONTROL!$C$14, $D$10, 100%, $F$10)</f>
        <v>6.3888999999999996</v>
      </c>
      <c r="C216" s="8">
        <f>CHOOSE( CONTROL!$C$31, 6.3969, 6.394) * CHOOSE(CONTROL!$C$14, $D$10, 100%, $F$10)</f>
        <v>6.3968999999999996</v>
      </c>
      <c r="D216" s="8">
        <f>CHOOSE( CONTROL!$C$31, 6.4021, 6.3991) * CHOOSE( CONTROL!$C$14, $D$10, 100%, $F$10)</f>
        <v>6.4020999999999999</v>
      </c>
      <c r="E216" s="12">
        <f>CHOOSE( CONTROL!$C$31, 6.399, 6.396) * CHOOSE( CONTROL!$C$14, $D$10, 100%, $F$10)</f>
        <v>6.399</v>
      </c>
      <c r="F216" s="4">
        <f>CHOOSE( CONTROL!$C$31, 7.0704, 7.0675) * CHOOSE(CONTROL!$C$14, $D$10, 100%, $F$10)</f>
        <v>7.0704000000000002</v>
      </c>
      <c r="G216" s="8">
        <f>CHOOSE( CONTROL!$C$31, 6.2538, 6.2509) * CHOOSE( CONTROL!$C$14, $D$10, 100%, $F$10)</f>
        <v>6.2538</v>
      </c>
      <c r="H216" s="4">
        <f>CHOOSE( CONTROL!$C$31, 7.1819, 7.1791) * CHOOSE(CONTROL!$C$14, $D$10, 100%, $F$10)</f>
        <v>7.1818999999999997</v>
      </c>
      <c r="I216" s="8">
        <f>CHOOSE( CONTROL!$C$31, 6.2418, 6.239) * CHOOSE(CONTROL!$C$14, $D$10, 100%, $F$10)</f>
        <v>6.2417999999999996</v>
      </c>
      <c r="J216" s="4">
        <f>CHOOSE( CONTROL!$C$31, 6.1449, 6.1421) * CHOOSE(CONTROL!$C$14, $D$10, 100%, $F$10)</f>
        <v>6.1448999999999998</v>
      </c>
      <c r="K216" s="4"/>
      <c r="L216" s="9">
        <v>29.7257</v>
      </c>
      <c r="M216" s="9">
        <v>11.6745</v>
      </c>
      <c r="N216" s="9">
        <v>4.7850000000000001</v>
      </c>
      <c r="O216" s="9">
        <v>0.36199999999999999</v>
      </c>
      <c r="P216" s="9">
        <v>1.1791</v>
      </c>
      <c r="Q216" s="9">
        <v>29.874600000000001</v>
      </c>
      <c r="R216" s="9"/>
      <c r="S216" s="11"/>
    </row>
    <row r="217" spans="1:19" ht="15.75">
      <c r="A217" s="13">
        <v>48488</v>
      </c>
      <c r="B217" s="8">
        <f>6.6665 * CHOOSE(CONTROL!$C$14, $D$10, 100%, $F$10)</f>
        <v>6.6665000000000001</v>
      </c>
      <c r="C217" s="8">
        <f>6.6718 * CHOOSE(CONTROL!$C$14, $D$10, 100%, $F$10)</f>
        <v>6.6718000000000002</v>
      </c>
      <c r="D217" s="8">
        <f>6.6818 * CHOOSE( CONTROL!$C$14, $D$10, 100%, $F$10)</f>
        <v>6.6818</v>
      </c>
      <c r="E217" s="12">
        <f>6.6779 * CHOOSE( CONTROL!$C$14, $D$10, 100%, $F$10)</f>
        <v>6.6779000000000002</v>
      </c>
      <c r="F217" s="4">
        <f>7.3497 * CHOOSE(CONTROL!$C$14, $D$10, 100%, $F$10)</f>
        <v>7.3497000000000003</v>
      </c>
      <c r="G217" s="8">
        <f>6.5281 * CHOOSE( CONTROL!$C$14, $D$10, 100%, $F$10)</f>
        <v>6.5281000000000002</v>
      </c>
      <c r="H217" s="4">
        <f>7.4566 * CHOOSE(CONTROL!$C$14, $D$10, 100%, $F$10)</f>
        <v>7.4565999999999999</v>
      </c>
      <c r="I217" s="8">
        <f>6.5128 * CHOOSE(CONTROL!$C$14, $D$10, 100%, $F$10)</f>
        <v>6.5128000000000004</v>
      </c>
      <c r="J217" s="4">
        <f>6.4149 * CHOOSE(CONTROL!$C$14, $D$10, 100%, $F$10)</f>
        <v>6.4149000000000003</v>
      </c>
      <c r="K217" s="4"/>
      <c r="L217" s="9">
        <v>31.095300000000002</v>
      </c>
      <c r="M217" s="9">
        <v>12.063700000000001</v>
      </c>
      <c r="N217" s="9">
        <v>4.9444999999999997</v>
      </c>
      <c r="O217" s="9">
        <v>0.37409999999999999</v>
      </c>
      <c r="P217" s="9">
        <v>1.2183999999999999</v>
      </c>
      <c r="Q217" s="9">
        <v>30.8704</v>
      </c>
      <c r="R217" s="9"/>
      <c r="S217" s="11"/>
    </row>
    <row r="218" spans="1:19" ht="15.75">
      <c r="A218" s="13">
        <v>48519</v>
      </c>
      <c r="B218" s="8">
        <f>7.187 * CHOOSE(CONTROL!$C$14, $D$10, 100%, $F$10)</f>
        <v>7.1870000000000003</v>
      </c>
      <c r="C218" s="8">
        <f>7.1922 * CHOOSE(CONTROL!$C$14, $D$10, 100%, $F$10)</f>
        <v>7.1921999999999997</v>
      </c>
      <c r="D218" s="8">
        <f>7.1684 * CHOOSE( CONTROL!$C$14, $D$10, 100%, $F$10)</f>
        <v>7.1684000000000001</v>
      </c>
      <c r="E218" s="12">
        <f>7.1765 * CHOOSE( CONTROL!$C$14, $D$10, 100%, $F$10)</f>
        <v>7.1764999999999999</v>
      </c>
      <c r="F218" s="4">
        <f>7.8345 * CHOOSE(CONTROL!$C$14, $D$10, 100%, $F$10)</f>
        <v>7.8345000000000002</v>
      </c>
      <c r="G218" s="8">
        <f>7.0502 * CHOOSE( CONTROL!$C$14, $D$10, 100%, $F$10)</f>
        <v>7.0502000000000002</v>
      </c>
      <c r="H218" s="4">
        <f>7.9334 * CHOOSE(CONTROL!$C$14, $D$10, 100%, $F$10)</f>
        <v>7.9333999999999998</v>
      </c>
      <c r="I218" s="8">
        <f>7.0472 * CHOOSE(CONTROL!$C$14, $D$10, 100%, $F$10)</f>
        <v>7.0472000000000001</v>
      </c>
      <c r="J218" s="4">
        <f>6.9185 * CHOOSE(CONTROL!$C$14, $D$10, 100%, $F$10)</f>
        <v>6.9184999999999999</v>
      </c>
      <c r="K218" s="4"/>
      <c r="L218" s="9">
        <v>28.360600000000002</v>
      </c>
      <c r="M218" s="9">
        <v>11.6745</v>
      </c>
      <c r="N218" s="9">
        <v>4.7850000000000001</v>
      </c>
      <c r="O218" s="9">
        <v>0.36199999999999999</v>
      </c>
      <c r="P218" s="9">
        <v>1.2509999999999999</v>
      </c>
      <c r="Q218" s="9">
        <v>29.874600000000001</v>
      </c>
      <c r="R218" s="9"/>
      <c r="S218" s="11"/>
    </row>
    <row r="219" spans="1:19" ht="15.75">
      <c r="A219" s="13">
        <v>48549</v>
      </c>
      <c r="B219" s="8">
        <f>7.174 * CHOOSE(CONTROL!$C$14, $D$10, 100%, $F$10)</f>
        <v>7.1740000000000004</v>
      </c>
      <c r="C219" s="8">
        <f>7.1791 * CHOOSE(CONTROL!$C$14, $D$10, 100%, $F$10)</f>
        <v>7.1791</v>
      </c>
      <c r="D219" s="8">
        <f>7.1567 * CHOOSE( CONTROL!$C$14, $D$10, 100%, $F$10)</f>
        <v>7.1566999999999998</v>
      </c>
      <c r="E219" s="12">
        <f>7.1643 * CHOOSE( CONTROL!$C$14, $D$10, 100%, $F$10)</f>
        <v>7.1642999999999999</v>
      </c>
      <c r="F219" s="4">
        <f>7.8215 * CHOOSE(CONTROL!$C$14, $D$10, 100%, $F$10)</f>
        <v>7.8215000000000003</v>
      </c>
      <c r="G219" s="8">
        <f>7.0384 * CHOOSE( CONTROL!$C$14, $D$10, 100%, $F$10)</f>
        <v>7.0384000000000002</v>
      </c>
      <c r="H219" s="4">
        <f>7.9206 * CHOOSE(CONTROL!$C$14, $D$10, 100%, $F$10)</f>
        <v>7.9206000000000003</v>
      </c>
      <c r="I219" s="8">
        <f>7.039 * CHOOSE(CONTROL!$C$14, $D$10, 100%, $F$10)</f>
        <v>7.0389999999999997</v>
      </c>
      <c r="J219" s="4">
        <f>6.906 * CHOOSE(CONTROL!$C$14, $D$10, 100%, $F$10)</f>
        <v>6.9059999999999997</v>
      </c>
      <c r="K219" s="4"/>
      <c r="L219" s="9">
        <v>29.306000000000001</v>
      </c>
      <c r="M219" s="9">
        <v>12.063700000000001</v>
      </c>
      <c r="N219" s="9">
        <v>4.9444999999999997</v>
      </c>
      <c r="O219" s="9">
        <v>0.37409999999999999</v>
      </c>
      <c r="P219" s="9">
        <v>1.2927</v>
      </c>
      <c r="Q219" s="9">
        <v>30.8704</v>
      </c>
      <c r="R219" s="9"/>
      <c r="S219" s="11"/>
    </row>
    <row r="220" spans="1:19" ht="15.75">
      <c r="A220" s="13">
        <v>48580</v>
      </c>
      <c r="B220" s="8">
        <f>7.4308 * CHOOSE(CONTROL!$C$14, $D$10, 100%, $F$10)</f>
        <v>7.4307999999999996</v>
      </c>
      <c r="C220" s="8">
        <f>7.4359 * CHOOSE(CONTROL!$C$14, $D$10, 100%, $F$10)</f>
        <v>7.4359000000000002</v>
      </c>
      <c r="D220" s="8">
        <f>7.4317 * CHOOSE( CONTROL!$C$14, $D$10, 100%, $F$10)</f>
        <v>7.4317000000000002</v>
      </c>
      <c r="E220" s="12">
        <f>7.4327 * CHOOSE( CONTROL!$C$14, $D$10, 100%, $F$10)</f>
        <v>7.4326999999999996</v>
      </c>
      <c r="F220" s="4">
        <f>8.1093 * CHOOSE(CONTROL!$C$14, $D$10, 100%, $F$10)</f>
        <v>8.1092999999999993</v>
      </c>
      <c r="G220" s="8">
        <f>7.3052 * CHOOSE( CONTROL!$C$14, $D$10, 100%, $F$10)</f>
        <v>7.3052000000000001</v>
      </c>
      <c r="H220" s="4">
        <f>8.2036 * CHOOSE(CONTROL!$C$14, $D$10, 100%, $F$10)</f>
        <v>8.2035999999999998</v>
      </c>
      <c r="I220" s="8">
        <f>7.2663 * CHOOSE(CONTROL!$C$14, $D$10, 100%, $F$10)</f>
        <v>7.2663000000000002</v>
      </c>
      <c r="J220" s="4">
        <f>7.1542 * CHOOSE(CONTROL!$C$14, $D$10, 100%, $F$10)</f>
        <v>7.1542000000000003</v>
      </c>
      <c r="K220" s="4"/>
      <c r="L220" s="9">
        <v>29.306000000000001</v>
      </c>
      <c r="M220" s="9">
        <v>12.063700000000001</v>
      </c>
      <c r="N220" s="9">
        <v>4.9444999999999997</v>
      </c>
      <c r="O220" s="9">
        <v>0.37409999999999999</v>
      </c>
      <c r="P220" s="9">
        <v>1.2927</v>
      </c>
      <c r="Q220" s="9">
        <v>30.773700000000002</v>
      </c>
      <c r="R220" s="9"/>
      <c r="S220" s="11"/>
    </row>
    <row r="221" spans="1:19" ht="15.75">
      <c r="A221" s="13">
        <v>48611</v>
      </c>
      <c r="B221" s="8">
        <f>6.9524 * CHOOSE(CONTROL!$C$14, $D$10, 100%, $F$10)</f>
        <v>6.9523999999999999</v>
      </c>
      <c r="C221" s="8">
        <f>6.9575 * CHOOSE(CONTROL!$C$14, $D$10, 100%, $F$10)</f>
        <v>6.9574999999999996</v>
      </c>
      <c r="D221" s="8">
        <f>6.9474 * CHOOSE( CONTROL!$C$14, $D$10, 100%, $F$10)</f>
        <v>6.9474</v>
      </c>
      <c r="E221" s="12">
        <f>6.9505 * CHOOSE( CONTROL!$C$14, $D$10, 100%, $F$10)</f>
        <v>6.9504999999999999</v>
      </c>
      <c r="F221" s="4">
        <f>7.605 * CHOOSE(CONTROL!$C$14, $D$10, 100%, $F$10)</f>
        <v>7.6050000000000004</v>
      </c>
      <c r="G221" s="8">
        <f>6.8266 * CHOOSE( CONTROL!$C$14, $D$10, 100%, $F$10)</f>
        <v>6.8266</v>
      </c>
      <c r="H221" s="4">
        <f>7.7077 * CHOOSE(CONTROL!$C$14, $D$10, 100%, $F$10)</f>
        <v>7.7077</v>
      </c>
      <c r="I221" s="8">
        <f>6.7943 * CHOOSE(CONTROL!$C$14, $D$10, 100%, $F$10)</f>
        <v>6.7942999999999998</v>
      </c>
      <c r="J221" s="4">
        <f>6.6917 * CHOOSE(CONTROL!$C$14, $D$10, 100%, $F$10)</f>
        <v>6.6917</v>
      </c>
      <c r="K221" s="4"/>
      <c r="L221" s="9">
        <v>26.469899999999999</v>
      </c>
      <c r="M221" s="9">
        <v>10.8962</v>
      </c>
      <c r="N221" s="9">
        <v>4.4660000000000002</v>
      </c>
      <c r="O221" s="9">
        <v>0.33789999999999998</v>
      </c>
      <c r="P221" s="9">
        <v>1.1676</v>
      </c>
      <c r="Q221" s="9">
        <v>27.7956</v>
      </c>
      <c r="R221" s="9"/>
      <c r="S221" s="11"/>
    </row>
    <row r="222" spans="1:19" ht="15.75">
      <c r="A222" s="13">
        <v>48639</v>
      </c>
      <c r="B222" s="8">
        <f>6.805 * CHOOSE(CONTROL!$C$14, $D$10, 100%, $F$10)</f>
        <v>6.8049999999999997</v>
      </c>
      <c r="C222" s="8">
        <f>6.8101 * CHOOSE(CONTROL!$C$14, $D$10, 100%, $F$10)</f>
        <v>6.8101000000000003</v>
      </c>
      <c r="D222" s="8">
        <f>6.7935 * CHOOSE( CONTROL!$C$14, $D$10, 100%, $F$10)</f>
        <v>6.7934999999999999</v>
      </c>
      <c r="E222" s="12">
        <f>6.799 * CHOOSE( CONTROL!$C$14, $D$10, 100%, $F$10)</f>
        <v>6.7990000000000004</v>
      </c>
      <c r="F222" s="4">
        <f>7.4577 * CHOOSE(CONTROL!$C$14, $D$10, 100%, $F$10)</f>
        <v>7.4577</v>
      </c>
      <c r="G222" s="8">
        <f>6.6735 * CHOOSE( CONTROL!$C$14, $D$10, 100%, $F$10)</f>
        <v>6.6734999999999998</v>
      </c>
      <c r="H222" s="4">
        <f>7.5628 * CHOOSE(CONTROL!$C$14, $D$10, 100%, $F$10)</f>
        <v>7.5628000000000002</v>
      </c>
      <c r="I222" s="8">
        <f>6.6316 * CHOOSE(CONTROL!$C$14, $D$10, 100%, $F$10)</f>
        <v>6.6315999999999997</v>
      </c>
      <c r="J222" s="4">
        <f>6.5492 * CHOOSE(CONTROL!$C$14, $D$10, 100%, $F$10)</f>
        <v>6.5491999999999999</v>
      </c>
      <c r="K222" s="4"/>
      <c r="L222" s="9">
        <v>29.306000000000001</v>
      </c>
      <c r="M222" s="9">
        <v>12.063700000000001</v>
      </c>
      <c r="N222" s="9">
        <v>4.9444999999999997</v>
      </c>
      <c r="O222" s="9">
        <v>0.37409999999999999</v>
      </c>
      <c r="P222" s="9">
        <v>1.2927</v>
      </c>
      <c r="Q222" s="9">
        <v>30.773700000000002</v>
      </c>
      <c r="R222" s="9"/>
      <c r="S222" s="11"/>
    </row>
    <row r="223" spans="1:19" ht="15.75">
      <c r="A223" s="13">
        <v>48670</v>
      </c>
      <c r="B223" s="8">
        <f>6.9087 * CHOOSE(CONTROL!$C$14, $D$10, 100%, $F$10)</f>
        <v>6.9086999999999996</v>
      </c>
      <c r="C223" s="8">
        <f>6.9133 * CHOOSE(CONTROL!$C$14, $D$10, 100%, $F$10)</f>
        <v>6.9132999999999996</v>
      </c>
      <c r="D223" s="8">
        <f>6.9228 * CHOOSE( CONTROL!$C$14, $D$10, 100%, $F$10)</f>
        <v>6.9227999999999996</v>
      </c>
      <c r="E223" s="12">
        <f>6.9191 * CHOOSE( CONTROL!$C$14, $D$10, 100%, $F$10)</f>
        <v>6.9191000000000003</v>
      </c>
      <c r="F223" s="4">
        <f>7.5917 * CHOOSE(CONTROL!$C$14, $D$10, 100%, $F$10)</f>
        <v>7.5917000000000003</v>
      </c>
      <c r="G223" s="8">
        <f>6.7646 * CHOOSE( CONTROL!$C$14, $D$10, 100%, $F$10)</f>
        <v>6.7645999999999997</v>
      </c>
      <c r="H223" s="4">
        <f>7.6945 * CHOOSE(CONTROL!$C$14, $D$10, 100%, $F$10)</f>
        <v>7.6944999999999997</v>
      </c>
      <c r="I223" s="8">
        <f>6.7422 * CHOOSE(CONTROL!$C$14, $D$10, 100%, $F$10)</f>
        <v>6.7422000000000004</v>
      </c>
      <c r="J223" s="4">
        <f>6.6488 * CHOOSE(CONTROL!$C$14, $D$10, 100%, $F$10)</f>
        <v>6.6487999999999996</v>
      </c>
      <c r="K223" s="4"/>
      <c r="L223" s="9">
        <v>30.092199999999998</v>
      </c>
      <c r="M223" s="9">
        <v>11.6745</v>
      </c>
      <c r="N223" s="9">
        <v>4.7850000000000001</v>
      </c>
      <c r="O223" s="9">
        <v>0.36199999999999999</v>
      </c>
      <c r="P223" s="9">
        <v>1.1791</v>
      </c>
      <c r="Q223" s="9">
        <v>29.780999999999999</v>
      </c>
      <c r="R223" s="9"/>
      <c r="S223" s="11"/>
    </row>
    <row r="224" spans="1:19" ht="15.75">
      <c r="A224" s="13">
        <v>48700</v>
      </c>
      <c r="B224" s="8">
        <f>CHOOSE( CONTROL!$C$31, 7.0963, 7.0934) * CHOOSE(CONTROL!$C$14, $D$10, 100%, $F$10)</f>
        <v>7.0963000000000003</v>
      </c>
      <c r="C224" s="8">
        <f>CHOOSE( CONTROL!$C$31, 7.1043, 7.1014) * CHOOSE(CONTROL!$C$14, $D$10, 100%, $F$10)</f>
        <v>7.1043000000000003</v>
      </c>
      <c r="D224" s="8">
        <f>CHOOSE( CONTROL!$C$31, 7.1089, 7.106) * CHOOSE( CONTROL!$C$14, $D$10, 100%, $F$10)</f>
        <v>7.1089000000000002</v>
      </c>
      <c r="E224" s="12">
        <f>CHOOSE( CONTROL!$C$31, 7.106, 7.1031) * CHOOSE( CONTROL!$C$14, $D$10, 100%, $F$10)</f>
        <v>7.1059999999999999</v>
      </c>
      <c r="F224" s="4">
        <f>CHOOSE( CONTROL!$C$31, 7.7778, 7.7749) * CHOOSE(CONTROL!$C$14, $D$10, 100%, $F$10)</f>
        <v>7.7778</v>
      </c>
      <c r="G224" s="8">
        <f>CHOOSE( CONTROL!$C$31, 6.9486, 6.9457) * CHOOSE( CONTROL!$C$14, $D$10, 100%, $F$10)</f>
        <v>6.9485999999999999</v>
      </c>
      <c r="H224" s="4">
        <f>CHOOSE( CONTROL!$C$31, 7.8776, 7.8748) * CHOOSE(CONTROL!$C$14, $D$10, 100%, $F$10)</f>
        <v>7.8776000000000002</v>
      </c>
      <c r="I224" s="8">
        <f>CHOOSE( CONTROL!$C$31, 6.9233, 6.9205) * CHOOSE(CONTROL!$C$14, $D$10, 100%, $F$10)</f>
        <v>6.9233000000000002</v>
      </c>
      <c r="J224" s="4">
        <f>CHOOSE( CONTROL!$C$31, 6.8288, 6.8259) * CHOOSE(CONTROL!$C$14, $D$10, 100%, $F$10)</f>
        <v>6.8288000000000002</v>
      </c>
      <c r="K224" s="4"/>
      <c r="L224" s="9">
        <v>30.7165</v>
      </c>
      <c r="M224" s="9">
        <v>12.063700000000001</v>
      </c>
      <c r="N224" s="9">
        <v>4.9444999999999997</v>
      </c>
      <c r="O224" s="9">
        <v>0.37409999999999999</v>
      </c>
      <c r="P224" s="9">
        <v>1.2183999999999999</v>
      </c>
      <c r="Q224" s="9">
        <v>30.773700000000002</v>
      </c>
      <c r="R224" s="9"/>
      <c r="S224" s="11"/>
    </row>
    <row r="225" spans="1:19" ht="15.75">
      <c r="A225" s="13">
        <v>48731</v>
      </c>
      <c r="B225" s="8">
        <f>CHOOSE( CONTROL!$C$31, 6.9828, 6.9798) * CHOOSE(CONTROL!$C$14, $D$10, 100%, $F$10)</f>
        <v>6.9828000000000001</v>
      </c>
      <c r="C225" s="8">
        <f>CHOOSE( CONTROL!$C$31, 6.9908, 6.9879) * CHOOSE(CONTROL!$C$14, $D$10, 100%, $F$10)</f>
        <v>6.9908000000000001</v>
      </c>
      <c r="D225" s="8">
        <f>CHOOSE( CONTROL!$C$31, 6.9957, 6.9927) * CHOOSE( CONTROL!$C$14, $D$10, 100%, $F$10)</f>
        <v>6.9957000000000003</v>
      </c>
      <c r="E225" s="12">
        <f>CHOOSE( CONTROL!$C$31, 6.9927, 6.9897) * CHOOSE( CONTROL!$C$14, $D$10, 100%, $F$10)</f>
        <v>6.9927000000000001</v>
      </c>
      <c r="F225" s="4">
        <f>CHOOSE( CONTROL!$C$31, 7.6643, 7.6614) * CHOOSE(CONTROL!$C$14, $D$10, 100%, $F$10)</f>
        <v>7.6642999999999999</v>
      </c>
      <c r="G225" s="8">
        <f>CHOOSE( CONTROL!$C$31, 6.8374, 6.8345) * CHOOSE( CONTROL!$C$14, $D$10, 100%, $F$10)</f>
        <v>6.8373999999999997</v>
      </c>
      <c r="H225" s="4">
        <f>CHOOSE( CONTROL!$C$31, 7.766, 7.7631) * CHOOSE(CONTROL!$C$14, $D$10, 100%, $F$10)</f>
        <v>7.766</v>
      </c>
      <c r="I225" s="8">
        <f>CHOOSE( CONTROL!$C$31, 6.8148, 6.8119) * CHOOSE(CONTROL!$C$14, $D$10, 100%, $F$10)</f>
        <v>6.8148</v>
      </c>
      <c r="J225" s="4">
        <f>CHOOSE( CONTROL!$C$31, 6.719, 6.7162) * CHOOSE(CONTROL!$C$14, $D$10, 100%, $F$10)</f>
        <v>6.7190000000000003</v>
      </c>
      <c r="K225" s="4"/>
      <c r="L225" s="9">
        <v>29.7257</v>
      </c>
      <c r="M225" s="9">
        <v>11.6745</v>
      </c>
      <c r="N225" s="9">
        <v>4.7850000000000001</v>
      </c>
      <c r="O225" s="9">
        <v>0.36199999999999999</v>
      </c>
      <c r="P225" s="9">
        <v>1.1791</v>
      </c>
      <c r="Q225" s="9">
        <v>29.780999999999999</v>
      </c>
      <c r="R225" s="9"/>
      <c r="S225" s="11"/>
    </row>
    <row r="226" spans="1:19" ht="15.75">
      <c r="A226" s="13">
        <v>48761</v>
      </c>
      <c r="B226" s="8">
        <f>CHOOSE( CONTROL!$C$31, 7.2817, 7.2788) * CHOOSE(CONTROL!$C$14, $D$10, 100%, $F$10)</f>
        <v>7.2816999999999998</v>
      </c>
      <c r="C226" s="8">
        <f>CHOOSE( CONTROL!$C$31, 7.2897, 7.2868) * CHOOSE(CONTROL!$C$14, $D$10, 100%, $F$10)</f>
        <v>7.2896999999999998</v>
      </c>
      <c r="D226" s="8">
        <f>CHOOSE( CONTROL!$C$31, 7.2949, 7.2919) * CHOOSE( CONTROL!$C$14, $D$10, 100%, $F$10)</f>
        <v>7.2949000000000002</v>
      </c>
      <c r="E226" s="12">
        <f>CHOOSE( CONTROL!$C$31, 7.2918, 7.2888) * CHOOSE( CONTROL!$C$14, $D$10, 100%, $F$10)</f>
        <v>7.2918000000000003</v>
      </c>
      <c r="F226" s="4">
        <f>CHOOSE( CONTROL!$C$31, 7.9633, 7.9603) * CHOOSE(CONTROL!$C$14, $D$10, 100%, $F$10)</f>
        <v>7.9633000000000003</v>
      </c>
      <c r="G226" s="8">
        <f>CHOOSE( CONTROL!$C$31, 7.1317, 7.1288) * CHOOSE( CONTROL!$C$14, $D$10, 100%, $F$10)</f>
        <v>7.1317000000000004</v>
      </c>
      <c r="H226" s="4">
        <f>CHOOSE( CONTROL!$C$31, 8.06, 8.0571) * CHOOSE(CONTROL!$C$14, $D$10, 100%, $F$10)</f>
        <v>8.06</v>
      </c>
      <c r="I226" s="8">
        <f>CHOOSE( CONTROL!$C$31, 7.1051, 7.1022) * CHOOSE(CONTROL!$C$14, $D$10, 100%, $F$10)</f>
        <v>7.1051000000000002</v>
      </c>
      <c r="J226" s="4">
        <f>CHOOSE( CONTROL!$C$31, 7.008, 7.0052) * CHOOSE(CONTROL!$C$14, $D$10, 100%, $F$10)</f>
        <v>7.008</v>
      </c>
      <c r="K226" s="4"/>
      <c r="L226" s="9">
        <v>30.7165</v>
      </c>
      <c r="M226" s="9">
        <v>12.063700000000001</v>
      </c>
      <c r="N226" s="9">
        <v>4.9444999999999997</v>
      </c>
      <c r="O226" s="9">
        <v>0.37409999999999999</v>
      </c>
      <c r="P226" s="9">
        <v>1.2183999999999999</v>
      </c>
      <c r="Q226" s="9">
        <v>30.773700000000002</v>
      </c>
      <c r="R226" s="9"/>
      <c r="S226" s="11"/>
    </row>
    <row r="227" spans="1:19" ht="15.75">
      <c r="A227" s="13">
        <v>48792</v>
      </c>
      <c r="B227" s="8">
        <f>CHOOSE( CONTROL!$C$31, 6.7224, 6.7194) * CHOOSE(CONTROL!$C$14, $D$10, 100%, $F$10)</f>
        <v>6.7224000000000004</v>
      </c>
      <c r="C227" s="8">
        <f>CHOOSE( CONTROL!$C$31, 6.7304, 6.7274) * CHOOSE(CONTROL!$C$14, $D$10, 100%, $F$10)</f>
        <v>6.7304000000000004</v>
      </c>
      <c r="D227" s="8">
        <f>CHOOSE( CONTROL!$C$31, 6.7356, 6.7326) * CHOOSE( CONTROL!$C$14, $D$10, 100%, $F$10)</f>
        <v>6.7355999999999998</v>
      </c>
      <c r="E227" s="12">
        <f>CHOOSE( CONTROL!$C$31, 6.7325, 6.7295) * CHOOSE( CONTROL!$C$14, $D$10, 100%, $F$10)</f>
        <v>6.7324999999999999</v>
      </c>
      <c r="F227" s="4">
        <f>CHOOSE( CONTROL!$C$31, 7.4039, 7.401) * CHOOSE(CONTROL!$C$14, $D$10, 100%, $F$10)</f>
        <v>7.4039000000000001</v>
      </c>
      <c r="G227" s="8">
        <f>CHOOSE( CONTROL!$C$31, 6.5817, 6.5789) * CHOOSE( CONTROL!$C$14, $D$10, 100%, $F$10)</f>
        <v>6.5816999999999997</v>
      </c>
      <c r="H227" s="4">
        <f>CHOOSE( CONTROL!$C$31, 7.5099, 7.507) * CHOOSE(CONTROL!$C$14, $D$10, 100%, $F$10)</f>
        <v>7.5099</v>
      </c>
      <c r="I227" s="8">
        <f>CHOOSE( CONTROL!$C$31, 6.5644, 6.5616) * CHOOSE(CONTROL!$C$14, $D$10, 100%, $F$10)</f>
        <v>6.5644</v>
      </c>
      <c r="J227" s="4">
        <f>CHOOSE( CONTROL!$C$31, 6.4673, 6.4644) * CHOOSE(CONTROL!$C$14, $D$10, 100%, $F$10)</f>
        <v>6.4672999999999998</v>
      </c>
      <c r="K227" s="4"/>
      <c r="L227" s="9">
        <v>30.7165</v>
      </c>
      <c r="M227" s="9">
        <v>12.063700000000001</v>
      </c>
      <c r="N227" s="9">
        <v>4.9444999999999997</v>
      </c>
      <c r="O227" s="9">
        <v>0.37409999999999999</v>
      </c>
      <c r="P227" s="9">
        <v>1.2183999999999999</v>
      </c>
      <c r="Q227" s="9">
        <v>30.773700000000002</v>
      </c>
      <c r="R227" s="9"/>
      <c r="S227" s="11"/>
    </row>
    <row r="228" spans="1:19" ht="15.75">
      <c r="A228" s="13">
        <v>48823</v>
      </c>
      <c r="B228" s="8">
        <f>CHOOSE( CONTROL!$C$31, 6.5823, 6.5794) * CHOOSE(CONTROL!$C$14, $D$10, 100%, $F$10)</f>
        <v>6.5823</v>
      </c>
      <c r="C228" s="8">
        <f>CHOOSE( CONTROL!$C$31, 6.5903, 6.5874) * CHOOSE(CONTROL!$C$14, $D$10, 100%, $F$10)</f>
        <v>6.5903</v>
      </c>
      <c r="D228" s="8">
        <f>CHOOSE( CONTROL!$C$31, 6.5955, 6.5926) * CHOOSE( CONTROL!$C$14, $D$10, 100%, $F$10)</f>
        <v>6.5955000000000004</v>
      </c>
      <c r="E228" s="12">
        <f>CHOOSE( CONTROL!$C$31, 6.5924, 6.5895) * CHOOSE( CONTROL!$C$14, $D$10, 100%, $F$10)</f>
        <v>6.5923999999999996</v>
      </c>
      <c r="F228" s="4">
        <f>CHOOSE( CONTROL!$C$31, 7.2638, 7.2609) * CHOOSE(CONTROL!$C$14, $D$10, 100%, $F$10)</f>
        <v>7.2637999999999998</v>
      </c>
      <c r="G228" s="8">
        <f>CHOOSE( CONTROL!$C$31, 6.444, 6.4411) * CHOOSE( CONTROL!$C$14, $D$10, 100%, $F$10)</f>
        <v>6.444</v>
      </c>
      <c r="H228" s="4">
        <f>CHOOSE( CONTROL!$C$31, 7.3721, 7.3693) * CHOOSE(CONTROL!$C$14, $D$10, 100%, $F$10)</f>
        <v>7.3720999999999997</v>
      </c>
      <c r="I228" s="8">
        <f>CHOOSE( CONTROL!$C$31, 6.4289, 6.4261) * CHOOSE(CONTROL!$C$14, $D$10, 100%, $F$10)</f>
        <v>6.4288999999999996</v>
      </c>
      <c r="J228" s="4">
        <f>CHOOSE( CONTROL!$C$31, 6.3319, 6.329) * CHOOSE(CONTROL!$C$14, $D$10, 100%, $F$10)</f>
        <v>6.3319000000000001</v>
      </c>
      <c r="K228" s="4"/>
      <c r="L228" s="9">
        <v>29.7257</v>
      </c>
      <c r="M228" s="9">
        <v>11.6745</v>
      </c>
      <c r="N228" s="9">
        <v>4.7850000000000001</v>
      </c>
      <c r="O228" s="9">
        <v>0.36199999999999999</v>
      </c>
      <c r="P228" s="9">
        <v>1.1791</v>
      </c>
      <c r="Q228" s="9">
        <v>29.780999999999999</v>
      </c>
      <c r="R228" s="9"/>
      <c r="S228" s="11"/>
    </row>
    <row r="229" spans="1:19" ht="15.75">
      <c r="A229" s="13">
        <v>48853</v>
      </c>
      <c r="B229" s="8">
        <f>6.8685 * CHOOSE(CONTROL!$C$14, $D$10, 100%, $F$10)</f>
        <v>6.8685</v>
      </c>
      <c r="C229" s="8">
        <f>6.8738 * CHOOSE(CONTROL!$C$14, $D$10, 100%, $F$10)</f>
        <v>6.8738000000000001</v>
      </c>
      <c r="D229" s="8">
        <f>6.8838 * CHOOSE( CONTROL!$C$14, $D$10, 100%, $F$10)</f>
        <v>6.8837999999999999</v>
      </c>
      <c r="E229" s="12">
        <f>6.8799 * CHOOSE( CONTROL!$C$14, $D$10, 100%, $F$10)</f>
        <v>6.8799000000000001</v>
      </c>
      <c r="F229" s="4">
        <f>7.5517 * CHOOSE(CONTROL!$C$14, $D$10, 100%, $F$10)</f>
        <v>7.5517000000000003</v>
      </c>
      <c r="G229" s="8">
        <f>6.7268 * CHOOSE( CONTROL!$C$14, $D$10, 100%, $F$10)</f>
        <v>6.7267999999999999</v>
      </c>
      <c r="H229" s="4">
        <f>7.6553 * CHOOSE(CONTROL!$C$14, $D$10, 100%, $F$10)</f>
        <v>7.6553000000000004</v>
      </c>
      <c r="I229" s="8">
        <f>6.7082 * CHOOSE(CONTROL!$C$14, $D$10, 100%, $F$10)</f>
        <v>6.7081999999999997</v>
      </c>
      <c r="J229" s="4">
        <f>6.6102 * CHOOSE(CONTROL!$C$14, $D$10, 100%, $F$10)</f>
        <v>6.6101999999999999</v>
      </c>
      <c r="K229" s="4"/>
      <c r="L229" s="9">
        <v>31.095300000000002</v>
      </c>
      <c r="M229" s="9">
        <v>12.063700000000001</v>
      </c>
      <c r="N229" s="9">
        <v>4.9444999999999997</v>
      </c>
      <c r="O229" s="9">
        <v>0.37409999999999999</v>
      </c>
      <c r="P229" s="9">
        <v>1.2183999999999999</v>
      </c>
      <c r="Q229" s="9">
        <v>30.773700000000002</v>
      </c>
      <c r="R229" s="9"/>
      <c r="S229" s="11"/>
    </row>
    <row r="230" spans="1:19" ht="15.75">
      <c r="A230" s="13">
        <v>48884</v>
      </c>
      <c r="B230" s="8">
        <f>7.4049 * CHOOSE(CONTROL!$C$14, $D$10, 100%, $F$10)</f>
        <v>7.4048999999999996</v>
      </c>
      <c r="C230" s="8">
        <f>7.41 * CHOOSE(CONTROL!$C$14, $D$10, 100%, $F$10)</f>
        <v>7.41</v>
      </c>
      <c r="D230" s="8">
        <f>7.3862 * CHOOSE( CONTROL!$C$14, $D$10, 100%, $F$10)</f>
        <v>7.3861999999999997</v>
      </c>
      <c r="E230" s="12">
        <f>7.3944 * CHOOSE( CONTROL!$C$14, $D$10, 100%, $F$10)</f>
        <v>7.3944000000000001</v>
      </c>
      <c r="F230" s="4">
        <f>8.0524 * CHOOSE(CONTROL!$C$14, $D$10, 100%, $F$10)</f>
        <v>8.0524000000000004</v>
      </c>
      <c r="G230" s="8">
        <f>7.2645 * CHOOSE( CONTROL!$C$14, $D$10, 100%, $F$10)</f>
        <v>7.2645</v>
      </c>
      <c r="H230" s="4">
        <f>8.1476 * CHOOSE(CONTROL!$C$14, $D$10, 100%, $F$10)</f>
        <v>8.1476000000000006</v>
      </c>
      <c r="I230" s="8">
        <f>7.2579 * CHOOSE(CONTROL!$C$14, $D$10, 100%, $F$10)</f>
        <v>7.2579000000000002</v>
      </c>
      <c r="J230" s="4">
        <f>7.1291 * CHOOSE(CONTROL!$C$14, $D$10, 100%, $F$10)</f>
        <v>7.1291000000000002</v>
      </c>
      <c r="K230" s="4"/>
      <c r="L230" s="9">
        <v>28.360600000000002</v>
      </c>
      <c r="M230" s="9">
        <v>11.6745</v>
      </c>
      <c r="N230" s="9">
        <v>4.7850000000000001</v>
      </c>
      <c r="O230" s="9">
        <v>0.36199999999999999</v>
      </c>
      <c r="P230" s="9">
        <v>1.2509999999999999</v>
      </c>
      <c r="Q230" s="9">
        <v>29.780999999999999</v>
      </c>
      <c r="R230" s="9"/>
      <c r="S230" s="11"/>
    </row>
    <row r="231" spans="1:19" ht="15.75">
      <c r="A231" s="13">
        <v>48914</v>
      </c>
      <c r="B231" s="8">
        <f>7.3915 * CHOOSE(CONTROL!$C$14, $D$10, 100%, $F$10)</f>
        <v>7.3914999999999997</v>
      </c>
      <c r="C231" s="8">
        <f>7.3966 * CHOOSE(CONTROL!$C$14, $D$10, 100%, $F$10)</f>
        <v>7.3966000000000003</v>
      </c>
      <c r="D231" s="8">
        <f>7.3742 * CHOOSE( CONTROL!$C$14, $D$10, 100%, $F$10)</f>
        <v>7.3742000000000001</v>
      </c>
      <c r="E231" s="12">
        <f>7.3818 * CHOOSE( CONTROL!$C$14, $D$10, 100%, $F$10)</f>
        <v>7.3818000000000001</v>
      </c>
      <c r="F231" s="4">
        <f>8.039 * CHOOSE(CONTROL!$C$14, $D$10, 100%, $F$10)</f>
        <v>8.0389999999999997</v>
      </c>
      <c r="G231" s="8">
        <f>7.2523 * CHOOSE( CONTROL!$C$14, $D$10, 100%, $F$10)</f>
        <v>7.2523</v>
      </c>
      <c r="H231" s="4">
        <f>8.1344 * CHOOSE(CONTROL!$C$14, $D$10, 100%, $F$10)</f>
        <v>8.1343999999999994</v>
      </c>
      <c r="I231" s="8">
        <f>7.2493 * CHOOSE(CONTROL!$C$14, $D$10, 100%, $F$10)</f>
        <v>7.2492999999999999</v>
      </c>
      <c r="J231" s="4">
        <f>7.1162 * CHOOSE(CONTROL!$C$14, $D$10, 100%, $F$10)</f>
        <v>7.1162000000000001</v>
      </c>
      <c r="K231" s="4"/>
      <c r="L231" s="9">
        <v>29.306000000000001</v>
      </c>
      <c r="M231" s="9">
        <v>12.063700000000001</v>
      </c>
      <c r="N231" s="9">
        <v>4.9444999999999997</v>
      </c>
      <c r="O231" s="9">
        <v>0.37409999999999999</v>
      </c>
      <c r="P231" s="9">
        <v>1.2927</v>
      </c>
      <c r="Q231" s="9">
        <v>30.773700000000002</v>
      </c>
      <c r="R231" s="9"/>
      <c r="S231" s="11"/>
    </row>
    <row r="232" spans="1:19" ht="15.75">
      <c r="A232" s="13">
        <v>48945</v>
      </c>
      <c r="B232" s="8">
        <f>7.5838 * CHOOSE(CONTROL!$C$14, $D$10, 100%, $F$10)</f>
        <v>7.5838000000000001</v>
      </c>
      <c r="C232" s="8">
        <f>7.589 * CHOOSE(CONTROL!$C$14, $D$10, 100%, $F$10)</f>
        <v>7.5890000000000004</v>
      </c>
      <c r="D232" s="8">
        <f>7.5848 * CHOOSE( CONTROL!$C$14, $D$10, 100%, $F$10)</f>
        <v>7.5848000000000004</v>
      </c>
      <c r="E232" s="12">
        <f>7.5858 * CHOOSE( CONTROL!$C$14, $D$10, 100%, $F$10)</f>
        <v>7.5857999999999999</v>
      </c>
      <c r="F232" s="4">
        <f>8.2624 * CHOOSE(CONTROL!$C$14, $D$10, 100%, $F$10)</f>
        <v>8.2623999999999995</v>
      </c>
      <c r="G232" s="8">
        <f>7.4557 * CHOOSE( CONTROL!$C$14, $D$10, 100%, $F$10)</f>
        <v>7.4557000000000002</v>
      </c>
      <c r="H232" s="4">
        <f>8.3541 * CHOOSE(CONTROL!$C$14, $D$10, 100%, $F$10)</f>
        <v>8.3541000000000007</v>
      </c>
      <c r="I232" s="8">
        <f>7.4144 * CHOOSE(CONTROL!$C$14, $D$10, 100%, $F$10)</f>
        <v>7.4143999999999997</v>
      </c>
      <c r="J232" s="4">
        <f>7.3021 * CHOOSE(CONTROL!$C$14, $D$10, 100%, $F$10)</f>
        <v>7.3021000000000003</v>
      </c>
      <c r="K232" s="4"/>
      <c r="L232" s="9">
        <v>29.306000000000001</v>
      </c>
      <c r="M232" s="9">
        <v>12.063700000000001</v>
      </c>
      <c r="N232" s="9">
        <v>4.9444999999999997</v>
      </c>
      <c r="O232" s="9">
        <v>0.37409999999999999</v>
      </c>
      <c r="P232" s="9">
        <v>1.2927</v>
      </c>
      <c r="Q232" s="9">
        <v>30.7105</v>
      </c>
      <c r="R232" s="9"/>
      <c r="S232" s="11"/>
    </row>
    <row r="233" spans="1:19" ht="15.75">
      <c r="A233" s="13">
        <v>48976</v>
      </c>
      <c r="B233" s="8">
        <f>7.0955 * CHOOSE(CONTROL!$C$14, $D$10, 100%, $F$10)</f>
        <v>7.0955000000000004</v>
      </c>
      <c r="C233" s="8">
        <f>7.1006 * CHOOSE(CONTROL!$C$14, $D$10, 100%, $F$10)</f>
        <v>7.1006</v>
      </c>
      <c r="D233" s="8">
        <f>7.0905 * CHOOSE( CONTROL!$C$14, $D$10, 100%, $F$10)</f>
        <v>7.0904999999999996</v>
      </c>
      <c r="E233" s="12">
        <f>7.0936 * CHOOSE( CONTROL!$C$14, $D$10, 100%, $F$10)</f>
        <v>7.0936000000000003</v>
      </c>
      <c r="F233" s="4">
        <f>7.7482 * CHOOSE(CONTROL!$C$14, $D$10, 100%, $F$10)</f>
        <v>7.7481999999999998</v>
      </c>
      <c r="G233" s="8">
        <f>6.9673 * CHOOSE( CONTROL!$C$14, $D$10, 100%, $F$10)</f>
        <v>6.9672999999999998</v>
      </c>
      <c r="H233" s="4">
        <f>7.8484 * CHOOSE(CONTROL!$C$14, $D$10, 100%, $F$10)</f>
        <v>7.8483999999999998</v>
      </c>
      <c r="I233" s="8">
        <f>6.9327 * CHOOSE(CONTROL!$C$14, $D$10, 100%, $F$10)</f>
        <v>6.9326999999999996</v>
      </c>
      <c r="J233" s="4">
        <f>6.8301 * CHOOSE(CONTROL!$C$14, $D$10, 100%, $F$10)</f>
        <v>6.8300999999999998</v>
      </c>
      <c r="K233" s="4"/>
      <c r="L233" s="9">
        <v>26.469899999999999</v>
      </c>
      <c r="M233" s="9">
        <v>10.8962</v>
      </c>
      <c r="N233" s="9">
        <v>4.4660000000000002</v>
      </c>
      <c r="O233" s="9">
        <v>0.33789999999999998</v>
      </c>
      <c r="P233" s="9">
        <v>1.1676</v>
      </c>
      <c r="Q233" s="9">
        <v>27.738499999999998</v>
      </c>
      <c r="R233" s="9"/>
      <c r="S233" s="11"/>
    </row>
    <row r="234" spans="1:19" ht="15.75">
      <c r="A234" s="13">
        <v>49004</v>
      </c>
      <c r="B234" s="8">
        <f>6.9451 * CHOOSE(CONTROL!$C$14, $D$10, 100%, $F$10)</f>
        <v>6.9451000000000001</v>
      </c>
      <c r="C234" s="8">
        <f>6.9502 * CHOOSE(CONTROL!$C$14, $D$10, 100%, $F$10)</f>
        <v>6.9501999999999997</v>
      </c>
      <c r="D234" s="8">
        <f>6.9336 * CHOOSE( CONTROL!$C$14, $D$10, 100%, $F$10)</f>
        <v>6.9336000000000002</v>
      </c>
      <c r="E234" s="12">
        <f>6.9391 * CHOOSE( CONTROL!$C$14, $D$10, 100%, $F$10)</f>
        <v>6.9390999999999998</v>
      </c>
      <c r="F234" s="4">
        <f>7.5978 * CHOOSE(CONTROL!$C$14, $D$10, 100%, $F$10)</f>
        <v>7.5978000000000003</v>
      </c>
      <c r="G234" s="8">
        <f>6.8112 * CHOOSE( CONTROL!$C$14, $D$10, 100%, $F$10)</f>
        <v>6.8112000000000004</v>
      </c>
      <c r="H234" s="4">
        <f>7.7005 * CHOOSE(CONTROL!$C$14, $D$10, 100%, $F$10)</f>
        <v>7.7004999999999999</v>
      </c>
      <c r="I234" s="8">
        <f>6.7671 * CHOOSE(CONTROL!$C$14, $D$10, 100%, $F$10)</f>
        <v>6.7671000000000001</v>
      </c>
      <c r="J234" s="4">
        <f>6.6847 * CHOOSE(CONTROL!$C$14, $D$10, 100%, $F$10)</f>
        <v>6.6847000000000003</v>
      </c>
      <c r="K234" s="4"/>
      <c r="L234" s="9">
        <v>29.306000000000001</v>
      </c>
      <c r="M234" s="9">
        <v>12.063700000000001</v>
      </c>
      <c r="N234" s="9">
        <v>4.9444999999999997</v>
      </c>
      <c r="O234" s="9">
        <v>0.37409999999999999</v>
      </c>
      <c r="P234" s="9">
        <v>1.2927</v>
      </c>
      <c r="Q234" s="9">
        <v>30.7105</v>
      </c>
      <c r="R234" s="9"/>
      <c r="S234" s="11"/>
    </row>
    <row r="235" spans="1:19" ht="15.75">
      <c r="A235" s="13">
        <v>49035</v>
      </c>
      <c r="B235" s="8">
        <f>7.051 * CHOOSE(CONTROL!$C$14, $D$10, 100%, $F$10)</f>
        <v>7.0510000000000002</v>
      </c>
      <c r="C235" s="8">
        <f>7.0555 * CHOOSE(CONTROL!$C$14, $D$10, 100%, $F$10)</f>
        <v>7.0555000000000003</v>
      </c>
      <c r="D235" s="8">
        <f>7.065 * CHOOSE( CONTROL!$C$14, $D$10, 100%, $F$10)</f>
        <v>7.0650000000000004</v>
      </c>
      <c r="E235" s="12">
        <f>7.0613 * CHOOSE( CONTROL!$C$14, $D$10, 100%, $F$10)</f>
        <v>7.0613000000000001</v>
      </c>
      <c r="F235" s="4">
        <f>7.7339 * CHOOSE(CONTROL!$C$14, $D$10, 100%, $F$10)</f>
        <v>7.7339000000000002</v>
      </c>
      <c r="G235" s="8">
        <f>6.9045 * CHOOSE( CONTROL!$C$14, $D$10, 100%, $F$10)</f>
        <v>6.9044999999999996</v>
      </c>
      <c r="H235" s="4">
        <f>7.8344 * CHOOSE(CONTROL!$C$14, $D$10, 100%, $F$10)</f>
        <v>7.8343999999999996</v>
      </c>
      <c r="I235" s="8">
        <f>6.8797 * CHOOSE(CONTROL!$C$14, $D$10, 100%, $F$10)</f>
        <v>6.8796999999999997</v>
      </c>
      <c r="J235" s="4">
        <f>6.7863 * CHOOSE(CONTROL!$C$14, $D$10, 100%, $F$10)</f>
        <v>6.7862999999999998</v>
      </c>
      <c r="K235" s="4"/>
      <c r="L235" s="9">
        <v>30.092199999999998</v>
      </c>
      <c r="M235" s="9">
        <v>11.6745</v>
      </c>
      <c r="N235" s="9">
        <v>4.7850000000000001</v>
      </c>
      <c r="O235" s="9">
        <v>0.36199999999999999</v>
      </c>
      <c r="P235" s="9">
        <v>1.1791</v>
      </c>
      <c r="Q235" s="9">
        <v>29.719799999999999</v>
      </c>
      <c r="R235" s="9"/>
      <c r="S235" s="11"/>
    </row>
    <row r="236" spans="1:19" ht="15.75">
      <c r="A236" s="13">
        <v>49065</v>
      </c>
      <c r="B236" s="8">
        <f>CHOOSE( CONTROL!$C$31, 7.2423, 7.2394) * CHOOSE(CONTROL!$C$14, $D$10, 100%, $F$10)</f>
        <v>7.2423000000000002</v>
      </c>
      <c r="C236" s="8">
        <f>CHOOSE( CONTROL!$C$31, 7.2503, 7.2474) * CHOOSE(CONTROL!$C$14, $D$10, 100%, $F$10)</f>
        <v>7.2503000000000002</v>
      </c>
      <c r="D236" s="8">
        <f>CHOOSE( CONTROL!$C$31, 7.255, 7.252) * CHOOSE( CONTROL!$C$14, $D$10, 100%, $F$10)</f>
        <v>7.2549999999999999</v>
      </c>
      <c r="E236" s="12">
        <f>CHOOSE( CONTROL!$C$31, 7.2521, 7.2491) * CHOOSE( CONTROL!$C$14, $D$10, 100%, $F$10)</f>
        <v>7.2521000000000004</v>
      </c>
      <c r="F236" s="4">
        <f>CHOOSE( CONTROL!$C$31, 7.9239, 7.9209) * CHOOSE(CONTROL!$C$14, $D$10, 100%, $F$10)</f>
        <v>7.9238999999999997</v>
      </c>
      <c r="G236" s="8">
        <f>CHOOSE( CONTROL!$C$31, 7.0922, 7.0893) * CHOOSE( CONTROL!$C$14, $D$10, 100%, $F$10)</f>
        <v>7.0922000000000001</v>
      </c>
      <c r="H236" s="4">
        <f>CHOOSE( CONTROL!$C$31, 8.0212, 8.0184) * CHOOSE(CONTROL!$C$14, $D$10, 100%, $F$10)</f>
        <v>8.0212000000000003</v>
      </c>
      <c r="I236" s="8">
        <f>CHOOSE( CONTROL!$C$31, 7.0646, 7.0617) * CHOOSE(CONTROL!$C$14, $D$10, 100%, $F$10)</f>
        <v>7.0646000000000004</v>
      </c>
      <c r="J236" s="4">
        <f>CHOOSE( CONTROL!$C$31, 6.9699, 6.9671) * CHOOSE(CONTROL!$C$14, $D$10, 100%, $F$10)</f>
        <v>6.9699</v>
      </c>
      <c r="K236" s="4"/>
      <c r="L236" s="9">
        <v>30.7165</v>
      </c>
      <c r="M236" s="9">
        <v>12.063700000000001</v>
      </c>
      <c r="N236" s="9">
        <v>4.9444999999999997</v>
      </c>
      <c r="O236" s="9">
        <v>0.37409999999999999</v>
      </c>
      <c r="P236" s="9">
        <v>1.2183999999999999</v>
      </c>
      <c r="Q236" s="9">
        <v>30.7105</v>
      </c>
      <c r="R236" s="9"/>
      <c r="S236" s="11"/>
    </row>
    <row r="237" spans="1:19" ht="15.75">
      <c r="A237" s="13">
        <v>49096</v>
      </c>
      <c r="B237" s="8">
        <f>CHOOSE( CONTROL!$C$31, 7.1264, 7.1235) * CHOOSE(CONTROL!$C$14, $D$10, 100%, $F$10)</f>
        <v>7.1264000000000003</v>
      </c>
      <c r="C237" s="8">
        <f>CHOOSE( CONTROL!$C$31, 7.1345, 7.1315) * CHOOSE(CONTROL!$C$14, $D$10, 100%, $F$10)</f>
        <v>7.1345000000000001</v>
      </c>
      <c r="D237" s="8">
        <f>CHOOSE( CONTROL!$C$31, 7.1393, 7.1364) * CHOOSE( CONTROL!$C$14, $D$10, 100%, $F$10)</f>
        <v>7.1393000000000004</v>
      </c>
      <c r="E237" s="12">
        <f>CHOOSE( CONTROL!$C$31, 7.1363, 7.1334) * CHOOSE( CONTROL!$C$14, $D$10, 100%, $F$10)</f>
        <v>7.1363000000000003</v>
      </c>
      <c r="F237" s="4">
        <f>CHOOSE( CONTROL!$C$31, 7.808, 7.8051) * CHOOSE(CONTROL!$C$14, $D$10, 100%, $F$10)</f>
        <v>7.8079999999999998</v>
      </c>
      <c r="G237" s="8">
        <f>CHOOSE( CONTROL!$C$31, 6.9787, 6.9758) * CHOOSE( CONTROL!$C$14, $D$10, 100%, $F$10)</f>
        <v>6.9786999999999999</v>
      </c>
      <c r="H237" s="4">
        <f>CHOOSE( CONTROL!$C$31, 7.9073, 7.9044) * CHOOSE(CONTROL!$C$14, $D$10, 100%, $F$10)</f>
        <v>7.9073000000000002</v>
      </c>
      <c r="I237" s="8">
        <f>CHOOSE( CONTROL!$C$31, 6.9537, 6.9509) * CHOOSE(CONTROL!$C$14, $D$10, 100%, $F$10)</f>
        <v>6.9537000000000004</v>
      </c>
      <c r="J237" s="4">
        <f>CHOOSE( CONTROL!$C$31, 6.8579, 6.8551) * CHOOSE(CONTROL!$C$14, $D$10, 100%, $F$10)</f>
        <v>6.8578999999999999</v>
      </c>
      <c r="K237" s="4"/>
      <c r="L237" s="9">
        <v>29.7257</v>
      </c>
      <c r="M237" s="9">
        <v>11.6745</v>
      </c>
      <c r="N237" s="9">
        <v>4.7850000000000001</v>
      </c>
      <c r="O237" s="9">
        <v>0.36199999999999999</v>
      </c>
      <c r="P237" s="9">
        <v>1.1791</v>
      </c>
      <c r="Q237" s="9">
        <v>29.719799999999999</v>
      </c>
      <c r="R237" s="9"/>
      <c r="S237" s="11"/>
    </row>
    <row r="238" spans="1:19" ht="15.75">
      <c r="A238" s="13">
        <v>49126</v>
      </c>
      <c r="B238" s="8">
        <f>CHOOSE( CONTROL!$C$31, 7.4316, 7.4287) * CHOOSE(CONTROL!$C$14, $D$10, 100%, $F$10)</f>
        <v>7.4316000000000004</v>
      </c>
      <c r="C238" s="8">
        <f>CHOOSE( CONTROL!$C$31, 7.4396, 7.4367) * CHOOSE(CONTROL!$C$14, $D$10, 100%, $F$10)</f>
        <v>7.4396000000000004</v>
      </c>
      <c r="D238" s="8">
        <f>CHOOSE( CONTROL!$C$31, 7.4447, 7.4418) * CHOOSE( CONTROL!$C$14, $D$10, 100%, $F$10)</f>
        <v>7.4447000000000001</v>
      </c>
      <c r="E238" s="12">
        <f>CHOOSE( CONTROL!$C$31, 7.4416, 7.4387) * CHOOSE( CONTROL!$C$14, $D$10, 100%, $F$10)</f>
        <v>7.4416000000000002</v>
      </c>
      <c r="F238" s="4">
        <f>CHOOSE( CONTROL!$C$31, 8.1131, 8.1102) * CHOOSE(CONTROL!$C$14, $D$10, 100%, $F$10)</f>
        <v>8.1130999999999993</v>
      </c>
      <c r="G238" s="8">
        <f>CHOOSE( CONTROL!$C$31, 7.2791, 7.2762) * CHOOSE( CONTROL!$C$14, $D$10, 100%, $F$10)</f>
        <v>7.2790999999999997</v>
      </c>
      <c r="H238" s="4">
        <f>CHOOSE( CONTROL!$C$31, 8.2074, 8.2045) * CHOOSE(CONTROL!$C$14, $D$10, 100%, $F$10)</f>
        <v>8.2073999999999998</v>
      </c>
      <c r="I238" s="8">
        <f>CHOOSE( CONTROL!$C$31, 7.25, 7.2472) * CHOOSE(CONTROL!$C$14, $D$10, 100%, $F$10)</f>
        <v>7.25</v>
      </c>
      <c r="J238" s="4">
        <f>CHOOSE( CONTROL!$C$31, 7.1529, 7.15) * CHOOSE(CONTROL!$C$14, $D$10, 100%, $F$10)</f>
        <v>7.1528999999999998</v>
      </c>
      <c r="K238" s="4"/>
      <c r="L238" s="9">
        <v>30.7165</v>
      </c>
      <c r="M238" s="9">
        <v>12.063700000000001</v>
      </c>
      <c r="N238" s="9">
        <v>4.9444999999999997</v>
      </c>
      <c r="O238" s="9">
        <v>0.37409999999999999</v>
      </c>
      <c r="P238" s="9">
        <v>1.2183999999999999</v>
      </c>
      <c r="Q238" s="9">
        <v>30.7105</v>
      </c>
      <c r="R238" s="9"/>
      <c r="S238" s="11"/>
    </row>
    <row r="239" spans="1:19" ht="15.75">
      <c r="A239" s="13">
        <v>49157</v>
      </c>
      <c r="B239" s="8">
        <f>CHOOSE( CONTROL!$C$31, 6.8606, 6.8577) * CHOOSE(CONTROL!$C$14, $D$10, 100%, $F$10)</f>
        <v>6.8605999999999998</v>
      </c>
      <c r="C239" s="8">
        <f>CHOOSE( CONTROL!$C$31, 6.8687, 6.8657) * CHOOSE(CONTROL!$C$14, $D$10, 100%, $F$10)</f>
        <v>6.8686999999999996</v>
      </c>
      <c r="D239" s="8">
        <f>CHOOSE( CONTROL!$C$31, 6.8739, 6.8709) * CHOOSE( CONTROL!$C$14, $D$10, 100%, $F$10)</f>
        <v>6.8738999999999999</v>
      </c>
      <c r="E239" s="12">
        <f>CHOOSE( CONTROL!$C$31, 6.8708, 6.8678) * CHOOSE( CONTROL!$C$14, $D$10, 100%, $F$10)</f>
        <v>6.8708</v>
      </c>
      <c r="F239" s="4">
        <f>CHOOSE( CONTROL!$C$31, 7.5422, 7.5393) * CHOOSE(CONTROL!$C$14, $D$10, 100%, $F$10)</f>
        <v>7.5422000000000002</v>
      </c>
      <c r="G239" s="8">
        <f>CHOOSE( CONTROL!$C$31, 6.7177, 6.7149) * CHOOSE( CONTROL!$C$14, $D$10, 100%, $F$10)</f>
        <v>6.7176999999999998</v>
      </c>
      <c r="H239" s="4">
        <f>CHOOSE( CONTROL!$C$31, 7.6459, 7.643) * CHOOSE(CONTROL!$C$14, $D$10, 100%, $F$10)</f>
        <v>7.6459000000000001</v>
      </c>
      <c r="I239" s="8">
        <f>CHOOSE( CONTROL!$C$31, 6.6982, 6.6954) * CHOOSE(CONTROL!$C$14, $D$10, 100%, $F$10)</f>
        <v>6.6981999999999999</v>
      </c>
      <c r="J239" s="4">
        <f>CHOOSE( CONTROL!$C$31, 6.6009, 6.5981) * CHOOSE(CONTROL!$C$14, $D$10, 100%, $F$10)</f>
        <v>6.6009000000000002</v>
      </c>
      <c r="K239" s="4"/>
      <c r="L239" s="9">
        <v>30.7165</v>
      </c>
      <c r="M239" s="9">
        <v>12.063700000000001</v>
      </c>
      <c r="N239" s="9">
        <v>4.9444999999999997</v>
      </c>
      <c r="O239" s="9">
        <v>0.37409999999999999</v>
      </c>
      <c r="P239" s="9">
        <v>1.2183999999999999</v>
      </c>
      <c r="Q239" s="9">
        <v>30.7105</v>
      </c>
      <c r="R239" s="9"/>
      <c r="S239" s="11"/>
    </row>
    <row r="240" spans="1:19" ht="15.75">
      <c r="A240" s="13">
        <v>49188</v>
      </c>
      <c r="B240" s="8">
        <f>CHOOSE( CONTROL!$C$31, 6.7177, 6.7147) * CHOOSE(CONTROL!$C$14, $D$10, 100%, $F$10)</f>
        <v>6.7176999999999998</v>
      </c>
      <c r="C240" s="8">
        <f>CHOOSE( CONTROL!$C$31, 6.7257, 6.7228) * CHOOSE(CONTROL!$C$14, $D$10, 100%, $F$10)</f>
        <v>6.7256999999999998</v>
      </c>
      <c r="D240" s="8">
        <f>CHOOSE( CONTROL!$C$31, 6.7309, 6.728) * CHOOSE( CONTROL!$C$14, $D$10, 100%, $F$10)</f>
        <v>6.7309000000000001</v>
      </c>
      <c r="E240" s="12">
        <f>CHOOSE( CONTROL!$C$31, 6.7278, 6.7249) * CHOOSE( CONTROL!$C$14, $D$10, 100%, $F$10)</f>
        <v>6.7278000000000002</v>
      </c>
      <c r="F240" s="4">
        <f>CHOOSE( CONTROL!$C$31, 7.3992, 7.3963) * CHOOSE(CONTROL!$C$14, $D$10, 100%, $F$10)</f>
        <v>7.3992000000000004</v>
      </c>
      <c r="G240" s="8">
        <f>CHOOSE( CONTROL!$C$31, 6.5771, 6.5742) * CHOOSE( CONTROL!$C$14, $D$10, 100%, $F$10)</f>
        <v>6.5770999999999997</v>
      </c>
      <c r="H240" s="4">
        <f>CHOOSE( CONTROL!$C$31, 7.5053, 7.5024) * CHOOSE(CONTROL!$C$14, $D$10, 100%, $F$10)</f>
        <v>7.5053000000000001</v>
      </c>
      <c r="I240" s="8">
        <f>CHOOSE( CONTROL!$C$31, 6.5599, 6.557) * CHOOSE(CONTROL!$C$14, $D$10, 100%, $F$10)</f>
        <v>6.5598999999999998</v>
      </c>
      <c r="J240" s="4">
        <f>CHOOSE( CONTROL!$C$31, 6.4627, 6.4599) * CHOOSE(CONTROL!$C$14, $D$10, 100%, $F$10)</f>
        <v>6.4626999999999999</v>
      </c>
      <c r="K240" s="4"/>
      <c r="L240" s="9">
        <v>29.7257</v>
      </c>
      <c r="M240" s="9">
        <v>11.6745</v>
      </c>
      <c r="N240" s="9">
        <v>4.7850000000000001</v>
      </c>
      <c r="O240" s="9">
        <v>0.36199999999999999</v>
      </c>
      <c r="P240" s="9">
        <v>1.1791</v>
      </c>
      <c r="Q240" s="9">
        <v>29.719799999999999</v>
      </c>
      <c r="R240" s="9"/>
      <c r="S240" s="11"/>
    </row>
    <row r="241" spans="1:19" ht="15.75">
      <c r="A241" s="13">
        <v>49218</v>
      </c>
      <c r="B241" s="8">
        <f>7.0099 * CHOOSE(CONTROL!$C$14, $D$10, 100%, $F$10)</f>
        <v>7.0099</v>
      </c>
      <c r="C241" s="8">
        <f>7.0152 * CHOOSE(CONTROL!$C$14, $D$10, 100%, $F$10)</f>
        <v>7.0152000000000001</v>
      </c>
      <c r="D241" s="8">
        <f>7.0252 * CHOOSE( CONTROL!$C$14, $D$10, 100%, $F$10)</f>
        <v>7.0251999999999999</v>
      </c>
      <c r="E241" s="12">
        <f>7.0213 * CHOOSE( CONTROL!$C$14, $D$10, 100%, $F$10)</f>
        <v>7.0213000000000001</v>
      </c>
      <c r="F241" s="4">
        <f>7.6931 * CHOOSE(CONTROL!$C$14, $D$10, 100%, $F$10)</f>
        <v>7.6931000000000003</v>
      </c>
      <c r="G241" s="8">
        <f>6.8658 * CHOOSE( CONTROL!$C$14, $D$10, 100%, $F$10)</f>
        <v>6.8658000000000001</v>
      </c>
      <c r="H241" s="4">
        <f>7.7943 * CHOOSE(CONTROL!$C$14, $D$10, 100%, $F$10)</f>
        <v>7.7942999999999998</v>
      </c>
      <c r="I241" s="8">
        <f>6.845 * CHOOSE(CONTROL!$C$14, $D$10, 100%, $F$10)</f>
        <v>6.8449999999999998</v>
      </c>
      <c r="J241" s="4">
        <f>6.7469 * CHOOSE(CONTROL!$C$14, $D$10, 100%, $F$10)</f>
        <v>6.7469000000000001</v>
      </c>
      <c r="K241" s="4"/>
      <c r="L241" s="9">
        <v>31.095300000000002</v>
      </c>
      <c r="M241" s="9">
        <v>12.063700000000001</v>
      </c>
      <c r="N241" s="9">
        <v>4.9444999999999997</v>
      </c>
      <c r="O241" s="9">
        <v>0.37409999999999999</v>
      </c>
      <c r="P241" s="9">
        <v>1.2183999999999999</v>
      </c>
      <c r="Q241" s="9">
        <v>30.7105</v>
      </c>
      <c r="R241" s="9"/>
      <c r="S241" s="11"/>
    </row>
    <row r="242" spans="1:19" ht="15.75">
      <c r="A242" s="13">
        <v>49249</v>
      </c>
      <c r="B242" s="8">
        <f>7.5574 * CHOOSE(CONTROL!$C$14, $D$10, 100%, $F$10)</f>
        <v>7.5574000000000003</v>
      </c>
      <c r="C242" s="8">
        <f>7.5625 * CHOOSE(CONTROL!$C$14, $D$10, 100%, $F$10)</f>
        <v>7.5625</v>
      </c>
      <c r="D242" s="8">
        <f>7.5387 * CHOOSE( CONTROL!$C$14, $D$10, 100%, $F$10)</f>
        <v>7.5387000000000004</v>
      </c>
      <c r="E242" s="12">
        <f>7.5469 * CHOOSE( CONTROL!$C$14, $D$10, 100%, $F$10)</f>
        <v>7.5468999999999999</v>
      </c>
      <c r="F242" s="4">
        <f>8.2049 * CHOOSE(CONTROL!$C$14, $D$10, 100%, $F$10)</f>
        <v>8.2049000000000003</v>
      </c>
      <c r="G242" s="8">
        <f>7.4145 * CHOOSE( CONTROL!$C$14, $D$10, 100%, $F$10)</f>
        <v>7.4145000000000003</v>
      </c>
      <c r="H242" s="4">
        <f>8.2976 * CHOOSE(CONTROL!$C$14, $D$10, 100%, $F$10)</f>
        <v>8.2975999999999992</v>
      </c>
      <c r="I242" s="8">
        <f>7.4054 * CHOOSE(CONTROL!$C$14, $D$10, 100%, $F$10)</f>
        <v>7.4054000000000002</v>
      </c>
      <c r="J242" s="4">
        <f>7.2766 * CHOOSE(CONTROL!$C$14, $D$10, 100%, $F$10)</f>
        <v>7.2766000000000002</v>
      </c>
      <c r="K242" s="4"/>
      <c r="L242" s="9">
        <v>28.360600000000002</v>
      </c>
      <c r="M242" s="9">
        <v>11.6745</v>
      </c>
      <c r="N242" s="9">
        <v>4.7850000000000001</v>
      </c>
      <c r="O242" s="9">
        <v>0.36199999999999999</v>
      </c>
      <c r="P242" s="9">
        <v>1.2509999999999999</v>
      </c>
      <c r="Q242" s="9">
        <v>29.719799999999999</v>
      </c>
      <c r="R242" s="9"/>
      <c r="S242" s="11"/>
    </row>
    <row r="243" spans="1:19" ht="15.75">
      <c r="A243" s="13">
        <v>49279</v>
      </c>
      <c r="B243" s="8">
        <f>7.5437 * CHOOSE(CONTROL!$C$14, $D$10, 100%, $F$10)</f>
        <v>7.5437000000000003</v>
      </c>
      <c r="C243" s="8">
        <f>7.5488 * CHOOSE(CONTROL!$C$14, $D$10, 100%, $F$10)</f>
        <v>7.5488</v>
      </c>
      <c r="D243" s="8">
        <f>7.5264 * CHOOSE( CONTROL!$C$14, $D$10, 100%, $F$10)</f>
        <v>7.5263999999999998</v>
      </c>
      <c r="E243" s="12">
        <f>7.534 * CHOOSE( CONTROL!$C$14, $D$10, 100%, $F$10)</f>
        <v>7.5339999999999998</v>
      </c>
      <c r="F243" s="4">
        <f>8.1912 * CHOOSE(CONTROL!$C$14, $D$10, 100%, $F$10)</f>
        <v>8.1912000000000003</v>
      </c>
      <c r="G243" s="8">
        <f>7.402 * CHOOSE( CONTROL!$C$14, $D$10, 100%, $F$10)</f>
        <v>7.4020000000000001</v>
      </c>
      <c r="H243" s="4">
        <f>8.2841 * CHOOSE(CONTROL!$C$14, $D$10, 100%, $F$10)</f>
        <v>8.2841000000000005</v>
      </c>
      <c r="I243" s="8">
        <f>7.3965 * CHOOSE(CONTROL!$C$14, $D$10, 100%, $F$10)</f>
        <v>7.3964999999999996</v>
      </c>
      <c r="J243" s="4">
        <f>7.2633 * CHOOSE(CONTROL!$C$14, $D$10, 100%, $F$10)</f>
        <v>7.2633000000000001</v>
      </c>
      <c r="K243" s="4"/>
      <c r="L243" s="9">
        <v>29.306000000000001</v>
      </c>
      <c r="M243" s="9">
        <v>12.063700000000001</v>
      </c>
      <c r="N243" s="9">
        <v>4.9444999999999997</v>
      </c>
      <c r="O243" s="9">
        <v>0.37409999999999999</v>
      </c>
      <c r="P243" s="9">
        <v>1.2927</v>
      </c>
      <c r="Q243" s="9">
        <v>30.7105</v>
      </c>
      <c r="R243" s="9"/>
      <c r="S243" s="11"/>
    </row>
    <row r="244" spans="1:19" ht="15.75">
      <c r="A244" s="13">
        <v>49310</v>
      </c>
      <c r="B244" s="8">
        <f>7.7369 * CHOOSE(CONTROL!$C$14, $D$10, 100%, $F$10)</f>
        <v>7.7369000000000003</v>
      </c>
      <c r="C244" s="8">
        <f>7.742 * CHOOSE(CONTROL!$C$14, $D$10, 100%, $F$10)</f>
        <v>7.742</v>
      </c>
      <c r="D244" s="8">
        <f>7.7378 * CHOOSE( CONTROL!$C$14, $D$10, 100%, $F$10)</f>
        <v>7.7378</v>
      </c>
      <c r="E244" s="12">
        <f>7.7388 * CHOOSE( CONTROL!$C$14, $D$10, 100%, $F$10)</f>
        <v>7.7388000000000003</v>
      </c>
      <c r="F244" s="4">
        <f>8.4154 * CHOOSE(CONTROL!$C$14, $D$10, 100%, $F$10)</f>
        <v>8.4154</v>
      </c>
      <c r="G244" s="8">
        <f>7.6062 * CHOOSE( CONTROL!$C$14, $D$10, 100%, $F$10)</f>
        <v>7.6062000000000003</v>
      </c>
      <c r="H244" s="4">
        <f>8.5046 * CHOOSE(CONTROL!$C$14, $D$10, 100%, $F$10)</f>
        <v>8.5045999999999999</v>
      </c>
      <c r="I244" s="8">
        <f>7.5624 * CHOOSE(CONTROL!$C$14, $D$10, 100%, $F$10)</f>
        <v>7.5624000000000002</v>
      </c>
      <c r="J244" s="4">
        <f>7.4501 * CHOOSE(CONTROL!$C$14, $D$10, 100%, $F$10)</f>
        <v>7.4500999999999999</v>
      </c>
      <c r="K244" s="4"/>
      <c r="L244" s="9">
        <v>29.306000000000001</v>
      </c>
      <c r="M244" s="9">
        <v>12.063700000000001</v>
      </c>
      <c r="N244" s="9">
        <v>4.9444999999999997</v>
      </c>
      <c r="O244" s="9">
        <v>0.37409999999999999</v>
      </c>
      <c r="P244" s="9">
        <v>1.2927</v>
      </c>
      <c r="Q244" s="9">
        <v>30.645399999999999</v>
      </c>
      <c r="R244" s="9"/>
      <c r="S244" s="11"/>
    </row>
    <row r="245" spans="1:19" ht="15.75">
      <c r="A245" s="13">
        <v>49341</v>
      </c>
      <c r="B245" s="8">
        <f>7.2387 * CHOOSE(CONTROL!$C$14, $D$10, 100%, $F$10)</f>
        <v>7.2386999999999997</v>
      </c>
      <c r="C245" s="8">
        <f>7.2438 * CHOOSE(CONTROL!$C$14, $D$10, 100%, $F$10)</f>
        <v>7.2438000000000002</v>
      </c>
      <c r="D245" s="8">
        <f>7.2337 * CHOOSE( CONTROL!$C$14, $D$10, 100%, $F$10)</f>
        <v>7.2336999999999998</v>
      </c>
      <c r="E245" s="12">
        <f>7.2368 * CHOOSE( CONTROL!$C$14, $D$10, 100%, $F$10)</f>
        <v>7.2367999999999997</v>
      </c>
      <c r="F245" s="4">
        <f>7.8913 * CHOOSE(CONTROL!$C$14, $D$10, 100%, $F$10)</f>
        <v>7.8913000000000002</v>
      </c>
      <c r="G245" s="8">
        <f>7.1081 * CHOOSE( CONTROL!$C$14, $D$10, 100%, $F$10)</f>
        <v>7.1081000000000003</v>
      </c>
      <c r="H245" s="4">
        <f>7.9892 * CHOOSE(CONTROL!$C$14, $D$10, 100%, $F$10)</f>
        <v>7.9892000000000003</v>
      </c>
      <c r="I245" s="8">
        <f>7.0712 * CHOOSE(CONTROL!$C$14, $D$10, 100%, $F$10)</f>
        <v>7.0712000000000002</v>
      </c>
      <c r="J245" s="4">
        <f>6.9684 * CHOOSE(CONTROL!$C$14, $D$10, 100%, $F$10)</f>
        <v>6.9683999999999999</v>
      </c>
      <c r="K245" s="4"/>
      <c r="L245" s="9">
        <v>26.469899999999999</v>
      </c>
      <c r="M245" s="9">
        <v>10.8962</v>
      </c>
      <c r="N245" s="9">
        <v>4.4660000000000002</v>
      </c>
      <c r="O245" s="9">
        <v>0.33789999999999998</v>
      </c>
      <c r="P245" s="9">
        <v>1.1676</v>
      </c>
      <c r="Q245" s="9">
        <v>27.6797</v>
      </c>
      <c r="R245" s="9"/>
      <c r="S245" s="11"/>
    </row>
    <row r="246" spans="1:19" ht="15.75">
      <c r="A246" s="13">
        <v>49369</v>
      </c>
      <c r="B246" s="8">
        <f>7.0852 * CHOOSE(CONTROL!$C$14, $D$10, 100%, $F$10)</f>
        <v>7.0852000000000004</v>
      </c>
      <c r="C246" s="8">
        <f>7.0903 * CHOOSE(CONTROL!$C$14, $D$10, 100%, $F$10)</f>
        <v>7.0903</v>
      </c>
      <c r="D246" s="8">
        <f>7.0737 * CHOOSE( CONTROL!$C$14, $D$10, 100%, $F$10)</f>
        <v>7.0736999999999997</v>
      </c>
      <c r="E246" s="12">
        <f>7.0792 * CHOOSE( CONTROL!$C$14, $D$10, 100%, $F$10)</f>
        <v>7.0792000000000002</v>
      </c>
      <c r="F246" s="4">
        <f>7.7379 * CHOOSE(CONTROL!$C$14, $D$10, 100%, $F$10)</f>
        <v>7.7378999999999998</v>
      </c>
      <c r="G246" s="8">
        <f>6.949 * CHOOSE( CONTROL!$C$14, $D$10, 100%, $F$10)</f>
        <v>6.9489999999999998</v>
      </c>
      <c r="H246" s="4">
        <f>7.8383 * CHOOSE(CONTROL!$C$14, $D$10, 100%, $F$10)</f>
        <v>7.8383000000000003</v>
      </c>
      <c r="I246" s="8">
        <f>6.9026 * CHOOSE(CONTROL!$C$14, $D$10, 100%, $F$10)</f>
        <v>6.9025999999999996</v>
      </c>
      <c r="J246" s="4">
        <f>6.8201 * CHOOSE(CONTROL!$C$14, $D$10, 100%, $F$10)</f>
        <v>6.8201000000000001</v>
      </c>
      <c r="K246" s="4"/>
      <c r="L246" s="9">
        <v>29.306000000000001</v>
      </c>
      <c r="M246" s="9">
        <v>12.063700000000001</v>
      </c>
      <c r="N246" s="9">
        <v>4.9444999999999997</v>
      </c>
      <c r="O246" s="9">
        <v>0.37409999999999999</v>
      </c>
      <c r="P246" s="9">
        <v>1.2927</v>
      </c>
      <c r="Q246" s="9">
        <v>30.645399999999999</v>
      </c>
      <c r="R246" s="9"/>
      <c r="S246" s="11"/>
    </row>
    <row r="247" spans="1:19" ht="15.75">
      <c r="A247" s="13">
        <v>49400</v>
      </c>
      <c r="B247" s="8">
        <f>7.1932 * CHOOSE(CONTROL!$C$14, $D$10, 100%, $F$10)</f>
        <v>7.1932</v>
      </c>
      <c r="C247" s="8">
        <f>7.1977 * CHOOSE(CONTROL!$C$14, $D$10, 100%, $F$10)</f>
        <v>7.1977000000000002</v>
      </c>
      <c r="D247" s="8">
        <f>7.2073 * CHOOSE( CONTROL!$C$14, $D$10, 100%, $F$10)</f>
        <v>7.2073</v>
      </c>
      <c r="E247" s="12">
        <f>7.2036 * CHOOSE( CONTROL!$C$14, $D$10, 100%, $F$10)</f>
        <v>7.2035999999999998</v>
      </c>
      <c r="F247" s="4">
        <f>7.8761 * CHOOSE(CONTROL!$C$14, $D$10, 100%, $F$10)</f>
        <v>7.8761000000000001</v>
      </c>
      <c r="G247" s="8">
        <f>7.0443 * CHOOSE( CONTROL!$C$14, $D$10, 100%, $F$10)</f>
        <v>7.0442999999999998</v>
      </c>
      <c r="H247" s="4">
        <f>7.9743 * CHOOSE(CONTROL!$C$14, $D$10, 100%, $F$10)</f>
        <v>7.9743000000000004</v>
      </c>
      <c r="I247" s="8">
        <f>7.0173 * CHOOSE(CONTROL!$C$14, $D$10, 100%, $F$10)</f>
        <v>7.0172999999999996</v>
      </c>
      <c r="J247" s="4">
        <f>6.9238 * CHOOSE(CONTROL!$C$14, $D$10, 100%, $F$10)</f>
        <v>6.9238</v>
      </c>
      <c r="K247" s="4"/>
      <c r="L247" s="9">
        <v>30.092199999999998</v>
      </c>
      <c r="M247" s="9">
        <v>11.6745</v>
      </c>
      <c r="N247" s="9">
        <v>4.7850000000000001</v>
      </c>
      <c r="O247" s="9">
        <v>0.36199999999999999</v>
      </c>
      <c r="P247" s="9">
        <v>1.1791</v>
      </c>
      <c r="Q247" s="9">
        <v>29.6568</v>
      </c>
      <c r="R247" s="9"/>
      <c r="S247" s="11"/>
    </row>
    <row r="248" spans="1:19" ht="15.75">
      <c r="A248" s="13">
        <v>49430</v>
      </c>
      <c r="B248" s="8">
        <f>CHOOSE( CONTROL!$C$31, 7.3883, 7.3854) * CHOOSE(CONTROL!$C$14, $D$10, 100%, $F$10)</f>
        <v>7.3883000000000001</v>
      </c>
      <c r="C248" s="8">
        <f>CHOOSE( CONTROL!$C$31, 7.3964, 7.3934) * CHOOSE(CONTROL!$C$14, $D$10, 100%, $F$10)</f>
        <v>7.3963999999999999</v>
      </c>
      <c r="D248" s="8">
        <f>CHOOSE( CONTROL!$C$31, 7.401, 7.3981) * CHOOSE( CONTROL!$C$14, $D$10, 100%, $F$10)</f>
        <v>7.4009999999999998</v>
      </c>
      <c r="E248" s="12">
        <f>CHOOSE( CONTROL!$C$31, 7.3981, 7.3952) * CHOOSE( CONTROL!$C$14, $D$10, 100%, $F$10)</f>
        <v>7.3981000000000003</v>
      </c>
      <c r="F248" s="4">
        <f>CHOOSE( CONTROL!$C$31, 8.0699, 8.067) * CHOOSE(CONTROL!$C$14, $D$10, 100%, $F$10)</f>
        <v>8.0699000000000005</v>
      </c>
      <c r="G248" s="8">
        <f>CHOOSE( CONTROL!$C$31, 7.2358, 7.2329) * CHOOSE( CONTROL!$C$14, $D$10, 100%, $F$10)</f>
        <v>7.2358000000000002</v>
      </c>
      <c r="H248" s="4">
        <f>CHOOSE( CONTROL!$C$31, 8.1648, 8.162) * CHOOSE(CONTROL!$C$14, $D$10, 100%, $F$10)</f>
        <v>8.1647999999999996</v>
      </c>
      <c r="I248" s="8">
        <f>CHOOSE( CONTROL!$C$31, 7.2058, 7.203) * CHOOSE(CONTROL!$C$14, $D$10, 100%, $F$10)</f>
        <v>7.2058</v>
      </c>
      <c r="J248" s="4">
        <f>CHOOSE( CONTROL!$C$31, 7.1111, 7.1082) * CHOOSE(CONTROL!$C$14, $D$10, 100%, $F$10)</f>
        <v>7.1111000000000004</v>
      </c>
      <c r="K248" s="4"/>
      <c r="L248" s="9">
        <v>30.7165</v>
      </c>
      <c r="M248" s="9">
        <v>12.063700000000001</v>
      </c>
      <c r="N248" s="9">
        <v>4.9444999999999997</v>
      </c>
      <c r="O248" s="9">
        <v>0.37409999999999999</v>
      </c>
      <c r="P248" s="9">
        <v>1.2183999999999999</v>
      </c>
      <c r="Q248" s="9">
        <v>30.645399999999999</v>
      </c>
      <c r="R248" s="9"/>
      <c r="S248" s="11"/>
    </row>
    <row r="249" spans="1:19" ht="15.75">
      <c r="A249" s="14">
        <v>49461</v>
      </c>
      <c r="B249" s="8">
        <f>CHOOSE( CONTROL!$C$31, 7.2701, 7.2672) * CHOOSE(CONTROL!$C$14, $D$10, 100%, $F$10)</f>
        <v>7.2701000000000002</v>
      </c>
      <c r="C249" s="8">
        <f>CHOOSE( CONTROL!$C$31, 7.2781, 7.2752) * CHOOSE(CONTROL!$C$14, $D$10, 100%, $F$10)</f>
        <v>7.2781000000000002</v>
      </c>
      <c r="D249" s="8">
        <f>CHOOSE( CONTROL!$C$31, 7.283, 7.2801) * CHOOSE( CONTROL!$C$14, $D$10, 100%, $F$10)</f>
        <v>7.2830000000000004</v>
      </c>
      <c r="E249" s="12">
        <f>CHOOSE( CONTROL!$C$31, 7.28, 7.2771) * CHOOSE( CONTROL!$C$14, $D$10, 100%, $F$10)</f>
        <v>7.28</v>
      </c>
      <c r="F249" s="4">
        <f>CHOOSE( CONTROL!$C$31, 7.9517, 7.9487) * CHOOSE(CONTROL!$C$14, $D$10, 100%, $F$10)</f>
        <v>7.9516999999999998</v>
      </c>
      <c r="G249" s="8">
        <f>CHOOSE( CONTROL!$C$31, 7.1199, 7.1171) * CHOOSE( CONTROL!$C$14, $D$10, 100%, $F$10)</f>
        <v>7.1199000000000003</v>
      </c>
      <c r="H249" s="4">
        <f>CHOOSE( CONTROL!$C$31, 8.0486, 8.0457) * CHOOSE(CONTROL!$C$14, $D$10, 100%, $F$10)</f>
        <v>8.0486000000000004</v>
      </c>
      <c r="I249" s="8">
        <f>CHOOSE( CONTROL!$C$31, 7.0927, 7.0899) * CHOOSE(CONTROL!$C$14, $D$10, 100%, $F$10)</f>
        <v>7.0926999999999998</v>
      </c>
      <c r="J249" s="4">
        <f>CHOOSE( CONTROL!$C$31, 6.9968, 6.994) * CHOOSE(CONTROL!$C$14, $D$10, 100%, $F$10)</f>
        <v>6.9968000000000004</v>
      </c>
      <c r="K249" s="4"/>
      <c r="L249" s="9">
        <v>29.7257</v>
      </c>
      <c r="M249" s="9">
        <v>11.6745</v>
      </c>
      <c r="N249" s="9">
        <v>4.7850000000000001</v>
      </c>
      <c r="O249" s="9">
        <v>0.36199999999999999</v>
      </c>
      <c r="P249" s="9">
        <v>1.1791</v>
      </c>
      <c r="Q249" s="9">
        <v>29.6568</v>
      </c>
      <c r="R249" s="9"/>
      <c r="S249" s="11"/>
    </row>
    <row r="250" spans="1:19" ht="15.75">
      <c r="A250" s="14">
        <v>49491</v>
      </c>
      <c r="B250" s="8">
        <f>CHOOSE( CONTROL!$C$31, 7.5814, 7.5785) * CHOOSE(CONTROL!$C$14, $D$10, 100%, $F$10)</f>
        <v>7.5814000000000004</v>
      </c>
      <c r="C250" s="8">
        <f>CHOOSE( CONTROL!$C$31, 7.5895, 7.5865) * CHOOSE(CONTROL!$C$14, $D$10, 100%, $F$10)</f>
        <v>7.5895000000000001</v>
      </c>
      <c r="D250" s="8">
        <f>CHOOSE( CONTROL!$C$31, 7.5946, 7.5916) * CHOOSE( CONTROL!$C$14, $D$10, 100%, $F$10)</f>
        <v>7.5945999999999998</v>
      </c>
      <c r="E250" s="12">
        <f>CHOOSE( CONTROL!$C$31, 7.5915, 7.5885) * CHOOSE( CONTROL!$C$14, $D$10, 100%, $F$10)</f>
        <v>7.5914999999999999</v>
      </c>
      <c r="F250" s="4">
        <f>CHOOSE( CONTROL!$C$31, 8.263, 8.2601) * CHOOSE(CONTROL!$C$14, $D$10, 100%, $F$10)</f>
        <v>8.2629999999999999</v>
      </c>
      <c r="G250" s="8">
        <f>CHOOSE( CONTROL!$C$31, 7.4265, 7.4236) * CHOOSE( CONTROL!$C$14, $D$10, 100%, $F$10)</f>
        <v>7.4264999999999999</v>
      </c>
      <c r="H250" s="4">
        <f>CHOOSE( CONTROL!$C$31, 8.3547, 8.3519) * CHOOSE(CONTROL!$C$14, $D$10, 100%, $F$10)</f>
        <v>8.3546999999999993</v>
      </c>
      <c r="I250" s="8">
        <f>CHOOSE( CONTROL!$C$31, 7.3949, 7.3921) * CHOOSE(CONTROL!$C$14, $D$10, 100%, $F$10)</f>
        <v>7.3948999999999998</v>
      </c>
      <c r="J250" s="4">
        <f>CHOOSE( CONTROL!$C$31, 7.2977, 7.2949) * CHOOSE(CONTROL!$C$14, $D$10, 100%, $F$10)</f>
        <v>7.2976999999999999</v>
      </c>
      <c r="K250" s="4"/>
      <c r="L250" s="9">
        <v>30.7165</v>
      </c>
      <c r="M250" s="9">
        <v>12.063700000000001</v>
      </c>
      <c r="N250" s="9">
        <v>4.9444999999999997</v>
      </c>
      <c r="O250" s="9">
        <v>0.37409999999999999</v>
      </c>
      <c r="P250" s="9">
        <v>1.2183999999999999</v>
      </c>
      <c r="Q250" s="9">
        <v>30.645399999999999</v>
      </c>
      <c r="R250" s="9"/>
      <c r="S250" s="11"/>
    </row>
    <row r="251" spans="1:19" ht="15.75">
      <c r="A251" s="14">
        <v>49522</v>
      </c>
      <c r="B251" s="8">
        <f>CHOOSE( CONTROL!$C$31, 6.9989, 6.996) * CHOOSE(CONTROL!$C$14, $D$10, 100%, $F$10)</f>
        <v>6.9988999999999999</v>
      </c>
      <c r="C251" s="8">
        <f>CHOOSE( CONTROL!$C$31, 7.0069, 7.004) * CHOOSE(CONTROL!$C$14, $D$10, 100%, $F$10)</f>
        <v>7.0068999999999999</v>
      </c>
      <c r="D251" s="8">
        <f>CHOOSE( CONTROL!$C$31, 7.0121, 7.0092) * CHOOSE( CONTROL!$C$14, $D$10, 100%, $F$10)</f>
        <v>7.0121000000000002</v>
      </c>
      <c r="E251" s="12">
        <f>CHOOSE( CONTROL!$C$31, 7.009, 7.0061) * CHOOSE( CONTROL!$C$14, $D$10, 100%, $F$10)</f>
        <v>7.0090000000000003</v>
      </c>
      <c r="F251" s="4">
        <f>CHOOSE( CONTROL!$C$31, 7.6805, 7.6775) * CHOOSE(CONTROL!$C$14, $D$10, 100%, $F$10)</f>
        <v>7.6805000000000003</v>
      </c>
      <c r="G251" s="8">
        <f>CHOOSE( CONTROL!$C$31, 6.8537, 6.8509) * CHOOSE( CONTROL!$C$14, $D$10, 100%, $F$10)</f>
        <v>6.8536999999999999</v>
      </c>
      <c r="H251" s="4">
        <f>CHOOSE( CONTROL!$C$31, 7.7819, 7.779) * CHOOSE(CONTROL!$C$14, $D$10, 100%, $F$10)</f>
        <v>7.7819000000000003</v>
      </c>
      <c r="I251" s="8">
        <f>CHOOSE( CONTROL!$C$31, 6.8319, 6.8291) * CHOOSE(CONTROL!$C$14, $D$10, 100%, $F$10)</f>
        <v>6.8319000000000001</v>
      </c>
      <c r="J251" s="4">
        <f>CHOOSE( CONTROL!$C$31, 6.7346, 6.7318) * CHOOSE(CONTROL!$C$14, $D$10, 100%, $F$10)</f>
        <v>6.7346000000000004</v>
      </c>
      <c r="K251" s="4"/>
      <c r="L251" s="9">
        <v>30.7165</v>
      </c>
      <c r="M251" s="9">
        <v>12.063700000000001</v>
      </c>
      <c r="N251" s="9">
        <v>4.9444999999999997</v>
      </c>
      <c r="O251" s="9">
        <v>0.37409999999999999</v>
      </c>
      <c r="P251" s="9">
        <v>1.2183999999999999</v>
      </c>
      <c r="Q251" s="9">
        <v>30.645399999999999</v>
      </c>
      <c r="R251" s="9"/>
      <c r="S251" s="11"/>
    </row>
    <row r="252" spans="1:19" ht="15.75">
      <c r="A252" s="14">
        <v>49553</v>
      </c>
      <c r="B252" s="8">
        <f>CHOOSE( CONTROL!$C$31, 6.8531, 6.8501) * CHOOSE(CONTROL!$C$14, $D$10, 100%, $F$10)</f>
        <v>6.8531000000000004</v>
      </c>
      <c r="C252" s="8">
        <f>CHOOSE( CONTROL!$C$31, 6.8611, 6.8581) * CHOOSE(CONTROL!$C$14, $D$10, 100%, $F$10)</f>
        <v>6.8611000000000004</v>
      </c>
      <c r="D252" s="8">
        <f>CHOOSE( CONTROL!$C$31, 6.8663, 6.8633) * CHOOSE( CONTROL!$C$14, $D$10, 100%, $F$10)</f>
        <v>6.8662999999999998</v>
      </c>
      <c r="E252" s="12">
        <f>CHOOSE( CONTROL!$C$31, 6.8632, 6.8602) * CHOOSE( CONTROL!$C$14, $D$10, 100%, $F$10)</f>
        <v>6.8632</v>
      </c>
      <c r="F252" s="4">
        <f>CHOOSE( CONTROL!$C$31, 7.5346, 7.5317) * CHOOSE(CONTROL!$C$14, $D$10, 100%, $F$10)</f>
        <v>7.5346000000000002</v>
      </c>
      <c r="G252" s="8">
        <f>CHOOSE( CONTROL!$C$31, 6.7103, 6.7074) * CHOOSE( CONTROL!$C$14, $D$10, 100%, $F$10)</f>
        <v>6.7103000000000002</v>
      </c>
      <c r="H252" s="4">
        <f>CHOOSE( CONTROL!$C$31, 7.6384, 7.6356) * CHOOSE(CONTROL!$C$14, $D$10, 100%, $F$10)</f>
        <v>7.6383999999999999</v>
      </c>
      <c r="I252" s="8">
        <f>CHOOSE( CONTROL!$C$31, 6.6908, 6.688) * CHOOSE(CONTROL!$C$14, $D$10, 100%, $F$10)</f>
        <v>6.6908000000000003</v>
      </c>
      <c r="J252" s="4">
        <f>CHOOSE( CONTROL!$C$31, 6.5936, 6.5908) * CHOOSE(CONTROL!$C$14, $D$10, 100%, $F$10)</f>
        <v>6.5936000000000003</v>
      </c>
      <c r="K252" s="4"/>
      <c r="L252" s="9">
        <v>29.7257</v>
      </c>
      <c r="M252" s="9">
        <v>11.6745</v>
      </c>
      <c r="N252" s="9">
        <v>4.7850000000000001</v>
      </c>
      <c r="O252" s="9">
        <v>0.36199999999999999</v>
      </c>
      <c r="P252" s="9">
        <v>1.1791</v>
      </c>
      <c r="Q252" s="9">
        <v>29.6568</v>
      </c>
      <c r="R252" s="9"/>
      <c r="S252" s="11"/>
    </row>
    <row r="253" spans="1:19" ht="15.75">
      <c r="A253" s="14">
        <v>49583</v>
      </c>
      <c r="B253" s="8">
        <f>7.1513 * CHOOSE(CONTROL!$C$14, $D$10, 100%, $F$10)</f>
        <v>7.1513</v>
      </c>
      <c r="C253" s="8">
        <f>7.1566 * CHOOSE(CONTROL!$C$14, $D$10, 100%, $F$10)</f>
        <v>7.1566000000000001</v>
      </c>
      <c r="D253" s="8">
        <f>7.1666 * CHOOSE( CONTROL!$C$14, $D$10, 100%, $F$10)</f>
        <v>7.1665999999999999</v>
      </c>
      <c r="E253" s="12">
        <f>7.1627 * CHOOSE( CONTROL!$C$14, $D$10, 100%, $F$10)</f>
        <v>7.1627000000000001</v>
      </c>
      <c r="F253" s="4">
        <f>7.8345 * CHOOSE(CONTROL!$C$14, $D$10, 100%, $F$10)</f>
        <v>7.8345000000000002</v>
      </c>
      <c r="G253" s="8">
        <f>7.0049 * CHOOSE( CONTROL!$C$14, $D$10, 100%, $F$10)</f>
        <v>7.0049000000000001</v>
      </c>
      <c r="H253" s="4">
        <f>7.9334 * CHOOSE(CONTROL!$C$14, $D$10, 100%, $F$10)</f>
        <v>7.9333999999999998</v>
      </c>
      <c r="I253" s="8">
        <f>6.9817 * CHOOSE(CONTROL!$C$14, $D$10, 100%, $F$10)</f>
        <v>6.9817</v>
      </c>
      <c r="J253" s="4">
        <f>6.8836 * CHOOSE(CONTROL!$C$14, $D$10, 100%, $F$10)</f>
        <v>6.8836000000000004</v>
      </c>
      <c r="K253" s="4"/>
      <c r="L253" s="9">
        <v>31.095300000000002</v>
      </c>
      <c r="M253" s="9">
        <v>12.063700000000001</v>
      </c>
      <c r="N253" s="9">
        <v>4.9444999999999997</v>
      </c>
      <c r="O253" s="9">
        <v>0.37409999999999999</v>
      </c>
      <c r="P253" s="9">
        <v>1.2183999999999999</v>
      </c>
      <c r="Q253" s="9">
        <v>30.645399999999999</v>
      </c>
      <c r="R253" s="9"/>
      <c r="S253" s="11"/>
    </row>
    <row r="254" spans="1:19" ht="15.75">
      <c r="A254" s="14">
        <v>49614</v>
      </c>
      <c r="B254" s="8">
        <f>7.7099 * CHOOSE(CONTROL!$C$14, $D$10, 100%, $F$10)</f>
        <v>7.7099000000000002</v>
      </c>
      <c r="C254" s="8">
        <f>7.715 * CHOOSE(CONTROL!$C$14, $D$10, 100%, $F$10)</f>
        <v>7.7149999999999999</v>
      </c>
      <c r="D254" s="8">
        <f>7.6912 * CHOOSE( CONTROL!$C$14, $D$10, 100%, $F$10)</f>
        <v>7.6912000000000003</v>
      </c>
      <c r="E254" s="12">
        <f>7.6994 * CHOOSE( CONTROL!$C$14, $D$10, 100%, $F$10)</f>
        <v>7.6993999999999998</v>
      </c>
      <c r="F254" s="4">
        <f>8.3574 * CHOOSE(CONTROL!$C$14, $D$10, 100%, $F$10)</f>
        <v>8.3574000000000002</v>
      </c>
      <c r="G254" s="8">
        <f>7.5644 * CHOOSE( CONTROL!$C$14, $D$10, 100%, $F$10)</f>
        <v>7.5644</v>
      </c>
      <c r="H254" s="4">
        <f>8.4476 * CHOOSE(CONTROL!$C$14, $D$10, 100%, $F$10)</f>
        <v>8.4475999999999996</v>
      </c>
      <c r="I254" s="8">
        <f>7.5529 * CHOOSE(CONTROL!$C$14, $D$10, 100%, $F$10)</f>
        <v>7.5529000000000002</v>
      </c>
      <c r="J254" s="4">
        <f>7.424 * CHOOSE(CONTROL!$C$14, $D$10, 100%, $F$10)</f>
        <v>7.4240000000000004</v>
      </c>
      <c r="K254" s="4"/>
      <c r="L254" s="9">
        <v>28.360600000000002</v>
      </c>
      <c r="M254" s="9">
        <v>11.6745</v>
      </c>
      <c r="N254" s="9">
        <v>4.7850000000000001</v>
      </c>
      <c r="O254" s="9">
        <v>0.36199999999999999</v>
      </c>
      <c r="P254" s="9">
        <v>1.2509999999999999</v>
      </c>
      <c r="Q254" s="9">
        <v>29.6568</v>
      </c>
      <c r="R254" s="9"/>
      <c r="S254" s="11"/>
    </row>
    <row r="255" spans="1:19" ht="15.75">
      <c r="A255" s="14">
        <v>49644</v>
      </c>
      <c r="B255" s="8">
        <f>7.6959 * CHOOSE(CONTROL!$C$14, $D$10, 100%, $F$10)</f>
        <v>7.6959</v>
      </c>
      <c r="C255" s="8">
        <f>7.7011 * CHOOSE(CONTROL!$C$14, $D$10, 100%, $F$10)</f>
        <v>7.7011000000000003</v>
      </c>
      <c r="D255" s="8">
        <f>7.6786 * CHOOSE( CONTROL!$C$14, $D$10, 100%, $F$10)</f>
        <v>7.6786000000000003</v>
      </c>
      <c r="E255" s="12">
        <f>7.6863 * CHOOSE( CONTROL!$C$14, $D$10, 100%, $F$10)</f>
        <v>7.6863000000000001</v>
      </c>
      <c r="F255" s="4">
        <f>8.3434 * CHOOSE(CONTROL!$C$14, $D$10, 100%, $F$10)</f>
        <v>8.3434000000000008</v>
      </c>
      <c r="G255" s="8">
        <f>7.5517 * CHOOSE( CONTROL!$C$14, $D$10, 100%, $F$10)</f>
        <v>7.5517000000000003</v>
      </c>
      <c r="H255" s="4">
        <f>8.4338 * CHOOSE(CONTROL!$C$14, $D$10, 100%, $F$10)</f>
        <v>8.4337999999999997</v>
      </c>
      <c r="I255" s="8">
        <f>7.5438 * CHOOSE(CONTROL!$C$14, $D$10, 100%, $F$10)</f>
        <v>7.5438000000000001</v>
      </c>
      <c r="J255" s="4">
        <f>7.4105 * CHOOSE(CONTROL!$C$14, $D$10, 100%, $F$10)</f>
        <v>7.4104999999999999</v>
      </c>
      <c r="K255" s="4"/>
      <c r="L255" s="9">
        <v>29.306000000000001</v>
      </c>
      <c r="M255" s="9">
        <v>12.063700000000001</v>
      </c>
      <c r="N255" s="9">
        <v>4.9444999999999997</v>
      </c>
      <c r="O255" s="9">
        <v>0.37409999999999999</v>
      </c>
      <c r="P255" s="9">
        <v>1.2927</v>
      </c>
      <c r="Q255" s="9">
        <v>30.645399999999999</v>
      </c>
      <c r="R255" s="9"/>
      <c r="S255" s="11"/>
    </row>
    <row r="256" spans="1:19" ht="15.75">
      <c r="A256" s="14">
        <v>49675</v>
      </c>
      <c r="B256" s="8">
        <f>7.9889 * CHOOSE(CONTROL!$C$14, $D$10, 100%, $F$10)</f>
        <v>7.9889000000000001</v>
      </c>
      <c r="C256" s="8">
        <f>7.994 * CHOOSE(CONTROL!$C$14, $D$10, 100%, $F$10)</f>
        <v>7.9939999999999998</v>
      </c>
      <c r="D256" s="8">
        <f>7.9898 * CHOOSE( CONTROL!$C$14, $D$10, 100%, $F$10)</f>
        <v>7.9897999999999998</v>
      </c>
      <c r="E256" s="12">
        <f>7.9908 * CHOOSE( CONTROL!$C$14, $D$10, 100%, $F$10)</f>
        <v>7.9908000000000001</v>
      </c>
      <c r="F256" s="4">
        <f>8.6674 * CHOOSE(CONTROL!$C$14, $D$10, 100%, $F$10)</f>
        <v>8.6674000000000007</v>
      </c>
      <c r="G256" s="8">
        <f>7.8541 * CHOOSE( CONTROL!$C$14, $D$10, 100%, $F$10)</f>
        <v>7.8540999999999999</v>
      </c>
      <c r="H256" s="4">
        <f>8.7525 * CHOOSE(CONTROL!$C$14, $D$10, 100%, $F$10)</f>
        <v>8.7524999999999995</v>
      </c>
      <c r="I256" s="8">
        <f>7.8062 * CHOOSE(CONTROL!$C$14, $D$10, 100%, $F$10)</f>
        <v>7.8061999999999996</v>
      </c>
      <c r="J256" s="4">
        <f>7.6937 * CHOOSE(CONTROL!$C$14, $D$10, 100%, $F$10)</f>
        <v>7.6936999999999998</v>
      </c>
      <c r="K256" s="4"/>
      <c r="L256" s="9">
        <v>29.306000000000001</v>
      </c>
      <c r="M256" s="9">
        <v>12.063700000000001</v>
      </c>
      <c r="N256" s="9">
        <v>4.9444999999999997</v>
      </c>
      <c r="O256" s="9">
        <v>0.37409999999999999</v>
      </c>
      <c r="P256" s="9">
        <v>1.2927</v>
      </c>
      <c r="Q256" s="9">
        <v>30.580300000000001</v>
      </c>
      <c r="R256" s="9"/>
      <c r="S256" s="11"/>
    </row>
    <row r="257" spans="1:19" ht="15.75">
      <c r="A257" s="14">
        <v>49706</v>
      </c>
      <c r="B257" s="8">
        <f>7.4744 * CHOOSE(CONTROL!$C$14, $D$10, 100%, $F$10)</f>
        <v>7.4744000000000002</v>
      </c>
      <c r="C257" s="8">
        <f>7.4795 * CHOOSE(CONTROL!$C$14, $D$10, 100%, $F$10)</f>
        <v>7.4794999999999998</v>
      </c>
      <c r="D257" s="8">
        <f>7.4694 * CHOOSE( CONTROL!$C$14, $D$10, 100%, $F$10)</f>
        <v>7.4694000000000003</v>
      </c>
      <c r="E257" s="12">
        <f>7.4725 * CHOOSE( CONTROL!$C$14, $D$10, 100%, $F$10)</f>
        <v>7.4725000000000001</v>
      </c>
      <c r="F257" s="4">
        <f>8.127 * CHOOSE(CONTROL!$C$14, $D$10, 100%, $F$10)</f>
        <v>8.1270000000000007</v>
      </c>
      <c r="G257" s="8">
        <f>7.34 * CHOOSE( CONTROL!$C$14, $D$10, 100%, $F$10)</f>
        <v>7.34</v>
      </c>
      <c r="H257" s="4">
        <f>8.2211 * CHOOSE(CONTROL!$C$14, $D$10, 100%, $F$10)</f>
        <v>8.2210999999999999</v>
      </c>
      <c r="I257" s="8">
        <f>7.2992 * CHOOSE(CONTROL!$C$14, $D$10, 100%, $F$10)</f>
        <v>7.2991999999999999</v>
      </c>
      <c r="J257" s="4">
        <f>7.1963 * CHOOSE(CONTROL!$C$14, $D$10, 100%, $F$10)</f>
        <v>7.1962999999999999</v>
      </c>
      <c r="K257" s="4"/>
      <c r="L257" s="9">
        <v>27.415299999999998</v>
      </c>
      <c r="M257" s="9">
        <v>11.285299999999999</v>
      </c>
      <c r="N257" s="9">
        <v>4.6254999999999997</v>
      </c>
      <c r="O257" s="9">
        <v>0.34989999999999999</v>
      </c>
      <c r="P257" s="9">
        <v>1.2093</v>
      </c>
      <c r="Q257" s="9">
        <v>28.607299999999999</v>
      </c>
      <c r="R257" s="9"/>
      <c r="S257" s="11"/>
    </row>
    <row r="258" spans="1:19" ht="15.75">
      <c r="A258" s="14">
        <v>49735</v>
      </c>
      <c r="B258" s="8">
        <f>7.3159 * CHOOSE(CONTROL!$C$14, $D$10, 100%, $F$10)</f>
        <v>7.3159000000000001</v>
      </c>
      <c r="C258" s="8">
        <f>7.3211 * CHOOSE(CONTROL!$C$14, $D$10, 100%, $F$10)</f>
        <v>7.3211000000000004</v>
      </c>
      <c r="D258" s="8">
        <f>7.3045 * CHOOSE( CONTROL!$C$14, $D$10, 100%, $F$10)</f>
        <v>7.3045</v>
      </c>
      <c r="E258" s="12">
        <f>7.31 * CHOOSE( CONTROL!$C$14, $D$10, 100%, $F$10)</f>
        <v>7.31</v>
      </c>
      <c r="F258" s="4">
        <f>7.9686 * CHOOSE(CONTROL!$C$14, $D$10, 100%, $F$10)</f>
        <v>7.9686000000000003</v>
      </c>
      <c r="G258" s="8">
        <f>7.1759 * CHOOSE( CONTROL!$C$14, $D$10, 100%, $F$10)</f>
        <v>7.1759000000000004</v>
      </c>
      <c r="H258" s="4">
        <f>8.0652 * CHOOSE(CONTROL!$C$14, $D$10, 100%, $F$10)</f>
        <v>8.0652000000000008</v>
      </c>
      <c r="I258" s="8">
        <f>7.1258 * CHOOSE(CONTROL!$C$14, $D$10, 100%, $F$10)</f>
        <v>7.1257999999999999</v>
      </c>
      <c r="J258" s="4">
        <f>7.0431 * CHOOSE(CONTROL!$C$14, $D$10, 100%, $F$10)</f>
        <v>7.0430999999999999</v>
      </c>
      <c r="K258" s="4"/>
      <c r="L258" s="9">
        <v>29.306000000000001</v>
      </c>
      <c r="M258" s="9">
        <v>12.063700000000001</v>
      </c>
      <c r="N258" s="9">
        <v>4.9444999999999997</v>
      </c>
      <c r="O258" s="9">
        <v>0.37409999999999999</v>
      </c>
      <c r="P258" s="9">
        <v>1.2927</v>
      </c>
      <c r="Q258" s="9">
        <v>30.580300000000001</v>
      </c>
      <c r="R258" s="9"/>
      <c r="S258" s="11"/>
    </row>
    <row r="259" spans="1:19" ht="15.75">
      <c r="A259" s="14">
        <v>49766</v>
      </c>
      <c r="B259" s="8">
        <f>7.4274 * CHOOSE(CONTROL!$C$14, $D$10, 100%, $F$10)</f>
        <v>7.4273999999999996</v>
      </c>
      <c r="C259" s="8">
        <f>7.432 * CHOOSE(CONTROL!$C$14, $D$10, 100%, $F$10)</f>
        <v>7.4320000000000004</v>
      </c>
      <c r="D259" s="8">
        <f>7.4415 * CHOOSE( CONTROL!$C$14, $D$10, 100%, $F$10)</f>
        <v>7.4414999999999996</v>
      </c>
      <c r="E259" s="12">
        <f>7.4378 * CHOOSE( CONTROL!$C$14, $D$10, 100%, $F$10)</f>
        <v>7.4378000000000002</v>
      </c>
      <c r="F259" s="4">
        <f>8.1103 * CHOOSE(CONTROL!$C$14, $D$10, 100%, $F$10)</f>
        <v>8.1103000000000005</v>
      </c>
      <c r="G259" s="8">
        <f>7.2747 * CHOOSE( CONTROL!$C$14, $D$10, 100%, $F$10)</f>
        <v>7.2747000000000002</v>
      </c>
      <c r="H259" s="4">
        <f>8.2046 * CHOOSE(CONTROL!$C$14, $D$10, 100%, $F$10)</f>
        <v>8.2045999999999992</v>
      </c>
      <c r="I259" s="8">
        <f>7.2439 * CHOOSE(CONTROL!$C$14, $D$10, 100%, $F$10)</f>
        <v>7.2439</v>
      </c>
      <c r="J259" s="4">
        <f>7.1502 * CHOOSE(CONTROL!$C$14, $D$10, 100%, $F$10)</f>
        <v>7.1501999999999999</v>
      </c>
      <c r="K259" s="4"/>
      <c r="L259" s="9">
        <v>30.092199999999998</v>
      </c>
      <c r="M259" s="9">
        <v>11.6745</v>
      </c>
      <c r="N259" s="9">
        <v>4.7850000000000001</v>
      </c>
      <c r="O259" s="9">
        <v>0.36199999999999999</v>
      </c>
      <c r="P259" s="9">
        <v>1.1791</v>
      </c>
      <c r="Q259" s="9">
        <v>29.593800000000002</v>
      </c>
      <c r="R259" s="9"/>
      <c r="S259" s="11"/>
    </row>
    <row r="260" spans="1:19" ht="15.75">
      <c r="A260" s="14">
        <v>49796</v>
      </c>
      <c r="B260" s="8">
        <f>CHOOSE( CONTROL!$C$31, 7.6288, 7.6259) * CHOOSE(CONTROL!$C$14, $D$10, 100%, $F$10)</f>
        <v>7.6288</v>
      </c>
      <c r="C260" s="8">
        <f>CHOOSE( CONTROL!$C$31, 7.6368, 7.6339) * CHOOSE(CONTROL!$C$14, $D$10, 100%, $F$10)</f>
        <v>7.6368</v>
      </c>
      <c r="D260" s="8">
        <f>CHOOSE( CONTROL!$C$31, 7.6415, 7.6385) * CHOOSE( CONTROL!$C$14, $D$10, 100%, $F$10)</f>
        <v>7.6414999999999997</v>
      </c>
      <c r="E260" s="12">
        <f>CHOOSE( CONTROL!$C$31, 7.6386, 7.6356) * CHOOSE( CONTROL!$C$14, $D$10, 100%, $F$10)</f>
        <v>7.6386000000000003</v>
      </c>
      <c r="F260" s="4">
        <f>CHOOSE( CONTROL!$C$31, 8.3104, 8.3074) * CHOOSE(CONTROL!$C$14, $D$10, 100%, $F$10)</f>
        <v>8.3103999999999996</v>
      </c>
      <c r="G260" s="8">
        <f>CHOOSE( CONTROL!$C$31, 7.4723, 7.4694) * CHOOSE( CONTROL!$C$14, $D$10, 100%, $F$10)</f>
        <v>7.4722999999999997</v>
      </c>
      <c r="H260" s="4">
        <f>CHOOSE( CONTROL!$C$31, 8.4013, 8.3984) * CHOOSE(CONTROL!$C$14, $D$10, 100%, $F$10)</f>
        <v>8.4013000000000009</v>
      </c>
      <c r="I260" s="8">
        <f>CHOOSE( CONTROL!$C$31, 7.4384, 7.4355) * CHOOSE(CONTROL!$C$14, $D$10, 100%, $F$10)</f>
        <v>7.4383999999999997</v>
      </c>
      <c r="J260" s="4">
        <f>CHOOSE( CONTROL!$C$31, 7.3435, 7.3407) * CHOOSE(CONTROL!$C$14, $D$10, 100%, $F$10)</f>
        <v>7.3434999999999997</v>
      </c>
      <c r="K260" s="4"/>
      <c r="L260" s="9">
        <v>30.7165</v>
      </c>
      <c r="M260" s="9">
        <v>12.063700000000001</v>
      </c>
      <c r="N260" s="9">
        <v>4.9444999999999997</v>
      </c>
      <c r="O260" s="9">
        <v>0.37409999999999999</v>
      </c>
      <c r="P260" s="9">
        <v>1.2183999999999999</v>
      </c>
      <c r="Q260" s="9">
        <v>30.580300000000001</v>
      </c>
      <c r="R260" s="9"/>
      <c r="S260" s="11"/>
    </row>
    <row r="261" spans="1:19" ht="15.75">
      <c r="A261" s="14">
        <v>49827</v>
      </c>
      <c r="B261" s="8">
        <f>CHOOSE( CONTROL!$C$31, 7.5067, 7.5038) * CHOOSE(CONTROL!$C$14, $D$10, 100%, $F$10)</f>
        <v>7.5067000000000004</v>
      </c>
      <c r="C261" s="8">
        <f>CHOOSE( CONTROL!$C$31, 7.5147, 7.5118) * CHOOSE(CONTROL!$C$14, $D$10, 100%, $F$10)</f>
        <v>7.5147000000000004</v>
      </c>
      <c r="D261" s="8">
        <f>CHOOSE( CONTROL!$C$31, 7.5196, 7.5167) * CHOOSE( CONTROL!$C$14, $D$10, 100%, $F$10)</f>
        <v>7.5195999999999996</v>
      </c>
      <c r="E261" s="12">
        <f>CHOOSE( CONTROL!$C$31, 7.5166, 7.5137) * CHOOSE( CONTROL!$C$14, $D$10, 100%, $F$10)</f>
        <v>7.5166000000000004</v>
      </c>
      <c r="F261" s="4">
        <f>CHOOSE( CONTROL!$C$31, 8.1883, 8.1853) * CHOOSE(CONTROL!$C$14, $D$10, 100%, $F$10)</f>
        <v>8.1882999999999999</v>
      </c>
      <c r="G261" s="8">
        <f>CHOOSE( CONTROL!$C$31, 7.3526, 7.3497) * CHOOSE( CONTROL!$C$14, $D$10, 100%, $F$10)</f>
        <v>7.3525999999999998</v>
      </c>
      <c r="H261" s="4">
        <f>CHOOSE( CONTROL!$C$31, 8.2813, 8.2784) * CHOOSE(CONTROL!$C$14, $D$10, 100%, $F$10)</f>
        <v>8.2812999999999999</v>
      </c>
      <c r="I261" s="8">
        <f>CHOOSE( CONTROL!$C$31, 7.3215, 7.3187) * CHOOSE(CONTROL!$C$14, $D$10, 100%, $F$10)</f>
        <v>7.3215000000000003</v>
      </c>
      <c r="J261" s="4">
        <f>CHOOSE( CONTROL!$C$31, 7.2255, 7.2227) * CHOOSE(CONTROL!$C$14, $D$10, 100%, $F$10)</f>
        <v>7.2255000000000003</v>
      </c>
      <c r="K261" s="4"/>
      <c r="L261" s="9">
        <v>29.7257</v>
      </c>
      <c r="M261" s="9">
        <v>11.6745</v>
      </c>
      <c r="N261" s="9">
        <v>4.7850000000000001</v>
      </c>
      <c r="O261" s="9">
        <v>0.36199999999999999</v>
      </c>
      <c r="P261" s="9">
        <v>1.1791</v>
      </c>
      <c r="Q261" s="9">
        <v>29.593800000000002</v>
      </c>
      <c r="R261" s="9"/>
      <c r="S261" s="11"/>
    </row>
    <row r="262" spans="1:19" ht="15.75">
      <c r="A262" s="14">
        <v>49857</v>
      </c>
      <c r="B262" s="8">
        <f>CHOOSE( CONTROL!$C$31, 7.8282, 7.8253) * CHOOSE(CONTROL!$C$14, $D$10, 100%, $F$10)</f>
        <v>7.8281999999999998</v>
      </c>
      <c r="C262" s="8">
        <f>CHOOSE( CONTROL!$C$31, 7.8362, 7.8333) * CHOOSE(CONTROL!$C$14, $D$10, 100%, $F$10)</f>
        <v>7.8361999999999998</v>
      </c>
      <c r="D262" s="8">
        <f>CHOOSE( CONTROL!$C$31, 7.8414, 7.8384) * CHOOSE( CONTROL!$C$14, $D$10, 100%, $F$10)</f>
        <v>7.8414000000000001</v>
      </c>
      <c r="E262" s="12">
        <f>CHOOSE( CONTROL!$C$31, 7.8383, 7.8353) * CHOOSE( CONTROL!$C$14, $D$10, 100%, $F$10)</f>
        <v>7.8383000000000003</v>
      </c>
      <c r="F262" s="4">
        <f>CHOOSE( CONTROL!$C$31, 8.5098, 8.5068) * CHOOSE(CONTROL!$C$14, $D$10, 100%, $F$10)</f>
        <v>8.5098000000000003</v>
      </c>
      <c r="G262" s="8">
        <f>CHOOSE( CONTROL!$C$31, 7.6692, 7.6663) * CHOOSE( CONTROL!$C$14, $D$10, 100%, $F$10)</f>
        <v>7.6692</v>
      </c>
      <c r="H262" s="4">
        <f>CHOOSE( CONTROL!$C$31, 8.5974, 8.5946) * CHOOSE(CONTROL!$C$14, $D$10, 100%, $F$10)</f>
        <v>8.5974000000000004</v>
      </c>
      <c r="I262" s="8">
        <f>CHOOSE( CONTROL!$C$31, 7.6336, 7.6308) * CHOOSE(CONTROL!$C$14, $D$10, 100%, $F$10)</f>
        <v>7.6336000000000004</v>
      </c>
      <c r="J262" s="4">
        <f>CHOOSE( CONTROL!$C$31, 7.5363, 7.5335) * CHOOSE(CONTROL!$C$14, $D$10, 100%, $F$10)</f>
        <v>7.5362999999999998</v>
      </c>
      <c r="K262" s="4"/>
      <c r="L262" s="9">
        <v>30.7165</v>
      </c>
      <c r="M262" s="9">
        <v>12.063700000000001</v>
      </c>
      <c r="N262" s="9">
        <v>4.9444999999999997</v>
      </c>
      <c r="O262" s="9">
        <v>0.37409999999999999</v>
      </c>
      <c r="P262" s="9">
        <v>1.2183999999999999</v>
      </c>
      <c r="Q262" s="9">
        <v>30.580300000000001</v>
      </c>
      <c r="R262" s="9"/>
      <c r="S262" s="11"/>
    </row>
    <row r="263" spans="1:19" ht="15.75">
      <c r="A263" s="14">
        <v>49888</v>
      </c>
      <c r="B263" s="8">
        <f>CHOOSE( CONTROL!$C$31, 7.2267, 7.2237) * CHOOSE(CONTROL!$C$14, $D$10, 100%, $F$10)</f>
        <v>7.2267000000000001</v>
      </c>
      <c r="C263" s="8">
        <f>CHOOSE( CONTROL!$C$31, 7.2347, 7.2318) * CHOOSE(CONTROL!$C$14, $D$10, 100%, $F$10)</f>
        <v>7.2347000000000001</v>
      </c>
      <c r="D263" s="8">
        <f>CHOOSE( CONTROL!$C$31, 7.2399, 7.237) * CHOOSE( CONTROL!$C$14, $D$10, 100%, $F$10)</f>
        <v>7.2398999999999996</v>
      </c>
      <c r="E263" s="12">
        <f>CHOOSE( CONTROL!$C$31, 7.2368, 7.2339) * CHOOSE( CONTROL!$C$14, $D$10, 100%, $F$10)</f>
        <v>7.2367999999999997</v>
      </c>
      <c r="F263" s="4">
        <f>CHOOSE( CONTROL!$C$31, 7.9082, 7.9053) * CHOOSE(CONTROL!$C$14, $D$10, 100%, $F$10)</f>
        <v>7.9081999999999999</v>
      </c>
      <c r="G263" s="8">
        <f>CHOOSE( CONTROL!$C$31, 7.0777, 7.0748) * CHOOSE( CONTROL!$C$14, $D$10, 100%, $F$10)</f>
        <v>7.0777000000000001</v>
      </c>
      <c r="H263" s="4">
        <f>CHOOSE( CONTROL!$C$31, 8.0058, 8.003) * CHOOSE(CONTROL!$C$14, $D$10, 100%, $F$10)</f>
        <v>8.0058000000000007</v>
      </c>
      <c r="I263" s="8">
        <f>CHOOSE( CONTROL!$C$31, 7.0522, 7.0494) * CHOOSE(CONTROL!$C$14, $D$10, 100%, $F$10)</f>
        <v>7.0522</v>
      </c>
      <c r="J263" s="4">
        <f>CHOOSE( CONTROL!$C$31, 6.9548, 6.952) * CHOOSE(CONTROL!$C$14, $D$10, 100%, $F$10)</f>
        <v>6.9547999999999996</v>
      </c>
      <c r="K263" s="4"/>
      <c r="L263" s="9">
        <v>30.7165</v>
      </c>
      <c r="M263" s="9">
        <v>12.063700000000001</v>
      </c>
      <c r="N263" s="9">
        <v>4.9444999999999997</v>
      </c>
      <c r="O263" s="9">
        <v>0.37409999999999999</v>
      </c>
      <c r="P263" s="9">
        <v>1.2183999999999999</v>
      </c>
      <c r="Q263" s="9">
        <v>30.580300000000001</v>
      </c>
      <c r="R263" s="9"/>
      <c r="S263" s="11"/>
    </row>
    <row r="264" spans="1:19" ht="15.75">
      <c r="A264" s="14">
        <v>49919</v>
      </c>
      <c r="B264" s="8">
        <f>CHOOSE( CONTROL!$C$31, 7.076, 7.0731) * CHOOSE(CONTROL!$C$14, $D$10, 100%, $F$10)</f>
        <v>7.0759999999999996</v>
      </c>
      <c r="C264" s="8">
        <f>CHOOSE( CONTROL!$C$31, 7.084, 7.0811) * CHOOSE(CONTROL!$C$14, $D$10, 100%, $F$10)</f>
        <v>7.0839999999999996</v>
      </c>
      <c r="D264" s="8">
        <f>CHOOSE( CONTROL!$C$31, 7.0892, 7.0863) * CHOOSE( CONTROL!$C$14, $D$10, 100%, $F$10)</f>
        <v>7.0891999999999999</v>
      </c>
      <c r="E264" s="12">
        <f>CHOOSE( CONTROL!$C$31, 7.0861, 7.0832) * CHOOSE( CONTROL!$C$14, $D$10, 100%, $F$10)</f>
        <v>7.0861000000000001</v>
      </c>
      <c r="F264" s="4">
        <f>CHOOSE( CONTROL!$C$31, 7.7576, 7.7546) * CHOOSE(CONTROL!$C$14, $D$10, 100%, $F$10)</f>
        <v>7.7576000000000001</v>
      </c>
      <c r="G264" s="8">
        <f>CHOOSE( CONTROL!$C$31, 6.9295, 6.9267) * CHOOSE( CONTROL!$C$14, $D$10, 100%, $F$10)</f>
        <v>6.9295</v>
      </c>
      <c r="H264" s="4">
        <f>CHOOSE( CONTROL!$C$31, 7.8577, 7.8548) * CHOOSE(CONTROL!$C$14, $D$10, 100%, $F$10)</f>
        <v>7.8577000000000004</v>
      </c>
      <c r="I264" s="8">
        <f>CHOOSE( CONTROL!$C$31, 6.9065, 6.9036) * CHOOSE(CONTROL!$C$14, $D$10, 100%, $F$10)</f>
        <v>6.9065000000000003</v>
      </c>
      <c r="J264" s="4">
        <f>CHOOSE( CONTROL!$C$31, 6.8092, 6.8063) * CHOOSE(CONTROL!$C$14, $D$10, 100%, $F$10)</f>
        <v>6.8091999999999997</v>
      </c>
      <c r="K264" s="4"/>
      <c r="L264" s="9">
        <v>29.7257</v>
      </c>
      <c r="M264" s="9">
        <v>11.6745</v>
      </c>
      <c r="N264" s="9">
        <v>4.7850000000000001</v>
      </c>
      <c r="O264" s="9">
        <v>0.36199999999999999</v>
      </c>
      <c r="P264" s="9">
        <v>1.1791</v>
      </c>
      <c r="Q264" s="9">
        <v>29.593800000000002</v>
      </c>
      <c r="R264" s="9"/>
      <c r="S264" s="11"/>
    </row>
    <row r="265" spans="1:19" ht="15.75">
      <c r="A265" s="14">
        <v>49949</v>
      </c>
      <c r="B265" s="8">
        <f>7.3842 * CHOOSE(CONTROL!$C$14, $D$10, 100%, $F$10)</f>
        <v>7.3841999999999999</v>
      </c>
      <c r="C265" s="8">
        <f>7.3895 * CHOOSE(CONTROL!$C$14, $D$10, 100%, $F$10)</f>
        <v>7.3895</v>
      </c>
      <c r="D265" s="8">
        <f>7.3995 * CHOOSE( CONTROL!$C$14, $D$10, 100%, $F$10)</f>
        <v>7.3994999999999997</v>
      </c>
      <c r="E265" s="12">
        <f>7.3956 * CHOOSE( CONTROL!$C$14, $D$10, 100%, $F$10)</f>
        <v>7.3956</v>
      </c>
      <c r="F265" s="4">
        <f>8.0674 * CHOOSE(CONTROL!$C$14, $D$10, 100%, $F$10)</f>
        <v>8.0673999999999992</v>
      </c>
      <c r="G265" s="8">
        <f>7.2339 * CHOOSE( CONTROL!$C$14, $D$10, 100%, $F$10)</f>
        <v>7.2339000000000002</v>
      </c>
      <c r="H265" s="4">
        <f>8.1624 * CHOOSE(CONTROL!$C$14, $D$10, 100%, $F$10)</f>
        <v>8.1623999999999999</v>
      </c>
      <c r="I265" s="8">
        <f>7.2069 * CHOOSE(CONTROL!$C$14, $D$10, 100%, $F$10)</f>
        <v>7.2069000000000001</v>
      </c>
      <c r="J265" s="4">
        <f>7.1087 * CHOOSE(CONTROL!$C$14, $D$10, 100%, $F$10)</f>
        <v>7.1086999999999998</v>
      </c>
      <c r="K265" s="4"/>
      <c r="L265" s="9">
        <v>31.095300000000002</v>
      </c>
      <c r="M265" s="9">
        <v>12.063700000000001</v>
      </c>
      <c r="N265" s="9">
        <v>4.9444999999999997</v>
      </c>
      <c r="O265" s="9">
        <v>0.37409999999999999</v>
      </c>
      <c r="P265" s="9">
        <v>1.2183999999999999</v>
      </c>
      <c r="Q265" s="9">
        <v>30.580300000000001</v>
      </c>
      <c r="R265" s="9"/>
      <c r="S265" s="11"/>
    </row>
    <row r="266" spans="1:19" ht="15.75">
      <c r="A266" s="14">
        <v>49980</v>
      </c>
      <c r="B266" s="8">
        <f>7.9611 * CHOOSE(CONTROL!$C$14, $D$10, 100%, $F$10)</f>
        <v>7.9611000000000001</v>
      </c>
      <c r="C266" s="8">
        <f>7.9662 * CHOOSE(CONTROL!$C$14, $D$10, 100%, $F$10)</f>
        <v>7.9661999999999997</v>
      </c>
      <c r="D266" s="8">
        <f>7.9424 * CHOOSE( CONTROL!$C$14, $D$10, 100%, $F$10)</f>
        <v>7.9424000000000001</v>
      </c>
      <c r="E266" s="12">
        <f>7.9506 * CHOOSE( CONTROL!$C$14, $D$10, 100%, $F$10)</f>
        <v>7.9505999999999997</v>
      </c>
      <c r="F266" s="4">
        <f>8.6085 * CHOOSE(CONTROL!$C$14, $D$10, 100%, $F$10)</f>
        <v>8.6084999999999994</v>
      </c>
      <c r="G266" s="8">
        <f>7.8114 * CHOOSE( CONTROL!$C$14, $D$10, 100%, $F$10)</f>
        <v>7.8113999999999999</v>
      </c>
      <c r="H266" s="4">
        <f>8.6946 * CHOOSE(CONTROL!$C$14, $D$10, 100%, $F$10)</f>
        <v>8.6945999999999994</v>
      </c>
      <c r="I266" s="8">
        <f>7.7958 * CHOOSE(CONTROL!$C$14, $D$10, 100%, $F$10)</f>
        <v>7.7957999999999998</v>
      </c>
      <c r="J266" s="4">
        <f>7.6668 * CHOOSE(CONTROL!$C$14, $D$10, 100%, $F$10)</f>
        <v>7.6668000000000003</v>
      </c>
      <c r="K266" s="4"/>
      <c r="L266" s="9">
        <v>28.360600000000002</v>
      </c>
      <c r="M266" s="9">
        <v>11.6745</v>
      </c>
      <c r="N266" s="9">
        <v>4.7850000000000001</v>
      </c>
      <c r="O266" s="9">
        <v>0.36199999999999999</v>
      </c>
      <c r="P266" s="9">
        <v>1.2509999999999999</v>
      </c>
      <c r="Q266" s="9">
        <v>29.593800000000002</v>
      </c>
      <c r="R266" s="9"/>
      <c r="S266" s="11"/>
    </row>
    <row r="267" spans="1:19" ht="15.75">
      <c r="A267" s="14">
        <v>50010</v>
      </c>
      <c r="B267" s="8">
        <f>7.9466 * CHOOSE(CONTROL!$C$14, $D$10, 100%, $F$10)</f>
        <v>7.9466000000000001</v>
      </c>
      <c r="C267" s="8">
        <f>7.9518 * CHOOSE(CONTROL!$C$14, $D$10, 100%, $F$10)</f>
        <v>7.9518000000000004</v>
      </c>
      <c r="D267" s="8">
        <f>7.9293 * CHOOSE( CONTROL!$C$14, $D$10, 100%, $F$10)</f>
        <v>7.9292999999999996</v>
      </c>
      <c r="E267" s="12">
        <f>7.937 * CHOOSE( CONTROL!$C$14, $D$10, 100%, $F$10)</f>
        <v>7.9370000000000003</v>
      </c>
      <c r="F267" s="4">
        <f>8.5941 * CHOOSE(CONTROL!$C$14, $D$10, 100%, $F$10)</f>
        <v>8.5940999999999992</v>
      </c>
      <c r="G267" s="8">
        <f>7.7983 * CHOOSE( CONTROL!$C$14, $D$10, 100%, $F$10)</f>
        <v>7.7983000000000002</v>
      </c>
      <c r="H267" s="4">
        <f>8.6804 * CHOOSE(CONTROL!$C$14, $D$10, 100%, $F$10)</f>
        <v>8.6804000000000006</v>
      </c>
      <c r="I267" s="8">
        <f>7.7862 * CHOOSE(CONTROL!$C$14, $D$10, 100%, $F$10)</f>
        <v>7.7862</v>
      </c>
      <c r="J267" s="4">
        <f>7.6528 * CHOOSE(CONTROL!$C$14, $D$10, 100%, $F$10)</f>
        <v>7.6528</v>
      </c>
      <c r="K267" s="4"/>
      <c r="L267" s="9">
        <v>29.306000000000001</v>
      </c>
      <c r="M267" s="9">
        <v>12.063700000000001</v>
      </c>
      <c r="N267" s="9">
        <v>4.9444999999999997</v>
      </c>
      <c r="O267" s="9">
        <v>0.37409999999999999</v>
      </c>
      <c r="P267" s="9">
        <v>1.2927</v>
      </c>
      <c r="Q267" s="9">
        <v>30.580300000000001</v>
      </c>
      <c r="R267" s="9"/>
      <c r="S267" s="11"/>
    </row>
    <row r="268" spans="1:19" ht="15.75">
      <c r="A268" s="14">
        <v>50041</v>
      </c>
      <c r="B268" s="8">
        <f>8.2492 * CHOOSE(CONTROL!$C$14, $D$10, 100%, $F$10)</f>
        <v>8.2492000000000001</v>
      </c>
      <c r="C268" s="8">
        <f>8.2543 * CHOOSE(CONTROL!$C$14, $D$10, 100%, $F$10)</f>
        <v>8.2543000000000006</v>
      </c>
      <c r="D268" s="8">
        <f>8.2501 * CHOOSE( CONTROL!$C$14, $D$10, 100%, $F$10)</f>
        <v>8.2500999999999998</v>
      </c>
      <c r="E268" s="12">
        <f>8.2511 * CHOOSE( CONTROL!$C$14, $D$10, 100%, $F$10)</f>
        <v>8.2510999999999992</v>
      </c>
      <c r="F268" s="4">
        <f>8.9277 * CHOOSE(CONTROL!$C$14, $D$10, 100%, $F$10)</f>
        <v>8.9276999999999997</v>
      </c>
      <c r="G268" s="8">
        <f>8.11 * CHOOSE( CONTROL!$C$14, $D$10, 100%, $F$10)</f>
        <v>8.11</v>
      </c>
      <c r="H268" s="4">
        <f>9.0084 * CHOOSE(CONTROL!$C$14, $D$10, 100%, $F$10)</f>
        <v>9.0084</v>
      </c>
      <c r="I268" s="8">
        <f>8.0579 * CHOOSE(CONTROL!$C$14, $D$10, 100%, $F$10)</f>
        <v>8.0579000000000001</v>
      </c>
      <c r="J268" s="4">
        <f>7.9453 * CHOOSE(CONTROL!$C$14, $D$10, 100%, $F$10)</f>
        <v>7.9452999999999996</v>
      </c>
      <c r="K268" s="4"/>
      <c r="L268" s="9">
        <v>29.306000000000001</v>
      </c>
      <c r="M268" s="9">
        <v>12.063700000000001</v>
      </c>
      <c r="N268" s="9">
        <v>4.9444999999999997</v>
      </c>
      <c r="O268" s="9">
        <v>0.37409999999999999</v>
      </c>
      <c r="P268" s="9">
        <v>1.2927</v>
      </c>
      <c r="Q268" s="9">
        <v>30.5152</v>
      </c>
      <c r="R268" s="9"/>
      <c r="S268" s="11"/>
    </row>
    <row r="269" spans="1:19" ht="15.75">
      <c r="A269" s="14">
        <v>50072</v>
      </c>
      <c r="B269" s="8">
        <f>7.7179 * CHOOSE(CONTROL!$C$14, $D$10, 100%, $F$10)</f>
        <v>7.7179000000000002</v>
      </c>
      <c r="C269" s="8">
        <f>7.723 * CHOOSE(CONTROL!$C$14, $D$10, 100%, $F$10)</f>
        <v>7.7229999999999999</v>
      </c>
      <c r="D269" s="8">
        <f>7.7129 * CHOOSE( CONTROL!$C$14, $D$10, 100%, $F$10)</f>
        <v>7.7129000000000003</v>
      </c>
      <c r="E269" s="12">
        <f>7.716 * CHOOSE( CONTROL!$C$14, $D$10, 100%, $F$10)</f>
        <v>7.7160000000000002</v>
      </c>
      <c r="F269" s="4">
        <f>8.3705 * CHOOSE(CONTROL!$C$14, $D$10, 100%, $F$10)</f>
        <v>8.3704999999999998</v>
      </c>
      <c r="G269" s="8">
        <f>7.5794 * CHOOSE( CONTROL!$C$14, $D$10, 100%, $F$10)</f>
        <v>7.5793999999999997</v>
      </c>
      <c r="H269" s="4">
        <f>8.4605 * CHOOSE(CONTROL!$C$14, $D$10, 100%, $F$10)</f>
        <v>8.4604999999999997</v>
      </c>
      <c r="I269" s="8">
        <f>7.5347 * CHOOSE(CONTROL!$C$14, $D$10, 100%, $F$10)</f>
        <v>7.5347</v>
      </c>
      <c r="J269" s="4">
        <f>7.4317 * CHOOSE(CONTROL!$C$14, $D$10, 100%, $F$10)</f>
        <v>7.4317000000000002</v>
      </c>
      <c r="K269" s="4"/>
      <c r="L269" s="9">
        <v>26.469899999999999</v>
      </c>
      <c r="M269" s="9">
        <v>10.8962</v>
      </c>
      <c r="N269" s="9">
        <v>4.4660000000000002</v>
      </c>
      <c r="O269" s="9">
        <v>0.33789999999999998</v>
      </c>
      <c r="P269" s="9">
        <v>1.1676</v>
      </c>
      <c r="Q269" s="9">
        <v>27.562100000000001</v>
      </c>
      <c r="R269" s="9"/>
      <c r="S269" s="11"/>
    </row>
    <row r="270" spans="1:19" ht="15.75">
      <c r="A270" s="14">
        <v>50100</v>
      </c>
      <c r="B270" s="8">
        <f>7.5542 * CHOOSE(CONTROL!$C$14, $D$10, 100%, $F$10)</f>
        <v>7.5541999999999998</v>
      </c>
      <c r="C270" s="8">
        <f>7.5593 * CHOOSE(CONTROL!$C$14, $D$10, 100%, $F$10)</f>
        <v>7.5593000000000004</v>
      </c>
      <c r="D270" s="8">
        <f>7.5427 * CHOOSE( CONTROL!$C$14, $D$10, 100%, $F$10)</f>
        <v>7.5427</v>
      </c>
      <c r="E270" s="12">
        <f>7.5482 * CHOOSE( CONTROL!$C$14, $D$10, 100%, $F$10)</f>
        <v>7.5481999999999996</v>
      </c>
      <c r="F270" s="4">
        <f>8.2069 * CHOOSE(CONTROL!$C$14, $D$10, 100%, $F$10)</f>
        <v>8.2068999999999992</v>
      </c>
      <c r="G270" s="8">
        <f>7.4102 * CHOOSE( CONTROL!$C$14, $D$10, 100%, $F$10)</f>
        <v>7.4101999999999997</v>
      </c>
      <c r="H270" s="4">
        <f>8.2995 * CHOOSE(CONTROL!$C$14, $D$10, 100%, $F$10)</f>
        <v>8.2995000000000001</v>
      </c>
      <c r="I270" s="8">
        <f>7.3562 * CHOOSE(CONTROL!$C$14, $D$10, 100%, $F$10)</f>
        <v>7.3562000000000003</v>
      </c>
      <c r="J270" s="4">
        <f>7.2735 * CHOOSE(CONTROL!$C$14, $D$10, 100%, $F$10)</f>
        <v>7.2735000000000003</v>
      </c>
      <c r="K270" s="4"/>
      <c r="L270" s="9">
        <v>29.306000000000001</v>
      </c>
      <c r="M270" s="9">
        <v>12.063700000000001</v>
      </c>
      <c r="N270" s="9">
        <v>4.9444999999999997</v>
      </c>
      <c r="O270" s="9">
        <v>0.37409999999999999</v>
      </c>
      <c r="P270" s="9">
        <v>1.2927</v>
      </c>
      <c r="Q270" s="9">
        <v>30.5152</v>
      </c>
      <c r="R270" s="9"/>
      <c r="S270" s="11"/>
    </row>
    <row r="271" spans="1:19" ht="15.75">
      <c r="A271" s="14">
        <v>50131</v>
      </c>
      <c r="B271" s="8">
        <f>7.6693 * CHOOSE(CONTROL!$C$14, $D$10, 100%, $F$10)</f>
        <v>7.6692999999999998</v>
      </c>
      <c r="C271" s="8">
        <f>7.6739 * CHOOSE(CONTROL!$C$14, $D$10, 100%, $F$10)</f>
        <v>7.6738999999999997</v>
      </c>
      <c r="D271" s="8">
        <f>7.6834 * CHOOSE( CONTROL!$C$14, $D$10, 100%, $F$10)</f>
        <v>7.6833999999999998</v>
      </c>
      <c r="E271" s="12">
        <f>7.6797 * CHOOSE( CONTROL!$C$14, $D$10, 100%, $F$10)</f>
        <v>7.6797000000000004</v>
      </c>
      <c r="F271" s="4">
        <f>8.3522 * CHOOSE(CONTROL!$C$14, $D$10, 100%, $F$10)</f>
        <v>8.3521999999999998</v>
      </c>
      <c r="G271" s="8">
        <f>7.5126 * CHOOSE( CONTROL!$C$14, $D$10, 100%, $F$10)</f>
        <v>7.5125999999999999</v>
      </c>
      <c r="H271" s="4">
        <f>8.4425 * CHOOSE(CONTROL!$C$14, $D$10, 100%, $F$10)</f>
        <v>8.4425000000000008</v>
      </c>
      <c r="I271" s="8">
        <f>7.4778 * CHOOSE(CONTROL!$C$14, $D$10, 100%, $F$10)</f>
        <v>7.4778000000000002</v>
      </c>
      <c r="J271" s="4">
        <f>7.384 * CHOOSE(CONTROL!$C$14, $D$10, 100%, $F$10)</f>
        <v>7.3840000000000003</v>
      </c>
      <c r="K271" s="4"/>
      <c r="L271" s="9">
        <v>30.092199999999998</v>
      </c>
      <c r="M271" s="9">
        <v>11.6745</v>
      </c>
      <c r="N271" s="9">
        <v>4.7850000000000001</v>
      </c>
      <c r="O271" s="9">
        <v>0.36199999999999999</v>
      </c>
      <c r="P271" s="9">
        <v>1.1791</v>
      </c>
      <c r="Q271" s="9">
        <v>29.530799999999999</v>
      </c>
      <c r="R271" s="9"/>
      <c r="S271" s="11"/>
    </row>
    <row r="272" spans="1:19" ht="15.75">
      <c r="A272" s="14">
        <v>50161</v>
      </c>
      <c r="B272" s="8">
        <f>CHOOSE( CONTROL!$C$31, 7.8771, 7.8742) * CHOOSE(CONTROL!$C$14, $D$10, 100%, $F$10)</f>
        <v>7.8771000000000004</v>
      </c>
      <c r="C272" s="8">
        <f>CHOOSE( CONTROL!$C$31, 7.8852, 7.8822) * CHOOSE(CONTROL!$C$14, $D$10, 100%, $F$10)</f>
        <v>7.8852000000000002</v>
      </c>
      <c r="D272" s="8">
        <f>CHOOSE( CONTROL!$C$31, 7.8898, 7.8869) * CHOOSE( CONTROL!$C$14, $D$10, 100%, $F$10)</f>
        <v>7.8898000000000001</v>
      </c>
      <c r="E272" s="12">
        <f>CHOOSE( CONTROL!$C$31, 7.8869, 7.884) * CHOOSE( CONTROL!$C$14, $D$10, 100%, $F$10)</f>
        <v>7.8868999999999998</v>
      </c>
      <c r="F272" s="4">
        <f>CHOOSE( CONTROL!$C$31, 8.5587, 8.5558) * CHOOSE(CONTROL!$C$14, $D$10, 100%, $F$10)</f>
        <v>8.5587</v>
      </c>
      <c r="G272" s="8">
        <f>CHOOSE( CONTROL!$C$31, 7.7165, 7.7136) * CHOOSE( CONTROL!$C$14, $D$10, 100%, $F$10)</f>
        <v>7.7164999999999999</v>
      </c>
      <c r="H272" s="4">
        <f>CHOOSE( CONTROL!$C$31, 8.6455, 8.6427) * CHOOSE(CONTROL!$C$14, $D$10, 100%, $F$10)</f>
        <v>8.6455000000000002</v>
      </c>
      <c r="I272" s="8">
        <f>CHOOSE( CONTROL!$C$31, 7.6786, 7.6757) * CHOOSE(CONTROL!$C$14, $D$10, 100%, $F$10)</f>
        <v>7.6786000000000003</v>
      </c>
      <c r="J272" s="4">
        <f>CHOOSE( CONTROL!$C$31, 7.5836, 7.5808) * CHOOSE(CONTROL!$C$14, $D$10, 100%, $F$10)</f>
        <v>7.5835999999999997</v>
      </c>
      <c r="K272" s="4"/>
      <c r="L272" s="9">
        <v>30.7165</v>
      </c>
      <c r="M272" s="9">
        <v>12.063700000000001</v>
      </c>
      <c r="N272" s="9">
        <v>4.9444999999999997</v>
      </c>
      <c r="O272" s="9">
        <v>0.37409999999999999</v>
      </c>
      <c r="P272" s="9">
        <v>1.2183999999999999</v>
      </c>
      <c r="Q272" s="9">
        <v>30.5152</v>
      </c>
      <c r="R272" s="9"/>
      <c r="S272" s="11"/>
    </row>
    <row r="273" spans="1:19" ht="15.75">
      <c r="A273" s="14">
        <v>50192</v>
      </c>
      <c r="B273" s="8">
        <f>CHOOSE( CONTROL!$C$31, 7.7511, 7.7481) * CHOOSE(CONTROL!$C$14, $D$10, 100%, $F$10)</f>
        <v>7.7511000000000001</v>
      </c>
      <c r="C273" s="8">
        <f>CHOOSE( CONTROL!$C$31, 7.7591, 7.7562) * CHOOSE(CONTROL!$C$14, $D$10, 100%, $F$10)</f>
        <v>7.7591000000000001</v>
      </c>
      <c r="D273" s="8">
        <f>CHOOSE( CONTROL!$C$31, 7.764, 7.761) * CHOOSE( CONTROL!$C$14, $D$10, 100%, $F$10)</f>
        <v>7.7640000000000002</v>
      </c>
      <c r="E273" s="12">
        <f>CHOOSE( CONTROL!$C$31, 7.761, 7.758) * CHOOSE( CONTROL!$C$14, $D$10, 100%, $F$10)</f>
        <v>7.7610000000000001</v>
      </c>
      <c r="F273" s="4">
        <f>CHOOSE( CONTROL!$C$31, 8.4326, 8.4297) * CHOOSE(CONTROL!$C$14, $D$10, 100%, $F$10)</f>
        <v>8.4326000000000008</v>
      </c>
      <c r="G273" s="8">
        <f>CHOOSE( CONTROL!$C$31, 7.5929, 7.59) * CHOOSE( CONTROL!$C$14, $D$10, 100%, $F$10)</f>
        <v>7.5929000000000002</v>
      </c>
      <c r="H273" s="4">
        <f>CHOOSE( CONTROL!$C$31, 8.5216, 8.5187) * CHOOSE(CONTROL!$C$14, $D$10, 100%, $F$10)</f>
        <v>8.5215999999999994</v>
      </c>
      <c r="I273" s="8">
        <f>CHOOSE( CONTROL!$C$31, 7.5578, 7.555) * CHOOSE(CONTROL!$C$14, $D$10, 100%, $F$10)</f>
        <v>7.5578000000000003</v>
      </c>
      <c r="J273" s="4">
        <f>CHOOSE( CONTROL!$C$31, 7.4617, 7.4589) * CHOOSE(CONTROL!$C$14, $D$10, 100%, $F$10)</f>
        <v>7.4617000000000004</v>
      </c>
      <c r="K273" s="4"/>
      <c r="L273" s="9">
        <v>29.7257</v>
      </c>
      <c r="M273" s="9">
        <v>11.6745</v>
      </c>
      <c r="N273" s="9">
        <v>4.7850000000000001</v>
      </c>
      <c r="O273" s="9">
        <v>0.36199999999999999</v>
      </c>
      <c r="P273" s="9">
        <v>1.1791</v>
      </c>
      <c r="Q273" s="9">
        <v>29.530799999999999</v>
      </c>
      <c r="R273" s="9"/>
      <c r="S273" s="11"/>
    </row>
    <row r="274" spans="1:19" ht="15.75">
      <c r="A274" s="14">
        <v>50222</v>
      </c>
      <c r="B274" s="8">
        <f>CHOOSE( CONTROL!$C$31, 8.0831, 8.0802) * CHOOSE(CONTROL!$C$14, $D$10, 100%, $F$10)</f>
        <v>8.0831</v>
      </c>
      <c r="C274" s="8">
        <f>CHOOSE( CONTROL!$C$31, 8.0911, 8.0882) * CHOOSE(CONTROL!$C$14, $D$10, 100%, $F$10)</f>
        <v>8.0911000000000008</v>
      </c>
      <c r="D274" s="8">
        <f>CHOOSE( CONTROL!$C$31, 8.0962, 8.0933) * CHOOSE( CONTROL!$C$14, $D$10, 100%, $F$10)</f>
        <v>8.0961999999999996</v>
      </c>
      <c r="E274" s="12">
        <f>CHOOSE( CONTROL!$C$31, 8.0931, 8.0902) * CHOOSE( CONTROL!$C$14, $D$10, 100%, $F$10)</f>
        <v>8.0930999999999997</v>
      </c>
      <c r="F274" s="4">
        <f>CHOOSE( CONTROL!$C$31, 8.7646, 8.7617) * CHOOSE(CONTROL!$C$14, $D$10, 100%, $F$10)</f>
        <v>8.7645999999999997</v>
      </c>
      <c r="G274" s="8">
        <f>CHOOSE( CONTROL!$C$31, 7.9198, 7.9169) * CHOOSE( CONTROL!$C$14, $D$10, 100%, $F$10)</f>
        <v>7.9198000000000004</v>
      </c>
      <c r="H274" s="4">
        <f>CHOOSE( CONTROL!$C$31, 8.8481, 8.8452) * CHOOSE(CONTROL!$C$14, $D$10, 100%, $F$10)</f>
        <v>8.8481000000000005</v>
      </c>
      <c r="I274" s="8">
        <f>CHOOSE( CONTROL!$C$31, 7.8801, 7.8773) * CHOOSE(CONTROL!$C$14, $D$10, 100%, $F$10)</f>
        <v>7.8800999999999997</v>
      </c>
      <c r="J274" s="4">
        <f>CHOOSE( CONTROL!$C$31, 7.7827, 7.7799) * CHOOSE(CONTROL!$C$14, $D$10, 100%, $F$10)</f>
        <v>7.7827000000000002</v>
      </c>
      <c r="K274" s="4"/>
      <c r="L274" s="9">
        <v>30.7165</v>
      </c>
      <c r="M274" s="9">
        <v>12.063700000000001</v>
      </c>
      <c r="N274" s="9">
        <v>4.9444999999999997</v>
      </c>
      <c r="O274" s="9">
        <v>0.37409999999999999</v>
      </c>
      <c r="P274" s="9">
        <v>1.2183999999999999</v>
      </c>
      <c r="Q274" s="9">
        <v>30.5152</v>
      </c>
      <c r="R274" s="9"/>
      <c r="S274" s="11"/>
    </row>
    <row r="275" spans="1:19" ht="15.75">
      <c r="A275" s="14">
        <v>50253</v>
      </c>
      <c r="B275" s="8">
        <f>CHOOSE( CONTROL!$C$31, 7.4618, 7.4589) * CHOOSE(CONTROL!$C$14, $D$10, 100%, $F$10)</f>
        <v>7.4618000000000002</v>
      </c>
      <c r="C275" s="8">
        <f>CHOOSE( CONTROL!$C$31, 7.4699, 7.4669) * CHOOSE(CONTROL!$C$14, $D$10, 100%, $F$10)</f>
        <v>7.4699</v>
      </c>
      <c r="D275" s="8">
        <f>CHOOSE( CONTROL!$C$31, 7.4751, 7.4721) * CHOOSE( CONTROL!$C$14, $D$10, 100%, $F$10)</f>
        <v>7.4751000000000003</v>
      </c>
      <c r="E275" s="12">
        <f>CHOOSE( CONTROL!$C$31, 7.472, 7.469) * CHOOSE( CONTROL!$C$14, $D$10, 100%, $F$10)</f>
        <v>7.4720000000000004</v>
      </c>
      <c r="F275" s="4">
        <f>CHOOSE( CONTROL!$C$31, 8.1434, 8.1405) * CHOOSE(CONTROL!$C$14, $D$10, 100%, $F$10)</f>
        <v>8.1433999999999997</v>
      </c>
      <c r="G275" s="8">
        <f>CHOOSE( CONTROL!$C$31, 7.309, 7.3061) * CHOOSE( CONTROL!$C$14, $D$10, 100%, $F$10)</f>
        <v>7.3090000000000002</v>
      </c>
      <c r="H275" s="4">
        <f>CHOOSE( CONTROL!$C$31, 8.2371, 8.2343) * CHOOSE(CONTROL!$C$14, $D$10, 100%, $F$10)</f>
        <v>8.2370999999999999</v>
      </c>
      <c r="I275" s="8">
        <f>CHOOSE( CONTROL!$C$31, 7.2797, 7.2768) * CHOOSE(CONTROL!$C$14, $D$10, 100%, $F$10)</f>
        <v>7.2797000000000001</v>
      </c>
      <c r="J275" s="4">
        <f>CHOOSE( CONTROL!$C$31, 7.1821, 7.1793) * CHOOSE(CONTROL!$C$14, $D$10, 100%, $F$10)</f>
        <v>7.1821000000000002</v>
      </c>
      <c r="K275" s="4"/>
      <c r="L275" s="9">
        <v>30.7165</v>
      </c>
      <c r="M275" s="9">
        <v>12.063700000000001</v>
      </c>
      <c r="N275" s="9">
        <v>4.9444999999999997</v>
      </c>
      <c r="O275" s="9">
        <v>0.37409999999999999</v>
      </c>
      <c r="P275" s="9">
        <v>1.2183999999999999</v>
      </c>
      <c r="Q275" s="9">
        <v>30.5152</v>
      </c>
      <c r="R275" s="9"/>
      <c r="S275" s="11"/>
    </row>
    <row r="276" spans="1:19" ht="15.75">
      <c r="A276" s="14">
        <v>50284</v>
      </c>
      <c r="B276" s="8">
        <f>CHOOSE( CONTROL!$C$31, 7.3063, 7.3034) * CHOOSE(CONTROL!$C$14, $D$10, 100%, $F$10)</f>
        <v>7.3063000000000002</v>
      </c>
      <c r="C276" s="8">
        <f>CHOOSE( CONTROL!$C$31, 7.3143, 7.3114) * CHOOSE(CONTROL!$C$14, $D$10, 100%, $F$10)</f>
        <v>7.3143000000000002</v>
      </c>
      <c r="D276" s="8">
        <f>CHOOSE( CONTROL!$C$31, 7.3195, 7.3166) * CHOOSE( CONTROL!$C$14, $D$10, 100%, $F$10)</f>
        <v>7.3194999999999997</v>
      </c>
      <c r="E276" s="12">
        <f>CHOOSE( CONTROL!$C$31, 7.3164, 7.3135) * CHOOSE( CONTROL!$C$14, $D$10, 100%, $F$10)</f>
        <v>7.3163999999999998</v>
      </c>
      <c r="F276" s="4">
        <f>CHOOSE( CONTROL!$C$31, 7.9878, 7.9849) * CHOOSE(CONTROL!$C$14, $D$10, 100%, $F$10)</f>
        <v>7.9878</v>
      </c>
      <c r="G276" s="8">
        <f>CHOOSE( CONTROL!$C$31, 7.156, 7.1531) * CHOOSE( CONTROL!$C$14, $D$10, 100%, $F$10)</f>
        <v>7.1559999999999997</v>
      </c>
      <c r="H276" s="4">
        <f>CHOOSE( CONTROL!$C$31, 8.0841, 8.0813) * CHOOSE(CONTROL!$C$14, $D$10, 100%, $F$10)</f>
        <v>8.0840999999999994</v>
      </c>
      <c r="I276" s="8">
        <f>CHOOSE( CONTROL!$C$31, 7.1292, 7.1263) * CHOOSE(CONTROL!$C$14, $D$10, 100%, $F$10)</f>
        <v>7.1292</v>
      </c>
      <c r="J276" s="4">
        <f>CHOOSE( CONTROL!$C$31, 7.0318, 7.0289) * CHOOSE(CONTROL!$C$14, $D$10, 100%, $F$10)</f>
        <v>7.0317999999999996</v>
      </c>
      <c r="K276" s="4"/>
      <c r="L276" s="9">
        <v>29.7257</v>
      </c>
      <c r="M276" s="9">
        <v>11.6745</v>
      </c>
      <c r="N276" s="9">
        <v>4.7850000000000001</v>
      </c>
      <c r="O276" s="9">
        <v>0.36199999999999999</v>
      </c>
      <c r="P276" s="9">
        <v>1.1791</v>
      </c>
      <c r="Q276" s="9">
        <v>29.530799999999999</v>
      </c>
      <c r="R276" s="9"/>
      <c r="S276" s="11"/>
    </row>
    <row r="277" spans="1:19" ht="15.75">
      <c r="A277" s="14">
        <v>50314</v>
      </c>
      <c r="B277" s="8">
        <f>7.6246 * CHOOSE(CONTROL!$C$14, $D$10, 100%, $F$10)</f>
        <v>7.6246</v>
      </c>
      <c r="C277" s="8">
        <f>7.63 * CHOOSE(CONTROL!$C$14, $D$10, 100%, $F$10)</f>
        <v>7.63</v>
      </c>
      <c r="D277" s="8">
        <f>7.64 * CHOOSE( CONTROL!$C$14, $D$10, 100%, $F$10)</f>
        <v>7.64</v>
      </c>
      <c r="E277" s="12">
        <f>7.6361 * CHOOSE( CONTROL!$C$14, $D$10, 100%, $F$10)</f>
        <v>7.6360999999999999</v>
      </c>
      <c r="F277" s="4">
        <f>8.3079 * CHOOSE(CONTROL!$C$14, $D$10, 100%, $F$10)</f>
        <v>8.3079000000000001</v>
      </c>
      <c r="G277" s="8">
        <f>7.4704 * CHOOSE( CONTROL!$C$14, $D$10, 100%, $F$10)</f>
        <v>7.4703999999999997</v>
      </c>
      <c r="H277" s="4">
        <f>8.3989 * CHOOSE(CONTROL!$C$14, $D$10, 100%, $F$10)</f>
        <v>8.3988999999999994</v>
      </c>
      <c r="I277" s="8">
        <f>7.4395 * CHOOSE(CONTROL!$C$14, $D$10, 100%, $F$10)</f>
        <v>7.4394999999999998</v>
      </c>
      <c r="J277" s="4">
        <f>7.3412 * CHOOSE(CONTROL!$C$14, $D$10, 100%, $F$10)</f>
        <v>7.3411999999999997</v>
      </c>
      <c r="K277" s="4"/>
      <c r="L277" s="9">
        <v>31.095300000000002</v>
      </c>
      <c r="M277" s="9">
        <v>12.063700000000001</v>
      </c>
      <c r="N277" s="9">
        <v>4.9444999999999997</v>
      </c>
      <c r="O277" s="9">
        <v>0.37409999999999999</v>
      </c>
      <c r="P277" s="9">
        <v>1.2183999999999999</v>
      </c>
      <c r="Q277" s="9">
        <v>30.5152</v>
      </c>
      <c r="R277" s="9"/>
      <c r="S277" s="11"/>
    </row>
    <row r="278" spans="1:19" ht="15.75">
      <c r="A278" s="14">
        <v>50345</v>
      </c>
      <c r="B278" s="8">
        <f>8.2204 * CHOOSE(CONTROL!$C$14, $D$10, 100%, $F$10)</f>
        <v>8.2203999999999997</v>
      </c>
      <c r="C278" s="8">
        <f>8.2256 * CHOOSE(CONTROL!$C$14, $D$10, 100%, $F$10)</f>
        <v>8.2256</v>
      </c>
      <c r="D278" s="8">
        <f>8.2018 * CHOOSE( CONTROL!$C$14, $D$10, 100%, $F$10)</f>
        <v>8.2018000000000004</v>
      </c>
      <c r="E278" s="12">
        <f>8.2099 * CHOOSE( CONTROL!$C$14, $D$10, 100%, $F$10)</f>
        <v>8.2098999999999993</v>
      </c>
      <c r="F278" s="4">
        <f>8.8679 * CHOOSE(CONTROL!$C$14, $D$10, 100%, $F$10)</f>
        <v>8.8679000000000006</v>
      </c>
      <c r="G278" s="8">
        <f>8.0665 * CHOOSE( CONTROL!$C$14, $D$10, 100%, $F$10)</f>
        <v>8.0664999999999996</v>
      </c>
      <c r="H278" s="4">
        <f>8.9496 * CHOOSE(CONTROL!$C$14, $D$10, 100%, $F$10)</f>
        <v>8.9496000000000002</v>
      </c>
      <c r="I278" s="8">
        <f>8.0466 * CHOOSE(CONTROL!$C$14, $D$10, 100%, $F$10)</f>
        <v>8.0465999999999998</v>
      </c>
      <c r="J278" s="4">
        <f>7.9175 * CHOOSE(CONTROL!$C$14, $D$10, 100%, $F$10)</f>
        <v>7.9175000000000004</v>
      </c>
      <c r="K278" s="4"/>
      <c r="L278" s="9">
        <v>28.360600000000002</v>
      </c>
      <c r="M278" s="9">
        <v>11.6745</v>
      </c>
      <c r="N278" s="9">
        <v>4.7850000000000001</v>
      </c>
      <c r="O278" s="9">
        <v>0.36199999999999999</v>
      </c>
      <c r="P278" s="9">
        <v>1.2509999999999999</v>
      </c>
      <c r="Q278" s="9">
        <v>29.530799999999999</v>
      </c>
      <c r="R278" s="9"/>
      <c r="S278" s="11"/>
    </row>
    <row r="279" spans="1:19" ht="15.75">
      <c r="A279" s="14">
        <v>50375</v>
      </c>
      <c r="B279" s="8">
        <f>8.2055 * CHOOSE(CONTROL!$C$14, $D$10, 100%, $F$10)</f>
        <v>8.2055000000000007</v>
      </c>
      <c r="C279" s="8">
        <f>8.2107 * CHOOSE(CONTROL!$C$14, $D$10, 100%, $F$10)</f>
        <v>8.2106999999999992</v>
      </c>
      <c r="D279" s="8">
        <f>8.1882 * CHOOSE( CONTROL!$C$14, $D$10, 100%, $F$10)</f>
        <v>8.1882000000000001</v>
      </c>
      <c r="E279" s="12">
        <f>8.1959 * CHOOSE( CONTROL!$C$14, $D$10, 100%, $F$10)</f>
        <v>8.1959</v>
      </c>
      <c r="F279" s="4">
        <f>8.853 * CHOOSE(CONTROL!$C$14, $D$10, 100%, $F$10)</f>
        <v>8.8529999999999998</v>
      </c>
      <c r="G279" s="8">
        <f>8.0529 * CHOOSE( CONTROL!$C$14, $D$10, 100%, $F$10)</f>
        <v>8.0528999999999993</v>
      </c>
      <c r="H279" s="4">
        <f>8.935 * CHOOSE(CONTROL!$C$14, $D$10, 100%, $F$10)</f>
        <v>8.9350000000000005</v>
      </c>
      <c r="I279" s="8">
        <f>8.0367 * CHOOSE(CONTROL!$C$14, $D$10, 100%, $F$10)</f>
        <v>8.0366999999999997</v>
      </c>
      <c r="J279" s="4">
        <f>7.9031 * CHOOSE(CONTROL!$C$14, $D$10, 100%, $F$10)</f>
        <v>7.9031000000000002</v>
      </c>
      <c r="K279" s="4"/>
      <c r="L279" s="9">
        <v>29.306000000000001</v>
      </c>
      <c r="M279" s="9">
        <v>12.063700000000001</v>
      </c>
      <c r="N279" s="9">
        <v>4.9444999999999997</v>
      </c>
      <c r="O279" s="9">
        <v>0.37409999999999999</v>
      </c>
      <c r="P279" s="9">
        <v>1.2927</v>
      </c>
      <c r="Q279" s="9">
        <v>30.5152</v>
      </c>
      <c r="R279" s="9"/>
      <c r="S279" s="11"/>
    </row>
    <row r="280" spans="1:19" ht="15.75">
      <c r="A280" s="13">
        <v>50436</v>
      </c>
      <c r="B280" s="8">
        <f>8.518 * CHOOSE(CONTROL!$C$14, $D$10, 100%, $F$10)</f>
        <v>8.5180000000000007</v>
      </c>
      <c r="C280" s="8">
        <f>8.5231 * CHOOSE(CONTROL!$C$14, $D$10, 100%, $F$10)</f>
        <v>8.5230999999999995</v>
      </c>
      <c r="D280" s="8">
        <f>8.5189 * CHOOSE( CONTROL!$C$14, $D$10, 100%, $F$10)</f>
        <v>8.5189000000000004</v>
      </c>
      <c r="E280" s="12">
        <f>8.5199 * CHOOSE( CONTROL!$C$14, $D$10, 100%, $F$10)</f>
        <v>8.5198999999999998</v>
      </c>
      <c r="F280" s="4">
        <f>9.1965 * CHOOSE(CONTROL!$C$14, $D$10, 100%, $F$10)</f>
        <v>9.1965000000000003</v>
      </c>
      <c r="G280" s="8">
        <f>8.3744 * CHOOSE( CONTROL!$C$14, $D$10, 100%, $F$10)</f>
        <v>8.3743999999999996</v>
      </c>
      <c r="H280" s="4">
        <f>9.2728 * CHOOSE(CONTROL!$C$14, $D$10, 100%, $F$10)</f>
        <v>9.2728000000000002</v>
      </c>
      <c r="I280" s="8">
        <f>8.3179 * CHOOSE(CONTROL!$C$14, $D$10, 100%, $F$10)</f>
        <v>8.3178999999999998</v>
      </c>
      <c r="J280" s="4">
        <f>8.2052 * CHOOSE(CONTROL!$C$14, $D$10, 100%, $F$10)</f>
        <v>8.2051999999999996</v>
      </c>
      <c r="K280" s="4"/>
      <c r="L280" s="9">
        <v>29.306000000000001</v>
      </c>
      <c r="M280" s="9">
        <v>12.063700000000001</v>
      </c>
      <c r="N280" s="9">
        <v>4.9444999999999997</v>
      </c>
      <c r="O280" s="9">
        <v>0.37409999999999999</v>
      </c>
      <c r="P280" s="9">
        <v>1.2927</v>
      </c>
      <c r="Q280" s="9">
        <v>30.451899999999998</v>
      </c>
      <c r="R280" s="9"/>
      <c r="S280" s="11"/>
    </row>
    <row r="281" spans="1:19" ht="15.75">
      <c r="A281" s="13">
        <v>50464</v>
      </c>
      <c r="B281" s="8">
        <f>7.9693 * CHOOSE(CONTROL!$C$14, $D$10, 100%, $F$10)</f>
        <v>7.9692999999999996</v>
      </c>
      <c r="C281" s="8">
        <f>7.9744 * CHOOSE(CONTROL!$C$14, $D$10, 100%, $F$10)</f>
        <v>7.9744000000000002</v>
      </c>
      <c r="D281" s="8">
        <f>7.9643 * CHOOSE( CONTROL!$C$14, $D$10, 100%, $F$10)</f>
        <v>7.9642999999999997</v>
      </c>
      <c r="E281" s="12">
        <f>7.9674 * CHOOSE( CONTROL!$C$14, $D$10, 100%, $F$10)</f>
        <v>7.9673999999999996</v>
      </c>
      <c r="F281" s="4">
        <f>8.6219 * CHOOSE(CONTROL!$C$14, $D$10, 100%, $F$10)</f>
        <v>8.6219000000000001</v>
      </c>
      <c r="G281" s="8">
        <f>7.8266 * CHOOSE( CONTROL!$C$14, $D$10, 100%, $F$10)</f>
        <v>7.8266</v>
      </c>
      <c r="H281" s="4">
        <f>8.7077 * CHOOSE(CONTROL!$C$14, $D$10, 100%, $F$10)</f>
        <v>8.7077000000000009</v>
      </c>
      <c r="I281" s="8">
        <f>7.7778 * CHOOSE(CONTROL!$C$14, $D$10, 100%, $F$10)</f>
        <v>7.7778</v>
      </c>
      <c r="J281" s="4">
        <f>7.6747 * CHOOSE(CONTROL!$C$14, $D$10, 100%, $F$10)</f>
        <v>7.6746999999999996</v>
      </c>
      <c r="K281" s="4"/>
      <c r="L281" s="9">
        <v>26.469899999999999</v>
      </c>
      <c r="M281" s="9">
        <v>10.8962</v>
      </c>
      <c r="N281" s="9">
        <v>4.4660000000000002</v>
      </c>
      <c r="O281" s="9">
        <v>0.33789999999999998</v>
      </c>
      <c r="P281" s="9">
        <v>1.1676</v>
      </c>
      <c r="Q281" s="9">
        <v>27.504999999999999</v>
      </c>
      <c r="R281" s="9"/>
      <c r="S281" s="11"/>
    </row>
    <row r="282" spans="1:19" ht="15.75">
      <c r="A282" s="13">
        <v>50495</v>
      </c>
      <c r="B282" s="8">
        <f>7.8003 * CHOOSE(CONTROL!$C$14, $D$10, 100%, $F$10)</f>
        <v>7.8003</v>
      </c>
      <c r="C282" s="8">
        <f>7.8054 * CHOOSE(CONTROL!$C$14, $D$10, 100%, $F$10)</f>
        <v>7.8053999999999997</v>
      </c>
      <c r="D282" s="8">
        <f>7.7888 * CHOOSE( CONTROL!$C$14, $D$10, 100%, $F$10)</f>
        <v>7.7888000000000002</v>
      </c>
      <c r="E282" s="12">
        <f>7.7943 * CHOOSE( CONTROL!$C$14, $D$10, 100%, $F$10)</f>
        <v>7.7942999999999998</v>
      </c>
      <c r="F282" s="4">
        <f>8.4529 * CHOOSE(CONTROL!$C$14, $D$10, 100%, $F$10)</f>
        <v>8.4528999999999996</v>
      </c>
      <c r="G282" s="8">
        <f>7.6522 * CHOOSE( CONTROL!$C$14, $D$10, 100%, $F$10)</f>
        <v>7.6521999999999997</v>
      </c>
      <c r="H282" s="4">
        <f>8.5415 * CHOOSE(CONTROL!$C$14, $D$10, 100%, $F$10)</f>
        <v>8.5414999999999992</v>
      </c>
      <c r="I282" s="8">
        <f>7.5942 * CHOOSE(CONTROL!$C$14, $D$10, 100%, $F$10)</f>
        <v>7.5941999999999998</v>
      </c>
      <c r="J282" s="4">
        <f>7.5113 * CHOOSE(CONTROL!$C$14, $D$10, 100%, $F$10)</f>
        <v>7.5113000000000003</v>
      </c>
      <c r="K282" s="4"/>
      <c r="L282" s="9">
        <v>29.306000000000001</v>
      </c>
      <c r="M282" s="9">
        <v>12.063700000000001</v>
      </c>
      <c r="N282" s="9">
        <v>4.9444999999999997</v>
      </c>
      <c r="O282" s="9">
        <v>0.37409999999999999</v>
      </c>
      <c r="P282" s="9">
        <v>1.2927</v>
      </c>
      <c r="Q282" s="9">
        <v>30.451899999999998</v>
      </c>
      <c r="R282" s="9"/>
      <c r="S282" s="11"/>
    </row>
    <row r="283" spans="1:19" ht="15.75">
      <c r="A283" s="13">
        <v>50525</v>
      </c>
      <c r="B283" s="8">
        <f>7.9191 * CHOOSE(CONTROL!$C$14, $D$10, 100%, $F$10)</f>
        <v>7.9191000000000003</v>
      </c>
      <c r="C283" s="8">
        <f>7.9237 * CHOOSE(CONTROL!$C$14, $D$10, 100%, $F$10)</f>
        <v>7.9237000000000002</v>
      </c>
      <c r="D283" s="8">
        <f>7.9332 * CHOOSE( CONTROL!$C$14, $D$10, 100%, $F$10)</f>
        <v>7.9332000000000003</v>
      </c>
      <c r="E283" s="12">
        <f>7.9295 * CHOOSE( CONTROL!$C$14, $D$10, 100%, $F$10)</f>
        <v>7.9295</v>
      </c>
      <c r="F283" s="4">
        <f>8.602 * CHOOSE(CONTROL!$C$14, $D$10, 100%, $F$10)</f>
        <v>8.6020000000000003</v>
      </c>
      <c r="G283" s="8">
        <f>7.7582 * CHOOSE( CONTROL!$C$14, $D$10, 100%, $F$10)</f>
        <v>7.7582000000000004</v>
      </c>
      <c r="H283" s="4">
        <f>8.6882 * CHOOSE(CONTROL!$C$14, $D$10, 100%, $F$10)</f>
        <v>8.6882000000000001</v>
      </c>
      <c r="I283" s="8">
        <f>7.7194 * CHOOSE(CONTROL!$C$14, $D$10, 100%, $F$10)</f>
        <v>7.7194000000000003</v>
      </c>
      <c r="J283" s="4">
        <f>7.6255 * CHOOSE(CONTROL!$C$14, $D$10, 100%, $F$10)</f>
        <v>7.6254999999999997</v>
      </c>
      <c r="K283" s="4"/>
      <c r="L283" s="9">
        <v>30.092199999999998</v>
      </c>
      <c r="M283" s="9">
        <v>11.6745</v>
      </c>
      <c r="N283" s="9">
        <v>4.7850000000000001</v>
      </c>
      <c r="O283" s="9">
        <v>0.36199999999999999</v>
      </c>
      <c r="P283" s="9">
        <v>1.1791</v>
      </c>
      <c r="Q283" s="9">
        <v>29.4696</v>
      </c>
      <c r="R283" s="9"/>
      <c r="S283" s="11"/>
    </row>
    <row r="284" spans="1:19" ht="15.75">
      <c r="A284" s="13">
        <v>50556</v>
      </c>
      <c r="B284" s="8">
        <f>CHOOSE( CONTROL!$C$31, 8.1336, 8.1307) * CHOOSE(CONTROL!$C$14, $D$10, 100%, $F$10)</f>
        <v>8.1335999999999995</v>
      </c>
      <c r="C284" s="8">
        <f>CHOOSE( CONTROL!$C$31, 8.1416, 8.1387) * CHOOSE(CONTROL!$C$14, $D$10, 100%, $F$10)</f>
        <v>8.1416000000000004</v>
      </c>
      <c r="D284" s="8">
        <f>CHOOSE( CONTROL!$C$31, 8.1462, 8.1433) * CHOOSE( CONTROL!$C$14, $D$10, 100%, $F$10)</f>
        <v>8.1462000000000003</v>
      </c>
      <c r="E284" s="12">
        <f>CHOOSE( CONTROL!$C$31, 8.1433, 8.1404) * CHOOSE( CONTROL!$C$14, $D$10, 100%, $F$10)</f>
        <v>8.1433</v>
      </c>
      <c r="F284" s="4">
        <f>CHOOSE( CONTROL!$C$31, 8.8152, 8.8122) * CHOOSE(CONTROL!$C$14, $D$10, 100%, $F$10)</f>
        <v>8.8152000000000008</v>
      </c>
      <c r="G284" s="8">
        <f>CHOOSE( CONTROL!$C$31, 7.9687, 7.9659) * CHOOSE( CONTROL!$C$14, $D$10, 100%, $F$10)</f>
        <v>7.9687000000000001</v>
      </c>
      <c r="H284" s="4">
        <f>CHOOSE( CONTROL!$C$31, 8.8977, 8.8949) * CHOOSE(CONTROL!$C$14, $D$10, 100%, $F$10)</f>
        <v>8.8977000000000004</v>
      </c>
      <c r="I284" s="8">
        <f>CHOOSE( CONTROL!$C$31, 7.9266, 7.9238) * CHOOSE(CONTROL!$C$14, $D$10, 100%, $F$10)</f>
        <v>7.9265999999999996</v>
      </c>
      <c r="J284" s="4">
        <f>CHOOSE( CONTROL!$C$31, 7.8315, 7.8287) * CHOOSE(CONTROL!$C$14, $D$10, 100%, $F$10)</f>
        <v>7.8315000000000001</v>
      </c>
      <c r="K284" s="4"/>
      <c r="L284" s="9">
        <v>30.7165</v>
      </c>
      <c r="M284" s="9">
        <v>12.063700000000001</v>
      </c>
      <c r="N284" s="9">
        <v>4.9444999999999997</v>
      </c>
      <c r="O284" s="9">
        <v>0.37409999999999999</v>
      </c>
      <c r="P284" s="9">
        <v>1.2183999999999999</v>
      </c>
      <c r="Q284" s="9">
        <v>30.451899999999998</v>
      </c>
      <c r="R284" s="9"/>
      <c r="S284" s="11"/>
    </row>
    <row r="285" spans="1:19" ht="15.75">
      <c r="A285" s="13">
        <v>50586</v>
      </c>
      <c r="B285" s="8">
        <f>CHOOSE( CONTROL!$C$31, 8.0034, 8.0005) * CHOOSE(CONTROL!$C$14, $D$10, 100%, $F$10)</f>
        <v>8.0033999999999992</v>
      </c>
      <c r="C285" s="8">
        <f>CHOOSE( CONTROL!$C$31, 8.0114, 8.0085) * CHOOSE(CONTROL!$C$14, $D$10, 100%, $F$10)</f>
        <v>8.0114000000000001</v>
      </c>
      <c r="D285" s="8">
        <f>CHOOSE( CONTROL!$C$31, 8.0163, 8.0134) * CHOOSE( CONTROL!$C$14, $D$10, 100%, $F$10)</f>
        <v>8.0162999999999993</v>
      </c>
      <c r="E285" s="12">
        <f>CHOOSE( CONTROL!$C$31, 8.0133, 8.0104) * CHOOSE( CONTROL!$C$14, $D$10, 100%, $F$10)</f>
        <v>8.0132999999999992</v>
      </c>
      <c r="F285" s="4">
        <f>CHOOSE( CONTROL!$C$31, 8.685, 8.682) * CHOOSE(CONTROL!$C$14, $D$10, 100%, $F$10)</f>
        <v>8.6850000000000005</v>
      </c>
      <c r="G285" s="8">
        <f>CHOOSE( CONTROL!$C$31, 7.8411, 7.8382) * CHOOSE( CONTROL!$C$14, $D$10, 100%, $F$10)</f>
        <v>7.8411</v>
      </c>
      <c r="H285" s="4">
        <f>CHOOSE( CONTROL!$C$31, 8.7697, 8.7668) * CHOOSE(CONTROL!$C$14, $D$10, 100%, $F$10)</f>
        <v>8.7697000000000003</v>
      </c>
      <c r="I285" s="8">
        <f>CHOOSE( CONTROL!$C$31, 7.8019, 7.7991) * CHOOSE(CONTROL!$C$14, $D$10, 100%, $F$10)</f>
        <v>7.8018999999999998</v>
      </c>
      <c r="J285" s="4">
        <f>CHOOSE( CONTROL!$C$31, 7.7057, 7.7028) * CHOOSE(CONTROL!$C$14, $D$10, 100%, $F$10)</f>
        <v>7.7057000000000002</v>
      </c>
      <c r="K285" s="4"/>
      <c r="L285" s="9">
        <v>29.7257</v>
      </c>
      <c r="M285" s="9">
        <v>11.6745</v>
      </c>
      <c r="N285" s="9">
        <v>4.7850000000000001</v>
      </c>
      <c r="O285" s="9">
        <v>0.36199999999999999</v>
      </c>
      <c r="P285" s="9">
        <v>1.1791</v>
      </c>
      <c r="Q285" s="9">
        <v>29.4696</v>
      </c>
      <c r="R285" s="9"/>
      <c r="S285" s="11"/>
    </row>
    <row r="286" spans="1:19" ht="15.75">
      <c r="A286" s="13">
        <v>50617</v>
      </c>
      <c r="B286" s="8">
        <f>CHOOSE( CONTROL!$C$31, 8.3463, 8.3434) * CHOOSE(CONTROL!$C$14, $D$10, 100%, $F$10)</f>
        <v>8.3462999999999994</v>
      </c>
      <c r="C286" s="8">
        <f>CHOOSE( CONTROL!$C$31, 8.3543, 8.3514) * CHOOSE(CONTROL!$C$14, $D$10, 100%, $F$10)</f>
        <v>8.3543000000000003</v>
      </c>
      <c r="D286" s="8">
        <f>CHOOSE( CONTROL!$C$31, 8.3594, 8.3565) * CHOOSE( CONTROL!$C$14, $D$10, 100%, $F$10)</f>
        <v>8.3594000000000008</v>
      </c>
      <c r="E286" s="12">
        <f>CHOOSE( CONTROL!$C$31, 8.3563, 8.3534) * CHOOSE( CONTROL!$C$14, $D$10, 100%, $F$10)</f>
        <v>8.3562999999999992</v>
      </c>
      <c r="F286" s="4">
        <f>CHOOSE( CONTROL!$C$31, 9.0278, 9.0249) * CHOOSE(CONTROL!$C$14, $D$10, 100%, $F$10)</f>
        <v>9.0277999999999992</v>
      </c>
      <c r="G286" s="8">
        <f>CHOOSE( CONTROL!$C$31, 8.1786, 8.1757) * CHOOSE( CONTROL!$C$14, $D$10, 100%, $F$10)</f>
        <v>8.1785999999999994</v>
      </c>
      <c r="H286" s="4">
        <f>CHOOSE( CONTROL!$C$31, 9.1069, 9.104) * CHOOSE(CONTROL!$C$14, $D$10, 100%, $F$10)</f>
        <v>9.1068999999999996</v>
      </c>
      <c r="I286" s="8">
        <f>CHOOSE( CONTROL!$C$31, 8.1347, 8.1319) * CHOOSE(CONTROL!$C$14, $D$10, 100%, $F$10)</f>
        <v>8.1347000000000005</v>
      </c>
      <c r="J286" s="4">
        <f>CHOOSE( CONTROL!$C$31, 8.0371, 8.0343) * CHOOSE(CONTROL!$C$14, $D$10, 100%, $F$10)</f>
        <v>8.0371000000000006</v>
      </c>
      <c r="K286" s="4"/>
      <c r="L286" s="9">
        <v>30.7165</v>
      </c>
      <c r="M286" s="9">
        <v>12.063700000000001</v>
      </c>
      <c r="N286" s="9">
        <v>4.9444999999999997</v>
      </c>
      <c r="O286" s="9">
        <v>0.37409999999999999</v>
      </c>
      <c r="P286" s="9">
        <v>1.2183999999999999</v>
      </c>
      <c r="Q286" s="9">
        <v>30.451899999999998</v>
      </c>
      <c r="R286" s="9"/>
      <c r="S286" s="11"/>
    </row>
    <row r="287" spans="1:19" ht="15.75">
      <c r="A287" s="13">
        <v>50648</v>
      </c>
      <c r="B287" s="8">
        <f>CHOOSE( CONTROL!$C$31, 7.7047, 7.7018) * CHOOSE(CONTROL!$C$14, $D$10, 100%, $F$10)</f>
        <v>7.7046999999999999</v>
      </c>
      <c r="C287" s="8">
        <f>CHOOSE( CONTROL!$C$31, 7.7127, 7.7098) * CHOOSE(CONTROL!$C$14, $D$10, 100%, $F$10)</f>
        <v>7.7126999999999999</v>
      </c>
      <c r="D287" s="8">
        <f>CHOOSE( CONTROL!$C$31, 7.7179, 7.715) * CHOOSE( CONTROL!$C$14, $D$10, 100%, $F$10)</f>
        <v>7.7179000000000002</v>
      </c>
      <c r="E287" s="12">
        <f>CHOOSE( CONTROL!$C$31, 7.7148, 7.7119) * CHOOSE( CONTROL!$C$14, $D$10, 100%, $F$10)</f>
        <v>7.7148000000000003</v>
      </c>
      <c r="F287" s="4">
        <f>CHOOSE( CONTROL!$C$31, 8.3863, 8.3833) * CHOOSE(CONTROL!$C$14, $D$10, 100%, $F$10)</f>
        <v>8.3863000000000003</v>
      </c>
      <c r="G287" s="8">
        <f>CHOOSE( CONTROL!$C$31, 7.5478, 7.545) * CHOOSE( CONTROL!$C$14, $D$10, 100%, $F$10)</f>
        <v>7.5477999999999996</v>
      </c>
      <c r="H287" s="4">
        <f>CHOOSE( CONTROL!$C$31, 8.476, 8.4731) * CHOOSE(CONTROL!$C$14, $D$10, 100%, $F$10)</f>
        <v>8.4760000000000009</v>
      </c>
      <c r="I287" s="8">
        <f>CHOOSE( CONTROL!$C$31, 7.5146, 7.5118) * CHOOSE(CONTROL!$C$14, $D$10, 100%, $F$10)</f>
        <v>7.5145999999999997</v>
      </c>
      <c r="J287" s="4">
        <f>CHOOSE( CONTROL!$C$31, 7.4169, 7.4141) * CHOOSE(CONTROL!$C$14, $D$10, 100%, $F$10)</f>
        <v>7.4169</v>
      </c>
      <c r="K287" s="4"/>
      <c r="L287" s="9">
        <v>30.7165</v>
      </c>
      <c r="M287" s="9">
        <v>12.063700000000001</v>
      </c>
      <c r="N287" s="9">
        <v>4.9444999999999997</v>
      </c>
      <c r="O287" s="9">
        <v>0.37409999999999999</v>
      </c>
      <c r="P287" s="9">
        <v>1.2183999999999999</v>
      </c>
      <c r="Q287" s="9">
        <v>30.451899999999998</v>
      </c>
      <c r="R287" s="9"/>
      <c r="S287" s="11"/>
    </row>
    <row r="288" spans="1:19" ht="15.75">
      <c r="A288" s="13">
        <v>50678</v>
      </c>
      <c r="B288" s="8">
        <f>CHOOSE( CONTROL!$C$31, 7.5441, 7.5411) * CHOOSE(CONTROL!$C$14, $D$10, 100%, $F$10)</f>
        <v>7.5441000000000003</v>
      </c>
      <c r="C288" s="8">
        <f>CHOOSE( CONTROL!$C$31, 7.5521, 7.5492) * CHOOSE(CONTROL!$C$14, $D$10, 100%, $F$10)</f>
        <v>7.5521000000000003</v>
      </c>
      <c r="D288" s="8">
        <f>CHOOSE( CONTROL!$C$31, 7.5573, 7.5544) * CHOOSE( CONTROL!$C$14, $D$10, 100%, $F$10)</f>
        <v>7.5572999999999997</v>
      </c>
      <c r="E288" s="12">
        <f>CHOOSE( CONTROL!$C$31, 7.5542, 7.5513) * CHOOSE( CONTROL!$C$14, $D$10, 100%, $F$10)</f>
        <v>7.5541999999999998</v>
      </c>
      <c r="F288" s="4">
        <f>CHOOSE( CONTROL!$C$31, 8.2256, 8.2227) * CHOOSE(CONTROL!$C$14, $D$10, 100%, $F$10)</f>
        <v>8.2256</v>
      </c>
      <c r="G288" s="8">
        <f>CHOOSE( CONTROL!$C$31, 7.3898, 7.3869) * CHOOSE( CONTROL!$C$14, $D$10, 100%, $F$10)</f>
        <v>7.3898000000000001</v>
      </c>
      <c r="H288" s="4">
        <f>CHOOSE( CONTROL!$C$31, 8.318, 8.3151) * CHOOSE(CONTROL!$C$14, $D$10, 100%, $F$10)</f>
        <v>8.3179999999999996</v>
      </c>
      <c r="I288" s="8">
        <f>CHOOSE( CONTROL!$C$31, 7.3591, 7.3563) * CHOOSE(CONTROL!$C$14, $D$10, 100%, $F$10)</f>
        <v>7.3590999999999998</v>
      </c>
      <c r="J288" s="4">
        <f>CHOOSE( CONTROL!$C$31, 7.2616, 7.2588) * CHOOSE(CONTROL!$C$14, $D$10, 100%, $F$10)</f>
        <v>7.2615999999999996</v>
      </c>
      <c r="K288" s="4"/>
      <c r="L288" s="9">
        <v>29.7257</v>
      </c>
      <c r="M288" s="9">
        <v>11.6745</v>
      </c>
      <c r="N288" s="9">
        <v>4.7850000000000001</v>
      </c>
      <c r="O288" s="9">
        <v>0.36199999999999999</v>
      </c>
      <c r="P288" s="9">
        <v>1.1791</v>
      </c>
      <c r="Q288" s="9">
        <v>29.4696</v>
      </c>
      <c r="R288" s="9"/>
      <c r="S288" s="11"/>
    </row>
    <row r="289" spans="1:19" ht="15.75">
      <c r="A289" s="13">
        <v>50709</v>
      </c>
      <c r="B289" s="8">
        <f>7.873 * CHOOSE(CONTROL!$C$14, $D$10, 100%, $F$10)</f>
        <v>7.8730000000000002</v>
      </c>
      <c r="C289" s="8">
        <f>7.8784 * CHOOSE(CONTROL!$C$14, $D$10, 100%, $F$10)</f>
        <v>7.8784000000000001</v>
      </c>
      <c r="D289" s="8">
        <f>7.8883 * CHOOSE( CONTROL!$C$14, $D$10, 100%, $F$10)</f>
        <v>7.8883000000000001</v>
      </c>
      <c r="E289" s="12">
        <f>7.8845 * CHOOSE( CONTROL!$C$14, $D$10, 100%, $F$10)</f>
        <v>7.8845000000000001</v>
      </c>
      <c r="F289" s="4">
        <f>8.5563 * CHOOSE(CONTROL!$C$14, $D$10, 100%, $F$10)</f>
        <v>8.5563000000000002</v>
      </c>
      <c r="G289" s="8">
        <f>7.7146 * CHOOSE( CONTROL!$C$14, $D$10, 100%, $F$10)</f>
        <v>7.7145999999999999</v>
      </c>
      <c r="H289" s="4">
        <f>8.6432 * CHOOSE(CONTROL!$C$14, $D$10, 100%, $F$10)</f>
        <v>8.6432000000000002</v>
      </c>
      <c r="I289" s="8">
        <f>7.6797 * CHOOSE(CONTROL!$C$14, $D$10, 100%, $F$10)</f>
        <v>7.6797000000000004</v>
      </c>
      <c r="J289" s="4">
        <f>7.5813 * CHOOSE(CONTROL!$C$14, $D$10, 100%, $F$10)</f>
        <v>7.5812999999999997</v>
      </c>
      <c r="K289" s="4"/>
      <c r="L289" s="9">
        <v>31.095300000000002</v>
      </c>
      <c r="M289" s="9">
        <v>12.063700000000001</v>
      </c>
      <c r="N289" s="9">
        <v>4.9444999999999997</v>
      </c>
      <c r="O289" s="9">
        <v>0.37409999999999999</v>
      </c>
      <c r="P289" s="9">
        <v>1.2183999999999999</v>
      </c>
      <c r="Q289" s="9">
        <v>30.451899999999998</v>
      </c>
      <c r="R289" s="9"/>
      <c r="S289" s="11"/>
    </row>
    <row r="290" spans="1:19" ht="15.75">
      <c r="A290" s="13">
        <v>50739</v>
      </c>
      <c r="B290" s="8">
        <f>8.4883 * CHOOSE(CONTROL!$C$14, $D$10, 100%, $F$10)</f>
        <v>8.4883000000000006</v>
      </c>
      <c r="C290" s="8">
        <f>8.4934 * CHOOSE(CONTROL!$C$14, $D$10, 100%, $F$10)</f>
        <v>8.4933999999999994</v>
      </c>
      <c r="D290" s="8">
        <f>8.4696 * CHOOSE( CONTROL!$C$14, $D$10, 100%, $F$10)</f>
        <v>8.4695999999999998</v>
      </c>
      <c r="E290" s="12">
        <f>8.4778 * CHOOSE( CONTROL!$C$14, $D$10, 100%, $F$10)</f>
        <v>8.4778000000000002</v>
      </c>
      <c r="F290" s="4">
        <f>9.1358 * CHOOSE(CONTROL!$C$14, $D$10, 100%, $F$10)</f>
        <v>9.1357999999999997</v>
      </c>
      <c r="G290" s="8">
        <f>8.3299 * CHOOSE( CONTROL!$C$14, $D$10, 100%, $F$10)</f>
        <v>8.3299000000000003</v>
      </c>
      <c r="H290" s="4">
        <f>9.213 * CHOOSE(CONTROL!$C$14, $D$10, 100%, $F$10)</f>
        <v>9.2129999999999992</v>
      </c>
      <c r="I290" s="8">
        <f>8.3057 * CHOOSE(CONTROL!$C$14, $D$10, 100%, $F$10)</f>
        <v>8.3056999999999999</v>
      </c>
      <c r="J290" s="4">
        <f>8.1765 * CHOOSE(CONTROL!$C$14, $D$10, 100%, $F$10)</f>
        <v>8.1765000000000008</v>
      </c>
      <c r="K290" s="4"/>
      <c r="L290" s="9">
        <v>28.360600000000002</v>
      </c>
      <c r="M290" s="9">
        <v>11.6745</v>
      </c>
      <c r="N290" s="9">
        <v>4.7850000000000001</v>
      </c>
      <c r="O290" s="9">
        <v>0.36199999999999999</v>
      </c>
      <c r="P290" s="9">
        <v>1.2509999999999999</v>
      </c>
      <c r="Q290" s="9">
        <v>29.4696</v>
      </c>
      <c r="R290" s="9"/>
      <c r="S290" s="11"/>
    </row>
    <row r="291" spans="1:19" ht="15.75">
      <c r="A291" s="13">
        <v>50770</v>
      </c>
      <c r="B291" s="8">
        <f>8.4729 * CHOOSE(CONTROL!$C$14, $D$10, 100%, $F$10)</f>
        <v>8.4728999999999992</v>
      </c>
      <c r="C291" s="8">
        <f>8.478 * CHOOSE(CONTROL!$C$14, $D$10, 100%, $F$10)</f>
        <v>8.4779999999999998</v>
      </c>
      <c r="D291" s="8">
        <f>8.4556 * CHOOSE( CONTROL!$C$14, $D$10, 100%, $F$10)</f>
        <v>8.4556000000000004</v>
      </c>
      <c r="E291" s="12">
        <f>8.4632 * CHOOSE( CONTROL!$C$14, $D$10, 100%, $F$10)</f>
        <v>8.4632000000000005</v>
      </c>
      <c r="F291" s="4">
        <f>9.1204 * CHOOSE(CONTROL!$C$14, $D$10, 100%, $F$10)</f>
        <v>9.1204000000000001</v>
      </c>
      <c r="G291" s="8">
        <f>8.3158 * CHOOSE( CONTROL!$C$14, $D$10, 100%, $F$10)</f>
        <v>8.3157999999999994</v>
      </c>
      <c r="H291" s="4">
        <f>9.1979 * CHOOSE(CONTROL!$C$14, $D$10, 100%, $F$10)</f>
        <v>9.1979000000000006</v>
      </c>
      <c r="I291" s="8">
        <f>8.2952 * CHOOSE(CONTROL!$C$14, $D$10, 100%, $F$10)</f>
        <v>8.2951999999999995</v>
      </c>
      <c r="J291" s="4">
        <f>8.1616 * CHOOSE(CONTROL!$C$14, $D$10, 100%, $F$10)</f>
        <v>8.1616</v>
      </c>
      <c r="K291" s="4"/>
      <c r="L291" s="9">
        <v>29.306000000000001</v>
      </c>
      <c r="M291" s="9">
        <v>12.063700000000001</v>
      </c>
      <c r="N291" s="9">
        <v>4.9444999999999997</v>
      </c>
      <c r="O291" s="9">
        <v>0.37409999999999999</v>
      </c>
      <c r="P291" s="9">
        <v>1.2927</v>
      </c>
      <c r="Q291" s="9">
        <v>30.451899999999998</v>
      </c>
      <c r="R291" s="9"/>
      <c r="S291" s="11"/>
    </row>
    <row r="292" spans="1:19" ht="15.75">
      <c r="A292" s="13">
        <v>50801</v>
      </c>
      <c r="B292" s="8">
        <f>8.7956 * CHOOSE(CONTROL!$C$14, $D$10, 100%, $F$10)</f>
        <v>8.7956000000000003</v>
      </c>
      <c r="C292" s="8">
        <f>8.8007 * CHOOSE(CONTROL!$C$14, $D$10, 100%, $F$10)</f>
        <v>8.8007000000000009</v>
      </c>
      <c r="D292" s="8">
        <f>8.7965 * CHOOSE( CONTROL!$C$14, $D$10, 100%, $F$10)</f>
        <v>8.7965</v>
      </c>
      <c r="E292" s="12">
        <f>8.7975 * CHOOSE( CONTROL!$C$14, $D$10, 100%, $F$10)</f>
        <v>8.7974999999999994</v>
      </c>
      <c r="F292" s="4">
        <f>9.4741 * CHOOSE(CONTROL!$C$14, $D$10, 100%, $F$10)</f>
        <v>9.4741</v>
      </c>
      <c r="G292" s="8">
        <f>8.6473 * CHOOSE( CONTROL!$C$14, $D$10, 100%, $F$10)</f>
        <v>8.6472999999999995</v>
      </c>
      <c r="H292" s="4">
        <f>9.5458 * CHOOSE(CONTROL!$C$14, $D$10, 100%, $F$10)</f>
        <v>9.5457999999999998</v>
      </c>
      <c r="I292" s="8">
        <f>8.5863 * CHOOSE(CONTROL!$C$14, $D$10, 100%, $F$10)</f>
        <v>8.5862999999999996</v>
      </c>
      <c r="J292" s="4">
        <f>8.4735 * CHOOSE(CONTROL!$C$14, $D$10, 100%, $F$10)</f>
        <v>8.4734999999999996</v>
      </c>
      <c r="K292" s="4"/>
      <c r="L292" s="9">
        <v>29.306000000000001</v>
      </c>
      <c r="M292" s="9">
        <v>12.063700000000001</v>
      </c>
      <c r="N292" s="9">
        <v>4.9444999999999997</v>
      </c>
      <c r="O292" s="9">
        <v>0.37409999999999999</v>
      </c>
      <c r="P292" s="9">
        <v>1.2927</v>
      </c>
      <c r="Q292" s="9">
        <v>30.386800000000001</v>
      </c>
      <c r="R292" s="9"/>
      <c r="S292" s="11"/>
    </row>
    <row r="293" spans="1:19" ht="15.75">
      <c r="A293" s="13">
        <v>50829</v>
      </c>
      <c r="B293" s="8">
        <f>8.2289 * CHOOSE(CONTROL!$C$14, $D$10, 100%, $F$10)</f>
        <v>8.2288999999999994</v>
      </c>
      <c r="C293" s="8">
        <f>8.234 * CHOOSE(CONTROL!$C$14, $D$10, 100%, $F$10)</f>
        <v>8.234</v>
      </c>
      <c r="D293" s="8">
        <f>8.2239 * CHOOSE( CONTROL!$C$14, $D$10, 100%, $F$10)</f>
        <v>8.2239000000000004</v>
      </c>
      <c r="E293" s="12">
        <f>8.227 * CHOOSE( CONTROL!$C$14, $D$10, 100%, $F$10)</f>
        <v>8.2270000000000003</v>
      </c>
      <c r="F293" s="4">
        <f>8.8816 * CHOOSE(CONTROL!$C$14, $D$10, 100%, $F$10)</f>
        <v>8.8816000000000006</v>
      </c>
      <c r="G293" s="8">
        <f>8.082 * CHOOSE( CONTROL!$C$14, $D$10, 100%, $F$10)</f>
        <v>8.0820000000000007</v>
      </c>
      <c r="H293" s="4">
        <f>8.963 * CHOOSE(CONTROL!$C$14, $D$10, 100%, $F$10)</f>
        <v>8.9629999999999992</v>
      </c>
      <c r="I293" s="8">
        <f>8.0289 * CHOOSE(CONTROL!$C$14, $D$10, 100%, $F$10)</f>
        <v>8.0289000000000001</v>
      </c>
      <c r="J293" s="4">
        <f>7.9257 * CHOOSE(CONTROL!$C$14, $D$10, 100%, $F$10)</f>
        <v>7.9257</v>
      </c>
      <c r="K293" s="4"/>
      <c r="L293" s="9">
        <v>26.469899999999999</v>
      </c>
      <c r="M293" s="9">
        <v>10.8962</v>
      </c>
      <c r="N293" s="9">
        <v>4.4660000000000002</v>
      </c>
      <c r="O293" s="9">
        <v>0.33789999999999998</v>
      </c>
      <c r="P293" s="9">
        <v>1.1676</v>
      </c>
      <c r="Q293" s="9">
        <v>27.446200000000001</v>
      </c>
      <c r="R293" s="9"/>
      <c r="S293" s="11"/>
    </row>
    <row r="294" spans="1:19" ht="15.75">
      <c r="A294" s="13">
        <v>50860</v>
      </c>
      <c r="B294" s="8">
        <f>8.0544 * CHOOSE(CONTROL!$C$14, $D$10, 100%, $F$10)</f>
        <v>8.0543999999999993</v>
      </c>
      <c r="C294" s="8">
        <f>8.0595 * CHOOSE(CONTROL!$C$14, $D$10, 100%, $F$10)</f>
        <v>8.0594999999999999</v>
      </c>
      <c r="D294" s="8">
        <f>8.0429 * CHOOSE( CONTROL!$C$14, $D$10, 100%, $F$10)</f>
        <v>8.0428999999999995</v>
      </c>
      <c r="E294" s="12">
        <f>8.0484 * CHOOSE( CONTROL!$C$14, $D$10, 100%, $F$10)</f>
        <v>8.0484000000000009</v>
      </c>
      <c r="F294" s="4">
        <f>8.707 * CHOOSE(CONTROL!$C$14, $D$10, 100%, $F$10)</f>
        <v>8.7070000000000007</v>
      </c>
      <c r="G294" s="8">
        <f>7.9021 * CHOOSE( CONTROL!$C$14, $D$10, 100%, $F$10)</f>
        <v>7.9020999999999999</v>
      </c>
      <c r="H294" s="4">
        <f>8.7914 * CHOOSE(CONTROL!$C$14, $D$10, 100%, $F$10)</f>
        <v>8.7913999999999994</v>
      </c>
      <c r="I294" s="8">
        <f>7.84 * CHOOSE(CONTROL!$C$14, $D$10, 100%, $F$10)</f>
        <v>7.84</v>
      </c>
      <c r="J294" s="4">
        <f>7.757 * CHOOSE(CONTROL!$C$14, $D$10, 100%, $F$10)</f>
        <v>7.7569999999999997</v>
      </c>
      <c r="K294" s="4"/>
      <c r="L294" s="9">
        <v>29.306000000000001</v>
      </c>
      <c r="M294" s="9">
        <v>12.063700000000001</v>
      </c>
      <c r="N294" s="9">
        <v>4.9444999999999997</v>
      </c>
      <c r="O294" s="9">
        <v>0.37409999999999999</v>
      </c>
      <c r="P294" s="9">
        <v>1.2927</v>
      </c>
      <c r="Q294" s="9">
        <v>30.386800000000001</v>
      </c>
      <c r="R294" s="9"/>
      <c r="S294" s="11"/>
    </row>
    <row r="295" spans="1:19" ht="15.75">
      <c r="A295" s="13">
        <v>50890</v>
      </c>
      <c r="B295" s="8">
        <f>8.1771 * CHOOSE(CONTROL!$C$14, $D$10, 100%, $F$10)</f>
        <v>8.1770999999999994</v>
      </c>
      <c r="C295" s="8">
        <f>8.1817 * CHOOSE(CONTROL!$C$14, $D$10, 100%, $F$10)</f>
        <v>8.1816999999999993</v>
      </c>
      <c r="D295" s="8">
        <f>8.1912 * CHOOSE( CONTROL!$C$14, $D$10, 100%, $F$10)</f>
        <v>8.1912000000000003</v>
      </c>
      <c r="E295" s="12">
        <f>8.1875 * CHOOSE( CONTROL!$C$14, $D$10, 100%, $F$10)</f>
        <v>8.1875</v>
      </c>
      <c r="F295" s="4">
        <f>8.86 * CHOOSE(CONTROL!$C$14, $D$10, 100%, $F$10)</f>
        <v>8.86</v>
      </c>
      <c r="G295" s="8">
        <f>8.0119 * CHOOSE( CONTROL!$C$14, $D$10, 100%, $F$10)</f>
        <v>8.0119000000000007</v>
      </c>
      <c r="H295" s="4">
        <f>8.9419 * CHOOSE(CONTROL!$C$14, $D$10, 100%, $F$10)</f>
        <v>8.9419000000000004</v>
      </c>
      <c r="I295" s="8">
        <f>7.9689 * CHOOSE(CONTROL!$C$14, $D$10, 100%, $F$10)</f>
        <v>7.9688999999999997</v>
      </c>
      <c r="J295" s="4">
        <f>7.8749 * CHOOSE(CONTROL!$C$14, $D$10, 100%, $F$10)</f>
        <v>7.8749000000000002</v>
      </c>
      <c r="K295" s="4"/>
      <c r="L295" s="9">
        <v>30.092199999999998</v>
      </c>
      <c r="M295" s="9">
        <v>11.6745</v>
      </c>
      <c r="N295" s="9">
        <v>4.7850000000000001</v>
      </c>
      <c r="O295" s="9">
        <v>0.36199999999999999</v>
      </c>
      <c r="P295" s="9">
        <v>1.1791</v>
      </c>
      <c r="Q295" s="9">
        <v>29.406600000000001</v>
      </c>
      <c r="R295" s="9"/>
      <c r="S295" s="11"/>
    </row>
    <row r="296" spans="1:19" ht="15.75">
      <c r="A296" s="13">
        <v>50921</v>
      </c>
      <c r="B296" s="8">
        <f>CHOOSE( CONTROL!$C$31, 8.3985, 8.3955) * CHOOSE(CONTROL!$C$14, $D$10, 100%, $F$10)</f>
        <v>8.3985000000000003</v>
      </c>
      <c r="C296" s="8">
        <f>CHOOSE( CONTROL!$C$31, 8.4065, 8.4035) * CHOOSE(CONTROL!$C$14, $D$10, 100%, $F$10)</f>
        <v>8.4064999999999994</v>
      </c>
      <c r="D296" s="8">
        <f>CHOOSE( CONTROL!$C$31, 8.4111, 8.4082) * CHOOSE( CONTROL!$C$14, $D$10, 100%, $F$10)</f>
        <v>8.4110999999999994</v>
      </c>
      <c r="E296" s="12">
        <f>CHOOSE( CONTROL!$C$31, 8.4082, 8.4053) * CHOOSE( CONTROL!$C$14, $D$10, 100%, $F$10)</f>
        <v>8.4082000000000008</v>
      </c>
      <c r="F296" s="4">
        <f>CHOOSE( CONTROL!$C$31, 9.08, 9.0771) * CHOOSE(CONTROL!$C$14, $D$10, 100%, $F$10)</f>
        <v>9.08</v>
      </c>
      <c r="G296" s="8">
        <f>CHOOSE( CONTROL!$C$31, 8.2292, 8.2263) * CHOOSE( CONTROL!$C$14, $D$10, 100%, $F$10)</f>
        <v>8.2292000000000005</v>
      </c>
      <c r="H296" s="4">
        <f>CHOOSE( CONTROL!$C$31, 9.1582, 9.1553) * CHOOSE(CONTROL!$C$14, $D$10, 100%, $F$10)</f>
        <v>9.1582000000000008</v>
      </c>
      <c r="I296" s="8">
        <f>CHOOSE( CONTROL!$C$31, 8.1828, 8.1799) * CHOOSE(CONTROL!$C$14, $D$10, 100%, $F$10)</f>
        <v>8.1828000000000003</v>
      </c>
      <c r="J296" s="4">
        <f>CHOOSE( CONTROL!$C$31, 8.0876, 8.0847) * CHOOSE(CONTROL!$C$14, $D$10, 100%, $F$10)</f>
        <v>8.0876000000000001</v>
      </c>
      <c r="K296" s="4"/>
      <c r="L296" s="9">
        <v>30.7165</v>
      </c>
      <c r="M296" s="9">
        <v>12.063700000000001</v>
      </c>
      <c r="N296" s="9">
        <v>4.9444999999999997</v>
      </c>
      <c r="O296" s="9">
        <v>0.37409999999999999</v>
      </c>
      <c r="P296" s="9">
        <v>1.2183999999999999</v>
      </c>
      <c r="Q296" s="9">
        <v>30.386800000000001</v>
      </c>
      <c r="R296" s="9"/>
      <c r="S296" s="11"/>
    </row>
    <row r="297" spans="1:19" ht="15.75">
      <c r="A297" s="13">
        <v>50951</v>
      </c>
      <c r="B297" s="8">
        <f>CHOOSE( CONTROL!$C$31, 8.264, 8.2611) * CHOOSE(CONTROL!$C$14, $D$10, 100%, $F$10)</f>
        <v>8.2639999999999993</v>
      </c>
      <c r="C297" s="8">
        <f>CHOOSE( CONTROL!$C$31, 8.272, 8.2691) * CHOOSE(CONTROL!$C$14, $D$10, 100%, $F$10)</f>
        <v>8.2720000000000002</v>
      </c>
      <c r="D297" s="8">
        <f>CHOOSE( CONTROL!$C$31, 8.2769, 8.274) * CHOOSE( CONTROL!$C$14, $D$10, 100%, $F$10)</f>
        <v>8.2768999999999995</v>
      </c>
      <c r="E297" s="12">
        <f>CHOOSE( CONTROL!$C$31, 8.2739, 8.271) * CHOOSE( CONTROL!$C$14, $D$10, 100%, $F$10)</f>
        <v>8.2738999999999994</v>
      </c>
      <c r="F297" s="4">
        <f>CHOOSE( CONTROL!$C$31, 8.9455, 8.9426) * CHOOSE(CONTROL!$C$14, $D$10, 100%, $F$10)</f>
        <v>8.9454999999999991</v>
      </c>
      <c r="G297" s="8">
        <f>CHOOSE( CONTROL!$C$31, 8.0973, 8.0945) * CHOOSE( CONTROL!$C$14, $D$10, 100%, $F$10)</f>
        <v>8.0973000000000006</v>
      </c>
      <c r="H297" s="4">
        <f>CHOOSE( CONTROL!$C$31, 9.026, 9.0231) * CHOOSE(CONTROL!$C$14, $D$10, 100%, $F$10)</f>
        <v>9.0259999999999998</v>
      </c>
      <c r="I297" s="8">
        <f>CHOOSE( CONTROL!$C$31, 8.0539, 8.0511) * CHOOSE(CONTROL!$C$14, $D$10, 100%, $F$10)</f>
        <v>8.0539000000000005</v>
      </c>
      <c r="J297" s="4">
        <f>CHOOSE( CONTROL!$C$31, 7.9576, 7.9547) * CHOOSE(CONTROL!$C$14, $D$10, 100%, $F$10)</f>
        <v>7.9576000000000002</v>
      </c>
      <c r="K297" s="4"/>
      <c r="L297" s="9">
        <v>29.7257</v>
      </c>
      <c r="M297" s="9">
        <v>11.6745</v>
      </c>
      <c r="N297" s="9">
        <v>4.7850000000000001</v>
      </c>
      <c r="O297" s="9">
        <v>0.36199999999999999</v>
      </c>
      <c r="P297" s="9">
        <v>1.1791</v>
      </c>
      <c r="Q297" s="9">
        <v>29.406600000000001</v>
      </c>
      <c r="R297" s="9"/>
      <c r="S297" s="11"/>
    </row>
    <row r="298" spans="1:19" ht="15.75">
      <c r="A298" s="13">
        <v>50982</v>
      </c>
      <c r="B298" s="8">
        <f>CHOOSE( CONTROL!$C$31, 8.6181, 8.6152) * CHOOSE(CONTROL!$C$14, $D$10, 100%, $F$10)</f>
        <v>8.6181000000000001</v>
      </c>
      <c r="C298" s="8">
        <f>CHOOSE( CONTROL!$C$31, 8.6261, 8.6232) * CHOOSE(CONTROL!$C$14, $D$10, 100%, $F$10)</f>
        <v>8.6260999999999992</v>
      </c>
      <c r="D298" s="8">
        <f>CHOOSE( CONTROL!$C$31, 8.6312, 8.6283) * CHOOSE( CONTROL!$C$14, $D$10, 100%, $F$10)</f>
        <v>8.6311999999999998</v>
      </c>
      <c r="E298" s="12">
        <f>CHOOSE( CONTROL!$C$31, 8.6281, 8.6252) * CHOOSE( CONTROL!$C$14, $D$10, 100%, $F$10)</f>
        <v>8.6280999999999999</v>
      </c>
      <c r="F298" s="4">
        <f>CHOOSE( CONTROL!$C$31, 9.2996, 9.2967) * CHOOSE(CONTROL!$C$14, $D$10, 100%, $F$10)</f>
        <v>9.2995999999999999</v>
      </c>
      <c r="G298" s="8">
        <f>CHOOSE( CONTROL!$C$31, 8.4459, 8.443) * CHOOSE( CONTROL!$C$14, $D$10, 100%, $F$10)</f>
        <v>8.4459</v>
      </c>
      <c r="H298" s="4">
        <f>CHOOSE( CONTROL!$C$31, 9.3742, 9.3713) * CHOOSE(CONTROL!$C$14, $D$10, 100%, $F$10)</f>
        <v>9.3742000000000001</v>
      </c>
      <c r="I298" s="8">
        <f>CHOOSE( CONTROL!$C$31, 8.3976, 8.3947) * CHOOSE(CONTROL!$C$14, $D$10, 100%, $F$10)</f>
        <v>8.3976000000000006</v>
      </c>
      <c r="J298" s="4">
        <f>CHOOSE( CONTROL!$C$31, 8.2999, 8.297) * CHOOSE(CONTROL!$C$14, $D$10, 100%, $F$10)</f>
        <v>8.2998999999999992</v>
      </c>
      <c r="K298" s="4"/>
      <c r="L298" s="9">
        <v>30.7165</v>
      </c>
      <c r="M298" s="9">
        <v>12.063700000000001</v>
      </c>
      <c r="N298" s="9">
        <v>4.9444999999999997</v>
      </c>
      <c r="O298" s="9">
        <v>0.37409999999999999</v>
      </c>
      <c r="P298" s="9">
        <v>1.2183999999999999</v>
      </c>
      <c r="Q298" s="9">
        <v>30.386800000000001</v>
      </c>
      <c r="R298" s="9"/>
      <c r="S298" s="11"/>
    </row>
    <row r="299" spans="1:19" ht="15.75">
      <c r="A299" s="13">
        <v>51013</v>
      </c>
      <c r="B299" s="8">
        <f>CHOOSE( CONTROL!$C$31, 7.9555, 7.9526) * CHOOSE(CONTROL!$C$14, $D$10, 100%, $F$10)</f>
        <v>7.9554999999999998</v>
      </c>
      <c r="C299" s="8">
        <f>CHOOSE( CONTROL!$C$31, 7.9636, 7.9606) * CHOOSE(CONTROL!$C$14, $D$10, 100%, $F$10)</f>
        <v>7.9635999999999996</v>
      </c>
      <c r="D299" s="8">
        <f>CHOOSE( CONTROL!$C$31, 7.9688, 7.9658) * CHOOSE( CONTROL!$C$14, $D$10, 100%, $F$10)</f>
        <v>7.9687999999999999</v>
      </c>
      <c r="E299" s="12">
        <f>CHOOSE( CONTROL!$C$31, 7.9657, 7.9627) * CHOOSE( CONTROL!$C$14, $D$10, 100%, $F$10)</f>
        <v>7.9657</v>
      </c>
      <c r="F299" s="4">
        <f>CHOOSE( CONTROL!$C$31, 8.6371, 8.6342) * CHOOSE(CONTROL!$C$14, $D$10, 100%, $F$10)</f>
        <v>8.6371000000000002</v>
      </c>
      <c r="G299" s="8">
        <f>CHOOSE( CONTROL!$C$31, 7.7945, 7.7916) * CHOOSE( CONTROL!$C$14, $D$10, 100%, $F$10)</f>
        <v>7.7945000000000002</v>
      </c>
      <c r="H299" s="4">
        <f>CHOOSE( CONTROL!$C$31, 8.7226, 8.7198) * CHOOSE(CONTROL!$C$14, $D$10, 100%, $F$10)</f>
        <v>8.7225999999999999</v>
      </c>
      <c r="I299" s="8">
        <f>CHOOSE( CONTROL!$C$31, 7.7572, 7.7543) * CHOOSE(CONTROL!$C$14, $D$10, 100%, $F$10)</f>
        <v>7.7572000000000001</v>
      </c>
      <c r="J299" s="4">
        <f>CHOOSE( CONTROL!$C$31, 7.6594, 7.6566) * CHOOSE(CONTROL!$C$14, $D$10, 100%, $F$10)</f>
        <v>7.6593999999999998</v>
      </c>
      <c r="K299" s="4"/>
      <c r="L299" s="9">
        <v>30.7165</v>
      </c>
      <c r="M299" s="9">
        <v>12.063700000000001</v>
      </c>
      <c r="N299" s="9">
        <v>4.9444999999999997</v>
      </c>
      <c r="O299" s="9">
        <v>0.37409999999999999</v>
      </c>
      <c r="P299" s="9">
        <v>1.2183999999999999</v>
      </c>
      <c r="Q299" s="9">
        <v>30.386800000000001</v>
      </c>
      <c r="R299" s="9"/>
      <c r="S299" s="11"/>
    </row>
    <row r="300" spans="1:19" ht="15.75">
      <c r="A300" s="13">
        <v>51043</v>
      </c>
      <c r="B300" s="8">
        <f>CHOOSE( CONTROL!$C$31, 7.7896, 7.7867) * CHOOSE(CONTROL!$C$14, $D$10, 100%, $F$10)</f>
        <v>7.7896000000000001</v>
      </c>
      <c r="C300" s="8">
        <f>CHOOSE( CONTROL!$C$31, 7.7977, 7.7947) * CHOOSE(CONTROL!$C$14, $D$10, 100%, $F$10)</f>
        <v>7.7976999999999999</v>
      </c>
      <c r="D300" s="8">
        <f>CHOOSE( CONTROL!$C$31, 7.8029, 7.7999) * CHOOSE( CONTROL!$C$14, $D$10, 100%, $F$10)</f>
        <v>7.8029000000000002</v>
      </c>
      <c r="E300" s="12">
        <f>CHOOSE( CONTROL!$C$31, 7.7998, 7.7968) * CHOOSE( CONTROL!$C$14, $D$10, 100%, $F$10)</f>
        <v>7.7998000000000003</v>
      </c>
      <c r="F300" s="4">
        <f>CHOOSE( CONTROL!$C$31, 8.4712, 8.4683) * CHOOSE(CONTROL!$C$14, $D$10, 100%, $F$10)</f>
        <v>8.4711999999999996</v>
      </c>
      <c r="G300" s="8">
        <f>CHOOSE( CONTROL!$C$31, 7.6313, 7.6284) * CHOOSE( CONTROL!$C$14, $D$10, 100%, $F$10)</f>
        <v>7.6313000000000004</v>
      </c>
      <c r="H300" s="4">
        <f>CHOOSE( CONTROL!$C$31, 8.5595, 8.5566) * CHOOSE(CONTROL!$C$14, $D$10, 100%, $F$10)</f>
        <v>8.5594999999999999</v>
      </c>
      <c r="I300" s="8">
        <f>CHOOSE( CONTROL!$C$31, 7.5967, 7.5938) * CHOOSE(CONTROL!$C$14, $D$10, 100%, $F$10)</f>
        <v>7.5967000000000002</v>
      </c>
      <c r="J300" s="4">
        <f>CHOOSE( CONTROL!$C$31, 7.499, 7.4962) * CHOOSE(CONTROL!$C$14, $D$10, 100%, $F$10)</f>
        <v>7.4989999999999997</v>
      </c>
      <c r="K300" s="4"/>
      <c r="L300" s="9">
        <v>29.7257</v>
      </c>
      <c r="M300" s="9">
        <v>11.6745</v>
      </c>
      <c r="N300" s="9">
        <v>4.7850000000000001</v>
      </c>
      <c r="O300" s="9">
        <v>0.36199999999999999</v>
      </c>
      <c r="P300" s="9">
        <v>1.1791</v>
      </c>
      <c r="Q300" s="9">
        <v>29.406600000000001</v>
      </c>
      <c r="R300" s="9"/>
      <c r="S300" s="11"/>
    </row>
    <row r="301" spans="1:19" ht="15.75">
      <c r="A301" s="13">
        <v>51074</v>
      </c>
      <c r="B301" s="8">
        <f>8.1295 * CHOOSE(CONTROL!$C$14, $D$10, 100%, $F$10)</f>
        <v>8.1295000000000002</v>
      </c>
      <c r="C301" s="8">
        <f>8.1348 * CHOOSE(CONTROL!$C$14, $D$10, 100%, $F$10)</f>
        <v>8.1348000000000003</v>
      </c>
      <c r="D301" s="8">
        <f>8.1448 * CHOOSE( CONTROL!$C$14, $D$10, 100%, $F$10)</f>
        <v>8.1448</v>
      </c>
      <c r="E301" s="12">
        <f>8.1409 * CHOOSE( CONTROL!$C$14, $D$10, 100%, $F$10)</f>
        <v>8.1409000000000002</v>
      </c>
      <c r="F301" s="4">
        <f>8.8127 * CHOOSE(CONTROL!$C$14, $D$10, 100%, $F$10)</f>
        <v>8.8126999999999995</v>
      </c>
      <c r="G301" s="8">
        <f>7.9669 * CHOOSE( CONTROL!$C$14, $D$10, 100%, $F$10)</f>
        <v>7.9668999999999999</v>
      </c>
      <c r="H301" s="4">
        <f>8.8954 * CHOOSE(CONTROL!$C$14, $D$10, 100%, $F$10)</f>
        <v>8.8954000000000004</v>
      </c>
      <c r="I301" s="8">
        <f>7.9278 * CHOOSE(CONTROL!$C$14, $D$10, 100%, $F$10)</f>
        <v>7.9278000000000004</v>
      </c>
      <c r="J301" s="4">
        <f>7.8292 * CHOOSE(CONTROL!$C$14, $D$10, 100%, $F$10)</f>
        <v>7.8292000000000002</v>
      </c>
      <c r="K301" s="4"/>
      <c r="L301" s="9">
        <v>31.095300000000002</v>
      </c>
      <c r="M301" s="9">
        <v>12.063700000000001</v>
      </c>
      <c r="N301" s="9">
        <v>4.9444999999999997</v>
      </c>
      <c r="O301" s="9">
        <v>0.37409999999999999</v>
      </c>
      <c r="P301" s="9">
        <v>1.2183999999999999</v>
      </c>
      <c r="Q301" s="9">
        <v>30.386800000000001</v>
      </c>
      <c r="R301" s="9"/>
      <c r="S301" s="11"/>
    </row>
    <row r="302" spans="1:19" ht="15.75">
      <c r="A302" s="13">
        <v>51104</v>
      </c>
      <c r="B302" s="8">
        <f>8.7649 * CHOOSE(CONTROL!$C$14, $D$10, 100%, $F$10)</f>
        <v>8.7649000000000008</v>
      </c>
      <c r="C302" s="8">
        <f>8.77 * CHOOSE(CONTROL!$C$14, $D$10, 100%, $F$10)</f>
        <v>8.77</v>
      </c>
      <c r="D302" s="8">
        <f>8.7462 * CHOOSE( CONTROL!$C$14, $D$10, 100%, $F$10)</f>
        <v>8.7462</v>
      </c>
      <c r="E302" s="12">
        <f>8.7544 * CHOOSE( CONTROL!$C$14, $D$10, 100%, $F$10)</f>
        <v>8.7544000000000004</v>
      </c>
      <c r="F302" s="4">
        <f>9.4124 * CHOOSE(CONTROL!$C$14, $D$10, 100%, $F$10)</f>
        <v>9.4123999999999999</v>
      </c>
      <c r="G302" s="8">
        <f>8.6019 * CHOOSE( CONTROL!$C$14, $D$10, 100%, $F$10)</f>
        <v>8.6019000000000005</v>
      </c>
      <c r="H302" s="4">
        <f>9.4851 * CHOOSE(CONTROL!$C$14, $D$10, 100%, $F$10)</f>
        <v>9.4850999999999992</v>
      </c>
      <c r="I302" s="8">
        <f>8.5732 * CHOOSE(CONTROL!$C$14, $D$10, 100%, $F$10)</f>
        <v>8.5731999999999999</v>
      </c>
      <c r="J302" s="4">
        <f>8.4439 * CHOOSE(CONTROL!$C$14, $D$10, 100%, $F$10)</f>
        <v>8.4438999999999993</v>
      </c>
      <c r="K302" s="4"/>
      <c r="L302" s="9">
        <v>28.360600000000002</v>
      </c>
      <c r="M302" s="9">
        <v>11.6745</v>
      </c>
      <c r="N302" s="9">
        <v>4.7850000000000001</v>
      </c>
      <c r="O302" s="9">
        <v>0.36199999999999999</v>
      </c>
      <c r="P302" s="9">
        <v>1.2509999999999999</v>
      </c>
      <c r="Q302" s="9">
        <v>29.406600000000001</v>
      </c>
      <c r="R302" s="9"/>
      <c r="S302" s="11"/>
    </row>
    <row r="303" spans="1:19" ht="15.75">
      <c r="A303" s="13">
        <v>51135</v>
      </c>
      <c r="B303" s="8">
        <f>8.749 * CHOOSE(CONTROL!$C$14, $D$10, 100%, $F$10)</f>
        <v>8.7490000000000006</v>
      </c>
      <c r="C303" s="8">
        <f>8.7541 * CHOOSE(CONTROL!$C$14, $D$10, 100%, $F$10)</f>
        <v>8.7540999999999993</v>
      </c>
      <c r="D303" s="8">
        <f>8.7317 * CHOOSE( CONTROL!$C$14, $D$10, 100%, $F$10)</f>
        <v>8.7317</v>
      </c>
      <c r="E303" s="12">
        <f>8.7393 * CHOOSE( CONTROL!$C$14, $D$10, 100%, $F$10)</f>
        <v>8.7393000000000001</v>
      </c>
      <c r="F303" s="4">
        <f>9.3965 * CHOOSE(CONTROL!$C$14, $D$10, 100%, $F$10)</f>
        <v>9.3964999999999996</v>
      </c>
      <c r="G303" s="8">
        <f>8.5873 * CHOOSE( CONTROL!$C$14, $D$10, 100%, $F$10)</f>
        <v>8.5873000000000008</v>
      </c>
      <c r="H303" s="4">
        <f>9.4694 * CHOOSE(CONTROL!$C$14, $D$10, 100%, $F$10)</f>
        <v>9.4694000000000003</v>
      </c>
      <c r="I303" s="8">
        <f>8.5623 * CHOOSE(CONTROL!$C$14, $D$10, 100%, $F$10)</f>
        <v>8.5623000000000005</v>
      </c>
      <c r="J303" s="4">
        <f>8.4285 * CHOOSE(CONTROL!$C$14, $D$10, 100%, $F$10)</f>
        <v>8.4284999999999997</v>
      </c>
      <c r="K303" s="4"/>
      <c r="L303" s="9">
        <v>29.306000000000001</v>
      </c>
      <c r="M303" s="9">
        <v>12.063700000000001</v>
      </c>
      <c r="N303" s="9">
        <v>4.9444999999999997</v>
      </c>
      <c r="O303" s="9">
        <v>0.37409999999999999</v>
      </c>
      <c r="P303" s="9">
        <v>1.2927</v>
      </c>
      <c r="Q303" s="9">
        <v>30.386800000000001</v>
      </c>
      <c r="R303" s="9"/>
      <c r="S303" s="11"/>
    </row>
    <row r="304" spans="1:19" ht="15.75">
      <c r="A304" s="13">
        <v>51166</v>
      </c>
      <c r="B304" s="8">
        <f>9.0822 * CHOOSE(CONTROL!$C$14, $D$10, 100%, $F$10)</f>
        <v>9.0822000000000003</v>
      </c>
      <c r="C304" s="8">
        <f>9.0874 * CHOOSE(CONTROL!$C$14, $D$10, 100%, $F$10)</f>
        <v>9.0874000000000006</v>
      </c>
      <c r="D304" s="8">
        <f>9.0832 * CHOOSE( CONTROL!$C$14, $D$10, 100%, $F$10)</f>
        <v>9.0831999999999997</v>
      </c>
      <c r="E304" s="12">
        <f>9.0842 * CHOOSE( CONTROL!$C$14, $D$10, 100%, $F$10)</f>
        <v>9.0841999999999992</v>
      </c>
      <c r="F304" s="4">
        <f>9.7607 * CHOOSE(CONTROL!$C$14, $D$10, 100%, $F$10)</f>
        <v>9.7606999999999999</v>
      </c>
      <c r="G304" s="8">
        <f>8.9292 * CHOOSE( CONTROL!$C$14, $D$10, 100%, $F$10)</f>
        <v>8.9291999999999998</v>
      </c>
      <c r="H304" s="4">
        <f>9.8277 * CHOOSE(CONTROL!$C$14, $D$10, 100%, $F$10)</f>
        <v>9.8277000000000001</v>
      </c>
      <c r="I304" s="8">
        <f>8.8636 * CHOOSE(CONTROL!$C$14, $D$10, 100%, $F$10)</f>
        <v>8.8635999999999999</v>
      </c>
      <c r="J304" s="4">
        <f>8.7506 * CHOOSE(CONTROL!$C$14, $D$10, 100%, $F$10)</f>
        <v>8.7506000000000004</v>
      </c>
      <c r="K304" s="4"/>
      <c r="L304" s="9">
        <v>29.306000000000001</v>
      </c>
      <c r="M304" s="9">
        <v>12.063700000000001</v>
      </c>
      <c r="N304" s="9">
        <v>4.9444999999999997</v>
      </c>
      <c r="O304" s="9">
        <v>0.37409999999999999</v>
      </c>
      <c r="P304" s="9">
        <v>1.2927</v>
      </c>
      <c r="Q304" s="9">
        <v>30.3217</v>
      </c>
      <c r="R304" s="9"/>
      <c r="S304" s="11"/>
    </row>
    <row r="305" spans="1:19" ht="15.75">
      <c r="A305" s="13">
        <v>51194</v>
      </c>
      <c r="B305" s="8">
        <f>8.497 * CHOOSE(CONTROL!$C$14, $D$10, 100%, $F$10)</f>
        <v>8.4969999999999999</v>
      </c>
      <c r="C305" s="8">
        <f>8.5022 * CHOOSE(CONTROL!$C$14, $D$10, 100%, $F$10)</f>
        <v>8.5022000000000002</v>
      </c>
      <c r="D305" s="8">
        <f>8.492 * CHOOSE( CONTROL!$C$14, $D$10, 100%, $F$10)</f>
        <v>8.4920000000000009</v>
      </c>
      <c r="E305" s="12">
        <f>8.4952 * CHOOSE( CONTROL!$C$14, $D$10, 100%, $F$10)</f>
        <v>8.4952000000000005</v>
      </c>
      <c r="F305" s="4">
        <f>9.1497 * CHOOSE(CONTROL!$C$14, $D$10, 100%, $F$10)</f>
        <v>9.1496999999999993</v>
      </c>
      <c r="G305" s="8">
        <f>8.3456 * CHOOSE( CONTROL!$C$14, $D$10, 100%, $F$10)</f>
        <v>8.3455999999999992</v>
      </c>
      <c r="H305" s="4">
        <f>9.2267 * CHOOSE(CONTROL!$C$14, $D$10, 100%, $F$10)</f>
        <v>9.2266999999999992</v>
      </c>
      <c r="I305" s="8">
        <f>8.2883 * CHOOSE(CONTROL!$C$14, $D$10, 100%, $F$10)</f>
        <v>8.2882999999999996</v>
      </c>
      <c r="J305" s="4">
        <f>8.1849 * CHOOSE(CONTROL!$C$14, $D$10, 100%, $F$10)</f>
        <v>8.1849000000000007</v>
      </c>
      <c r="K305" s="4"/>
      <c r="L305" s="9">
        <v>27.415299999999998</v>
      </c>
      <c r="M305" s="9">
        <v>11.285299999999999</v>
      </c>
      <c r="N305" s="9">
        <v>4.6254999999999997</v>
      </c>
      <c r="O305" s="9">
        <v>0.34989999999999999</v>
      </c>
      <c r="P305" s="9">
        <v>1.2093</v>
      </c>
      <c r="Q305" s="9">
        <v>28.365500000000001</v>
      </c>
      <c r="R305" s="9"/>
      <c r="S305" s="11"/>
    </row>
    <row r="306" spans="1:19" ht="15.75">
      <c r="A306" s="13">
        <v>51226</v>
      </c>
      <c r="B306" s="8">
        <f>8.3168 * CHOOSE(CONTROL!$C$14, $D$10, 100%, $F$10)</f>
        <v>8.3168000000000006</v>
      </c>
      <c r="C306" s="8">
        <f>8.3219 * CHOOSE(CONTROL!$C$14, $D$10, 100%, $F$10)</f>
        <v>8.3218999999999994</v>
      </c>
      <c r="D306" s="8">
        <f>8.3053 * CHOOSE( CONTROL!$C$14, $D$10, 100%, $F$10)</f>
        <v>8.3053000000000008</v>
      </c>
      <c r="E306" s="12">
        <f>8.3108 * CHOOSE( CONTROL!$C$14, $D$10, 100%, $F$10)</f>
        <v>8.3108000000000004</v>
      </c>
      <c r="F306" s="4">
        <f>8.9694 * CHOOSE(CONTROL!$C$14, $D$10, 100%, $F$10)</f>
        <v>8.9694000000000003</v>
      </c>
      <c r="G306" s="8">
        <f>8.1602 * CHOOSE( CONTROL!$C$14, $D$10, 100%, $F$10)</f>
        <v>8.1601999999999997</v>
      </c>
      <c r="H306" s="4">
        <f>9.0495 * CHOOSE(CONTROL!$C$14, $D$10, 100%, $F$10)</f>
        <v>9.0495000000000001</v>
      </c>
      <c r="I306" s="8">
        <f>8.0938 * CHOOSE(CONTROL!$C$14, $D$10, 100%, $F$10)</f>
        <v>8.0937999999999999</v>
      </c>
      <c r="J306" s="4">
        <f>8.0107 * CHOOSE(CONTROL!$C$14, $D$10, 100%, $F$10)</f>
        <v>8.0106999999999999</v>
      </c>
      <c r="K306" s="4"/>
      <c r="L306" s="9">
        <v>29.306000000000001</v>
      </c>
      <c r="M306" s="9">
        <v>12.063700000000001</v>
      </c>
      <c r="N306" s="9">
        <v>4.9444999999999997</v>
      </c>
      <c r="O306" s="9">
        <v>0.37409999999999999</v>
      </c>
      <c r="P306" s="9">
        <v>1.2927</v>
      </c>
      <c r="Q306" s="9">
        <v>30.3217</v>
      </c>
      <c r="R306" s="9"/>
      <c r="S306" s="11"/>
    </row>
    <row r="307" spans="1:19" ht="15.75">
      <c r="A307" s="13">
        <v>51256</v>
      </c>
      <c r="B307" s="8">
        <f>8.4435 * CHOOSE(CONTROL!$C$14, $D$10, 100%, $F$10)</f>
        <v>8.4435000000000002</v>
      </c>
      <c r="C307" s="8">
        <f>8.4481 * CHOOSE(CONTROL!$C$14, $D$10, 100%, $F$10)</f>
        <v>8.4481000000000002</v>
      </c>
      <c r="D307" s="8">
        <f>8.4576 * CHOOSE( CONTROL!$C$14, $D$10, 100%, $F$10)</f>
        <v>8.4575999999999993</v>
      </c>
      <c r="E307" s="12">
        <f>8.4539 * CHOOSE( CONTROL!$C$14, $D$10, 100%, $F$10)</f>
        <v>8.4539000000000009</v>
      </c>
      <c r="F307" s="4">
        <f>9.1264 * CHOOSE(CONTROL!$C$14, $D$10, 100%, $F$10)</f>
        <v>9.1264000000000003</v>
      </c>
      <c r="G307" s="8">
        <f>8.2739 * CHOOSE( CONTROL!$C$14, $D$10, 100%, $F$10)</f>
        <v>8.2738999999999994</v>
      </c>
      <c r="H307" s="4">
        <f>9.2039 * CHOOSE(CONTROL!$C$14, $D$10, 100%, $F$10)</f>
        <v>9.2039000000000009</v>
      </c>
      <c r="I307" s="8">
        <f>8.2266 * CHOOSE(CONTROL!$C$14, $D$10, 100%, $F$10)</f>
        <v>8.2265999999999995</v>
      </c>
      <c r="J307" s="4">
        <f>8.1324 * CHOOSE(CONTROL!$C$14, $D$10, 100%, $F$10)</f>
        <v>8.1324000000000005</v>
      </c>
      <c r="K307" s="4"/>
      <c r="L307" s="9">
        <v>30.092199999999998</v>
      </c>
      <c r="M307" s="9">
        <v>11.6745</v>
      </c>
      <c r="N307" s="9">
        <v>4.7850000000000001</v>
      </c>
      <c r="O307" s="9">
        <v>0.36199999999999999</v>
      </c>
      <c r="P307" s="9">
        <v>1.1791</v>
      </c>
      <c r="Q307" s="9">
        <v>29.343599999999999</v>
      </c>
      <c r="R307" s="9"/>
      <c r="S307" s="11"/>
    </row>
    <row r="308" spans="1:19" ht="15.75">
      <c r="A308" s="13">
        <v>51287</v>
      </c>
      <c r="B308" s="8">
        <f>CHOOSE( CONTROL!$C$31, 8.672, 8.669) * CHOOSE(CONTROL!$C$14, $D$10, 100%, $F$10)</f>
        <v>8.6720000000000006</v>
      </c>
      <c r="C308" s="8">
        <f>CHOOSE( CONTROL!$C$31, 8.68, 8.6771) * CHOOSE(CONTROL!$C$14, $D$10, 100%, $F$10)</f>
        <v>8.68</v>
      </c>
      <c r="D308" s="8">
        <f>CHOOSE( CONTROL!$C$31, 8.6846, 8.6817) * CHOOSE( CONTROL!$C$14, $D$10, 100%, $F$10)</f>
        <v>8.6845999999999997</v>
      </c>
      <c r="E308" s="12">
        <f>CHOOSE( CONTROL!$C$31, 8.6817, 8.6788) * CHOOSE( CONTROL!$C$14, $D$10, 100%, $F$10)</f>
        <v>8.6816999999999993</v>
      </c>
      <c r="F308" s="4">
        <f>CHOOSE( CONTROL!$C$31, 9.3535, 9.3506) * CHOOSE(CONTROL!$C$14, $D$10, 100%, $F$10)</f>
        <v>9.3535000000000004</v>
      </c>
      <c r="G308" s="8">
        <f>CHOOSE( CONTROL!$C$31, 8.4982, 8.4953) * CHOOSE( CONTROL!$C$14, $D$10, 100%, $F$10)</f>
        <v>8.4982000000000006</v>
      </c>
      <c r="H308" s="4">
        <f>CHOOSE( CONTROL!$C$31, 9.4272, 9.4243) * CHOOSE(CONTROL!$C$14, $D$10, 100%, $F$10)</f>
        <v>9.4271999999999991</v>
      </c>
      <c r="I308" s="8">
        <f>CHOOSE( CONTROL!$C$31, 8.4473, 8.4445) * CHOOSE(CONTROL!$C$14, $D$10, 100%, $F$10)</f>
        <v>8.4473000000000003</v>
      </c>
      <c r="J308" s="4">
        <f>CHOOSE( CONTROL!$C$31, 8.352, 8.3491) * CHOOSE(CONTROL!$C$14, $D$10, 100%, $F$10)</f>
        <v>8.3520000000000003</v>
      </c>
      <c r="K308" s="4"/>
      <c r="L308" s="9">
        <v>30.7165</v>
      </c>
      <c r="M308" s="9">
        <v>12.063700000000001</v>
      </c>
      <c r="N308" s="9">
        <v>4.9444999999999997</v>
      </c>
      <c r="O308" s="9">
        <v>0.37409999999999999</v>
      </c>
      <c r="P308" s="9">
        <v>1.2183999999999999</v>
      </c>
      <c r="Q308" s="9">
        <v>30.3217</v>
      </c>
      <c r="R308" s="9"/>
      <c r="S308" s="11"/>
    </row>
    <row r="309" spans="1:19" ht="15.75">
      <c r="A309" s="13">
        <v>51317</v>
      </c>
      <c r="B309" s="8">
        <f>CHOOSE( CONTROL!$C$31, 8.5331, 8.5302) * CHOOSE(CONTROL!$C$14, $D$10, 100%, $F$10)</f>
        <v>8.5330999999999992</v>
      </c>
      <c r="C309" s="8">
        <f>CHOOSE( CONTROL!$C$31, 8.5411, 8.5382) * CHOOSE(CONTROL!$C$14, $D$10, 100%, $F$10)</f>
        <v>8.5411000000000001</v>
      </c>
      <c r="D309" s="8">
        <f>CHOOSE( CONTROL!$C$31, 8.546, 8.5431) * CHOOSE( CONTROL!$C$14, $D$10, 100%, $F$10)</f>
        <v>8.5459999999999994</v>
      </c>
      <c r="E309" s="12">
        <f>CHOOSE( CONTROL!$C$31, 8.543, 8.5401) * CHOOSE( CONTROL!$C$14, $D$10, 100%, $F$10)</f>
        <v>8.5429999999999993</v>
      </c>
      <c r="F309" s="4">
        <f>CHOOSE( CONTROL!$C$31, 9.2147, 9.2117) * CHOOSE(CONTROL!$C$14, $D$10, 100%, $F$10)</f>
        <v>9.2147000000000006</v>
      </c>
      <c r="G309" s="8">
        <f>CHOOSE( CONTROL!$C$31, 8.362, 8.3591) * CHOOSE( CONTROL!$C$14, $D$10, 100%, $F$10)</f>
        <v>8.3620000000000001</v>
      </c>
      <c r="H309" s="4">
        <f>CHOOSE( CONTROL!$C$31, 9.2906, 9.2877) * CHOOSE(CONTROL!$C$14, $D$10, 100%, $F$10)</f>
        <v>9.2905999999999995</v>
      </c>
      <c r="I309" s="8">
        <f>CHOOSE( CONTROL!$C$31, 8.3142, 8.3114) * CHOOSE(CONTROL!$C$14, $D$10, 100%, $F$10)</f>
        <v>8.3141999999999996</v>
      </c>
      <c r="J309" s="4">
        <f>CHOOSE( CONTROL!$C$31, 8.2177, 8.2149) * CHOOSE(CONTROL!$C$14, $D$10, 100%, $F$10)</f>
        <v>8.2177000000000007</v>
      </c>
      <c r="K309" s="4"/>
      <c r="L309" s="9">
        <v>29.7257</v>
      </c>
      <c r="M309" s="9">
        <v>11.6745</v>
      </c>
      <c r="N309" s="9">
        <v>4.7850000000000001</v>
      </c>
      <c r="O309" s="9">
        <v>0.36199999999999999</v>
      </c>
      <c r="P309" s="9">
        <v>1.1791</v>
      </c>
      <c r="Q309" s="9">
        <v>29.343599999999999</v>
      </c>
      <c r="R309" s="9"/>
      <c r="S309" s="11"/>
    </row>
    <row r="310" spans="1:19" ht="15.75">
      <c r="A310" s="13">
        <v>51348</v>
      </c>
      <c r="B310" s="8">
        <f>CHOOSE( CONTROL!$C$31, 8.8988, 8.8958) * CHOOSE(CONTROL!$C$14, $D$10, 100%, $F$10)</f>
        <v>8.8987999999999996</v>
      </c>
      <c r="C310" s="8">
        <f>CHOOSE( CONTROL!$C$31, 8.9068, 8.9039) * CHOOSE(CONTROL!$C$14, $D$10, 100%, $F$10)</f>
        <v>8.9068000000000005</v>
      </c>
      <c r="D310" s="8">
        <f>CHOOSE( CONTROL!$C$31, 8.9119, 8.909) * CHOOSE( CONTROL!$C$14, $D$10, 100%, $F$10)</f>
        <v>8.9118999999999993</v>
      </c>
      <c r="E310" s="12">
        <f>CHOOSE( CONTROL!$C$31, 8.9088, 8.9059) * CHOOSE( CONTROL!$C$14, $D$10, 100%, $F$10)</f>
        <v>8.9087999999999994</v>
      </c>
      <c r="F310" s="4">
        <f>CHOOSE( CONTROL!$C$31, 9.5803, 9.5774) * CHOOSE(CONTROL!$C$14, $D$10, 100%, $F$10)</f>
        <v>9.5802999999999994</v>
      </c>
      <c r="G310" s="8">
        <f>CHOOSE( CONTROL!$C$31, 8.722, 8.7191) * CHOOSE( CONTROL!$C$14, $D$10, 100%, $F$10)</f>
        <v>8.7219999999999995</v>
      </c>
      <c r="H310" s="4">
        <f>CHOOSE( CONTROL!$C$31, 9.6502, 9.6473) * CHOOSE(CONTROL!$C$14, $D$10, 100%, $F$10)</f>
        <v>9.6501999999999999</v>
      </c>
      <c r="I310" s="8">
        <f>CHOOSE( CONTROL!$C$31, 8.669, 8.6662) * CHOOSE(CONTROL!$C$14, $D$10, 100%, $F$10)</f>
        <v>8.6690000000000005</v>
      </c>
      <c r="J310" s="4">
        <f>CHOOSE( CONTROL!$C$31, 8.5712, 8.5684) * CHOOSE(CONTROL!$C$14, $D$10, 100%, $F$10)</f>
        <v>8.5711999999999993</v>
      </c>
      <c r="K310" s="4"/>
      <c r="L310" s="9">
        <v>30.7165</v>
      </c>
      <c r="M310" s="9">
        <v>12.063700000000001</v>
      </c>
      <c r="N310" s="9">
        <v>4.9444999999999997</v>
      </c>
      <c r="O310" s="9">
        <v>0.37409999999999999</v>
      </c>
      <c r="P310" s="9">
        <v>1.2183999999999999</v>
      </c>
      <c r="Q310" s="9">
        <v>30.3217</v>
      </c>
      <c r="R310" s="9"/>
      <c r="S310" s="11"/>
    </row>
    <row r="311" spans="1:19" ht="15.75">
      <c r="A311" s="13">
        <v>51379</v>
      </c>
      <c r="B311" s="8">
        <f>CHOOSE( CONTROL!$C$31, 8.2146, 8.2116) * CHOOSE(CONTROL!$C$14, $D$10, 100%, $F$10)</f>
        <v>8.2146000000000008</v>
      </c>
      <c r="C311" s="8">
        <f>CHOOSE( CONTROL!$C$31, 8.2226, 8.2197) * CHOOSE(CONTROL!$C$14, $D$10, 100%, $F$10)</f>
        <v>8.2225999999999999</v>
      </c>
      <c r="D311" s="8">
        <f>CHOOSE( CONTROL!$C$31, 8.2278, 8.2249) * CHOOSE( CONTROL!$C$14, $D$10, 100%, $F$10)</f>
        <v>8.2278000000000002</v>
      </c>
      <c r="E311" s="12">
        <f>CHOOSE( CONTROL!$C$31, 8.2247, 8.2218) * CHOOSE( CONTROL!$C$14, $D$10, 100%, $F$10)</f>
        <v>8.2247000000000003</v>
      </c>
      <c r="F311" s="4">
        <f>CHOOSE( CONTROL!$C$31, 8.8961, 8.8932) * CHOOSE(CONTROL!$C$14, $D$10, 100%, $F$10)</f>
        <v>8.8961000000000006</v>
      </c>
      <c r="G311" s="8">
        <f>CHOOSE( CONTROL!$C$31, 8.0492, 8.0463) * CHOOSE( CONTROL!$C$14, $D$10, 100%, $F$10)</f>
        <v>8.0492000000000008</v>
      </c>
      <c r="H311" s="4">
        <f>CHOOSE( CONTROL!$C$31, 8.9774, 8.9745) * CHOOSE(CONTROL!$C$14, $D$10, 100%, $F$10)</f>
        <v>8.9773999999999994</v>
      </c>
      <c r="I311" s="8">
        <f>CHOOSE( CONTROL!$C$31, 8.0077, 8.0049) * CHOOSE(CONTROL!$C$14, $D$10, 100%, $F$10)</f>
        <v>8.0076999999999998</v>
      </c>
      <c r="J311" s="4">
        <f>CHOOSE( CONTROL!$C$31, 7.9098, 7.907) * CHOOSE(CONTROL!$C$14, $D$10, 100%, $F$10)</f>
        <v>7.9097999999999997</v>
      </c>
      <c r="K311" s="4"/>
      <c r="L311" s="9">
        <v>30.7165</v>
      </c>
      <c r="M311" s="9">
        <v>12.063700000000001</v>
      </c>
      <c r="N311" s="9">
        <v>4.9444999999999997</v>
      </c>
      <c r="O311" s="9">
        <v>0.37409999999999999</v>
      </c>
      <c r="P311" s="9">
        <v>1.2183999999999999</v>
      </c>
      <c r="Q311" s="9">
        <v>30.3217</v>
      </c>
      <c r="R311" s="9"/>
      <c r="S311" s="11"/>
    </row>
    <row r="312" spans="1:19" ht="15.75">
      <c r="A312" s="13">
        <v>51409</v>
      </c>
      <c r="B312" s="8">
        <f>CHOOSE( CONTROL!$C$31, 8.0432, 8.0403) * CHOOSE(CONTROL!$C$14, $D$10, 100%, $F$10)</f>
        <v>8.0432000000000006</v>
      </c>
      <c r="C312" s="8">
        <f>CHOOSE( CONTROL!$C$31, 8.0513, 8.0483) * CHOOSE(CONTROL!$C$14, $D$10, 100%, $F$10)</f>
        <v>8.0512999999999995</v>
      </c>
      <c r="D312" s="8">
        <f>CHOOSE( CONTROL!$C$31, 8.0564, 8.0535) * CHOOSE( CONTROL!$C$14, $D$10, 100%, $F$10)</f>
        <v>8.0564</v>
      </c>
      <c r="E312" s="12">
        <f>CHOOSE( CONTROL!$C$31, 8.0533, 8.0504) * CHOOSE( CONTROL!$C$14, $D$10, 100%, $F$10)</f>
        <v>8.0533000000000001</v>
      </c>
      <c r="F312" s="4">
        <f>CHOOSE( CONTROL!$C$31, 8.7248, 8.7219) * CHOOSE(CONTROL!$C$14, $D$10, 100%, $F$10)</f>
        <v>8.7248000000000001</v>
      </c>
      <c r="G312" s="8">
        <f>CHOOSE( CONTROL!$C$31, 7.8807, 7.8778) * CHOOSE( CONTROL!$C$14, $D$10, 100%, $F$10)</f>
        <v>7.8807</v>
      </c>
      <c r="H312" s="4">
        <f>CHOOSE( CONTROL!$C$31, 8.8089, 8.806) * CHOOSE(CONTROL!$C$14, $D$10, 100%, $F$10)</f>
        <v>8.8088999999999995</v>
      </c>
      <c r="I312" s="8">
        <f>CHOOSE( CONTROL!$C$31, 7.8419, 7.8391) * CHOOSE(CONTROL!$C$14, $D$10, 100%, $F$10)</f>
        <v>7.8418999999999999</v>
      </c>
      <c r="J312" s="4">
        <f>CHOOSE( CONTROL!$C$31, 7.7442, 7.7413) * CHOOSE(CONTROL!$C$14, $D$10, 100%, $F$10)</f>
        <v>7.7442000000000002</v>
      </c>
      <c r="K312" s="4"/>
      <c r="L312" s="9">
        <v>29.7257</v>
      </c>
      <c r="M312" s="9">
        <v>11.6745</v>
      </c>
      <c r="N312" s="9">
        <v>4.7850000000000001</v>
      </c>
      <c r="O312" s="9">
        <v>0.36199999999999999</v>
      </c>
      <c r="P312" s="9">
        <v>1.1791</v>
      </c>
      <c r="Q312" s="9">
        <v>29.343599999999999</v>
      </c>
      <c r="R312" s="9"/>
      <c r="S312" s="11"/>
    </row>
    <row r="313" spans="1:19" ht="15.75">
      <c r="A313" s="13">
        <v>51440</v>
      </c>
      <c r="B313" s="8">
        <f>8.3943 * CHOOSE(CONTROL!$C$14, $D$10, 100%, $F$10)</f>
        <v>8.3942999999999994</v>
      </c>
      <c r="C313" s="8">
        <f>8.3997 * CHOOSE(CONTROL!$C$14, $D$10, 100%, $F$10)</f>
        <v>8.3996999999999993</v>
      </c>
      <c r="D313" s="8">
        <f>8.4097 * CHOOSE( CONTROL!$C$14, $D$10, 100%, $F$10)</f>
        <v>8.4097000000000008</v>
      </c>
      <c r="E313" s="12">
        <f>8.4058 * CHOOSE( CONTROL!$C$14, $D$10, 100%, $F$10)</f>
        <v>8.4057999999999993</v>
      </c>
      <c r="F313" s="4">
        <f>9.0776 * CHOOSE(CONTROL!$C$14, $D$10, 100%, $F$10)</f>
        <v>9.0776000000000003</v>
      </c>
      <c r="G313" s="8">
        <f>8.2273 * CHOOSE( CONTROL!$C$14, $D$10, 100%, $F$10)</f>
        <v>8.2272999999999996</v>
      </c>
      <c r="H313" s="4">
        <f>9.1558 * CHOOSE(CONTROL!$C$14, $D$10, 100%, $F$10)</f>
        <v>9.1557999999999993</v>
      </c>
      <c r="I313" s="8">
        <f>8.184 * CHOOSE(CONTROL!$C$14, $D$10, 100%, $F$10)</f>
        <v>8.1839999999999993</v>
      </c>
      <c r="J313" s="4">
        <f>8.0852 * CHOOSE(CONTROL!$C$14, $D$10, 100%, $F$10)</f>
        <v>8.0852000000000004</v>
      </c>
      <c r="K313" s="4"/>
      <c r="L313" s="9">
        <v>31.095300000000002</v>
      </c>
      <c r="M313" s="9">
        <v>12.063700000000001</v>
      </c>
      <c r="N313" s="9">
        <v>4.9444999999999997</v>
      </c>
      <c r="O313" s="9">
        <v>0.37409999999999999</v>
      </c>
      <c r="P313" s="9">
        <v>1.2183999999999999</v>
      </c>
      <c r="Q313" s="9">
        <v>30.3217</v>
      </c>
      <c r="R313" s="9"/>
      <c r="S313" s="11"/>
    </row>
    <row r="314" spans="1:19" ht="15.75">
      <c r="A314" s="13">
        <v>51470</v>
      </c>
      <c r="B314" s="8">
        <f>9.0506 * CHOOSE(CONTROL!$C$14, $D$10, 100%, $F$10)</f>
        <v>9.0505999999999993</v>
      </c>
      <c r="C314" s="8">
        <f>9.0557 * CHOOSE(CONTROL!$C$14, $D$10, 100%, $F$10)</f>
        <v>9.0556999999999999</v>
      </c>
      <c r="D314" s="8">
        <f>9.0319 * CHOOSE( CONTROL!$C$14, $D$10, 100%, $F$10)</f>
        <v>9.0319000000000003</v>
      </c>
      <c r="E314" s="12">
        <f>9.0401 * CHOOSE( CONTROL!$C$14, $D$10, 100%, $F$10)</f>
        <v>9.0401000000000007</v>
      </c>
      <c r="F314" s="4">
        <f>9.698 * CHOOSE(CONTROL!$C$14, $D$10, 100%, $F$10)</f>
        <v>9.6980000000000004</v>
      </c>
      <c r="G314" s="8">
        <f>8.8829 * CHOOSE( CONTROL!$C$14, $D$10, 100%, $F$10)</f>
        <v>8.8828999999999994</v>
      </c>
      <c r="H314" s="4">
        <f>9.766 * CHOOSE(CONTROL!$C$14, $D$10, 100%, $F$10)</f>
        <v>9.766</v>
      </c>
      <c r="I314" s="8">
        <f>8.8495 * CHOOSE(CONTROL!$C$14, $D$10, 100%, $F$10)</f>
        <v>8.8495000000000008</v>
      </c>
      <c r="J314" s="4">
        <f>8.72 * CHOOSE(CONTROL!$C$14, $D$10, 100%, $F$10)</f>
        <v>8.7200000000000006</v>
      </c>
      <c r="K314" s="4"/>
      <c r="L314" s="9">
        <v>28.360600000000002</v>
      </c>
      <c r="M314" s="9">
        <v>11.6745</v>
      </c>
      <c r="N314" s="9">
        <v>4.7850000000000001</v>
      </c>
      <c r="O314" s="9">
        <v>0.36199999999999999</v>
      </c>
      <c r="P314" s="9">
        <v>1.2509999999999999</v>
      </c>
      <c r="Q314" s="9">
        <v>29.343599999999999</v>
      </c>
      <c r="R314" s="9"/>
      <c r="S314" s="11"/>
    </row>
    <row r="315" spans="1:19" ht="15.75">
      <c r="A315" s="13">
        <v>51501</v>
      </c>
      <c r="B315" s="8">
        <f>9.0342 * CHOOSE(CONTROL!$C$14, $D$10, 100%, $F$10)</f>
        <v>9.0342000000000002</v>
      </c>
      <c r="C315" s="8">
        <f>9.0393 * CHOOSE(CONTROL!$C$14, $D$10, 100%, $F$10)</f>
        <v>9.0393000000000008</v>
      </c>
      <c r="D315" s="8">
        <f>9.0169 * CHOOSE( CONTROL!$C$14, $D$10, 100%, $F$10)</f>
        <v>9.0168999999999997</v>
      </c>
      <c r="E315" s="12">
        <f>9.0245 * CHOOSE( CONTROL!$C$14, $D$10, 100%, $F$10)</f>
        <v>9.0244999999999997</v>
      </c>
      <c r="F315" s="4">
        <f>9.6816 * CHOOSE(CONTROL!$C$14, $D$10, 100%, $F$10)</f>
        <v>9.6815999999999995</v>
      </c>
      <c r="G315" s="8">
        <f>8.8677 * CHOOSE( CONTROL!$C$14, $D$10, 100%, $F$10)</f>
        <v>8.8676999999999992</v>
      </c>
      <c r="H315" s="4">
        <f>9.7498 * CHOOSE(CONTROL!$C$14, $D$10, 100%, $F$10)</f>
        <v>9.7498000000000005</v>
      </c>
      <c r="I315" s="8">
        <f>8.8381 * CHOOSE(CONTROL!$C$14, $D$10, 100%, $F$10)</f>
        <v>8.8381000000000007</v>
      </c>
      <c r="J315" s="4">
        <f>8.7041 * CHOOSE(CONTROL!$C$14, $D$10, 100%, $F$10)</f>
        <v>8.7041000000000004</v>
      </c>
      <c r="K315" s="4"/>
      <c r="L315" s="9">
        <v>29.306000000000001</v>
      </c>
      <c r="M315" s="9">
        <v>12.063700000000001</v>
      </c>
      <c r="N315" s="9">
        <v>4.9444999999999997</v>
      </c>
      <c r="O315" s="9">
        <v>0.37409999999999999</v>
      </c>
      <c r="P315" s="9">
        <v>1.2927</v>
      </c>
      <c r="Q315" s="9">
        <v>30.3217</v>
      </c>
      <c r="R315" s="9"/>
      <c r="S315" s="11"/>
    </row>
    <row r="316" spans="1:19" ht="15.75">
      <c r="A316" s="13">
        <v>51532</v>
      </c>
      <c r="B316" s="8">
        <f>9.3783 * CHOOSE(CONTROL!$C$14, $D$10, 100%, $F$10)</f>
        <v>9.3782999999999994</v>
      </c>
      <c r="C316" s="8">
        <f>9.3834 * CHOOSE(CONTROL!$C$14, $D$10, 100%, $F$10)</f>
        <v>9.3834</v>
      </c>
      <c r="D316" s="8">
        <f>9.3792 * CHOOSE( CONTROL!$C$14, $D$10, 100%, $F$10)</f>
        <v>9.3792000000000009</v>
      </c>
      <c r="E316" s="12">
        <f>9.3802 * CHOOSE( CONTROL!$C$14, $D$10, 100%, $F$10)</f>
        <v>9.3802000000000003</v>
      </c>
      <c r="F316" s="4">
        <f>10.0568 * CHOOSE(CONTROL!$C$14, $D$10, 100%, $F$10)</f>
        <v>10.056800000000001</v>
      </c>
      <c r="G316" s="8">
        <f>9.2204 * CHOOSE( CONTROL!$C$14, $D$10, 100%, $F$10)</f>
        <v>9.2203999999999997</v>
      </c>
      <c r="H316" s="4">
        <f>10.1188 * CHOOSE(CONTROL!$C$14, $D$10, 100%, $F$10)</f>
        <v>10.1188</v>
      </c>
      <c r="I316" s="8">
        <f>9.1499 * CHOOSE(CONTROL!$C$14, $D$10, 100%, $F$10)</f>
        <v>9.1499000000000006</v>
      </c>
      <c r="J316" s="4">
        <f>9.0368 * CHOOSE(CONTROL!$C$14, $D$10, 100%, $F$10)</f>
        <v>9.0367999999999995</v>
      </c>
      <c r="K316" s="4"/>
      <c r="L316" s="9">
        <v>29.306000000000001</v>
      </c>
      <c r="M316" s="9">
        <v>12.063700000000001</v>
      </c>
      <c r="N316" s="9">
        <v>4.9444999999999997</v>
      </c>
      <c r="O316" s="9">
        <v>0.37409999999999999</v>
      </c>
      <c r="P316" s="9">
        <v>1.2927</v>
      </c>
      <c r="Q316" s="9">
        <v>30.258500000000002</v>
      </c>
      <c r="R316" s="9"/>
      <c r="S316" s="11"/>
    </row>
    <row r="317" spans="1:19" ht="15.75">
      <c r="A317" s="13">
        <v>51560</v>
      </c>
      <c r="B317" s="8">
        <f>8.7739 * CHOOSE(CONTROL!$C$14, $D$10, 100%, $F$10)</f>
        <v>8.7738999999999994</v>
      </c>
      <c r="C317" s="8">
        <f>8.7791 * CHOOSE(CONTROL!$C$14, $D$10, 100%, $F$10)</f>
        <v>8.7790999999999997</v>
      </c>
      <c r="D317" s="8">
        <f>8.7689 * CHOOSE( CONTROL!$C$14, $D$10, 100%, $F$10)</f>
        <v>8.7689000000000004</v>
      </c>
      <c r="E317" s="12">
        <f>8.7721 * CHOOSE( CONTROL!$C$14, $D$10, 100%, $F$10)</f>
        <v>8.7721</v>
      </c>
      <c r="F317" s="4">
        <f>9.4266 * CHOOSE(CONTROL!$C$14, $D$10, 100%, $F$10)</f>
        <v>9.4266000000000005</v>
      </c>
      <c r="G317" s="8">
        <f>8.6179 * CHOOSE( CONTROL!$C$14, $D$10, 100%, $F$10)</f>
        <v>8.6179000000000006</v>
      </c>
      <c r="H317" s="4">
        <f>9.499 * CHOOSE(CONTROL!$C$14, $D$10, 100%, $F$10)</f>
        <v>9.4990000000000006</v>
      </c>
      <c r="I317" s="8">
        <f>8.5561 * CHOOSE(CONTROL!$C$14, $D$10, 100%, $F$10)</f>
        <v>8.5561000000000007</v>
      </c>
      <c r="J317" s="4">
        <f>8.4526 * CHOOSE(CONTROL!$C$14, $D$10, 100%, $F$10)</f>
        <v>8.4526000000000003</v>
      </c>
      <c r="K317" s="4"/>
      <c r="L317" s="9">
        <v>26.469899999999999</v>
      </c>
      <c r="M317" s="9">
        <v>10.8962</v>
      </c>
      <c r="N317" s="9">
        <v>4.4660000000000002</v>
      </c>
      <c r="O317" s="9">
        <v>0.33789999999999998</v>
      </c>
      <c r="P317" s="9">
        <v>1.1676</v>
      </c>
      <c r="Q317" s="9">
        <v>27.330200000000001</v>
      </c>
      <c r="R317" s="9"/>
      <c r="S317" s="11"/>
    </row>
    <row r="318" spans="1:19" ht="15.75">
      <c r="A318" s="13">
        <v>51591</v>
      </c>
      <c r="B318" s="8">
        <f>8.5878 * CHOOSE(CONTROL!$C$14, $D$10, 100%, $F$10)</f>
        <v>8.5877999999999997</v>
      </c>
      <c r="C318" s="8">
        <f>8.5929 * CHOOSE(CONTROL!$C$14, $D$10, 100%, $F$10)</f>
        <v>8.5929000000000002</v>
      </c>
      <c r="D318" s="8">
        <f>8.5763 * CHOOSE( CONTROL!$C$14, $D$10, 100%, $F$10)</f>
        <v>8.5762999999999998</v>
      </c>
      <c r="E318" s="12">
        <f>8.5818 * CHOOSE( CONTROL!$C$14, $D$10, 100%, $F$10)</f>
        <v>8.5817999999999994</v>
      </c>
      <c r="F318" s="4">
        <f>9.2404 * CHOOSE(CONTROL!$C$14, $D$10, 100%, $F$10)</f>
        <v>9.2403999999999993</v>
      </c>
      <c r="G318" s="8">
        <f>8.4267 * CHOOSE( CONTROL!$C$14, $D$10, 100%, $F$10)</f>
        <v>8.4267000000000003</v>
      </c>
      <c r="H318" s="4">
        <f>9.316 * CHOOSE(CONTROL!$C$14, $D$10, 100%, $F$10)</f>
        <v>9.3160000000000007</v>
      </c>
      <c r="I318" s="8">
        <f>8.3559 * CHOOSE(CONTROL!$C$14, $D$10, 100%, $F$10)</f>
        <v>8.3559000000000001</v>
      </c>
      <c r="J318" s="4">
        <f>8.2727 * CHOOSE(CONTROL!$C$14, $D$10, 100%, $F$10)</f>
        <v>8.2727000000000004</v>
      </c>
      <c r="K318" s="4"/>
      <c r="L318" s="9">
        <v>29.306000000000001</v>
      </c>
      <c r="M318" s="9">
        <v>12.063700000000001</v>
      </c>
      <c r="N318" s="9">
        <v>4.9444999999999997</v>
      </c>
      <c r="O318" s="9">
        <v>0.37409999999999999</v>
      </c>
      <c r="P318" s="9">
        <v>1.2927</v>
      </c>
      <c r="Q318" s="9">
        <v>30.258500000000002</v>
      </c>
      <c r="R318" s="9"/>
      <c r="S318" s="11"/>
    </row>
    <row r="319" spans="1:19" ht="15.75">
      <c r="A319" s="13">
        <v>51621</v>
      </c>
      <c r="B319" s="8">
        <f>8.7186 * CHOOSE(CONTROL!$C$14, $D$10, 100%, $F$10)</f>
        <v>8.7186000000000003</v>
      </c>
      <c r="C319" s="8">
        <f>8.7232 * CHOOSE(CONTROL!$C$14, $D$10, 100%, $F$10)</f>
        <v>8.7232000000000003</v>
      </c>
      <c r="D319" s="8">
        <f>8.7327 * CHOOSE( CONTROL!$C$14, $D$10, 100%, $F$10)</f>
        <v>8.7326999999999995</v>
      </c>
      <c r="E319" s="12">
        <f>8.729 * CHOOSE( CONTROL!$C$14, $D$10, 100%, $F$10)</f>
        <v>8.7289999999999992</v>
      </c>
      <c r="F319" s="4">
        <f>9.4015 * CHOOSE(CONTROL!$C$14, $D$10, 100%, $F$10)</f>
        <v>9.4015000000000004</v>
      </c>
      <c r="G319" s="8">
        <f>8.5445 * CHOOSE( CONTROL!$C$14, $D$10, 100%, $F$10)</f>
        <v>8.5444999999999993</v>
      </c>
      <c r="H319" s="4">
        <f>9.4744 * CHOOSE(CONTROL!$C$14, $D$10, 100%, $F$10)</f>
        <v>9.4743999999999993</v>
      </c>
      <c r="I319" s="8">
        <f>8.4927 * CHOOSE(CONTROL!$C$14, $D$10, 100%, $F$10)</f>
        <v>8.4926999999999992</v>
      </c>
      <c r="J319" s="4">
        <f>8.3984 * CHOOSE(CONTROL!$C$14, $D$10, 100%, $F$10)</f>
        <v>8.3984000000000005</v>
      </c>
      <c r="K319" s="4"/>
      <c r="L319" s="9">
        <v>30.092199999999998</v>
      </c>
      <c r="M319" s="9">
        <v>11.6745</v>
      </c>
      <c r="N319" s="9">
        <v>4.7850000000000001</v>
      </c>
      <c r="O319" s="9">
        <v>0.36199999999999999</v>
      </c>
      <c r="P319" s="9">
        <v>1.1791</v>
      </c>
      <c r="Q319" s="9">
        <v>29.282399999999999</v>
      </c>
      <c r="R319" s="9"/>
      <c r="S319" s="11"/>
    </row>
    <row r="320" spans="1:19" ht="15.75">
      <c r="A320" s="13">
        <v>51652</v>
      </c>
      <c r="B320" s="8">
        <f>CHOOSE( CONTROL!$C$31, 8.9544, 8.9515) * CHOOSE(CONTROL!$C$14, $D$10, 100%, $F$10)</f>
        <v>8.9543999999999997</v>
      </c>
      <c r="C320" s="8">
        <f>CHOOSE( CONTROL!$C$31, 8.9624, 8.9595) * CHOOSE(CONTROL!$C$14, $D$10, 100%, $F$10)</f>
        <v>8.9624000000000006</v>
      </c>
      <c r="D320" s="8">
        <f>CHOOSE( CONTROL!$C$31, 8.9671, 8.9641) * CHOOSE( CONTROL!$C$14, $D$10, 100%, $F$10)</f>
        <v>8.9671000000000003</v>
      </c>
      <c r="E320" s="12">
        <f>CHOOSE( CONTROL!$C$31, 8.9642, 8.9612) * CHOOSE( CONTROL!$C$14, $D$10, 100%, $F$10)</f>
        <v>8.9641999999999999</v>
      </c>
      <c r="F320" s="4">
        <f>CHOOSE( CONTROL!$C$31, 9.636, 9.633) * CHOOSE(CONTROL!$C$14, $D$10, 100%, $F$10)</f>
        <v>9.6359999999999992</v>
      </c>
      <c r="G320" s="8">
        <f>CHOOSE( CONTROL!$C$31, 8.7759, 8.7731) * CHOOSE( CONTROL!$C$14, $D$10, 100%, $F$10)</f>
        <v>8.7759</v>
      </c>
      <c r="H320" s="4">
        <f>CHOOSE( CONTROL!$C$31, 9.7049, 9.7021) * CHOOSE(CONTROL!$C$14, $D$10, 100%, $F$10)</f>
        <v>9.7049000000000003</v>
      </c>
      <c r="I320" s="8">
        <f>CHOOSE( CONTROL!$C$31, 8.7205, 8.7176) * CHOOSE(CONTROL!$C$14, $D$10, 100%, $F$10)</f>
        <v>8.7204999999999995</v>
      </c>
      <c r="J320" s="4">
        <f>CHOOSE( CONTROL!$C$31, 8.625, 8.6222) * CHOOSE(CONTROL!$C$14, $D$10, 100%, $F$10)</f>
        <v>8.625</v>
      </c>
      <c r="K320" s="4"/>
      <c r="L320" s="9">
        <v>30.7165</v>
      </c>
      <c r="M320" s="9">
        <v>12.063700000000001</v>
      </c>
      <c r="N320" s="9">
        <v>4.9444999999999997</v>
      </c>
      <c r="O320" s="9">
        <v>0.37409999999999999</v>
      </c>
      <c r="P320" s="9">
        <v>1.2183999999999999</v>
      </c>
      <c r="Q320" s="9">
        <v>30.258500000000002</v>
      </c>
      <c r="R320" s="9"/>
      <c r="S320" s="11"/>
    </row>
    <row r="321" spans="1:19" ht="15.75">
      <c r="A321" s="13">
        <v>51682</v>
      </c>
      <c r="B321" s="8">
        <f>CHOOSE( CONTROL!$C$31, 8.811, 8.8081) * CHOOSE(CONTROL!$C$14, $D$10, 100%, $F$10)</f>
        <v>8.8109999999999999</v>
      </c>
      <c r="C321" s="8">
        <f>CHOOSE( CONTROL!$C$31, 8.819, 8.8161) * CHOOSE(CONTROL!$C$14, $D$10, 100%, $F$10)</f>
        <v>8.8190000000000008</v>
      </c>
      <c r="D321" s="8">
        <f>CHOOSE( CONTROL!$C$31, 8.8239, 8.821) * CHOOSE( CONTROL!$C$14, $D$10, 100%, $F$10)</f>
        <v>8.8239000000000001</v>
      </c>
      <c r="E321" s="12">
        <f>CHOOSE( CONTROL!$C$31, 8.8209, 8.818) * CHOOSE( CONTROL!$C$14, $D$10, 100%, $F$10)</f>
        <v>8.8209</v>
      </c>
      <c r="F321" s="4">
        <f>CHOOSE( CONTROL!$C$31, 9.4926, 9.4896) * CHOOSE(CONTROL!$C$14, $D$10, 100%, $F$10)</f>
        <v>9.4925999999999995</v>
      </c>
      <c r="G321" s="8">
        <f>CHOOSE( CONTROL!$C$31, 8.6353, 8.6324) * CHOOSE( CONTROL!$C$14, $D$10, 100%, $F$10)</f>
        <v>8.6353000000000009</v>
      </c>
      <c r="H321" s="4">
        <f>CHOOSE( CONTROL!$C$31, 9.5639, 9.561) * CHOOSE(CONTROL!$C$14, $D$10, 100%, $F$10)</f>
        <v>9.5639000000000003</v>
      </c>
      <c r="I321" s="8">
        <f>CHOOSE( CONTROL!$C$31, 8.583, 8.5802) * CHOOSE(CONTROL!$C$14, $D$10, 100%, $F$10)</f>
        <v>8.5830000000000002</v>
      </c>
      <c r="J321" s="4">
        <f>CHOOSE( CONTROL!$C$31, 8.4864, 8.4835) * CHOOSE(CONTROL!$C$14, $D$10, 100%, $F$10)</f>
        <v>8.4863999999999997</v>
      </c>
      <c r="K321" s="4"/>
      <c r="L321" s="9">
        <v>29.7257</v>
      </c>
      <c r="M321" s="9">
        <v>11.6745</v>
      </c>
      <c r="N321" s="9">
        <v>4.7850000000000001</v>
      </c>
      <c r="O321" s="9">
        <v>0.36199999999999999</v>
      </c>
      <c r="P321" s="9">
        <v>1.1791</v>
      </c>
      <c r="Q321" s="9">
        <v>29.282399999999999</v>
      </c>
      <c r="R321" s="9"/>
      <c r="S321" s="11"/>
    </row>
    <row r="322" spans="1:19" ht="15.75">
      <c r="A322" s="13">
        <v>51713</v>
      </c>
      <c r="B322" s="8">
        <f>CHOOSE( CONTROL!$C$31, 9.1886, 9.1857) * CHOOSE(CONTROL!$C$14, $D$10, 100%, $F$10)</f>
        <v>9.1885999999999992</v>
      </c>
      <c r="C322" s="8">
        <f>CHOOSE( CONTROL!$C$31, 9.1967, 9.1937) * CHOOSE(CONTROL!$C$14, $D$10, 100%, $F$10)</f>
        <v>9.1966999999999999</v>
      </c>
      <c r="D322" s="8">
        <f>CHOOSE( CONTROL!$C$31, 9.2018, 9.1989) * CHOOSE( CONTROL!$C$14, $D$10, 100%, $F$10)</f>
        <v>9.2018000000000004</v>
      </c>
      <c r="E322" s="12">
        <f>CHOOSE( CONTROL!$C$31, 9.1987, 9.1958) * CHOOSE( CONTROL!$C$14, $D$10, 100%, $F$10)</f>
        <v>9.1987000000000005</v>
      </c>
      <c r="F322" s="4">
        <f>CHOOSE( CONTROL!$C$31, 9.8702, 9.8673) * CHOOSE(CONTROL!$C$14, $D$10, 100%, $F$10)</f>
        <v>9.8702000000000005</v>
      </c>
      <c r="G322" s="8">
        <f>CHOOSE( CONTROL!$C$31, 9.007, 9.0041) * CHOOSE( CONTROL!$C$14, $D$10, 100%, $F$10)</f>
        <v>9.0069999999999997</v>
      </c>
      <c r="H322" s="4">
        <f>CHOOSE( CONTROL!$C$31, 9.9353, 9.9324) * CHOOSE(CONTROL!$C$14, $D$10, 100%, $F$10)</f>
        <v>9.9352999999999998</v>
      </c>
      <c r="I322" s="8">
        <f>CHOOSE( CONTROL!$C$31, 8.9494, 8.9466) * CHOOSE(CONTROL!$C$14, $D$10, 100%, $F$10)</f>
        <v>8.9494000000000007</v>
      </c>
      <c r="J322" s="4">
        <f>CHOOSE( CONTROL!$C$31, 8.8514, 8.8486) * CHOOSE(CONTROL!$C$14, $D$10, 100%, $F$10)</f>
        <v>8.8513999999999999</v>
      </c>
      <c r="K322" s="4"/>
      <c r="L322" s="9">
        <v>30.7165</v>
      </c>
      <c r="M322" s="9">
        <v>12.063700000000001</v>
      </c>
      <c r="N322" s="9">
        <v>4.9444999999999997</v>
      </c>
      <c r="O322" s="9">
        <v>0.37409999999999999</v>
      </c>
      <c r="P322" s="9">
        <v>1.2183999999999999</v>
      </c>
      <c r="Q322" s="9">
        <v>30.258500000000002</v>
      </c>
      <c r="R322" s="9"/>
      <c r="S322" s="11"/>
    </row>
    <row r="323" spans="1:19" ht="15.75">
      <c r="A323" s="13">
        <v>51744</v>
      </c>
      <c r="B323" s="8">
        <f>CHOOSE( CONTROL!$C$31, 8.4821, 8.4791) * CHOOSE(CONTROL!$C$14, $D$10, 100%, $F$10)</f>
        <v>8.4821000000000009</v>
      </c>
      <c r="C323" s="8">
        <f>CHOOSE( CONTROL!$C$31, 8.4901, 8.4872) * CHOOSE(CONTROL!$C$14, $D$10, 100%, $F$10)</f>
        <v>8.4901</v>
      </c>
      <c r="D323" s="8">
        <f>CHOOSE( CONTROL!$C$31, 8.4953, 8.4924) * CHOOSE( CONTROL!$C$14, $D$10, 100%, $F$10)</f>
        <v>8.4953000000000003</v>
      </c>
      <c r="E323" s="12">
        <f>CHOOSE( CONTROL!$C$31, 8.4922, 8.4893) * CHOOSE( CONTROL!$C$14, $D$10, 100%, $F$10)</f>
        <v>8.4922000000000004</v>
      </c>
      <c r="F323" s="4">
        <f>CHOOSE( CONTROL!$C$31, 9.1636, 9.1607) * CHOOSE(CONTROL!$C$14, $D$10, 100%, $F$10)</f>
        <v>9.1636000000000006</v>
      </c>
      <c r="G323" s="8">
        <f>CHOOSE( CONTROL!$C$31, 8.3123, 8.3094) * CHOOSE( CONTROL!$C$14, $D$10, 100%, $F$10)</f>
        <v>8.3123000000000005</v>
      </c>
      <c r="H323" s="4">
        <f>CHOOSE( CONTROL!$C$31, 9.2404, 9.2376) * CHOOSE(CONTROL!$C$14, $D$10, 100%, $F$10)</f>
        <v>9.2403999999999993</v>
      </c>
      <c r="I323" s="8">
        <f>CHOOSE( CONTROL!$C$31, 8.2664, 8.2636) * CHOOSE(CONTROL!$C$14, $D$10, 100%, $F$10)</f>
        <v>8.2664000000000009</v>
      </c>
      <c r="J323" s="4">
        <f>CHOOSE( CONTROL!$C$31, 8.1684, 8.1656) * CHOOSE(CONTROL!$C$14, $D$10, 100%, $F$10)</f>
        <v>8.1684000000000001</v>
      </c>
      <c r="K323" s="4"/>
      <c r="L323" s="9">
        <v>30.7165</v>
      </c>
      <c r="M323" s="9">
        <v>12.063700000000001</v>
      </c>
      <c r="N323" s="9">
        <v>4.9444999999999997</v>
      </c>
      <c r="O323" s="9">
        <v>0.37409999999999999</v>
      </c>
      <c r="P323" s="9">
        <v>1.2183999999999999</v>
      </c>
      <c r="Q323" s="9">
        <v>30.258500000000002</v>
      </c>
      <c r="R323" s="9"/>
      <c r="S323" s="11"/>
    </row>
    <row r="324" spans="1:19" ht="15.75">
      <c r="A324" s="13">
        <v>51774</v>
      </c>
      <c r="B324" s="8">
        <f>CHOOSE( CONTROL!$C$31, 8.3051, 8.3022) * CHOOSE(CONTROL!$C$14, $D$10, 100%, $F$10)</f>
        <v>8.3050999999999995</v>
      </c>
      <c r="C324" s="8">
        <f>CHOOSE( CONTROL!$C$31, 8.3131, 8.3102) * CHOOSE(CONTROL!$C$14, $D$10, 100%, $F$10)</f>
        <v>8.3131000000000004</v>
      </c>
      <c r="D324" s="8">
        <f>CHOOSE( CONTROL!$C$31, 8.3183, 8.3154) * CHOOSE( CONTROL!$C$14, $D$10, 100%, $F$10)</f>
        <v>8.3183000000000007</v>
      </c>
      <c r="E324" s="12">
        <f>CHOOSE( CONTROL!$C$31, 8.3152, 8.3123) * CHOOSE( CONTROL!$C$14, $D$10, 100%, $F$10)</f>
        <v>8.3152000000000008</v>
      </c>
      <c r="F324" s="4">
        <f>CHOOSE( CONTROL!$C$31, 8.9867, 8.9838) * CHOOSE(CONTROL!$C$14, $D$10, 100%, $F$10)</f>
        <v>8.9867000000000008</v>
      </c>
      <c r="G324" s="8">
        <f>CHOOSE( CONTROL!$C$31, 8.1383, 8.1354) * CHOOSE( CONTROL!$C$14, $D$10, 100%, $F$10)</f>
        <v>8.1382999999999992</v>
      </c>
      <c r="H324" s="4">
        <f>CHOOSE( CONTROL!$C$31, 9.0664, 9.0635) * CHOOSE(CONTROL!$C$14, $D$10, 100%, $F$10)</f>
        <v>9.0663999999999998</v>
      </c>
      <c r="I324" s="8">
        <f>CHOOSE( CONTROL!$C$31, 8.0952, 8.0924) * CHOOSE(CONTROL!$C$14, $D$10, 100%, $F$10)</f>
        <v>8.0952000000000002</v>
      </c>
      <c r="J324" s="4">
        <f>CHOOSE( CONTROL!$C$31, 7.9973, 7.9945) * CHOOSE(CONTROL!$C$14, $D$10, 100%, $F$10)</f>
        <v>7.9973000000000001</v>
      </c>
      <c r="K324" s="4"/>
      <c r="L324" s="9">
        <v>29.7257</v>
      </c>
      <c r="M324" s="9">
        <v>11.6745</v>
      </c>
      <c r="N324" s="9">
        <v>4.7850000000000001</v>
      </c>
      <c r="O324" s="9">
        <v>0.36199999999999999</v>
      </c>
      <c r="P324" s="9">
        <v>1.1791</v>
      </c>
      <c r="Q324" s="9">
        <v>29.282399999999999</v>
      </c>
      <c r="R324" s="9"/>
      <c r="S324" s="11"/>
    </row>
    <row r="325" spans="1:19" ht="15.75">
      <c r="A325" s="13">
        <v>51805</v>
      </c>
      <c r="B325" s="8">
        <f>8.6679 * CHOOSE(CONTROL!$C$14, $D$10, 100%, $F$10)</f>
        <v>8.6678999999999995</v>
      </c>
      <c r="C325" s="8">
        <f>8.6732 * CHOOSE(CONTROL!$C$14, $D$10, 100%, $F$10)</f>
        <v>8.6731999999999996</v>
      </c>
      <c r="D325" s="8">
        <f>8.6832 * CHOOSE( CONTROL!$C$14, $D$10, 100%, $F$10)</f>
        <v>8.6831999999999994</v>
      </c>
      <c r="E325" s="12">
        <f>8.6793 * CHOOSE( CONTROL!$C$14, $D$10, 100%, $F$10)</f>
        <v>8.6792999999999996</v>
      </c>
      <c r="F325" s="4">
        <f>9.3511 * CHOOSE(CONTROL!$C$14, $D$10, 100%, $F$10)</f>
        <v>9.3511000000000006</v>
      </c>
      <c r="G325" s="8">
        <f>8.4963 * CHOOSE( CONTROL!$C$14, $D$10, 100%, $F$10)</f>
        <v>8.4962999999999997</v>
      </c>
      <c r="H325" s="4">
        <f>9.4248 * CHOOSE(CONTROL!$C$14, $D$10, 100%, $F$10)</f>
        <v>9.4247999999999994</v>
      </c>
      <c r="I325" s="8">
        <f>8.4485 * CHOOSE(CONTROL!$C$14, $D$10, 100%, $F$10)</f>
        <v>8.4484999999999992</v>
      </c>
      <c r="J325" s="4">
        <f>8.3497 * CHOOSE(CONTROL!$C$14, $D$10, 100%, $F$10)</f>
        <v>8.3497000000000003</v>
      </c>
      <c r="K325" s="4"/>
      <c r="L325" s="9">
        <v>31.095300000000002</v>
      </c>
      <c r="M325" s="9">
        <v>12.063700000000001</v>
      </c>
      <c r="N325" s="9">
        <v>4.9444999999999997</v>
      </c>
      <c r="O325" s="9">
        <v>0.37409999999999999</v>
      </c>
      <c r="P325" s="9">
        <v>1.2183999999999999</v>
      </c>
      <c r="Q325" s="9">
        <v>30.258500000000002</v>
      </c>
      <c r="R325" s="9"/>
      <c r="S325" s="11"/>
    </row>
    <row r="326" spans="1:19" ht="15.75">
      <c r="A326" s="13">
        <v>51835</v>
      </c>
      <c r="B326" s="8">
        <f>9.3456 * CHOOSE(CONTROL!$C$14, $D$10, 100%, $F$10)</f>
        <v>9.3455999999999992</v>
      </c>
      <c r="C326" s="8">
        <f>9.3507 * CHOOSE(CONTROL!$C$14, $D$10, 100%, $F$10)</f>
        <v>9.3506999999999998</v>
      </c>
      <c r="D326" s="8">
        <f>9.3269 * CHOOSE( CONTROL!$C$14, $D$10, 100%, $F$10)</f>
        <v>9.3269000000000002</v>
      </c>
      <c r="E326" s="12">
        <f>9.3351 * CHOOSE( CONTROL!$C$14, $D$10, 100%, $F$10)</f>
        <v>9.3351000000000006</v>
      </c>
      <c r="F326" s="4">
        <f>9.993 * CHOOSE(CONTROL!$C$14, $D$10, 100%, $F$10)</f>
        <v>9.9930000000000003</v>
      </c>
      <c r="G326" s="8">
        <f>9.173 * CHOOSE( CONTROL!$C$14, $D$10, 100%, $F$10)</f>
        <v>9.173</v>
      </c>
      <c r="H326" s="4">
        <f>10.0561 * CHOOSE(CONTROL!$C$14, $D$10, 100%, $F$10)</f>
        <v>10.056100000000001</v>
      </c>
      <c r="I326" s="8">
        <f>9.1348 * CHOOSE(CONTROL!$C$14, $D$10, 100%, $F$10)</f>
        <v>9.1348000000000003</v>
      </c>
      <c r="J326" s="4">
        <f>9.0052 * CHOOSE(CONTROL!$C$14, $D$10, 100%, $F$10)</f>
        <v>9.0052000000000003</v>
      </c>
      <c r="K326" s="4"/>
      <c r="L326" s="9">
        <v>28.360600000000002</v>
      </c>
      <c r="M326" s="9">
        <v>11.6745</v>
      </c>
      <c r="N326" s="9">
        <v>4.7850000000000001</v>
      </c>
      <c r="O326" s="9">
        <v>0.36199999999999999</v>
      </c>
      <c r="P326" s="9">
        <v>1.2509999999999999</v>
      </c>
      <c r="Q326" s="9">
        <v>29.282399999999999</v>
      </c>
      <c r="R326" s="9"/>
      <c r="S326" s="11"/>
    </row>
    <row r="327" spans="1:19" ht="15.75">
      <c r="A327" s="13">
        <v>51866</v>
      </c>
      <c r="B327" s="8">
        <f>9.3286 * CHOOSE(CONTROL!$C$14, $D$10, 100%, $F$10)</f>
        <v>9.3285999999999998</v>
      </c>
      <c r="C327" s="8">
        <f>9.3337 * CHOOSE(CONTROL!$C$14, $D$10, 100%, $F$10)</f>
        <v>9.3337000000000003</v>
      </c>
      <c r="D327" s="8">
        <f>9.3113 * CHOOSE( CONTROL!$C$14, $D$10, 100%, $F$10)</f>
        <v>9.3112999999999992</v>
      </c>
      <c r="E327" s="12">
        <f>9.3189 * CHOOSE( CONTROL!$C$14, $D$10, 100%, $F$10)</f>
        <v>9.3188999999999993</v>
      </c>
      <c r="F327" s="4">
        <f>9.9761 * CHOOSE(CONTROL!$C$14, $D$10, 100%, $F$10)</f>
        <v>9.9761000000000006</v>
      </c>
      <c r="G327" s="8">
        <f>9.1573 * CHOOSE( CONTROL!$C$14, $D$10, 100%, $F$10)</f>
        <v>9.1572999999999993</v>
      </c>
      <c r="H327" s="4">
        <f>10.0394 * CHOOSE(CONTROL!$C$14, $D$10, 100%, $F$10)</f>
        <v>10.039400000000001</v>
      </c>
      <c r="I327" s="8">
        <f>9.1229 * CHOOSE(CONTROL!$C$14, $D$10, 100%, $F$10)</f>
        <v>9.1228999999999996</v>
      </c>
      <c r="J327" s="4">
        <f>8.9888 * CHOOSE(CONTROL!$C$14, $D$10, 100%, $F$10)</f>
        <v>8.9887999999999995</v>
      </c>
      <c r="K327" s="4"/>
      <c r="L327" s="9">
        <v>29.306000000000001</v>
      </c>
      <c r="M327" s="9">
        <v>12.063700000000001</v>
      </c>
      <c r="N327" s="9">
        <v>4.9444999999999997</v>
      </c>
      <c r="O327" s="9">
        <v>0.37409999999999999</v>
      </c>
      <c r="P327" s="9">
        <v>1.2927</v>
      </c>
      <c r="Q327" s="9">
        <v>30.258500000000002</v>
      </c>
      <c r="R327" s="9"/>
      <c r="S327" s="11"/>
    </row>
    <row r="328" spans="1:19" ht="15.75">
      <c r="A328" s="13">
        <v>51897</v>
      </c>
      <c r="B328" s="8">
        <f>9.684 * CHOOSE(CONTROL!$C$14, $D$10, 100%, $F$10)</f>
        <v>9.6839999999999993</v>
      </c>
      <c r="C328" s="8">
        <f>9.6891 * CHOOSE(CONTROL!$C$14, $D$10, 100%, $F$10)</f>
        <v>9.6890999999999998</v>
      </c>
      <c r="D328" s="8">
        <f>9.6849 * CHOOSE( CONTROL!$C$14, $D$10, 100%, $F$10)</f>
        <v>9.6849000000000007</v>
      </c>
      <c r="E328" s="12">
        <f>9.6859 * CHOOSE( CONTROL!$C$14, $D$10, 100%, $F$10)</f>
        <v>9.6859000000000002</v>
      </c>
      <c r="F328" s="4">
        <f>10.3625 * CHOOSE(CONTROL!$C$14, $D$10, 100%, $F$10)</f>
        <v>10.362500000000001</v>
      </c>
      <c r="G328" s="8">
        <f>9.521 * CHOOSE( CONTROL!$C$14, $D$10, 100%, $F$10)</f>
        <v>9.5210000000000008</v>
      </c>
      <c r="H328" s="4">
        <f>10.4194 * CHOOSE(CONTROL!$C$14, $D$10, 100%, $F$10)</f>
        <v>10.4194</v>
      </c>
      <c r="I328" s="8">
        <f>9.4456 * CHOOSE(CONTROL!$C$14, $D$10, 100%, $F$10)</f>
        <v>9.4456000000000007</v>
      </c>
      <c r="J328" s="4">
        <f>9.3323 * CHOOSE(CONTROL!$C$14, $D$10, 100%, $F$10)</f>
        <v>9.3323</v>
      </c>
      <c r="K328" s="4"/>
      <c r="L328" s="9">
        <v>29.306000000000001</v>
      </c>
      <c r="M328" s="9">
        <v>12.063700000000001</v>
      </c>
      <c r="N328" s="9">
        <v>4.9444999999999997</v>
      </c>
      <c r="O328" s="9">
        <v>0.37409999999999999</v>
      </c>
      <c r="P328" s="9">
        <v>1.2927</v>
      </c>
      <c r="Q328" s="9">
        <v>20.593900000000001</v>
      </c>
      <c r="R328" s="9"/>
      <c r="S328" s="11"/>
    </row>
    <row r="329" spans="1:19" ht="15.75">
      <c r="A329" s="13">
        <v>51925</v>
      </c>
      <c r="B329" s="8">
        <f>9.0599 * CHOOSE(CONTROL!$C$14, $D$10, 100%, $F$10)</f>
        <v>9.0599000000000007</v>
      </c>
      <c r="C329" s="8">
        <f>9.065 * CHOOSE(CONTROL!$C$14, $D$10, 100%, $F$10)</f>
        <v>9.0649999999999995</v>
      </c>
      <c r="D329" s="8">
        <f>9.0549 * CHOOSE( CONTROL!$C$14, $D$10, 100%, $F$10)</f>
        <v>9.0548999999999999</v>
      </c>
      <c r="E329" s="12">
        <f>9.058 * CHOOSE( CONTROL!$C$14, $D$10, 100%, $F$10)</f>
        <v>9.0579999999999998</v>
      </c>
      <c r="F329" s="4">
        <f>9.7125 * CHOOSE(CONTROL!$C$14, $D$10, 100%, $F$10)</f>
        <v>9.7125000000000004</v>
      </c>
      <c r="G329" s="8">
        <f>8.8992 * CHOOSE( CONTROL!$C$14, $D$10, 100%, $F$10)</f>
        <v>8.8992000000000004</v>
      </c>
      <c r="H329" s="4">
        <f>9.7802 * CHOOSE(CONTROL!$C$14, $D$10, 100%, $F$10)</f>
        <v>9.7802000000000007</v>
      </c>
      <c r="I329" s="8">
        <f>8.8326 * CHOOSE(CONTROL!$C$14, $D$10, 100%, $F$10)</f>
        <v>8.8325999999999993</v>
      </c>
      <c r="J329" s="4">
        <f>8.729 * CHOOSE(CONTROL!$C$14, $D$10, 100%, $F$10)</f>
        <v>8.7289999999999992</v>
      </c>
      <c r="K329" s="4"/>
      <c r="L329" s="9">
        <v>26.469899999999999</v>
      </c>
      <c r="M329" s="9">
        <v>10.8962</v>
      </c>
      <c r="N329" s="9">
        <v>4.4660000000000002</v>
      </c>
      <c r="O329" s="9">
        <v>0.33789999999999998</v>
      </c>
      <c r="P329" s="9">
        <v>1.1676</v>
      </c>
      <c r="Q329" s="9">
        <v>18.600999999999999</v>
      </c>
      <c r="R329" s="9"/>
      <c r="S329" s="11"/>
    </row>
    <row r="330" spans="1:19" ht="15.75">
      <c r="A330" s="13">
        <v>51956</v>
      </c>
      <c r="B330" s="8">
        <f>8.8677 * CHOOSE(CONTROL!$C$14, $D$10, 100%, $F$10)</f>
        <v>8.8676999999999992</v>
      </c>
      <c r="C330" s="8">
        <f>8.8728 * CHOOSE(CONTROL!$C$14, $D$10, 100%, $F$10)</f>
        <v>8.8727999999999998</v>
      </c>
      <c r="D330" s="8">
        <f>8.8562 * CHOOSE( CONTROL!$C$14, $D$10, 100%, $F$10)</f>
        <v>8.8561999999999994</v>
      </c>
      <c r="E330" s="12">
        <f>8.8617 * CHOOSE( CONTROL!$C$14, $D$10, 100%, $F$10)</f>
        <v>8.8617000000000008</v>
      </c>
      <c r="F330" s="4">
        <f>9.5203 * CHOOSE(CONTROL!$C$14, $D$10, 100%, $F$10)</f>
        <v>9.5203000000000007</v>
      </c>
      <c r="G330" s="8">
        <f>8.7019 * CHOOSE( CONTROL!$C$14, $D$10, 100%, $F$10)</f>
        <v>8.7019000000000002</v>
      </c>
      <c r="H330" s="4">
        <f>9.5912 * CHOOSE(CONTROL!$C$14, $D$10, 100%, $F$10)</f>
        <v>9.5912000000000006</v>
      </c>
      <c r="I330" s="8">
        <f>8.6266 * CHOOSE(CONTROL!$C$14, $D$10, 100%, $F$10)</f>
        <v>8.6265999999999998</v>
      </c>
      <c r="J330" s="4">
        <f>8.5432 * CHOOSE(CONTROL!$C$14, $D$10, 100%, $F$10)</f>
        <v>8.5432000000000006</v>
      </c>
      <c r="K330" s="4"/>
      <c r="L330" s="9">
        <v>29.306000000000001</v>
      </c>
      <c r="M330" s="9">
        <v>12.063700000000001</v>
      </c>
      <c r="N330" s="9">
        <v>4.9444999999999997</v>
      </c>
      <c r="O330" s="9">
        <v>0.37409999999999999</v>
      </c>
      <c r="P330" s="9">
        <v>1.2927</v>
      </c>
      <c r="Q330" s="9">
        <v>20.593900000000001</v>
      </c>
      <c r="R330" s="9"/>
      <c r="S330" s="11"/>
    </row>
    <row r="331" spans="1:19" ht="15.75">
      <c r="A331" s="13">
        <v>51986</v>
      </c>
      <c r="B331" s="8">
        <f>9.0028 * CHOOSE(CONTROL!$C$14, $D$10, 100%, $F$10)</f>
        <v>9.0028000000000006</v>
      </c>
      <c r="C331" s="8">
        <f>9.0073 * CHOOSE(CONTROL!$C$14, $D$10, 100%, $F$10)</f>
        <v>9.0073000000000008</v>
      </c>
      <c r="D331" s="8">
        <f>9.0168 * CHOOSE( CONTROL!$C$14, $D$10, 100%, $F$10)</f>
        <v>9.0167999999999999</v>
      </c>
      <c r="E331" s="12">
        <f>9.0131 * CHOOSE( CONTROL!$C$14, $D$10, 100%, $F$10)</f>
        <v>9.0130999999999997</v>
      </c>
      <c r="F331" s="4">
        <f>9.6857 * CHOOSE(CONTROL!$C$14, $D$10, 100%, $F$10)</f>
        <v>9.6857000000000006</v>
      </c>
      <c r="G331" s="8">
        <f>8.8239 * CHOOSE( CONTROL!$C$14, $D$10, 100%, $F$10)</f>
        <v>8.8239000000000001</v>
      </c>
      <c r="H331" s="4">
        <f>9.7538 * CHOOSE(CONTROL!$C$14, $D$10, 100%, $F$10)</f>
        <v>9.7538</v>
      </c>
      <c r="I331" s="8">
        <f>8.7675 * CHOOSE(CONTROL!$C$14, $D$10, 100%, $F$10)</f>
        <v>8.7675000000000001</v>
      </c>
      <c r="J331" s="4">
        <f>8.6731 * CHOOSE(CONTROL!$C$14, $D$10, 100%, $F$10)</f>
        <v>8.6730999999999998</v>
      </c>
      <c r="K331" s="4"/>
      <c r="L331" s="9">
        <v>30.092199999999998</v>
      </c>
      <c r="M331" s="9">
        <v>11.6745</v>
      </c>
      <c r="N331" s="9">
        <v>4.7850000000000001</v>
      </c>
      <c r="O331" s="9">
        <v>0.36199999999999999</v>
      </c>
      <c r="P331" s="9">
        <v>1.1791</v>
      </c>
      <c r="Q331" s="9">
        <v>19.929600000000001</v>
      </c>
      <c r="R331" s="9"/>
      <c r="S331" s="11"/>
    </row>
    <row r="332" spans="1:19" ht="15.75">
      <c r="A332" s="13">
        <v>52017</v>
      </c>
      <c r="B332" s="8">
        <f>CHOOSE( CONTROL!$C$31, 9.2461, 9.2432) * CHOOSE(CONTROL!$C$14, $D$10, 100%, $F$10)</f>
        <v>9.2461000000000002</v>
      </c>
      <c r="C332" s="8">
        <f>CHOOSE( CONTROL!$C$31, 9.2541, 9.2512) * CHOOSE(CONTROL!$C$14, $D$10, 100%, $F$10)</f>
        <v>9.2540999999999993</v>
      </c>
      <c r="D332" s="8">
        <f>CHOOSE( CONTROL!$C$31, 9.2587, 9.2558) * CHOOSE( CONTROL!$C$14, $D$10, 100%, $F$10)</f>
        <v>9.2586999999999993</v>
      </c>
      <c r="E332" s="12">
        <f>CHOOSE( CONTROL!$C$31, 9.2558, 9.2529) * CHOOSE( CONTROL!$C$14, $D$10, 100%, $F$10)</f>
        <v>9.2558000000000007</v>
      </c>
      <c r="F332" s="4">
        <f>CHOOSE( CONTROL!$C$31, 9.9277, 9.9247) * CHOOSE(CONTROL!$C$14, $D$10, 100%, $F$10)</f>
        <v>9.9276999999999997</v>
      </c>
      <c r="G332" s="8">
        <f>CHOOSE( CONTROL!$C$31, 9.0628, 9.0599) * CHOOSE( CONTROL!$C$14, $D$10, 100%, $F$10)</f>
        <v>9.0627999999999993</v>
      </c>
      <c r="H332" s="4">
        <f>CHOOSE( CONTROL!$C$31, 9.9918, 9.9889) * CHOOSE(CONTROL!$C$14, $D$10, 100%, $F$10)</f>
        <v>9.9917999999999996</v>
      </c>
      <c r="I332" s="8">
        <f>CHOOSE( CONTROL!$C$31, 9.0026, 8.9998) * CHOOSE(CONTROL!$C$14, $D$10, 100%, $F$10)</f>
        <v>9.0025999999999993</v>
      </c>
      <c r="J332" s="4">
        <f>CHOOSE( CONTROL!$C$31, 8.907, 8.9042) * CHOOSE(CONTROL!$C$14, $D$10, 100%, $F$10)</f>
        <v>8.907</v>
      </c>
      <c r="K332" s="4"/>
      <c r="L332" s="9">
        <v>30.7165</v>
      </c>
      <c r="M332" s="9">
        <v>12.063700000000001</v>
      </c>
      <c r="N332" s="9">
        <v>4.9444999999999997</v>
      </c>
      <c r="O332" s="9">
        <v>0.37409999999999999</v>
      </c>
      <c r="P332" s="9">
        <v>1.2183999999999999</v>
      </c>
      <c r="Q332" s="9">
        <v>20.593900000000001</v>
      </c>
      <c r="R332" s="9"/>
      <c r="S332" s="11"/>
    </row>
    <row r="333" spans="1:19" ht="15.75">
      <c r="A333" s="13">
        <v>52047</v>
      </c>
      <c r="B333" s="8">
        <f>CHOOSE( CONTROL!$C$31, 9.098, 9.0951) * CHOOSE(CONTROL!$C$14, $D$10, 100%, $F$10)</f>
        <v>9.0980000000000008</v>
      </c>
      <c r="C333" s="8">
        <f>CHOOSE( CONTROL!$C$31, 9.106, 9.1031) * CHOOSE(CONTROL!$C$14, $D$10, 100%, $F$10)</f>
        <v>9.1059999999999999</v>
      </c>
      <c r="D333" s="8">
        <f>CHOOSE( CONTROL!$C$31, 9.1109, 9.108) * CHOOSE( CONTROL!$C$14, $D$10, 100%, $F$10)</f>
        <v>9.1109000000000009</v>
      </c>
      <c r="E333" s="12">
        <f>CHOOSE( CONTROL!$C$31, 9.1079, 9.105) * CHOOSE( CONTROL!$C$14, $D$10, 100%, $F$10)</f>
        <v>9.1079000000000008</v>
      </c>
      <c r="F333" s="4">
        <f>CHOOSE( CONTROL!$C$31, 9.7796, 9.7766) * CHOOSE(CONTROL!$C$14, $D$10, 100%, $F$10)</f>
        <v>9.7796000000000003</v>
      </c>
      <c r="G333" s="8">
        <f>CHOOSE( CONTROL!$C$31, 8.9175, 8.9147) * CHOOSE( CONTROL!$C$14, $D$10, 100%, $F$10)</f>
        <v>8.9175000000000004</v>
      </c>
      <c r="H333" s="4">
        <f>CHOOSE( CONTROL!$C$31, 9.8462, 9.8433) * CHOOSE(CONTROL!$C$14, $D$10, 100%, $F$10)</f>
        <v>9.8461999999999996</v>
      </c>
      <c r="I333" s="8">
        <f>CHOOSE( CONTROL!$C$31, 8.8606, 8.8578) * CHOOSE(CONTROL!$C$14, $D$10, 100%, $F$10)</f>
        <v>8.8605999999999998</v>
      </c>
      <c r="J333" s="4">
        <f>CHOOSE( CONTROL!$C$31, 8.7638, 8.761) * CHOOSE(CONTROL!$C$14, $D$10, 100%, $F$10)</f>
        <v>8.7637999999999998</v>
      </c>
      <c r="K333" s="4"/>
      <c r="L333" s="9">
        <v>29.7257</v>
      </c>
      <c r="M333" s="9">
        <v>11.6745</v>
      </c>
      <c r="N333" s="9">
        <v>4.7850000000000001</v>
      </c>
      <c r="O333" s="9">
        <v>0.36199999999999999</v>
      </c>
      <c r="P333" s="9">
        <v>1.1791</v>
      </c>
      <c r="Q333" s="9">
        <v>19.929600000000001</v>
      </c>
      <c r="R333" s="9"/>
      <c r="S333" s="11"/>
    </row>
    <row r="334" spans="1:19" ht="15.75">
      <c r="A334" s="13">
        <v>52078</v>
      </c>
      <c r="B334" s="8">
        <f>CHOOSE( CONTROL!$C$31, 9.488, 9.4851) * CHOOSE(CONTROL!$C$14, $D$10, 100%, $F$10)</f>
        <v>9.4879999999999995</v>
      </c>
      <c r="C334" s="8">
        <f>CHOOSE( CONTROL!$C$31, 9.496, 9.4931) * CHOOSE(CONTROL!$C$14, $D$10, 100%, $F$10)</f>
        <v>9.4960000000000004</v>
      </c>
      <c r="D334" s="8">
        <f>CHOOSE( CONTROL!$C$31, 9.5011, 9.4982) * CHOOSE( CONTROL!$C$14, $D$10, 100%, $F$10)</f>
        <v>9.5010999999999992</v>
      </c>
      <c r="E334" s="12">
        <f>CHOOSE( CONTROL!$C$31, 9.498, 9.4951) * CHOOSE( CONTROL!$C$14, $D$10, 100%, $F$10)</f>
        <v>9.4979999999999993</v>
      </c>
      <c r="F334" s="4">
        <f>CHOOSE( CONTROL!$C$31, 10.1695, 10.1666) * CHOOSE(CONTROL!$C$14, $D$10, 100%, $F$10)</f>
        <v>10.169499999999999</v>
      </c>
      <c r="G334" s="8">
        <f>CHOOSE( CONTROL!$C$31, 9.3014, 9.2985) * CHOOSE( CONTROL!$C$14, $D$10, 100%, $F$10)</f>
        <v>9.3013999999999992</v>
      </c>
      <c r="H334" s="4">
        <f>CHOOSE( CONTROL!$C$31, 10.2297, 10.2268) * CHOOSE(CONTROL!$C$14, $D$10, 100%, $F$10)</f>
        <v>10.229699999999999</v>
      </c>
      <c r="I334" s="8">
        <f>CHOOSE( CONTROL!$C$31, 9.2389, 9.2361) * CHOOSE(CONTROL!$C$14, $D$10, 100%, $F$10)</f>
        <v>9.2388999999999992</v>
      </c>
      <c r="J334" s="4">
        <f>CHOOSE( CONTROL!$C$31, 9.1408, 9.138) * CHOOSE(CONTROL!$C$14, $D$10, 100%, $F$10)</f>
        <v>9.1408000000000005</v>
      </c>
      <c r="K334" s="4"/>
      <c r="L334" s="9">
        <v>30.7165</v>
      </c>
      <c r="M334" s="9">
        <v>12.063700000000001</v>
      </c>
      <c r="N334" s="9">
        <v>4.9444999999999997</v>
      </c>
      <c r="O334" s="9">
        <v>0.37409999999999999</v>
      </c>
      <c r="P334" s="9">
        <v>1.2183999999999999</v>
      </c>
      <c r="Q334" s="9">
        <v>20.593900000000001</v>
      </c>
      <c r="R334" s="9"/>
      <c r="S334" s="11"/>
    </row>
    <row r="335" spans="1:19" ht="15.75">
      <c r="A335" s="13">
        <v>52109</v>
      </c>
      <c r="B335" s="8">
        <f>CHOOSE( CONTROL!$C$31, 8.7583, 8.7554) * CHOOSE(CONTROL!$C$14, $D$10, 100%, $F$10)</f>
        <v>8.7583000000000002</v>
      </c>
      <c r="C335" s="8">
        <f>CHOOSE( CONTROL!$C$31, 8.7663, 8.7634) * CHOOSE(CONTROL!$C$14, $D$10, 100%, $F$10)</f>
        <v>8.7662999999999993</v>
      </c>
      <c r="D335" s="8">
        <f>CHOOSE( CONTROL!$C$31, 8.7715, 8.7686) * CHOOSE( CONTROL!$C$14, $D$10, 100%, $F$10)</f>
        <v>8.7714999999999996</v>
      </c>
      <c r="E335" s="12">
        <f>CHOOSE( CONTROL!$C$31, 8.7684, 8.7655) * CHOOSE( CONTROL!$C$14, $D$10, 100%, $F$10)</f>
        <v>8.7683999999999997</v>
      </c>
      <c r="F335" s="4">
        <f>CHOOSE( CONTROL!$C$31, 9.4399, 9.4369) * CHOOSE(CONTROL!$C$14, $D$10, 100%, $F$10)</f>
        <v>9.4398999999999997</v>
      </c>
      <c r="G335" s="8">
        <f>CHOOSE( CONTROL!$C$31, 8.5839, 8.5811) * CHOOSE( CONTROL!$C$14, $D$10, 100%, $F$10)</f>
        <v>8.5838999999999999</v>
      </c>
      <c r="H335" s="4">
        <f>CHOOSE( CONTROL!$C$31, 9.5121, 9.5092) * CHOOSE(CONTROL!$C$14, $D$10, 100%, $F$10)</f>
        <v>9.5121000000000002</v>
      </c>
      <c r="I335" s="8">
        <f>CHOOSE( CONTROL!$C$31, 8.5336, 8.5308) * CHOOSE(CONTROL!$C$14, $D$10, 100%, $F$10)</f>
        <v>8.5335999999999999</v>
      </c>
      <c r="J335" s="4">
        <f>CHOOSE( CONTROL!$C$31, 8.4354, 8.4326) * CHOOSE(CONTROL!$C$14, $D$10, 100%, $F$10)</f>
        <v>8.4353999999999996</v>
      </c>
      <c r="K335" s="4"/>
      <c r="L335" s="9">
        <v>30.7165</v>
      </c>
      <c r="M335" s="9">
        <v>12.063700000000001</v>
      </c>
      <c r="N335" s="9">
        <v>4.9444999999999997</v>
      </c>
      <c r="O335" s="9">
        <v>0.37409999999999999</v>
      </c>
      <c r="P335" s="9">
        <v>1.2183999999999999</v>
      </c>
      <c r="Q335" s="9">
        <v>20.593900000000001</v>
      </c>
      <c r="R335" s="9"/>
      <c r="S335" s="11"/>
    </row>
    <row r="336" spans="1:19" ht="15.75">
      <c r="A336" s="13">
        <v>52139</v>
      </c>
      <c r="B336" s="8">
        <f>CHOOSE( CONTROL!$C$31, 8.5756, 8.5727) * CHOOSE(CONTROL!$C$14, $D$10, 100%, $F$10)</f>
        <v>8.5755999999999997</v>
      </c>
      <c r="C336" s="8">
        <f>CHOOSE( CONTROL!$C$31, 8.5836, 8.5807) * CHOOSE(CONTROL!$C$14, $D$10, 100%, $F$10)</f>
        <v>8.5836000000000006</v>
      </c>
      <c r="D336" s="8">
        <f>CHOOSE( CONTROL!$C$31, 8.5888, 8.5859) * CHOOSE( CONTROL!$C$14, $D$10, 100%, $F$10)</f>
        <v>8.5888000000000009</v>
      </c>
      <c r="E336" s="12">
        <f>CHOOSE( CONTROL!$C$31, 8.5857, 8.5828) * CHOOSE( CONTROL!$C$14, $D$10, 100%, $F$10)</f>
        <v>8.5856999999999992</v>
      </c>
      <c r="F336" s="4">
        <f>CHOOSE( CONTROL!$C$31, 9.2571, 9.2542) * CHOOSE(CONTROL!$C$14, $D$10, 100%, $F$10)</f>
        <v>9.2570999999999994</v>
      </c>
      <c r="G336" s="8">
        <f>CHOOSE( CONTROL!$C$31, 8.4042, 8.4014) * CHOOSE( CONTROL!$C$14, $D$10, 100%, $F$10)</f>
        <v>8.4041999999999994</v>
      </c>
      <c r="H336" s="4">
        <f>CHOOSE( CONTROL!$C$31, 9.3324, 9.3295) * CHOOSE(CONTROL!$C$14, $D$10, 100%, $F$10)</f>
        <v>9.3323999999999998</v>
      </c>
      <c r="I336" s="8">
        <f>CHOOSE( CONTROL!$C$31, 8.3568, 8.354) * CHOOSE(CONTROL!$C$14, $D$10, 100%, $F$10)</f>
        <v>8.3567999999999998</v>
      </c>
      <c r="J336" s="4">
        <f>CHOOSE( CONTROL!$C$31, 8.2588, 8.256) * CHOOSE(CONTROL!$C$14, $D$10, 100%, $F$10)</f>
        <v>8.2588000000000008</v>
      </c>
      <c r="K336" s="4"/>
      <c r="L336" s="9">
        <v>29.7257</v>
      </c>
      <c r="M336" s="9">
        <v>11.6745</v>
      </c>
      <c r="N336" s="9">
        <v>4.7850000000000001</v>
      </c>
      <c r="O336" s="9">
        <v>0.36199999999999999</v>
      </c>
      <c r="P336" s="9">
        <v>1.1791</v>
      </c>
      <c r="Q336" s="9">
        <v>19.929600000000001</v>
      </c>
      <c r="R336" s="9"/>
      <c r="S336" s="11"/>
    </row>
    <row r="337" spans="1:19" ht="15.75">
      <c r="A337" s="13">
        <v>52170</v>
      </c>
      <c r="B337" s="8">
        <f>8.9503 * CHOOSE(CONTROL!$C$14, $D$10, 100%, $F$10)</f>
        <v>8.9503000000000004</v>
      </c>
      <c r="C337" s="8">
        <f>8.9557 * CHOOSE(CONTROL!$C$14, $D$10, 100%, $F$10)</f>
        <v>8.9557000000000002</v>
      </c>
      <c r="D337" s="8">
        <f>8.9657 * CHOOSE( CONTROL!$C$14, $D$10, 100%, $F$10)</f>
        <v>8.9657</v>
      </c>
      <c r="E337" s="12">
        <f>8.9618 * CHOOSE( CONTROL!$C$14, $D$10, 100%, $F$10)</f>
        <v>8.9618000000000002</v>
      </c>
      <c r="F337" s="4">
        <f>9.6336 * CHOOSE(CONTROL!$C$14, $D$10, 100%, $F$10)</f>
        <v>9.6335999999999995</v>
      </c>
      <c r="G337" s="8">
        <f>8.7741 * CHOOSE( CONTROL!$C$14, $D$10, 100%, $F$10)</f>
        <v>8.7741000000000007</v>
      </c>
      <c r="H337" s="4">
        <f>9.7026 * CHOOSE(CONTROL!$C$14, $D$10, 100%, $F$10)</f>
        <v>9.7026000000000003</v>
      </c>
      <c r="I337" s="8">
        <f>8.7217 * CHOOSE(CONTROL!$C$14, $D$10, 100%, $F$10)</f>
        <v>8.7217000000000002</v>
      </c>
      <c r="J337" s="4">
        <f>8.6227 * CHOOSE(CONTROL!$C$14, $D$10, 100%, $F$10)</f>
        <v>8.6227</v>
      </c>
      <c r="K337" s="4"/>
      <c r="L337" s="9">
        <v>31.095300000000002</v>
      </c>
      <c r="M337" s="9">
        <v>12.063700000000001</v>
      </c>
      <c r="N337" s="9">
        <v>4.9444999999999997</v>
      </c>
      <c r="O337" s="9">
        <v>0.37409999999999999</v>
      </c>
      <c r="P337" s="9">
        <v>1.2183999999999999</v>
      </c>
      <c r="Q337" s="9">
        <v>20.593900000000001</v>
      </c>
      <c r="R337" s="9"/>
      <c r="S337" s="11"/>
    </row>
    <row r="338" spans="1:19" ht="15.75">
      <c r="A338" s="13">
        <v>52200</v>
      </c>
      <c r="B338" s="8">
        <f>9.6502 * CHOOSE(CONTROL!$C$14, $D$10, 100%, $F$10)</f>
        <v>9.6501999999999999</v>
      </c>
      <c r="C338" s="8">
        <f>9.6553 * CHOOSE(CONTROL!$C$14, $D$10, 100%, $F$10)</f>
        <v>9.6553000000000004</v>
      </c>
      <c r="D338" s="8">
        <f>9.6315 * CHOOSE( CONTROL!$C$14, $D$10, 100%, $F$10)</f>
        <v>9.6315000000000008</v>
      </c>
      <c r="E338" s="12">
        <f>9.6397 * CHOOSE( CONTROL!$C$14, $D$10, 100%, $F$10)</f>
        <v>9.6396999999999995</v>
      </c>
      <c r="F338" s="4">
        <f>10.2977 * CHOOSE(CONTROL!$C$14, $D$10, 100%, $F$10)</f>
        <v>10.297700000000001</v>
      </c>
      <c r="G338" s="8">
        <f>9.4726 * CHOOSE( CONTROL!$C$14, $D$10, 100%, $F$10)</f>
        <v>9.4725999999999999</v>
      </c>
      <c r="H338" s="4">
        <f>10.3557 * CHOOSE(CONTROL!$C$14, $D$10, 100%, $F$10)</f>
        <v>10.355700000000001</v>
      </c>
      <c r="I338" s="8">
        <f>9.4295 * CHOOSE(CONTROL!$C$14, $D$10, 100%, $F$10)</f>
        <v>9.4295000000000009</v>
      </c>
      <c r="J338" s="4">
        <f>9.2997 * CHOOSE(CONTROL!$C$14, $D$10, 100%, $F$10)</f>
        <v>9.2996999999999996</v>
      </c>
      <c r="K338" s="4"/>
      <c r="L338" s="9">
        <v>28.360600000000002</v>
      </c>
      <c r="M338" s="9">
        <v>11.6745</v>
      </c>
      <c r="N338" s="9">
        <v>4.7850000000000001</v>
      </c>
      <c r="O338" s="9">
        <v>0.36199999999999999</v>
      </c>
      <c r="P338" s="9">
        <v>1.2509999999999999</v>
      </c>
      <c r="Q338" s="9">
        <v>19.929600000000001</v>
      </c>
      <c r="R338" s="9"/>
      <c r="S338" s="11"/>
    </row>
    <row r="339" spans="1:19" ht="15.75">
      <c r="A339" s="13">
        <v>52231</v>
      </c>
      <c r="B339" s="8">
        <f>9.6327 * CHOOSE(CONTROL!$C$14, $D$10, 100%, $F$10)</f>
        <v>9.6326999999999998</v>
      </c>
      <c r="C339" s="8">
        <f>9.6378 * CHOOSE(CONTROL!$C$14, $D$10, 100%, $F$10)</f>
        <v>9.6378000000000004</v>
      </c>
      <c r="D339" s="8">
        <f>9.6154 * CHOOSE( CONTROL!$C$14, $D$10, 100%, $F$10)</f>
        <v>9.6153999999999993</v>
      </c>
      <c r="E339" s="12">
        <f>9.623 * CHOOSE( CONTROL!$C$14, $D$10, 100%, $F$10)</f>
        <v>9.6229999999999993</v>
      </c>
      <c r="F339" s="4">
        <f>10.2802 * CHOOSE(CONTROL!$C$14, $D$10, 100%, $F$10)</f>
        <v>10.280200000000001</v>
      </c>
      <c r="G339" s="8">
        <f>9.4564 * CHOOSE( CONTROL!$C$14, $D$10, 100%, $F$10)</f>
        <v>9.4564000000000004</v>
      </c>
      <c r="H339" s="4">
        <f>10.3385 * CHOOSE(CONTROL!$C$14, $D$10, 100%, $F$10)</f>
        <v>10.3385</v>
      </c>
      <c r="I339" s="8">
        <f>9.417 * CHOOSE(CONTROL!$C$14, $D$10, 100%, $F$10)</f>
        <v>9.4169999999999998</v>
      </c>
      <c r="J339" s="4">
        <f>9.2828 * CHOOSE(CONTROL!$C$14, $D$10, 100%, $F$10)</f>
        <v>9.2827999999999999</v>
      </c>
      <c r="K339" s="4"/>
      <c r="L339" s="9">
        <v>29.306000000000001</v>
      </c>
      <c r="M339" s="9">
        <v>12.063700000000001</v>
      </c>
      <c r="N339" s="9">
        <v>4.9444999999999997</v>
      </c>
      <c r="O339" s="9">
        <v>0.37409999999999999</v>
      </c>
      <c r="P339" s="9">
        <v>1.2927</v>
      </c>
      <c r="Q339" s="9">
        <v>20.593900000000001</v>
      </c>
      <c r="R339" s="9"/>
      <c r="S339" s="11"/>
    </row>
    <row r="340" spans="1:19" ht="15.75">
      <c r="A340" s="13">
        <v>52262</v>
      </c>
      <c r="B340" s="8">
        <f>9.9997 * CHOOSE(CONTROL!$C$14, $D$10, 100%, $F$10)</f>
        <v>9.9997000000000007</v>
      </c>
      <c r="C340" s="8">
        <f>10.0048 * CHOOSE(CONTROL!$C$14, $D$10, 100%, $F$10)</f>
        <v>10.004799999999999</v>
      </c>
      <c r="D340" s="8">
        <f>10.0006 * CHOOSE( CONTROL!$C$14, $D$10, 100%, $F$10)</f>
        <v>10.0006</v>
      </c>
      <c r="E340" s="12">
        <f>10.0016 * CHOOSE( CONTROL!$C$14, $D$10, 100%, $F$10)</f>
        <v>10.0016</v>
      </c>
      <c r="F340" s="4">
        <f>10.6782 * CHOOSE(CONTROL!$C$14, $D$10, 100%, $F$10)</f>
        <v>10.6782</v>
      </c>
      <c r="G340" s="8">
        <f>9.8315 * CHOOSE( CONTROL!$C$14, $D$10, 100%, $F$10)</f>
        <v>9.8315000000000001</v>
      </c>
      <c r="H340" s="4">
        <f>10.7299 * CHOOSE(CONTROL!$C$14, $D$10, 100%, $F$10)</f>
        <v>10.729900000000001</v>
      </c>
      <c r="I340" s="8">
        <f>9.751 * CHOOSE(CONTROL!$C$14, $D$10, 100%, $F$10)</f>
        <v>9.7509999999999994</v>
      </c>
      <c r="J340" s="4">
        <f>9.6375 * CHOOSE(CONTROL!$C$14, $D$10, 100%, $F$10)</f>
        <v>9.6374999999999993</v>
      </c>
      <c r="K340" s="4"/>
      <c r="L340" s="9">
        <v>29.306000000000001</v>
      </c>
      <c r="M340" s="9">
        <v>12.063700000000001</v>
      </c>
      <c r="N340" s="9">
        <v>4.9444999999999997</v>
      </c>
      <c r="O340" s="9">
        <v>0.37409999999999999</v>
      </c>
      <c r="P340" s="9">
        <v>1.2927</v>
      </c>
      <c r="Q340" s="9">
        <v>20.5288</v>
      </c>
      <c r="R340" s="9"/>
      <c r="S340" s="11"/>
    </row>
    <row r="341" spans="1:19" ht="15.75">
      <c r="A341" s="13">
        <v>52290</v>
      </c>
      <c r="B341" s="8">
        <f>9.3552 * CHOOSE(CONTROL!$C$14, $D$10, 100%, $F$10)</f>
        <v>9.3552</v>
      </c>
      <c r="C341" s="8">
        <f>9.3603 * CHOOSE(CONTROL!$C$14, $D$10, 100%, $F$10)</f>
        <v>9.3603000000000005</v>
      </c>
      <c r="D341" s="8">
        <f>9.3502 * CHOOSE( CONTROL!$C$14, $D$10, 100%, $F$10)</f>
        <v>9.3501999999999992</v>
      </c>
      <c r="E341" s="12">
        <f>9.3533 * CHOOSE( CONTROL!$C$14, $D$10, 100%, $F$10)</f>
        <v>9.3533000000000008</v>
      </c>
      <c r="F341" s="4">
        <f>10.0078 * CHOOSE(CONTROL!$C$14, $D$10, 100%, $F$10)</f>
        <v>10.0078</v>
      </c>
      <c r="G341" s="8">
        <f>9.1896 * CHOOSE( CONTROL!$C$14, $D$10, 100%, $F$10)</f>
        <v>9.1896000000000004</v>
      </c>
      <c r="H341" s="4">
        <f>10.0707 * CHOOSE(CONTROL!$C$14, $D$10, 100%, $F$10)</f>
        <v>10.0707</v>
      </c>
      <c r="I341" s="8">
        <f>9.1183 * CHOOSE(CONTROL!$C$14, $D$10, 100%, $F$10)</f>
        <v>9.1182999999999996</v>
      </c>
      <c r="J341" s="4">
        <f>9.0145 * CHOOSE(CONTROL!$C$14, $D$10, 100%, $F$10)</f>
        <v>9.0145</v>
      </c>
      <c r="K341" s="4"/>
      <c r="L341" s="9">
        <v>26.469899999999999</v>
      </c>
      <c r="M341" s="9">
        <v>10.8962</v>
      </c>
      <c r="N341" s="9">
        <v>4.4660000000000002</v>
      </c>
      <c r="O341" s="9">
        <v>0.33789999999999998</v>
      </c>
      <c r="P341" s="9">
        <v>1.1676</v>
      </c>
      <c r="Q341" s="9">
        <v>18.542200000000001</v>
      </c>
      <c r="R341" s="9"/>
      <c r="S341" s="11"/>
    </row>
    <row r="342" spans="1:19" ht="15.75">
      <c r="A342" s="13">
        <v>52321</v>
      </c>
      <c r="B342" s="8">
        <f>9.1567 * CHOOSE(CONTROL!$C$14, $D$10, 100%, $F$10)</f>
        <v>9.1567000000000007</v>
      </c>
      <c r="C342" s="8">
        <f>9.1618 * CHOOSE(CONTROL!$C$14, $D$10, 100%, $F$10)</f>
        <v>9.1617999999999995</v>
      </c>
      <c r="D342" s="8">
        <f>9.1452 * CHOOSE( CONTROL!$C$14, $D$10, 100%, $F$10)</f>
        <v>9.1452000000000009</v>
      </c>
      <c r="E342" s="12">
        <f>9.1507 * CHOOSE( CONTROL!$C$14, $D$10, 100%, $F$10)</f>
        <v>9.1507000000000005</v>
      </c>
      <c r="F342" s="4">
        <f>9.8093 * CHOOSE(CONTROL!$C$14, $D$10, 100%, $F$10)</f>
        <v>9.8093000000000004</v>
      </c>
      <c r="G342" s="8">
        <f>8.9861 * CHOOSE( CONTROL!$C$14, $D$10, 100%, $F$10)</f>
        <v>8.9861000000000004</v>
      </c>
      <c r="H342" s="4">
        <f>9.8754 * CHOOSE(CONTROL!$C$14, $D$10, 100%, $F$10)</f>
        <v>9.8754000000000008</v>
      </c>
      <c r="I342" s="8">
        <f>8.9061 * CHOOSE(CONTROL!$C$14, $D$10, 100%, $F$10)</f>
        <v>8.9061000000000003</v>
      </c>
      <c r="J342" s="4">
        <f>8.8226 * CHOOSE(CONTROL!$C$14, $D$10, 100%, $F$10)</f>
        <v>8.8225999999999996</v>
      </c>
      <c r="K342" s="4"/>
      <c r="L342" s="9">
        <v>29.306000000000001</v>
      </c>
      <c r="M342" s="9">
        <v>12.063700000000001</v>
      </c>
      <c r="N342" s="9">
        <v>4.9444999999999997</v>
      </c>
      <c r="O342" s="9">
        <v>0.37409999999999999</v>
      </c>
      <c r="P342" s="9">
        <v>1.2927</v>
      </c>
      <c r="Q342" s="9">
        <v>20.5288</v>
      </c>
      <c r="R342" s="9"/>
      <c r="S342" s="11"/>
    </row>
    <row r="343" spans="1:19" ht="15.75">
      <c r="A343" s="13">
        <v>52351</v>
      </c>
      <c r="B343" s="8">
        <f>9.2962 * CHOOSE(CONTROL!$C$14, $D$10, 100%, $F$10)</f>
        <v>9.2962000000000007</v>
      </c>
      <c r="C343" s="8">
        <f>9.3007 * CHOOSE(CONTROL!$C$14, $D$10, 100%, $F$10)</f>
        <v>9.3007000000000009</v>
      </c>
      <c r="D343" s="8">
        <f>9.3102 * CHOOSE( CONTROL!$C$14, $D$10, 100%, $F$10)</f>
        <v>9.3102</v>
      </c>
      <c r="E343" s="12">
        <f>9.3065 * CHOOSE( CONTROL!$C$14, $D$10, 100%, $F$10)</f>
        <v>9.3064999999999998</v>
      </c>
      <c r="F343" s="4">
        <f>9.9791 * CHOOSE(CONTROL!$C$14, $D$10, 100%, $F$10)</f>
        <v>9.9791000000000007</v>
      </c>
      <c r="G343" s="8">
        <f>9.1124 * CHOOSE( CONTROL!$C$14, $D$10, 100%, $F$10)</f>
        <v>9.1123999999999992</v>
      </c>
      <c r="H343" s="4">
        <f>10.0424 * CHOOSE(CONTROL!$C$14, $D$10, 100%, $F$10)</f>
        <v>10.042400000000001</v>
      </c>
      <c r="I343" s="8">
        <f>9.0513 * CHOOSE(CONTROL!$C$14, $D$10, 100%, $F$10)</f>
        <v>9.0512999999999995</v>
      </c>
      <c r="J343" s="4">
        <f>8.9567 * CHOOSE(CONTROL!$C$14, $D$10, 100%, $F$10)</f>
        <v>8.9566999999999997</v>
      </c>
      <c r="K343" s="4"/>
      <c r="L343" s="9">
        <v>30.092199999999998</v>
      </c>
      <c r="M343" s="9">
        <v>11.6745</v>
      </c>
      <c r="N343" s="9">
        <v>4.7850000000000001</v>
      </c>
      <c r="O343" s="9">
        <v>0.36199999999999999</v>
      </c>
      <c r="P343" s="9">
        <v>1.1791</v>
      </c>
      <c r="Q343" s="9">
        <v>19.866599999999998</v>
      </c>
      <c r="R343" s="9"/>
      <c r="S343" s="11"/>
    </row>
    <row r="344" spans="1:19" ht="15.75">
      <c r="A344" s="13">
        <v>52382</v>
      </c>
      <c r="B344" s="8">
        <f>CHOOSE( CONTROL!$C$31, 9.5473, 9.5444) * CHOOSE(CONTROL!$C$14, $D$10, 100%, $F$10)</f>
        <v>9.5472999999999999</v>
      </c>
      <c r="C344" s="8">
        <f>CHOOSE( CONTROL!$C$31, 9.5554, 9.5524) * CHOOSE(CONTROL!$C$14, $D$10, 100%, $F$10)</f>
        <v>9.5554000000000006</v>
      </c>
      <c r="D344" s="8">
        <f>CHOOSE( CONTROL!$C$31, 9.56, 9.5571) * CHOOSE( CONTROL!$C$14, $D$10, 100%, $F$10)</f>
        <v>9.56</v>
      </c>
      <c r="E344" s="12">
        <f>CHOOSE( CONTROL!$C$31, 9.5571, 9.5542) * CHOOSE( CONTROL!$C$14, $D$10, 100%, $F$10)</f>
        <v>9.5571000000000002</v>
      </c>
      <c r="F344" s="4">
        <f>CHOOSE( CONTROL!$C$31, 10.2289, 10.226) * CHOOSE(CONTROL!$C$14, $D$10, 100%, $F$10)</f>
        <v>10.228899999999999</v>
      </c>
      <c r="G344" s="8">
        <f>CHOOSE( CONTROL!$C$31, 9.359, 9.3561) * CHOOSE( CONTROL!$C$14, $D$10, 100%, $F$10)</f>
        <v>9.359</v>
      </c>
      <c r="H344" s="4">
        <f>CHOOSE( CONTROL!$C$31, 10.288, 10.2852) * CHOOSE(CONTROL!$C$14, $D$10, 100%, $F$10)</f>
        <v>10.288</v>
      </c>
      <c r="I344" s="8">
        <f>CHOOSE( CONTROL!$C$31, 9.2939, 9.2911) * CHOOSE(CONTROL!$C$14, $D$10, 100%, $F$10)</f>
        <v>9.2939000000000007</v>
      </c>
      <c r="J344" s="4">
        <f>CHOOSE( CONTROL!$C$31, 9.1982, 9.1953) * CHOOSE(CONTROL!$C$14, $D$10, 100%, $F$10)</f>
        <v>9.1981999999999999</v>
      </c>
      <c r="K344" s="4"/>
      <c r="L344" s="9">
        <v>30.7165</v>
      </c>
      <c r="M344" s="9">
        <v>12.063700000000001</v>
      </c>
      <c r="N344" s="9">
        <v>4.9444999999999997</v>
      </c>
      <c r="O344" s="9">
        <v>0.37409999999999999</v>
      </c>
      <c r="P344" s="9">
        <v>1.2183999999999999</v>
      </c>
      <c r="Q344" s="9">
        <v>20.5288</v>
      </c>
      <c r="R344" s="9"/>
      <c r="S344" s="11"/>
    </row>
    <row r="345" spans="1:19" ht="15.75">
      <c r="A345" s="13">
        <v>52412</v>
      </c>
      <c r="B345" s="8">
        <f>CHOOSE( CONTROL!$C$31, 9.3944, 9.3915) * CHOOSE(CONTROL!$C$14, $D$10, 100%, $F$10)</f>
        <v>9.3943999999999992</v>
      </c>
      <c r="C345" s="8">
        <f>CHOOSE( CONTROL!$C$31, 9.4024, 9.3995) * CHOOSE(CONTROL!$C$14, $D$10, 100%, $F$10)</f>
        <v>9.4024000000000001</v>
      </c>
      <c r="D345" s="8">
        <f>CHOOSE( CONTROL!$C$31, 9.4073, 9.4044) * CHOOSE( CONTROL!$C$14, $D$10, 100%, $F$10)</f>
        <v>9.4072999999999993</v>
      </c>
      <c r="E345" s="12">
        <f>CHOOSE( CONTROL!$C$31, 9.4043, 9.4014) * CHOOSE( CONTROL!$C$14, $D$10, 100%, $F$10)</f>
        <v>9.4042999999999992</v>
      </c>
      <c r="F345" s="4">
        <f>CHOOSE( CONTROL!$C$31, 10.076, 10.073) * CHOOSE(CONTROL!$C$14, $D$10, 100%, $F$10)</f>
        <v>10.076000000000001</v>
      </c>
      <c r="G345" s="8">
        <f>CHOOSE( CONTROL!$C$31, 9.209, 9.2061) * CHOOSE( CONTROL!$C$14, $D$10, 100%, $F$10)</f>
        <v>9.2089999999999996</v>
      </c>
      <c r="H345" s="4">
        <f>CHOOSE( CONTROL!$C$31, 10.1376, 10.1348) * CHOOSE(CONTROL!$C$14, $D$10, 100%, $F$10)</f>
        <v>10.137600000000001</v>
      </c>
      <c r="I345" s="8">
        <f>CHOOSE( CONTROL!$C$31, 9.1473, 9.1444) * CHOOSE(CONTROL!$C$14, $D$10, 100%, $F$10)</f>
        <v>9.1472999999999995</v>
      </c>
      <c r="J345" s="4">
        <f>CHOOSE( CONTROL!$C$31, 9.0503, 9.0475) * CHOOSE(CONTROL!$C$14, $D$10, 100%, $F$10)</f>
        <v>9.0503</v>
      </c>
      <c r="K345" s="4"/>
      <c r="L345" s="9">
        <v>29.7257</v>
      </c>
      <c r="M345" s="9">
        <v>11.6745</v>
      </c>
      <c r="N345" s="9">
        <v>4.7850000000000001</v>
      </c>
      <c r="O345" s="9">
        <v>0.36199999999999999</v>
      </c>
      <c r="P345" s="9">
        <v>1.1791</v>
      </c>
      <c r="Q345" s="9">
        <v>19.866599999999998</v>
      </c>
      <c r="R345" s="9"/>
      <c r="S345" s="11"/>
    </row>
    <row r="346" spans="1:19" ht="15.75">
      <c r="A346" s="13">
        <v>52443</v>
      </c>
      <c r="B346" s="8">
        <f>CHOOSE( CONTROL!$C$31, 9.7971, 9.7942) * CHOOSE(CONTROL!$C$14, $D$10, 100%, $F$10)</f>
        <v>9.7971000000000004</v>
      </c>
      <c r="C346" s="8">
        <f>CHOOSE( CONTROL!$C$31, 9.8051, 9.8022) * CHOOSE(CONTROL!$C$14, $D$10, 100%, $F$10)</f>
        <v>9.8050999999999995</v>
      </c>
      <c r="D346" s="8">
        <f>CHOOSE( CONTROL!$C$31, 9.8103, 9.8073) * CHOOSE( CONTROL!$C$14, $D$10, 100%, $F$10)</f>
        <v>9.8102999999999998</v>
      </c>
      <c r="E346" s="12">
        <f>CHOOSE( CONTROL!$C$31, 9.8072, 9.8042) * CHOOSE( CONTROL!$C$14, $D$10, 100%, $F$10)</f>
        <v>9.8071999999999999</v>
      </c>
      <c r="F346" s="4">
        <f>CHOOSE( CONTROL!$C$31, 10.4787, 10.4758) * CHOOSE(CONTROL!$C$14, $D$10, 100%, $F$10)</f>
        <v>10.4787</v>
      </c>
      <c r="G346" s="8">
        <f>CHOOSE( CONTROL!$C$31, 9.6054, 9.6025) * CHOOSE( CONTROL!$C$14, $D$10, 100%, $F$10)</f>
        <v>9.6053999999999995</v>
      </c>
      <c r="H346" s="4">
        <f>CHOOSE( CONTROL!$C$31, 10.5337, 10.5308) * CHOOSE(CONTROL!$C$14, $D$10, 100%, $F$10)</f>
        <v>10.5337</v>
      </c>
      <c r="I346" s="8">
        <f>CHOOSE( CONTROL!$C$31, 9.5379, 9.5351) * CHOOSE(CONTROL!$C$14, $D$10, 100%, $F$10)</f>
        <v>9.5379000000000005</v>
      </c>
      <c r="J346" s="4">
        <f>CHOOSE( CONTROL!$C$31, 9.4397, 9.4368) * CHOOSE(CONTROL!$C$14, $D$10, 100%, $F$10)</f>
        <v>9.4397000000000002</v>
      </c>
      <c r="K346" s="4"/>
      <c r="L346" s="9">
        <v>30.7165</v>
      </c>
      <c r="M346" s="9">
        <v>12.063700000000001</v>
      </c>
      <c r="N346" s="9">
        <v>4.9444999999999997</v>
      </c>
      <c r="O346" s="9">
        <v>0.37409999999999999</v>
      </c>
      <c r="P346" s="9">
        <v>1.2183999999999999</v>
      </c>
      <c r="Q346" s="9">
        <v>20.5288</v>
      </c>
      <c r="R346" s="9"/>
      <c r="S346" s="11"/>
    </row>
    <row r="347" spans="1:19" ht="15.75">
      <c r="A347" s="13">
        <v>52474</v>
      </c>
      <c r="B347" s="8">
        <f>CHOOSE( CONTROL!$C$31, 9.0436, 9.0407) * CHOOSE(CONTROL!$C$14, $D$10, 100%, $F$10)</f>
        <v>9.0435999999999996</v>
      </c>
      <c r="C347" s="8">
        <f>CHOOSE( CONTROL!$C$31, 9.0516, 9.0487) * CHOOSE(CONTROL!$C$14, $D$10, 100%, $F$10)</f>
        <v>9.0516000000000005</v>
      </c>
      <c r="D347" s="8">
        <f>CHOOSE( CONTROL!$C$31, 9.0568, 9.0539) * CHOOSE( CONTROL!$C$14, $D$10, 100%, $F$10)</f>
        <v>9.0568000000000008</v>
      </c>
      <c r="E347" s="12">
        <f>CHOOSE( CONTROL!$C$31, 9.0537, 9.0508) * CHOOSE( CONTROL!$C$14, $D$10, 100%, $F$10)</f>
        <v>9.0536999999999992</v>
      </c>
      <c r="F347" s="4">
        <f>CHOOSE( CONTROL!$C$31, 9.7251, 9.7222) * CHOOSE(CONTROL!$C$14, $D$10, 100%, $F$10)</f>
        <v>9.7250999999999994</v>
      </c>
      <c r="G347" s="8">
        <f>CHOOSE( CONTROL!$C$31, 8.8645, 8.8616) * CHOOSE( CONTROL!$C$14, $D$10, 100%, $F$10)</f>
        <v>8.8644999999999996</v>
      </c>
      <c r="H347" s="4">
        <f>CHOOSE( CONTROL!$C$31, 9.7926, 9.7898) * CHOOSE(CONTROL!$C$14, $D$10, 100%, $F$10)</f>
        <v>9.7926000000000002</v>
      </c>
      <c r="I347" s="8">
        <f>CHOOSE( CONTROL!$C$31, 8.8095, 8.8067) * CHOOSE(CONTROL!$C$14, $D$10, 100%, $F$10)</f>
        <v>8.8094999999999999</v>
      </c>
      <c r="J347" s="4">
        <f>CHOOSE( CONTROL!$C$31, 8.7112, 8.7084) * CHOOSE(CONTROL!$C$14, $D$10, 100%, $F$10)</f>
        <v>8.7111999999999998</v>
      </c>
      <c r="K347" s="4"/>
      <c r="L347" s="9">
        <v>30.7165</v>
      </c>
      <c r="M347" s="9">
        <v>12.063700000000001</v>
      </c>
      <c r="N347" s="9">
        <v>4.9444999999999997</v>
      </c>
      <c r="O347" s="9">
        <v>0.37409999999999999</v>
      </c>
      <c r="P347" s="9">
        <v>1.2183999999999999</v>
      </c>
      <c r="Q347" s="9">
        <v>20.5288</v>
      </c>
      <c r="R347" s="9"/>
      <c r="S347" s="11"/>
    </row>
    <row r="348" spans="1:19" ht="15.75">
      <c r="A348" s="13">
        <v>52504</v>
      </c>
      <c r="B348" s="8">
        <f>CHOOSE( CONTROL!$C$31, 8.8549, 8.852) * CHOOSE(CONTROL!$C$14, $D$10, 100%, $F$10)</f>
        <v>8.8549000000000007</v>
      </c>
      <c r="C348" s="8">
        <f>CHOOSE( CONTROL!$C$31, 8.8629, 8.86) * CHOOSE(CONTROL!$C$14, $D$10, 100%, $F$10)</f>
        <v>8.8628999999999998</v>
      </c>
      <c r="D348" s="8">
        <f>CHOOSE( CONTROL!$C$31, 8.8681, 8.8652) * CHOOSE( CONTROL!$C$14, $D$10, 100%, $F$10)</f>
        <v>8.8681000000000001</v>
      </c>
      <c r="E348" s="12">
        <f>CHOOSE( CONTROL!$C$31, 8.865, 8.8621) * CHOOSE( CONTROL!$C$14, $D$10, 100%, $F$10)</f>
        <v>8.8650000000000002</v>
      </c>
      <c r="F348" s="4">
        <f>CHOOSE( CONTROL!$C$31, 9.5364, 9.5335) * CHOOSE(CONTROL!$C$14, $D$10, 100%, $F$10)</f>
        <v>9.5364000000000004</v>
      </c>
      <c r="G348" s="8">
        <f>CHOOSE( CONTROL!$C$31, 8.6789, 8.676) * CHOOSE( CONTROL!$C$14, $D$10, 100%, $F$10)</f>
        <v>8.6789000000000005</v>
      </c>
      <c r="H348" s="4">
        <f>CHOOSE( CONTROL!$C$31, 9.6071, 9.6042) * CHOOSE(CONTROL!$C$14, $D$10, 100%, $F$10)</f>
        <v>9.6071000000000009</v>
      </c>
      <c r="I348" s="8">
        <f>CHOOSE( CONTROL!$C$31, 8.6269, 8.6241) * CHOOSE(CONTROL!$C$14, $D$10, 100%, $F$10)</f>
        <v>8.6268999999999991</v>
      </c>
      <c r="J348" s="4">
        <f>CHOOSE( CONTROL!$C$31, 8.5288, 8.526) * CHOOSE(CONTROL!$C$14, $D$10, 100%, $F$10)</f>
        <v>8.5288000000000004</v>
      </c>
      <c r="K348" s="4"/>
      <c r="L348" s="9">
        <v>29.7257</v>
      </c>
      <c r="M348" s="9">
        <v>11.6745</v>
      </c>
      <c r="N348" s="9">
        <v>4.7850000000000001</v>
      </c>
      <c r="O348" s="9">
        <v>0.36199999999999999</v>
      </c>
      <c r="P348" s="9">
        <v>1.1791</v>
      </c>
      <c r="Q348" s="9">
        <v>19.866599999999998</v>
      </c>
      <c r="R348" s="9"/>
      <c r="S348" s="11"/>
    </row>
    <row r="349" spans="1:19" ht="15.75">
      <c r="A349" s="13">
        <v>52535</v>
      </c>
      <c r="B349" s="8">
        <f>9.242 * CHOOSE(CONTROL!$C$14, $D$10, 100%, $F$10)</f>
        <v>9.2420000000000009</v>
      </c>
      <c r="C349" s="8">
        <f>9.2474 * CHOOSE(CONTROL!$C$14, $D$10, 100%, $F$10)</f>
        <v>9.2474000000000007</v>
      </c>
      <c r="D349" s="8">
        <f>9.2574 * CHOOSE( CONTROL!$C$14, $D$10, 100%, $F$10)</f>
        <v>9.2574000000000005</v>
      </c>
      <c r="E349" s="12">
        <f>9.2535 * CHOOSE( CONTROL!$C$14, $D$10, 100%, $F$10)</f>
        <v>9.2535000000000007</v>
      </c>
      <c r="F349" s="4">
        <f>9.9253 * CHOOSE(CONTROL!$C$14, $D$10, 100%, $F$10)</f>
        <v>9.9253</v>
      </c>
      <c r="G349" s="8">
        <f>9.061 * CHOOSE( CONTROL!$C$14, $D$10, 100%, $F$10)</f>
        <v>9.0609999999999999</v>
      </c>
      <c r="H349" s="4">
        <f>9.9895 * CHOOSE(CONTROL!$C$14, $D$10, 100%, $F$10)</f>
        <v>9.9894999999999996</v>
      </c>
      <c r="I349" s="8">
        <f>9.0039 * CHOOSE(CONTROL!$C$14, $D$10, 100%, $F$10)</f>
        <v>9.0038999999999998</v>
      </c>
      <c r="J349" s="4">
        <f>8.9047 * CHOOSE(CONTROL!$C$14, $D$10, 100%, $F$10)</f>
        <v>8.9047000000000001</v>
      </c>
      <c r="K349" s="4"/>
      <c r="L349" s="9">
        <v>31.095300000000002</v>
      </c>
      <c r="M349" s="9">
        <v>12.063700000000001</v>
      </c>
      <c r="N349" s="9">
        <v>4.9444999999999997</v>
      </c>
      <c r="O349" s="9">
        <v>0.37409999999999999</v>
      </c>
      <c r="P349" s="9">
        <v>1.2183999999999999</v>
      </c>
      <c r="Q349" s="9">
        <v>20.5288</v>
      </c>
      <c r="R349" s="9"/>
      <c r="S349" s="11"/>
    </row>
    <row r="350" spans="1:19" ht="15.75">
      <c r="A350" s="13">
        <v>52565</v>
      </c>
      <c r="B350" s="8">
        <f>9.9648 * CHOOSE(CONTROL!$C$14, $D$10, 100%, $F$10)</f>
        <v>9.9648000000000003</v>
      </c>
      <c r="C350" s="8">
        <f>9.9699 * CHOOSE(CONTROL!$C$14, $D$10, 100%, $F$10)</f>
        <v>9.9699000000000009</v>
      </c>
      <c r="D350" s="8">
        <f>9.9461 * CHOOSE( CONTROL!$C$14, $D$10, 100%, $F$10)</f>
        <v>9.9460999999999995</v>
      </c>
      <c r="E350" s="12">
        <f>9.9543 * CHOOSE( CONTROL!$C$14, $D$10, 100%, $F$10)</f>
        <v>9.9542999999999999</v>
      </c>
      <c r="F350" s="4">
        <f>10.6123 * CHOOSE(CONTROL!$C$14, $D$10, 100%, $F$10)</f>
        <v>10.612299999999999</v>
      </c>
      <c r="G350" s="8">
        <f>9.7819 * CHOOSE( CONTROL!$C$14, $D$10, 100%, $F$10)</f>
        <v>9.7819000000000003</v>
      </c>
      <c r="H350" s="4">
        <f>10.6651 * CHOOSE(CONTROL!$C$14, $D$10, 100%, $F$10)</f>
        <v>10.665100000000001</v>
      </c>
      <c r="I350" s="8">
        <f>9.7338 * CHOOSE(CONTROL!$C$14, $D$10, 100%, $F$10)</f>
        <v>9.7338000000000005</v>
      </c>
      <c r="J350" s="4">
        <f>9.6038 * CHOOSE(CONTROL!$C$14, $D$10, 100%, $F$10)</f>
        <v>9.6037999999999997</v>
      </c>
      <c r="K350" s="4"/>
      <c r="L350" s="9">
        <v>28.360600000000002</v>
      </c>
      <c r="M350" s="9">
        <v>11.6745</v>
      </c>
      <c r="N350" s="9">
        <v>4.7850000000000001</v>
      </c>
      <c r="O350" s="9">
        <v>0.36199999999999999</v>
      </c>
      <c r="P350" s="9">
        <v>1.2509999999999999</v>
      </c>
      <c r="Q350" s="9">
        <v>19.866599999999998</v>
      </c>
      <c r="R350" s="9"/>
      <c r="S350" s="11"/>
    </row>
    <row r="351" spans="1:19" ht="15.75">
      <c r="A351" s="13">
        <v>52596</v>
      </c>
      <c r="B351" s="8">
        <f>9.9467 * CHOOSE(CONTROL!$C$14, $D$10, 100%, $F$10)</f>
        <v>9.9466999999999999</v>
      </c>
      <c r="C351" s="8">
        <f>9.9519 * CHOOSE(CONTROL!$C$14, $D$10, 100%, $F$10)</f>
        <v>9.9519000000000002</v>
      </c>
      <c r="D351" s="8">
        <f>9.9294 * CHOOSE( CONTROL!$C$14, $D$10, 100%, $F$10)</f>
        <v>9.9293999999999993</v>
      </c>
      <c r="E351" s="12">
        <f>9.9371 * CHOOSE( CONTROL!$C$14, $D$10, 100%, $F$10)</f>
        <v>9.9370999999999992</v>
      </c>
      <c r="F351" s="4">
        <f>10.5942 * CHOOSE(CONTROL!$C$14, $D$10, 100%, $F$10)</f>
        <v>10.594200000000001</v>
      </c>
      <c r="G351" s="8">
        <f>9.7652 * CHOOSE( CONTROL!$C$14, $D$10, 100%, $F$10)</f>
        <v>9.7652000000000001</v>
      </c>
      <c r="H351" s="4">
        <f>10.6473 * CHOOSE(CONTROL!$C$14, $D$10, 100%, $F$10)</f>
        <v>10.6473</v>
      </c>
      <c r="I351" s="8">
        <f>9.7207 * CHOOSE(CONTROL!$C$14, $D$10, 100%, $F$10)</f>
        <v>9.7207000000000008</v>
      </c>
      <c r="J351" s="4">
        <f>9.5863 * CHOOSE(CONTROL!$C$14, $D$10, 100%, $F$10)</f>
        <v>9.5862999999999996</v>
      </c>
      <c r="K351" s="4"/>
      <c r="L351" s="9">
        <v>29.306000000000001</v>
      </c>
      <c r="M351" s="9">
        <v>12.063700000000001</v>
      </c>
      <c r="N351" s="9">
        <v>4.9444999999999997</v>
      </c>
      <c r="O351" s="9">
        <v>0.37409999999999999</v>
      </c>
      <c r="P351" s="9">
        <v>1.2927</v>
      </c>
      <c r="Q351" s="9">
        <v>20.5288</v>
      </c>
      <c r="R351" s="9"/>
      <c r="S351" s="11"/>
    </row>
    <row r="352" spans="1:19" ht="15.75">
      <c r="A352" s="13">
        <v>52627</v>
      </c>
      <c r="B352" s="8">
        <f>10.3258 * CHOOSE(CONTROL!$C$14, $D$10, 100%, $F$10)</f>
        <v>10.325799999999999</v>
      </c>
      <c r="C352" s="8">
        <f>10.3309 * CHOOSE(CONTROL!$C$14, $D$10, 100%, $F$10)</f>
        <v>10.3309</v>
      </c>
      <c r="D352" s="8">
        <f>10.3267 * CHOOSE( CONTROL!$C$14, $D$10, 100%, $F$10)</f>
        <v>10.326700000000001</v>
      </c>
      <c r="E352" s="12">
        <f>10.3277 * CHOOSE( CONTROL!$C$14, $D$10, 100%, $F$10)</f>
        <v>10.3277</v>
      </c>
      <c r="F352" s="4">
        <f>11.0043 * CHOOSE(CONTROL!$C$14, $D$10, 100%, $F$10)</f>
        <v>11.004300000000001</v>
      </c>
      <c r="G352" s="8">
        <f>10.1521 * CHOOSE( CONTROL!$C$14, $D$10, 100%, $F$10)</f>
        <v>10.152100000000001</v>
      </c>
      <c r="H352" s="4">
        <f>11.0506 * CHOOSE(CONTROL!$C$14, $D$10, 100%, $F$10)</f>
        <v>11.050599999999999</v>
      </c>
      <c r="I352" s="8">
        <f>10.0663 * CHOOSE(CONTROL!$C$14, $D$10, 100%, $F$10)</f>
        <v>10.0663</v>
      </c>
      <c r="J352" s="4">
        <f>9.9527 * CHOOSE(CONTROL!$C$14, $D$10, 100%, $F$10)</f>
        <v>9.9527000000000001</v>
      </c>
      <c r="K352" s="4"/>
      <c r="L352" s="9">
        <v>29.306000000000001</v>
      </c>
      <c r="M352" s="9">
        <v>12.063700000000001</v>
      </c>
      <c r="N352" s="9">
        <v>4.9444999999999997</v>
      </c>
      <c r="O352" s="9">
        <v>0.37409999999999999</v>
      </c>
      <c r="P352" s="9">
        <v>1.2927</v>
      </c>
      <c r="Q352" s="9">
        <v>20.4619</v>
      </c>
      <c r="R352" s="9"/>
      <c r="S352" s="11"/>
    </row>
    <row r="353" spans="1:19" ht="15.75">
      <c r="A353" s="13">
        <v>52655</v>
      </c>
      <c r="B353" s="8">
        <f>9.6602 * CHOOSE(CONTROL!$C$14, $D$10, 100%, $F$10)</f>
        <v>9.6601999999999997</v>
      </c>
      <c r="C353" s="8">
        <f>9.6653 * CHOOSE(CONTROL!$C$14, $D$10, 100%, $F$10)</f>
        <v>9.6653000000000002</v>
      </c>
      <c r="D353" s="8">
        <f>9.6552 * CHOOSE( CONTROL!$C$14, $D$10, 100%, $F$10)</f>
        <v>9.6552000000000007</v>
      </c>
      <c r="E353" s="12">
        <f>9.6583 * CHOOSE( CONTROL!$C$14, $D$10, 100%, $F$10)</f>
        <v>9.6583000000000006</v>
      </c>
      <c r="F353" s="4">
        <f>10.3128 * CHOOSE(CONTROL!$C$14, $D$10, 100%, $F$10)</f>
        <v>10.312799999999999</v>
      </c>
      <c r="G353" s="8">
        <f>9.4895 * CHOOSE( CONTROL!$C$14, $D$10, 100%, $F$10)</f>
        <v>9.4894999999999996</v>
      </c>
      <c r="H353" s="4">
        <f>10.3706 * CHOOSE(CONTROL!$C$14, $D$10, 100%, $F$10)</f>
        <v>10.3706</v>
      </c>
      <c r="I353" s="8">
        <f>9.4132 * CHOOSE(CONTROL!$C$14, $D$10, 100%, $F$10)</f>
        <v>9.4131999999999998</v>
      </c>
      <c r="J353" s="4">
        <f>9.3093 * CHOOSE(CONTROL!$C$14, $D$10, 100%, $F$10)</f>
        <v>9.3093000000000004</v>
      </c>
      <c r="K353" s="4"/>
      <c r="L353" s="9">
        <v>27.415299999999998</v>
      </c>
      <c r="M353" s="9">
        <v>11.285299999999999</v>
      </c>
      <c r="N353" s="9">
        <v>4.6254999999999997</v>
      </c>
      <c r="O353" s="9">
        <v>0.34989999999999999</v>
      </c>
      <c r="P353" s="9">
        <v>1.2093</v>
      </c>
      <c r="Q353" s="9">
        <v>19.1417</v>
      </c>
      <c r="R353" s="9"/>
      <c r="S353" s="11"/>
    </row>
    <row r="354" spans="1:19" ht="15.75">
      <c r="A354" s="13">
        <v>52687</v>
      </c>
      <c r="B354" s="8">
        <f>9.4552 * CHOOSE(CONTROL!$C$14, $D$10, 100%, $F$10)</f>
        <v>9.4551999999999996</v>
      </c>
      <c r="C354" s="8">
        <f>9.4603 * CHOOSE(CONTROL!$C$14, $D$10, 100%, $F$10)</f>
        <v>9.4603000000000002</v>
      </c>
      <c r="D354" s="8">
        <f>9.4437 * CHOOSE( CONTROL!$C$14, $D$10, 100%, $F$10)</f>
        <v>9.4436999999999998</v>
      </c>
      <c r="E354" s="12">
        <f>9.4492 * CHOOSE( CONTROL!$C$14, $D$10, 100%, $F$10)</f>
        <v>9.4491999999999994</v>
      </c>
      <c r="F354" s="4">
        <f>10.1078 * CHOOSE(CONTROL!$C$14, $D$10, 100%, $F$10)</f>
        <v>10.107799999999999</v>
      </c>
      <c r="G354" s="8">
        <f>9.2797 * CHOOSE( CONTROL!$C$14, $D$10, 100%, $F$10)</f>
        <v>9.2797000000000001</v>
      </c>
      <c r="H354" s="4">
        <f>10.169 * CHOOSE(CONTROL!$C$14, $D$10, 100%, $F$10)</f>
        <v>10.169</v>
      </c>
      <c r="I354" s="8">
        <f>9.1948 * CHOOSE(CONTROL!$C$14, $D$10, 100%, $F$10)</f>
        <v>9.1948000000000008</v>
      </c>
      <c r="J354" s="4">
        <f>9.1111 * CHOOSE(CONTROL!$C$14, $D$10, 100%, $F$10)</f>
        <v>9.1111000000000004</v>
      </c>
      <c r="K354" s="4"/>
      <c r="L354" s="9">
        <v>29.306000000000001</v>
      </c>
      <c r="M354" s="9">
        <v>12.063700000000001</v>
      </c>
      <c r="N354" s="9">
        <v>4.9444999999999997</v>
      </c>
      <c r="O354" s="9">
        <v>0.37409999999999999</v>
      </c>
      <c r="P354" s="9">
        <v>1.2927</v>
      </c>
      <c r="Q354" s="9">
        <v>20.4619</v>
      </c>
      <c r="R354" s="9"/>
      <c r="S354" s="11"/>
    </row>
    <row r="355" spans="1:19" ht="15.75">
      <c r="A355" s="13">
        <v>52717</v>
      </c>
      <c r="B355" s="8">
        <f>9.5992 * CHOOSE(CONTROL!$C$14, $D$10, 100%, $F$10)</f>
        <v>9.5991999999999997</v>
      </c>
      <c r="C355" s="8">
        <f>9.6037 * CHOOSE(CONTROL!$C$14, $D$10, 100%, $F$10)</f>
        <v>9.6036999999999999</v>
      </c>
      <c r="D355" s="8">
        <f>9.6133 * CHOOSE( CONTROL!$C$14, $D$10, 100%, $F$10)</f>
        <v>9.6133000000000006</v>
      </c>
      <c r="E355" s="12">
        <f>9.6096 * CHOOSE( CONTROL!$C$14, $D$10, 100%, $F$10)</f>
        <v>9.6096000000000004</v>
      </c>
      <c r="F355" s="4">
        <f>10.2821 * CHOOSE(CONTROL!$C$14, $D$10, 100%, $F$10)</f>
        <v>10.2821</v>
      </c>
      <c r="G355" s="8">
        <f>9.4104 * CHOOSE( CONTROL!$C$14, $D$10, 100%, $F$10)</f>
        <v>9.4103999999999992</v>
      </c>
      <c r="H355" s="4">
        <f>10.3404 * CHOOSE(CONTROL!$C$14, $D$10, 100%, $F$10)</f>
        <v>10.340400000000001</v>
      </c>
      <c r="I355" s="8">
        <f>9.3443 * CHOOSE(CONTROL!$C$14, $D$10, 100%, $F$10)</f>
        <v>9.3443000000000005</v>
      </c>
      <c r="J355" s="4">
        <f>9.2496 * CHOOSE(CONTROL!$C$14, $D$10, 100%, $F$10)</f>
        <v>9.2495999999999992</v>
      </c>
      <c r="K355" s="4"/>
      <c r="L355" s="9">
        <v>30.092199999999998</v>
      </c>
      <c r="M355" s="9">
        <v>11.6745</v>
      </c>
      <c r="N355" s="9">
        <v>4.7850000000000001</v>
      </c>
      <c r="O355" s="9">
        <v>0.36199999999999999</v>
      </c>
      <c r="P355" s="9">
        <v>1.1791</v>
      </c>
      <c r="Q355" s="9">
        <v>19.8018</v>
      </c>
      <c r="R355" s="9"/>
      <c r="S355" s="11"/>
    </row>
    <row r="356" spans="1:19" ht="15.75">
      <c r="A356" s="13">
        <v>52748</v>
      </c>
      <c r="B356" s="8">
        <f>CHOOSE( CONTROL!$C$31, 9.8584, 9.8555) * CHOOSE(CONTROL!$C$14, $D$10, 100%, $F$10)</f>
        <v>9.8583999999999996</v>
      </c>
      <c r="C356" s="8">
        <f>CHOOSE( CONTROL!$C$31, 9.8664, 9.8635) * CHOOSE(CONTROL!$C$14, $D$10, 100%, $F$10)</f>
        <v>9.8664000000000005</v>
      </c>
      <c r="D356" s="8">
        <f>CHOOSE( CONTROL!$C$31, 9.8711, 9.8681) * CHOOSE( CONTROL!$C$14, $D$10, 100%, $F$10)</f>
        <v>9.8711000000000002</v>
      </c>
      <c r="E356" s="12">
        <f>CHOOSE( CONTROL!$C$31, 9.8682, 9.8652) * CHOOSE( CONTROL!$C$14, $D$10, 100%, $F$10)</f>
        <v>9.8681999999999999</v>
      </c>
      <c r="F356" s="4">
        <f>CHOOSE( CONTROL!$C$31, 10.54, 10.537) * CHOOSE(CONTROL!$C$14, $D$10, 100%, $F$10)</f>
        <v>10.54</v>
      </c>
      <c r="G356" s="8">
        <f>CHOOSE( CONTROL!$C$31, 9.6649, 9.6621) * CHOOSE( CONTROL!$C$14, $D$10, 100%, $F$10)</f>
        <v>9.6648999999999994</v>
      </c>
      <c r="H356" s="4">
        <f>CHOOSE( CONTROL!$C$31, 10.594, 10.5911) * CHOOSE(CONTROL!$C$14, $D$10, 100%, $F$10)</f>
        <v>10.593999999999999</v>
      </c>
      <c r="I356" s="8">
        <f>CHOOSE( CONTROL!$C$31, 9.5948, 9.592) * CHOOSE(CONTROL!$C$14, $D$10, 100%, $F$10)</f>
        <v>9.5947999999999993</v>
      </c>
      <c r="J356" s="4">
        <f>CHOOSE( CONTROL!$C$31, 9.4989, 9.4961) * CHOOSE(CONTROL!$C$14, $D$10, 100%, $F$10)</f>
        <v>9.4989000000000008</v>
      </c>
      <c r="K356" s="4"/>
      <c r="L356" s="9">
        <v>30.7165</v>
      </c>
      <c r="M356" s="9">
        <v>12.063700000000001</v>
      </c>
      <c r="N356" s="9">
        <v>4.9444999999999997</v>
      </c>
      <c r="O356" s="9">
        <v>0.37409999999999999</v>
      </c>
      <c r="P356" s="9">
        <v>1.2183999999999999</v>
      </c>
      <c r="Q356" s="9">
        <v>20.4619</v>
      </c>
      <c r="R356" s="9"/>
      <c r="S356" s="11"/>
    </row>
    <row r="357" spans="1:19" ht="15.75">
      <c r="A357" s="13">
        <v>52778</v>
      </c>
      <c r="B357" s="8">
        <f>CHOOSE( CONTROL!$C$31, 9.7005, 9.6976) * CHOOSE(CONTROL!$C$14, $D$10, 100%, $F$10)</f>
        <v>9.7004999999999999</v>
      </c>
      <c r="C357" s="8">
        <f>CHOOSE( CONTROL!$C$31, 9.7085, 9.7056) * CHOOSE(CONTROL!$C$14, $D$10, 100%, $F$10)</f>
        <v>9.7085000000000008</v>
      </c>
      <c r="D357" s="8">
        <f>CHOOSE( CONTROL!$C$31, 9.7134, 9.7105) * CHOOSE( CONTROL!$C$14, $D$10, 100%, $F$10)</f>
        <v>9.7134</v>
      </c>
      <c r="E357" s="12">
        <f>CHOOSE( CONTROL!$C$31, 9.7104, 9.7075) * CHOOSE( CONTROL!$C$14, $D$10, 100%, $F$10)</f>
        <v>9.7103999999999999</v>
      </c>
      <c r="F357" s="4">
        <f>CHOOSE( CONTROL!$C$31, 10.382, 10.3791) * CHOOSE(CONTROL!$C$14, $D$10, 100%, $F$10)</f>
        <v>10.382</v>
      </c>
      <c r="G357" s="8">
        <f>CHOOSE( CONTROL!$C$31, 9.51, 9.5071) * CHOOSE( CONTROL!$C$14, $D$10, 100%, $F$10)</f>
        <v>9.51</v>
      </c>
      <c r="H357" s="4">
        <f>CHOOSE( CONTROL!$C$31, 10.4386, 10.4358) * CHOOSE(CONTROL!$C$14, $D$10, 100%, $F$10)</f>
        <v>10.438599999999999</v>
      </c>
      <c r="I357" s="8">
        <f>CHOOSE( CONTROL!$C$31, 9.4433, 9.4405) * CHOOSE(CONTROL!$C$14, $D$10, 100%, $F$10)</f>
        <v>9.4433000000000007</v>
      </c>
      <c r="J357" s="4">
        <f>CHOOSE( CONTROL!$C$31, 9.3462, 9.3434) * CHOOSE(CONTROL!$C$14, $D$10, 100%, $F$10)</f>
        <v>9.3461999999999996</v>
      </c>
      <c r="K357" s="4"/>
      <c r="L357" s="9">
        <v>29.7257</v>
      </c>
      <c r="M357" s="9">
        <v>11.6745</v>
      </c>
      <c r="N357" s="9">
        <v>4.7850000000000001</v>
      </c>
      <c r="O357" s="9">
        <v>0.36199999999999999</v>
      </c>
      <c r="P357" s="9">
        <v>1.1791</v>
      </c>
      <c r="Q357" s="9">
        <v>19.8018</v>
      </c>
      <c r="R357" s="9"/>
      <c r="S357" s="11"/>
    </row>
    <row r="358" spans="1:19" ht="15.75">
      <c r="A358" s="13">
        <v>52809</v>
      </c>
      <c r="B358" s="8">
        <f>CHOOSE( CONTROL!$C$31, 10.1164, 10.1135) * CHOOSE(CONTROL!$C$14, $D$10, 100%, $F$10)</f>
        <v>10.116400000000001</v>
      </c>
      <c r="C358" s="8">
        <f>CHOOSE( CONTROL!$C$31, 10.1244, 10.1215) * CHOOSE(CONTROL!$C$14, $D$10, 100%, $F$10)</f>
        <v>10.1244</v>
      </c>
      <c r="D358" s="8">
        <f>CHOOSE( CONTROL!$C$31, 10.1295, 10.1266) * CHOOSE( CONTROL!$C$14, $D$10, 100%, $F$10)</f>
        <v>10.1295</v>
      </c>
      <c r="E358" s="12">
        <f>CHOOSE( CONTROL!$C$31, 10.1264, 10.1235) * CHOOSE( CONTROL!$C$14, $D$10, 100%, $F$10)</f>
        <v>10.1264</v>
      </c>
      <c r="F358" s="4">
        <f>CHOOSE( CONTROL!$C$31, 10.7979, 10.795) * CHOOSE(CONTROL!$C$14, $D$10, 100%, $F$10)</f>
        <v>10.7979</v>
      </c>
      <c r="G358" s="8">
        <f>CHOOSE( CONTROL!$C$31, 9.9194, 9.9165) * CHOOSE( CONTROL!$C$14, $D$10, 100%, $F$10)</f>
        <v>9.9193999999999996</v>
      </c>
      <c r="H358" s="4">
        <f>CHOOSE( CONTROL!$C$31, 10.8476, 10.8448) * CHOOSE(CONTROL!$C$14, $D$10, 100%, $F$10)</f>
        <v>10.8476</v>
      </c>
      <c r="I358" s="8">
        <f>CHOOSE( CONTROL!$C$31, 9.8467, 9.8439) * CHOOSE(CONTROL!$C$14, $D$10, 100%, $F$10)</f>
        <v>9.8467000000000002</v>
      </c>
      <c r="J358" s="4">
        <f>CHOOSE( CONTROL!$C$31, 9.7483, 9.7454) * CHOOSE(CONTROL!$C$14, $D$10, 100%, $F$10)</f>
        <v>9.7483000000000004</v>
      </c>
      <c r="K358" s="4"/>
      <c r="L358" s="9">
        <v>30.7165</v>
      </c>
      <c r="M358" s="9">
        <v>12.063700000000001</v>
      </c>
      <c r="N358" s="9">
        <v>4.9444999999999997</v>
      </c>
      <c r="O358" s="9">
        <v>0.37409999999999999</v>
      </c>
      <c r="P358" s="9">
        <v>1.2183999999999999</v>
      </c>
      <c r="Q358" s="9">
        <v>20.4619</v>
      </c>
      <c r="R358" s="9"/>
      <c r="S358" s="11"/>
    </row>
    <row r="359" spans="1:19" ht="15.75">
      <c r="A359" s="13">
        <v>52840</v>
      </c>
      <c r="B359" s="8">
        <f>CHOOSE( CONTROL!$C$31, 9.3382, 9.3353) * CHOOSE(CONTROL!$C$14, $D$10, 100%, $F$10)</f>
        <v>9.3382000000000005</v>
      </c>
      <c r="C359" s="8">
        <f>CHOOSE( CONTROL!$C$31, 9.3462, 9.3433) * CHOOSE(CONTROL!$C$14, $D$10, 100%, $F$10)</f>
        <v>9.3461999999999996</v>
      </c>
      <c r="D359" s="8">
        <f>CHOOSE( CONTROL!$C$31, 9.3514, 9.3485) * CHOOSE( CONTROL!$C$14, $D$10, 100%, $F$10)</f>
        <v>9.3513999999999999</v>
      </c>
      <c r="E359" s="12">
        <f>CHOOSE( CONTROL!$C$31, 9.3483, 9.3454) * CHOOSE( CONTROL!$C$14, $D$10, 100%, $F$10)</f>
        <v>9.3483000000000001</v>
      </c>
      <c r="F359" s="4">
        <f>CHOOSE( CONTROL!$C$31, 10.0197, 10.0168) * CHOOSE(CONTROL!$C$14, $D$10, 100%, $F$10)</f>
        <v>10.0197</v>
      </c>
      <c r="G359" s="8">
        <f>CHOOSE( CONTROL!$C$31, 9.1542, 9.1513) * CHOOSE( CONTROL!$C$14, $D$10, 100%, $F$10)</f>
        <v>9.1541999999999994</v>
      </c>
      <c r="H359" s="4">
        <f>CHOOSE( CONTROL!$C$31, 10.0824, 10.0795) * CHOOSE(CONTROL!$C$14, $D$10, 100%, $F$10)</f>
        <v>10.0824</v>
      </c>
      <c r="I359" s="8">
        <f>CHOOSE( CONTROL!$C$31, 9.0944, 9.0916) * CHOOSE(CONTROL!$C$14, $D$10, 100%, $F$10)</f>
        <v>9.0944000000000003</v>
      </c>
      <c r="J359" s="4">
        <f>CHOOSE( CONTROL!$C$31, 8.996, 8.9932) * CHOOSE(CONTROL!$C$14, $D$10, 100%, $F$10)</f>
        <v>8.9960000000000004</v>
      </c>
      <c r="K359" s="4"/>
      <c r="L359" s="9">
        <v>30.7165</v>
      </c>
      <c r="M359" s="9">
        <v>12.063700000000001</v>
      </c>
      <c r="N359" s="9">
        <v>4.9444999999999997</v>
      </c>
      <c r="O359" s="9">
        <v>0.37409999999999999</v>
      </c>
      <c r="P359" s="9">
        <v>1.2183999999999999</v>
      </c>
      <c r="Q359" s="9">
        <v>20.4619</v>
      </c>
      <c r="R359" s="9"/>
      <c r="S359" s="11"/>
    </row>
    <row r="360" spans="1:19" ht="15.75">
      <c r="A360" s="13">
        <v>52870</v>
      </c>
      <c r="B360" s="8">
        <f>CHOOSE( CONTROL!$C$31, 9.1433, 9.1404) * CHOOSE(CONTROL!$C$14, $D$10, 100%, $F$10)</f>
        <v>9.1433</v>
      </c>
      <c r="C360" s="8">
        <f>CHOOSE( CONTROL!$C$31, 9.1513, 9.1484) * CHOOSE(CONTROL!$C$14, $D$10, 100%, $F$10)</f>
        <v>9.1513000000000009</v>
      </c>
      <c r="D360" s="8">
        <f>CHOOSE( CONTROL!$C$31, 9.1565, 9.1536) * CHOOSE( CONTROL!$C$14, $D$10, 100%, $F$10)</f>
        <v>9.1564999999999994</v>
      </c>
      <c r="E360" s="12">
        <f>CHOOSE( CONTROL!$C$31, 9.1534, 9.1505) * CHOOSE( CONTROL!$C$14, $D$10, 100%, $F$10)</f>
        <v>9.1533999999999995</v>
      </c>
      <c r="F360" s="4">
        <f>CHOOSE( CONTROL!$C$31, 9.8249, 9.8219) * CHOOSE(CONTROL!$C$14, $D$10, 100%, $F$10)</f>
        <v>9.8248999999999995</v>
      </c>
      <c r="G360" s="8">
        <f>CHOOSE( CONTROL!$C$31, 8.9626, 8.9597) * CHOOSE( CONTROL!$C$14, $D$10, 100%, $F$10)</f>
        <v>8.9626000000000001</v>
      </c>
      <c r="H360" s="4">
        <f>CHOOSE( CONTROL!$C$31, 9.8907, 9.8878) * CHOOSE(CONTROL!$C$14, $D$10, 100%, $F$10)</f>
        <v>9.8907000000000007</v>
      </c>
      <c r="I360" s="8">
        <f>CHOOSE( CONTROL!$C$31, 8.9059, 8.9031) * CHOOSE(CONTROL!$C$14, $D$10, 100%, $F$10)</f>
        <v>8.9059000000000008</v>
      </c>
      <c r="J360" s="4">
        <f>CHOOSE( CONTROL!$C$31, 8.8076, 8.8048) * CHOOSE(CONTROL!$C$14, $D$10, 100%, $F$10)</f>
        <v>8.8076000000000008</v>
      </c>
      <c r="K360" s="4"/>
      <c r="L360" s="9">
        <v>29.7257</v>
      </c>
      <c r="M360" s="9">
        <v>11.6745</v>
      </c>
      <c r="N360" s="9">
        <v>4.7850000000000001</v>
      </c>
      <c r="O360" s="9">
        <v>0.36199999999999999</v>
      </c>
      <c r="P360" s="9">
        <v>1.1791</v>
      </c>
      <c r="Q360" s="9">
        <v>19.8018</v>
      </c>
      <c r="R360" s="9"/>
      <c r="S360" s="11"/>
    </row>
    <row r="361" spans="1:19" ht="15.75">
      <c r="A361" s="13">
        <v>52901</v>
      </c>
      <c r="B361" s="8">
        <f>9.5433 * CHOOSE(CONTROL!$C$14, $D$10, 100%, $F$10)</f>
        <v>9.5433000000000003</v>
      </c>
      <c r="C361" s="8">
        <f>9.5487 * CHOOSE(CONTROL!$C$14, $D$10, 100%, $F$10)</f>
        <v>9.5487000000000002</v>
      </c>
      <c r="D361" s="8">
        <f>9.5586 * CHOOSE( CONTROL!$C$14, $D$10, 100%, $F$10)</f>
        <v>9.5586000000000002</v>
      </c>
      <c r="E361" s="12">
        <f>9.5548 * CHOOSE( CONTROL!$C$14, $D$10, 100%, $F$10)</f>
        <v>9.5548000000000002</v>
      </c>
      <c r="F361" s="4">
        <f>10.2266 * CHOOSE(CONTROL!$C$14, $D$10, 100%, $F$10)</f>
        <v>10.226599999999999</v>
      </c>
      <c r="G361" s="8">
        <f>9.3572 * CHOOSE( CONTROL!$C$14, $D$10, 100%, $F$10)</f>
        <v>9.3572000000000006</v>
      </c>
      <c r="H361" s="4">
        <f>10.2857 * CHOOSE(CONTROL!$C$14, $D$10, 100%, $F$10)</f>
        <v>10.2857</v>
      </c>
      <c r="I361" s="8">
        <f>9.2952 * CHOOSE(CONTROL!$C$14, $D$10, 100%, $F$10)</f>
        <v>9.2951999999999995</v>
      </c>
      <c r="J361" s="4">
        <f>9.1959 * CHOOSE(CONTROL!$C$14, $D$10, 100%, $F$10)</f>
        <v>9.1959</v>
      </c>
      <c r="K361" s="4"/>
      <c r="L361" s="9">
        <v>31.095300000000002</v>
      </c>
      <c r="M361" s="9">
        <v>12.063700000000001</v>
      </c>
      <c r="N361" s="9">
        <v>4.9444999999999997</v>
      </c>
      <c r="O361" s="9">
        <v>0.37409999999999999</v>
      </c>
      <c r="P361" s="9">
        <v>1.2183999999999999</v>
      </c>
      <c r="Q361" s="9">
        <v>20.4619</v>
      </c>
      <c r="R361" s="9"/>
      <c r="S361" s="11"/>
    </row>
    <row r="362" spans="1:19" ht="15.75">
      <c r="A362" s="13">
        <v>52931</v>
      </c>
      <c r="B362" s="8">
        <f>10.2897 * CHOOSE(CONTROL!$C$14, $D$10, 100%, $F$10)</f>
        <v>10.2897</v>
      </c>
      <c r="C362" s="8">
        <f>10.2948 * CHOOSE(CONTROL!$C$14, $D$10, 100%, $F$10)</f>
        <v>10.2948</v>
      </c>
      <c r="D362" s="8">
        <f>10.271 * CHOOSE( CONTROL!$C$14, $D$10, 100%, $F$10)</f>
        <v>10.271000000000001</v>
      </c>
      <c r="E362" s="12">
        <f>10.2792 * CHOOSE( CONTROL!$C$14, $D$10, 100%, $F$10)</f>
        <v>10.279199999999999</v>
      </c>
      <c r="F362" s="4">
        <f>10.9372 * CHOOSE(CONTROL!$C$14, $D$10, 100%, $F$10)</f>
        <v>10.937200000000001</v>
      </c>
      <c r="G362" s="8">
        <f>10.1015 * CHOOSE( CONTROL!$C$14, $D$10, 100%, $F$10)</f>
        <v>10.1015</v>
      </c>
      <c r="H362" s="4">
        <f>10.9846 * CHOOSE(CONTROL!$C$14, $D$10, 100%, $F$10)</f>
        <v>10.9846</v>
      </c>
      <c r="I362" s="8">
        <f>10.048 * CHOOSE(CONTROL!$C$14, $D$10, 100%, $F$10)</f>
        <v>10.048</v>
      </c>
      <c r="J362" s="4">
        <f>9.9179 * CHOOSE(CONTROL!$C$14, $D$10, 100%, $F$10)</f>
        <v>9.9178999999999995</v>
      </c>
      <c r="K362" s="4"/>
      <c r="L362" s="9">
        <v>28.360600000000002</v>
      </c>
      <c r="M362" s="9">
        <v>11.6745</v>
      </c>
      <c r="N362" s="9">
        <v>4.7850000000000001</v>
      </c>
      <c r="O362" s="9">
        <v>0.36199999999999999</v>
      </c>
      <c r="P362" s="9">
        <v>1.2509999999999999</v>
      </c>
      <c r="Q362" s="9">
        <v>19.8018</v>
      </c>
      <c r="R362" s="9"/>
      <c r="S362" s="11"/>
    </row>
    <row r="363" spans="1:19" ht="15.75">
      <c r="A363" s="13">
        <v>52962</v>
      </c>
      <c r="B363" s="8">
        <f>10.2711 * CHOOSE(CONTROL!$C$14, $D$10, 100%, $F$10)</f>
        <v>10.271100000000001</v>
      </c>
      <c r="C363" s="8">
        <f>10.2762 * CHOOSE(CONTROL!$C$14, $D$10, 100%, $F$10)</f>
        <v>10.276199999999999</v>
      </c>
      <c r="D363" s="8">
        <f>10.2538 * CHOOSE( CONTROL!$C$14, $D$10, 100%, $F$10)</f>
        <v>10.2538</v>
      </c>
      <c r="E363" s="12">
        <f>10.2614 * CHOOSE( CONTROL!$C$14, $D$10, 100%, $F$10)</f>
        <v>10.2614</v>
      </c>
      <c r="F363" s="4">
        <f>10.9185 * CHOOSE(CONTROL!$C$14, $D$10, 100%, $F$10)</f>
        <v>10.9185</v>
      </c>
      <c r="G363" s="8">
        <f>10.0841 * CHOOSE( CONTROL!$C$14, $D$10, 100%, $F$10)</f>
        <v>10.084099999999999</v>
      </c>
      <c r="H363" s="4">
        <f>10.9662 * CHOOSE(CONTROL!$C$14, $D$10, 100%, $F$10)</f>
        <v>10.966200000000001</v>
      </c>
      <c r="I363" s="8">
        <f>10.0344 * CHOOSE(CONTROL!$C$14, $D$10, 100%, $F$10)</f>
        <v>10.0344</v>
      </c>
      <c r="J363" s="4">
        <f>9.8999 * CHOOSE(CONTROL!$C$14, $D$10, 100%, $F$10)</f>
        <v>9.8999000000000006</v>
      </c>
      <c r="K363" s="4"/>
      <c r="L363" s="9">
        <v>29.306000000000001</v>
      </c>
      <c r="M363" s="9">
        <v>12.063700000000001</v>
      </c>
      <c r="N363" s="9">
        <v>4.9444999999999997</v>
      </c>
      <c r="O363" s="9">
        <v>0.37409999999999999</v>
      </c>
      <c r="P363" s="9">
        <v>1.2927</v>
      </c>
      <c r="Q363" s="9">
        <v>20.4619</v>
      </c>
      <c r="R363" s="9"/>
      <c r="S363" s="11"/>
    </row>
    <row r="364" spans="1:19" ht="15.75">
      <c r="A364" s="13">
        <v>52993</v>
      </c>
      <c r="B364" s="8">
        <f>10.6625 * CHOOSE(CONTROL!$C$14, $D$10, 100%, $F$10)</f>
        <v>10.6625</v>
      </c>
      <c r="C364" s="8">
        <f>10.6676 * CHOOSE(CONTROL!$C$14, $D$10, 100%, $F$10)</f>
        <v>10.6676</v>
      </c>
      <c r="D364" s="8">
        <f>10.6634 * CHOOSE( CONTROL!$C$14, $D$10, 100%, $F$10)</f>
        <v>10.663399999999999</v>
      </c>
      <c r="E364" s="12">
        <f>10.6644 * CHOOSE( CONTROL!$C$14, $D$10, 100%, $F$10)</f>
        <v>10.664400000000001</v>
      </c>
      <c r="F364" s="4">
        <f>11.341 * CHOOSE(CONTROL!$C$14, $D$10, 100%, $F$10)</f>
        <v>11.340999999999999</v>
      </c>
      <c r="G364" s="8">
        <f>10.4833 * CHOOSE( CONTROL!$C$14, $D$10, 100%, $F$10)</f>
        <v>10.4833</v>
      </c>
      <c r="H364" s="4">
        <f>11.3817 * CHOOSE(CONTROL!$C$14, $D$10, 100%, $F$10)</f>
        <v>11.3817</v>
      </c>
      <c r="I364" s="8">
        <f>10.3919 * CHOOSE(CONTROL!$C$14, $D$10, 100%, $F$10)</f>
        <v>10.3919</v>
      </c>
      <c r="J364" s="4">
        <f>10.2782 * CHOOSE(CONTROL!$C$14, $D$10, 100%, $F$10)</f>
        <v>10.2782</v>
      </c>
      <c r="K364" s="4"/>
      <c r="L364" s="9">
        <v>29.306000000000001</v>
      </c>
      <c r="M364" s="9">
        <v>12.063700000000001</v>
      </c>
      <c r="N364" s="9">
        <v>4.9444999999999997</v>
      </c>
      <c r="O364" s="9">
        <v>0.37409999999999999</v>
      </c>
      <c r="P364" s="9">
        <v>1.2927</v>
      </c>
      <c r="Q364" s="9">
        <v>20.396799999999999</v>
      </c>
      <c r="R364" s="9"/>
      <c r="S364" s="11"/>
    </row>
    <row r="365" spans="1:19" ht="15.75">
      <c r="A365" s="13">
        <v>53021</v>
      </c>
      <c r="B365" s="8">
        <f>9.9751 * CHOOSE(CONTROL!$C$14, $D$10, 100%, $F$10)</f>
        <v>9.9750999999999994</v>
      </c>
      <c r="C365" s="8">
        <f>9.9802 * CHOOSE(CONTROL!$C$14, $D$10, 100%, $F$10)</f>
        <v>9.9802</v>
      </c>
      <c r="D365" s="8">
        <f>9.9701 * CHOOSE( CONTROL!$C$14, $D$10, 100%, $F$10)</f>
        <v>9.9701000000000004</v>
      </c>
      <c r="E365" s="12">
        <f>9.9732 * CHOOSE( CONTROL!$C$14, $D$10, 100%, $F$10)</f>
        <v>9.9732000000000003</v>
      </c>
      <c r="F365" s="4">
        <f>10.6277 * CHOOSE(CONTROL!$C$14, $D$10, 100%, $F$10)</f>
        <v>10.627700000000001</v>
      </c>
      <c r="G365" s="8">
        <f>9.7992 * CHOOSE( CONTROL!$C$14, $D$10, 100%, $F$10)</f>
        <v>9.7992000000000008</v>
      </c>
      <c r="H365" s="4">
        <f>10.6803 * CHOOSE(CONTROL!$C$14, $D$10, 100%, $F$10)</f>
        <v>10.680300000000001</v>
      </c>
      <c r="I365" s="8">
        <f>9.7178 * CHOOSE(CONTROL!$C$14, $D$10, 100%, $F$10)</f>
        <v>9.7178000000000004</v>
      </c>
      <c r="J365" s="4">
        <f>9.6138 * CHOOSE(CONTROL!$C$14, $D$10, 100%, $F$10)</f>
        <v>9.6137999999999995</v>
      </c>
      <c r="K365" s="4"/>
      <c r="L365" s="9">
        <v>26.469899999999999</v>
      </c>
      <c r="M365" s="9">
        <v>10.8962</v>
      </c>
      <c r="N365" s="9">
        <v>4.4660000000000002</v>
      </c>
      <c r="O365" s="9">
        <v>0.33789999999999998</v>
      </c>
      <c r="P365" s="9">
        <v>1.1676</v>
      </c>
      <c r="Q365" s="9">
        <v>18.422899999999998</v>
      </c>
      <c r="R365" s="9"/>
      <c r="S365" s="11"/>
    </row>
    <row r="366" spans="1:19" ht="15.75">
      <c r="A366" s="13">
        <v>53052</v>
      </c>
      <c r="B366" s="8">
        <f>9.7634 * CHOOSE(CONTROL!$C$14, $D$10, 100%, $F$10)</f>
        <v>9.7634000000000007</v>
      </c>
      <c r="C366" s="8">
        <f>9.7685 * CHOOSE(CONTROL!$C$14, $D$10, 100%, $F$10)</f>
        <v>9.7684999999999995</v>
      </c>
      <c r="D366" s="8">
        <f>9.7519 * CHOOSE( CONTROL!$C$14, $D$10, 100%, $F$10)</f>
        <v>9.7518999999999991</v>
      </c>
      <c r="E366" s="12">
        <f>9.7574 * CHOOSE( CONTROL!$C$14, $D$10, 100%, $F$10)</f>
        <v>9.7574000000000005</v>
      </c>
      <c r="F366" s="4">
        <f>10.416 * CHOOSE(CONTROL!$C$14, $D$10, 100%, $F$10)</f>
        <v>10.416</v>
      </c>
      <c r="G366" s="8">
        <f>9.5828 * CHOOSE( CONTROL!$C$14, $D$10, 100%, $F$10)</f>
        <v>9.5828000000000007</v>
      </c>
      <c r="H366" s="4">
        <f>10.4721 * CHOOSE(CONTROL!$C$14, $D$10, 100%, $F$10)</f>
        <v>10.472099999999999</v>
      </c>
      <c r="I366" s="8">
        <f>9.4929 * CHOOSE(CONTROL!$C$14, $D$10, 100%, $F$10)</f>
        <v>9.4929000000000006</v>
      </c>
      <c r="J366" s="4">
        <f>9.4091 * CHOOSE(CONTROL!$C$14, $D$10, 100%, $F$10)</f>
        <v>9.4091000000000005</v>
      </c>
      <c r="K366" s="4"/>
      <c r="L366" s="9">
        <v>29.306000000000001</v>
      </c>
      <c r="M366" s="9">
        <v>12.063700000000001</v>
      </c>
      <c r="N366" s="9">
        <v>4.9444999999999997</v>
      </c>
      <c r="O366" s="9">
        <v>0.37409999999999999</v>
      </c>
      <c r="P366" s="9">
        <v>1.2927</v>
      </c>
      <c r="Q366" s="9">
        <v>20.396799999999999</v>
      </c>
      <c r="R366" s="9"/>
      <c r="S366" s="11"/>
    </row>
    <row r="367" spans="1:19" ht="15.75">
      <c r="A367" s="13">
        <v>53082</v>
      </c>
      <c r="B367" s="8">
        <f>9.9121 * CHOOSE(CONTROL!$C$14, $D$10, 100%, $F$10)</f>
        <v>9.9121000000000006</v>
      </c>
      <c r="C367" s="8">
        <f>9.9166 * CHOOSE(CONTROL!$C$14, $D$10, 100%, $F$10)</f>
        <v>9.9166000000000007</v>
      </c>
      <c r="D367" s="8">
        <f>9.9262 * CHOOSE( CONTROL!$C$14, $D$10, 100%, $F$10)</f>
        <v>9.9261999999999997</v>
      </c>
      <c r="E367" s="12">
        <f>9.9225 * CHOOSE( CONTROL!$C$14, $D$10, 100%, $F$10)</f>
        <v>9.9224999999999994</v>
      </c>
      <c r="F367" s="4">
        <f>10.595 * CHOOSE(CONTROL!$C$14, $D$10, 100%, $F$10)</f>
        <v>10.595000000000001</v>
      </c>
      <c r="G367" s="8">
        <f>9.7181 * CHOOSE( CONTROL!$C$14, $D$10, 100%, $F$10)</f>
        <v>9.7180999999999997</v>
      </c>
      <c r="H367" s="4">
        <f>10.6481 * CHOOSE(CONTROL!$C$14, $D$10, 100%, $F$10)</f>
        <v>10.648099999999999</v>
      </c>
      <c r="I367" s="8">
        <f>9.647 * CHOOSE(CONTROL!$C$14, $D$10, 100%, $F$10)</f>
        <v>9.6470000000000002</v>
      </c>
      <c r="J367" s="4">
        <f>9.5521 * CHOOSE(CONTROL!$C$14, $D$10, 100%, $F$10)</f>
        <v>9.5520999999999994</v>
      </c>
      <c r="K367" s="4"/>
      <c r="L367" s="9">
        <v>30.092199999999998</v>
      </c>
      <c r="M367" s="9">
        <v>11.6745</v>
      </c>
      <c r="N367" s="9">
        <v>4.7850000000000001</v>
      </c>
      <c r="O367" s="9">
        <v>0.36199999999999999</v>
      </c>
      <c r="P367" s="9">
        <v>1.1791</v>
      </c>
      <c r="Q367" s="9">
        <v>19.738800000000001</v>
      </c>
      <c r="R367" s="9"/>
      <c r="S367" s="11"/>
    </row>
    <row r="368" spans="1:19" ht="15.75">
      <c r="A368" s="13">
        <v>53113</v>
      </c>
      <c r="B368" s="8">
        <f>CHOOSE( CONTROL!$C$31, 10.1797, 10.1767) * CHOOSE(CONTROL!$C$14, $D$10, 100%, $F$10)</f>
        <v>10.1797</v>
      </c>
      <c r="C368" s="8">
        <f>CHOOSE( CONTROL!$C$31, 10.1877, 10.1848) * CHOOSE(CONTROL!$C$14, $D$10, 100%, $F$10)</f>
        <v>10.1877</v>
      </c>
      <c r="D368" s="8">
        <f>CHOOSE( CONTROL!$C$31, 10.1923, 10.1894) * CHOOSE( CONTROL!$C$14, $D$10, 100%, $F$10)</f>
        <v>10.192299999999999</v>
      </c>
      <c r="E368" s="12">
        <f>CHOOSE( CONTROL!$C$31, 10.1894, 10.1865) * CHOOSE( CONTROL!$C$14, $D$10, 100%, $F$10)</f>
        <v>10.189399999999999</v>
      </c>
      <c r="F368" s="4">
        <f>CHOOSE( CONTROL!$C$31, 10.8612, 10.8583) * CHOOSE(CONTROL!$C$14, $D$10, 100%, $F$10)</f>
        <v>10.8612</v>
      </c>
      <c r="G368" s="8">
        <f>CHOOSE( CONTROL!$C$31, 9.9809, 9.978) * CHOOSE( CONTROL!$C$14, $D$10, 100%, $F$10)</f>
        <v>9.9809000000000001</v>
      </c>
      <c r="H368" s="4">
        <f>CHOOSE( CONTROL!$C$31, 10.9099, 10.907) * CHOOSE(CONTROL!$C$14, $D$10, 100%, $F$10)</f>
        <v>10.9099</v>
      </c>
      <c r="I368" s="8">
        <f>CHOOSE( CONTROL!$C$31, 9.9055, 9.9027) * CHOOSE(CONTROL!$C$14, $D$10, 100%, $F$10)</f>
        <v>9.9055</v>
      </c>
      <c r="J368" s="4">
        <f>CHOOSE( CONTROL!$C$31, 9.8095, 9.8066) * CHOOSE(CONTROL!$C$14, $D$10, 100%, $F$10)</f>
        <v>9.8094999999999999</v>
      </c>
      <c r="K368" s="4"/>
      <c r="L368" s="9">
        <v>30.7165</v>
      </c>
      <c r="M368" s="9">
        <v>12.063700000000001</v>
      </c>
      <c r="N368" s="9">
        <v>4.9444999999999997</v>
      </c>
      <c r="O368" s="9">
        <v>0.37409999999999999</v>
      </c>
      <c r="P368" s="9">
        <v>1.2183999999999999</v>
      </c>
      <c r="Q368" s="9">
        <v>20.396799999999999</v>
      </c>
      <c r="R368" s="9"/>
      <c r="S368" s="11"/>
    </row>
    <row r="369" spans="1:19" ht="15.75">
      <c r="A369" s="13">
        <v>53143</v>
      </c>
      <c r="B369" s="8">
        <f>CHOOSE( CONTROL!$C$31, 10.0166, 10.0136) * CHOOSE(CONTROL!$C$14, $D$10, 100%, $F$10)</f>
        <v>10.0166</v>
      </c>
      <c r="C369" s="8">
        <f>CHOOSE( CONTROL!$C$31, 10.0246, 10.0217) * CHOOSE(CONTROL!$C$14, $D$10, 100%, $F$10)</f>
        <v>10.0246</v>
      </c>
      <c r="D369" s="8">
        <f>CHOOSE( CONTROL!$C$31, 10.0295, 10.0265) * CHOOSE( CONTROL!$C$14, $D$10, 100%, $F$10)</f>
        <v>10.029500000000001</v>
      </c>
      <c r="E369" s="12">
        <f>CHOOSE( CONTROL!$C$31, 10.0265, 10.0235) * CHOOSE( CONTROL!$C$14, $D$10, 100%, $F$10)</f>
        <v>10.0265</v>
      </c>
      <c r="F369" s="4">
        <f>CHOOSE( CONTROL!$C$31, 10.6981, 10.6952) * CHOOSE(CONTROL!$C$14, $D$10, 100%, $F$10)</f>
        <v>10.6981</v>
      </c>
      <c r="G369" s="8">
        <f>CHOOSE( CONTROL!$C$31, 9.8209, 9.818) * CHOOSE( CONTROL!$C$14, $D$10, 100%, $F$10)</f>
        <v>9.8209</v>
      </c>
      <c r="H369" s="4">
        <f>CHOOSE( CONTROL!$C$31, 10.7495, 10.7466) * CHOOSE(CONTROL!$C$14, $D$10, 100%, $F$10)</f>
        <v>10.749499999999999</v>
      </c>
      <c r="I369" s="8">
        <f>CHOOSE( CONTROL!$C$31, 9.749, 9.7462) * CHOOSE(CONTROL!$C$14, $D$10, 100%, $F$10)</f>
        <v>9.7490000000000006</v>
      </c>
      <c r="J369" s="4">
        <f>CHOOSE( CONTROL!$C$31, 9.6518, 9.649) * CHOOSE(CONTROL!$C$14, $D$10, 100%, $F$10)</f>
        <v>9.6517999999999997</v>
      </c>
      <c r="K369" s="4"/>
      <c r="L369" s="9">
        <v>29.7257</v>
      </c>
      <c r="M369" s="9">
        <v>11.6745</v>
      </c>
      <c r="N369" s="9">
        <v>4.7850000000000001</v>
      </c>
      <c r="O369" s="9">
        <v>0.36199999999999999</v>
      </c>
      <c r="P369" s="9">
        <v>1.1791</v>
      </c>
      <c r="Q369" s="9">
        <v>19.738800000000001</v>
      </c>
      <c r="R369" s="9"/>
      <c r="S369" s="11"/>
    </row>
    <row r="370" spans="1:19" ht="15.75">
      <c r="A370" s="13">
        <v>53174</v>
      </c>
      <c r="B370" s="8">
        <f>CHOOSE( CONTROL!$C$31, 10.4461, 10.4431) * CHOOSE(CONTROL!$C$14, $D$10, 100%, $F$10)</f>
        <v>10.446099999999999</v>
      </c>
      <c r="C370" s="8">
        <f>CHOOSE( CONTROL!$C$31, 10.4541, 10.4512) * CHOOSE(CONTROL!$C$14, $D$10, 100%, $F$10)</f>
        <v>10.4541</v>
      </c>
      <c r="D370" s="8">
        <f>CHOOSE( CONTROL!$C$31, 10.4592, 10.4563) * CHOOSE( CONTROL!$C$14, $D$10, 100%, $F$10)</f>
        <v>10.459199999999999</v>
      </c>
      <c r="E370" s="12">
        <f>CHOOSE( CONTROL!$C$31, 10.4561, 10.4532) * CHOOSE( CONTROL!$C$14, $D$10, 100%, $F$10)</f>
        <v>10.456099999999999</v>
      </c>
      <c r="F370" s="4">
        <f>CHOOSE( CONTROL!$C$31, 11.1276, 11.1247) * CHOOSE(CONTROL!$C$14, $D$10, 100%, $F$10)</f>
        <v>11.127599999999999</v>
      </c>
      <c r="G370" s="8">
        <f>CHOOSE( CONTROL!$C$31, 10.2436, 10.2407) * CHOOSE( CONTROL!$C$14, $D$10, 100%, $F$10)</f>
        <v>10.243600000000001</v>
      </c>
      <c r="H370" s="4">
        <f>CHOOSE( CONTROL!$C$31, 11.1719, 11.169) * CHOOSE(CONTROL!$C$14, $D$10, 100%, $F$10)</f>
        <v>11.171900000000001</v>
      </c>
      <c r="I370" s="8">
        <f>CHOOSE( CONTROL!$C$31, 10.1656, 10.1627) * CHOOSE(CONTROL!$C$14, $D$10, 100%, $F$10)</f>
        <v>10.1656</v>
      </c>
      <c r="J370" s="4">
        <f>CHOOSE( CONTROL!$C$31, 10.067, 10.0642) * CHOOSE(CONTROL!$C$14, $D$10, 100%, $F$10)</f>
        <v>10.067</v>
      </c>
      <c r="K370" s="4"/>
      <c r="L370" s="9">
        <v>30.7165</v>
      </c>
      <c r="M370" s="9">
        <v>12.063700000000001</v>
      </c>
      <c r="N370" s="9">
        <v>4.9444999999999997</v>
      </c>
      <c r="O370" s="9">
        <v>0.37409999999999999</v>
      </c>
      <c r="P370" s="9">
        <v>1.2183999999999999</v>
      </c>
      <c r="Q370" s="9">
        <v>20.396799999999999</v>
      </c>
      <c r="R370" s="9"/>
      <c r="S370" s="11"/>
    </row>
    <row r="371" spans="1:19" ht="15.75">
      <c r="A371" s="13">
        <v>53205</v>
      </c>
      <c r="B371" s="8">
        <f>CHOOSE( CONTROL!$C$31, 9.6424, 9.6395) * CHOOSE(CONTROL!$C$14, $D$10, 100%, $F$10)</f>
        <v>9.6424000000000003</v>
      </c>
      <c r="C371" s="8">
        <f>CHOOSE( CONTROL!$C$31, 9.6504, 9.6475) * CHOOSE(CONTROL!$C$14, $D$10, 100%, $F$10)</f>
        <v>9.6503999999999994</v>
      </c>
      <c r="D371" s="8">
        <f>CHOOSE( CONTROL!$C$31, 9.6557, 9.6527) * CHOOSE( CONTROL!$C$14, $D$10, 100%, $F$10)</f>
        <v>9.6556999999999995</v>
      </c>
      <c r="E371" s="12">
        <f>CHOOSE( CONTROL!$C$31, 9.6526, 9.6496) * CHOOSE( CONTROL!$C$14, $D$10, 100%, $F$10)</f>
        <v>9.6525999999999996</v>
      </c>
      <c r="F371" s="4">
        <f>CHOOSE( CONTROL!$C$31, 10.324, 10.3211) * CHOOSE(CONTROL!$C$14, $D$10, 100%, $F$10)</f>
        <v>10.324</v>
      </c>
      <c r="G371" s="8">
        <f>CHOOSE( CONTROL!$C$31, 9.4534, 9.4505) * CHOOSE( CONTROL!$C$14, $D$10, 100%, $F$10)</f>
        <v>9.4534000000000002</v>
      </c>
      <c r="H371" s="4">
        <f>CHOOSE( CONTROL!$C$31, 10.3816, 10.3787) * CHOOSE(CONTROL!$C$14, $D$10, 100%, $F$10)</f>
        <v>10.381600000000001</v>
      </c>
      <c r="I371" s="8">
        <f>CHOOSE( CONTROL!$C$31, 9.3887, 9.3859) * CHOOSE(CONTROL!$C$14, $D$10, 100%, $F$10)</f>
        <v>9.3887</v>
      </c>
      <c r="J371" s="4">
        <f>CHOOSE( CONTROL!$C$31, 9.2901, 9.2873) * CHOOSE(CONTROL!$C$14, $D$10, 100%, $F$10)</f>
        <v>9.2901000000000007</v>
      </c>
      <c r="K371" s="4"/>
      <c r="L371" s="9">
        <v>30.7165</v>
      </c>
      <c r="M371" s="9">
        <v>12.063700000000001</v>
      </c>
      <c r="N371" s="9">
        <v>4.9444999999999997</v>
      </c>
      <c r="O371" s="9">
        <v>0.37409999999999999</v>
      </c>
      <c r="P371" s="9">
        <v>1.2183999999999999</v>
      </c>
      <c r="Q371" s="9">
        <v>20.396799999999999</v>
      </c>
      <c r="R371" s="9"/>
      <c r="S371" s="11"/>
    </row>
    <row r="372" spans="1:19" ht="15.75">
      <c r="A372" s="13">
        <v>53235</v>
      </c>
      <c r="B372" s="8">
        <f>CHOOSE( CONTROL!$C$31, 9.4412, 9.4383) * CHOOSE(CONTROL!$C$14, $D$10, 100%, $F$10)</f>
        <v>9.4412000000000003</v>
      </c>
      <c r="C372" s="8">
        <f>CHOOSE( CONTROL!$C$31, 9.4492, 9.4463) * CHOOSE(CONTROL!$C$14, $D$10, 100%, $F$10)</f>
        <v>9.4491999999999994</v>
      </c>
      <c r="D372" s="8">
        <f>CHOOSE( CONTROL!$C$31, 9.4544, 9.4515) * CHOOSE( CONTROL!$C$14, $D$10, 100%, $F$10)</f>
        <v>9.4543999999999997</v>
      </c>
      <c r="E372" s="12">
        <f>CHOOSE( CONTROL!$C$31, 9.4513, 9.4484) * CHOOSE( CONTROL!$C$14, $D$10, 100%, $F$10)</f>
        <v>9.4512999999999998</v>
      </c>
      <c r="F372" s="4">
        <f>CHOOSE( CONTROL!$C$31, 10.1227, 10.1198) * CHOOSE(CONTROL!$C$14, $D$10, 100%, $F$10)</f>
        <v>10.1227</v>
      </c>
      <c r="G372" s="8">
        <f>CHOOSE( CONTROL!$C$31, 9.2555, 9.2526) * CHOOSE( CONTROL!$C$14, $D$10, 100%, $F$10)</f>
        <v>9.2554999999999996</v>
      </c>
      <c r="H372" s="4">
        <f>CHOOSE( CONTROL!$C$31, 10.1836, 10.1808) * CHOOSE(CONTROL!$C$14, $D$10, 100%, $F$10)</f>
        <v>10.1836</v>
      </c>
      <c r="I372" s="8">
        <f>CHOOSE( CONTROL!$C$31, 9.194, 9.1912) * CHOOSE(CONTROL!$C$14, $D$10, 100%, $F$10)</f>
        <v>9.1940000000000008</v>
      </c>
      <c r="J372" s="4">
        <f>CHOOSE( CONTROL!$C$31, 9.0956, 9.0927) * CHOOSE(CONTROL!$C$14, $D$10, 100%, $F$10)</f>
        <v>9.0955999999999992</v>
      </c>
      <c r="K372" s="4"/>
      <c r="L372" s="9">
        <v>29.7257</v>
      </c>
      <c r="M372" s="9">
        <v>11.6745</v>
      </c>
      <c r="N372" s="9">
        <v>4.7850000000000001</v>
      </c>
      <c r="O372" s="9">
        <v>0.36199999999999999</v>
      </c>
      <c r="P372" s="9">
        <v>1.1791</v>
      </c>
      <c r="Q372" s="9">
        <v>19.738800000000001</v>
      </c>
      <c r="R372" s="9"/>
      <c r="S372" s="11"/>
    </row>
    <row r="373" spans="1:19" ht="15.75">
      <c r="A373" s="13">
        <v>53266</v>
      </c>
      <c r="B373" s="8">
        <f>9.8544 * CHOOSE(CONTROL!$C$14, $D$10, 100%, $F$10)</f>
        <v>9.8544</v>
      </c>
      <c r="C373" s="8">
        <f>9.8598 * CHOOSE(CONTROL!$C$14, $D$10, 100%, $F$10)</f>
        <v>9.8597999999999999</v>
      </c>
      <c r="D373" s="8">
        <f>9.8697 * CHOOSE( CONTROL!$C$14, $D$10, 100%, $F$10)</f>
        <v>9.8696999999999999</v>
      </c>
      <c r="E373" s="12">
        <f>9.8659 * CHOOSE( CONTROL!$C$14, $D$10, 100%, $F$10)</f>
        <v>9.8658999999999999</v>
      </c>
      <c r="F373" s="4">
        <f>10.5377 * CHOOSE(CONTROL!$C$14, $D$10, 100%, $F$10)</f>
        <v>10.537699999999999</v>
      </c>
      <c r="G373" s="8">
        <f>9.6632 * CHOOSE( CONTROL!$C$14, $D$10, 100%, $F$10)</f>
        <v>9.6631999999999998</v>
      </c>
      <c r="H373" s="4">
        <f>10.5917 * CHOOSE(CONTROL!$C$14, $D$10, 100%, $F$10)</f>
        <v>10.591699999999999</v>
      </c>
      <c r="I373" s="8">
        <f>9.5961 * CHOOSE(CONTROL!$C$14, $D$10, 100%, $F$10)</f>
        <v>9.5960999999999999</v>
      </c>
      <c r="J373" s="4">
        <f>9.4967 * CHOOSE(CONTROL!$C$14, $D$10, 100%, $F$10)</f>
        <v>9.4967000000000006</v>
      </c>
      <c r="K373" s="4"/>
      <c r="L373" s="9">
        <v>31.095300000000002</v>
      </c>
      <c r="M373" s="9">
        <v>12.063700000000001</v>
      </c>
      <c r="N373" s="9">
        <v>4.9444999999999997</v>
      </c>
      <c r="O373" s="9">
        <v>0.37409999999999999</v>
      </c>
      <c r="P373" s="9">
        <v>1.2183999999999999</v>
      </c>
      <c r="Q373" s="9">
        <v>20.396799999999999</v>
      </c>
      <c r="R373" s="9"/>
      <c r="S373" s="11"/>
    </row>
    <row r="374" spans="1:19" ht="15.75">
      <c r="A374" s="13">
        <v>53296</v>
      </c>
      <c r="B374" s="8">
        <f>10.6252 * CHOOSE(CONTROL!$C$14, $D$10, 100%, $F$10)</f>
        <v>10.6252</v>
      </c>
      <c r="C374" s="8">
        <f>10.6304 * CHOOSE(CONTROL!$C$14, $D$10, 100%, $F$10)</f>
        <v>10.6304</v>
      </c>
      <c r="D374" s="8">
        <f>10.6066 * CHOOSE( CONTROL!$C$14, $D$10, 100%, $F$10)</f>
        <v>10.6066</v>
      </c>
      <c r="E374" s="12">
        <f>10.6147 * CHOOSE( CONTROL!$C$14, $D$10, 100%, $F$10)</f>
        <v>10.614699999999999</v>
      </c>
      <c r="F374" s="4">
        <f>11.2727 * CHOOSE(CONTROL!$C$14, $D$10, 100%, $F$10)</f>
        <v>11.2727</v>
      </c>
      <c r="G374" s="8">
        <f>10.4314 * CHOOSE( CONTROL!$C$14, $D$10, 100%, $F$10)</f>
        <v>10.4314</v>
      </c>
      <c r="H374" s="4">
        <f>11.3146 * CHOOSE(CONTROL!$C$14, $D$10, 100%, $F$10)</f>
        <v>11.3146</v>
      </c>
      <c r="I374" s="8">
        <f>10.3725 * CHOOSE(CONTROL!$C$14, $D$10, 100%, $F$10)</f>
        <v>10.3725</v>
      </c>
      <c r="J374" s="4">
        <f>10.2422 * CHOOSE(CONTROL!$C$14, $D$10, 100%, $F$10)</f>
        <v>10.2422</v>
      </c>
      <c r="K374" s="4"/>
      <c r="L374" s="9">
        <v>28.360600000000002</v>
      </c>
      <c r="M374" s="9">
        <v>11.6745</v>
      </c>
      <c r="N374" s="9">
        <v>4.7850000000000001</v>
      </c>
      <c r="O374" s="9">
        <v>0.36199999999999999</v>
      </c>
      <c r="P374" s="9">
        <v>1.2509999999999999</v>
      </c>
      <c r="Q374" s="9">
        <v>19.738800000000001</v>
      </c>
      <c r="R374" s="9"/>
      <c r="S374" s="11"/>
    </row>
    <row r="375" spans="1:19" ht="15.75">
      <c r="A375" s="13">
        <v>53327</v>
      </c>
      <c r="B375" s="8">
        <f>10.606 * CHOOSE(CONTROL!$C$14, $D$10, 100%, $F$10)</f>
        <v>10.606</v>
      </c>
      <c r="C375" s="8">
        <f>10.6111 * CHOOSE(CONTROL!$C$14, $D$10, 100%, $F$10)</f>
        <v>10.6111</v>
      </c>
      <c r="D375" s="8">
        <f>10.5887 * CHOOSE( CONTROL!$C$14, $D$10, 100%, $F$10)</f>
        <v>10.588699999999999</v>
      </c>
      <c r="E375" s="12">
        <f>10.5963 * CHOOSE( CONTROL!$C$14, $D$10, 100%, $F$10)</f>
        <v>10.596299999999999</v>
      </c>
      <c r="F375" s="4">
        <f>11.2534 * CHOOSE(CONTROL!$C$14, $D$10, 100%, $F$10)</f>
        <v>11.253399999999999</v>
      </c>
      <c r="G375" s="8">
        <f>10.4135 * CHOOSE( CONTROL!$C$14, $D$10, 100%, $F$10)</f>
        <v>10.413500000000001</v>
      </c>
      <c r="H375" s="4">
        <f>11.2956 * CHOOSE(CONTROL!$C$14, $D$10, 100%, $F$10)</f>
        <v>11.2956</v>
      </c>
      <c r="I375" s="8">
        <f>10.3583 * CHOOSE(CONTROL!$C$14, $D$10, 100%, $F$10)</f>
        <v>10.3583</v>
      </c>
      <c r="J375" s="4">
        <f>10.2236 * CHOOSE(CONTROL!$C$14, $D$10, 100%, $F$10)</f>
        <v>10.223599999999999</v>
      </c>
      <c r="K375" s="4"/>
      <c r="L375" s="9">
        <v>29.306000000000001</v>
      </c>
      <c r="M375" s="9">
        <v>12.063700000000001</v>
      </c>
      <c r="N375" s="9">
        <v>4.9444999999999997</v>
      </c>
      <c r="O375" s="9">
        <v>0.37409999999999999</v>
      </c>
      <c r="P375" s="9">
        <v>1.2927</v>
      </c>
      <c r="Q375" s="9">
        <v>20.396799999999999</v>
      </c>
      <c r="R375" s="9"/>
      <c r="S375" s="11"/>
    </row>
    <row r="376" spans="1:19" ht="15.75">
      <c r="A376" s="13">
        <v>53358</v>
      </c>
      <c r="B376" s="8">
        <f>11.0102 * CHOOSE(CONTROL!$C$14, $D$10, 100%, $F$10)</f>
        <v>11.010199999999999</v>
      </c>
      <c r="C376" s="8">
        <f>11.0153 * CHOOSE(CONTROL!$C$14, $D$10, 100%, $F$10)</f>
        <v>11.0153</v>
      </c>
      <c r="D376" s="8">
        <f>11.0111 * CHOOSE( CONTROL!$C$14, $D$10, 100%, $F$10)</f>
        <v>11.011100000000001</v>
      </c>
      <c r="E376" s="12">
        <f>11.0121 * CHOOSE( CONTROL!$C$14, $D$10, 100%, $F$10)</f>
        <v>11.0121</v>
      </c>
      <c r="F376" s="4">
        <f>11.6887 * CHOOSE(CONTROL!$C$14, $D$10, 100%, $F$10)</f>
        <v>11.688700000000001</v>
      </c>
      <c r="G376" s="8">
        <f>10.8252 * CHOOSE( CONTROL!$C$14, $D$10, 100%, $F$10)</f>
        <v>10.825200000000001</v>
      </c>
      <c r="H376" s="4">
        <f>11.7236 * CHOOSE(CONTROL!$C$14, $D$10, 100%, $F$10)</f>
        <v>11.723599999999999</v>
      </c>
      <c r="I376" s="8">
        <f>10.7283 * CHOOSE(CONTROL!$C$14, $D$10, 100%, $F$10)</f>
        <v>10.728300000000001</v>
      </c>
      <c r="J376" s="4">
        <f>10.6144 * CHOOSE(CONTROL!$C$14, $D$10, 100%, $F$10)</f>
        <v>10.6144</v>
      </c>
      <c r="K376" s="4"/>
      <c r="L376" s="9">
        <v>29.306000000000001</v>
      </c>
      <c r="M376" s="9">
        <v>12.063700000000001</v>
      </c>
      <c r="N376" s="9">
        <v>4.9444999999999997</v>
      </c>
      <c r="O376" s="9">
        <v>0.37409999999999999</v>
      </c>
      <c r="P376" s="9">
        <v>1.2927</v>
      </c>
      <c r="Q376" s="9">
        <v>20.331700000000001</v>
      </c>
      <c r="R376" s="9"/>
      <c r="S376" s="11"/>
    </row>
    <row r="377" spans="1:19" ht="15.75">
      <c r="A377" s="13">
        <v>53386</v>
      </c>
      <c r="B377" s="8">
        <f>10.3003 * CHOOSE(CONTROL!$C$14, $D$10, 100%, $F$10)</f>
        <v>10.3003</v>
      </c>
      <c r="C377" s="8">
        <f>10.3054 * CHOOSE(CONTROL!$C$14, $D$10, 100%, $F$10)</f>
        <v>10.305400000000001</v>
      </c>
      <c r="D377" s="8">
        <f>10.2953 * CHOOSE( CONTROL!$C$14, $D$10, 100%, $F$10)</f>
        <v>10.295299999999999</v>
      </c>
      <c r="E377" s="12">
        <f>10.2984 * CHOOSE( CONTROL!$C$14, $D$10, 100%, $F$10)</f>
        <v>10.298400000000001</v>
      </c>
      <c r="F377" s="4">
        <f>10.953 * CHOOSE(CONTROL!$C$14, $D$10, 100%, $F$10)</f>
        <v>10.952999999999999</v>
      </c>
      <c r="G377" s="8">
        <f>10.119 * CHOOSE( CONTROL!$C$14, $D$10, 100%, $F$10)</f>
        <v>10.119</v>
      </c>
      <c r="H377" s="4">
        <f>11.0001 * CHOOSE(CONTROL!$C$14, $D$10, 100%, $F$10)</f>
        <v>11.0001</v>
      </c>
      <c r="I377" s="8">
        <f>10.0324 * CHOOSE(CONTROL!$C$14, $D$10, 100%, $F$10)</f>
        <v>10.032400000000001</v>
      </c>
      <c r="J377" s="4">
        <f>9.9282 * CHOOSE(CONTROL!$C$14, $D$10, 100%, $F$10)</f>
        <v>9.9282000000000004</v>
      </c>
      <c r="K377" s="4"/>
      <c r="L377" s="9">
        <v>26.469899999999999</v>
      </c>
      <c r="M377" s="9">
        <v>10.8962</v>
      </c>
      <c r="N377" s="9">
        <v>4.4660000000000002</v>
      </c>
      <c r="O377" s="9">
        <v>0.33789999999999998</v>
      </c>
      <c r="P377" s="9">
        <v>1.1676</v>
      </c>
      <c r="Q377" s="9">
        <v>18.364100000000001</v>
      </c>
      <c r="R377" s="9"/>
      <c r="S377" s="11"/>
    </row>
    <row r="378" spans="1:19" ht="15.75">
      <c r="A378" s="13">
        <v>53417</v>
      </c>
      <c r="B378" s="8">
        <f>10.0817 * CHOOSE(CONTROL!$C$14, $D$10, 100%, $F$10)</f>
        <v>10.0817</v>
      </c>
      <c r="C378" s="8">
        <f>10.0868 * CHOOSE(CONTROL!$C$14, $D$10, 100%, $F$10)</f>
        <v>10.0868</v>
      </c>
      <c r="D378" s="8">
        <f>10.0702 * CHOOSE( CONTROL!$C$14, $D$10, 100%, $F$10)</f>
        <v>10.0702</v>
      </c>
      <c r="E378" s="12">
        <f>10.0757 * CHOOSE( CONTROL!$C$14, $D$10, 100%, $F$10)</f>
        <v>10.075699999999999</v>
      </c>
      <c r="F378" s="4">
        <f>10.7343 * CHOOSE(CONTROL!$C$14, $D$10, 100%, $F$10)</f>
        <v>10.734299999999999</v>
      </c>
      <c r="G378" s="8">
        <f>9.8958 * CHOOSE( CONTROL!$C$14, $D$10, 100%, $F$10)</f>
        <v>9.8957999999999995</v>
      </c>
      <c r="H378" s="4">
        <f>10.7851 * CHOOSE(CONTROL!$C$14, $D$10, 100%, $F$10)</f>
        <v>10.7851</v>
      </c>
      <c r="I378" s="8">
        <f>9.8008 * CHOOSE(CONTROL!$C$14, $D$10, 100%, $F$10)</f>
        <v>9.8008000000000006</v>
      </c>
      <c r="J378" s="4">
        <f>9.7168 * CHOOSE(CONTROL!$C$14, $D$10, 100%, $F$10)</f>
        <v>9.7167999999999992</v>
      </c>
      <c r="K378" s="4"/>
      <c r="L378" s="9">
        <v>29.306000000000001</v>
      </c>
      <c r="M378" s="9">
        <v>12.063700000000001</v>
      </c>
      <c r="N378" s="9">
        <v>4.9444999999999997</v>
      </c>
      <c r="O378" s="9">
        <v>0.37409999999999999</v>
      </c>
      <c r="P378" s="9">
        <v>1.2927</v>
      </c>
      <c r="Q378" s="9">
        <v>20.331700000000001</v>
      </c>
      <c r="R378" s="9"/>
      <c r="S378" s="11"/>
    </row>
    <row r="379" spans="1:19" ht="15.75">
      <c r="A379" s="13">
        <v>53447</v>
      </c>
      <c r="B379" s="8">
        <f>10.2352 * CHOOSE(CONTROL!$C$14, $D$10, 100%, $F$10)</f>
        <v>10.235200000000001</v>
      </c>
      <c r="C379" s="8">
        <f>10.2398 * CHOOSE(CONTROL!$C$14, $D$10, 100%, $F$10)</f>
        <v>10.239800000000001</v>
      </c>
      <c r="D379" s="8">
        <f>10.2493 * CHOOSE( CONTROL!$C$14, $D$10, 100%, $F$10)</f>
        <v>10.2493</v>
      </c>
      <c r="E379" s="12">
        <f>10.2456 * CHOOSE( CONTROL!$C$14, $D$10, 100%, $F$10)</f>
        <v>10.2456</v>
      </c>
      <c r="F379" s="4">
        <f>10.9182 * CHOOSE(CONTROL!$C$14, $D$10, 100%, $F$10)</f>
        <v>10.918200000000001</v>
      </c>
      <c r="G379" s="8">
        <f>10.0359 * CHOOSE( CONTROL!$C$14, $D$10, 100%, $F$10)</f>
        <v>10.0359</v>
      </c>
      <c r="H379" s="4">
        <f>10.9659 * CHOOSE(CONTROL!$C$14, $D$10, 100%, $F$10)</f>
        <v>10.9659</v>
      </c>
      <c r="I379" s="8">
        <f>9.9595 * CHOOSE(CONTROL!$C$14, $D$10, 100%, $F$10)</f>
        <v>9.9595000000000002</v>
      </c>
      <c r="J379" s="4">
        <f>9.8645 * CHOOSE(CONTROL!$C$14, $D$10, 100%, $F$10)</f>
        <v>9.8644999999999996</v>
      </c>
      <c r="K379" s="4"/>
      <c r="L379" s="9">
        <v>30.092199999999998</v>
      </c>
      <c r="M379" s="9">
        <v>11.6745</v>
      </c>
      <c r="N379" s="9">
        <v>4.7850000000000001</v>
      </c>
      <c r="O379" s="9">
        <v>0.36199999999999999</v>
      </c>
      <c r="P379" s="9">
        <v>1.1791</v>
      </c>
      <c r="Q379" s="9">
        <v>19.675799999999999</v>
      </c>
      <c r="R379" s="9"/>
      <c r="S379" s="11"/>
    </row>
    <row r="380" spans="1:19" ht="15.75">
      <c r="A380" s="13">
        <v>53478</v>
      </c>
      <c r="B380" s="8">
        <f>CHOOSE( CONTROL!$C$31, 10.5114, 10.5085) * CHOOSE(CONTROL!$C$14, $D$10, 100%, $F$10)</f>
        <v>10.5114</v>
      </c>
      <c r="C380" s="8">
        <f>CHOOSE( CONTROL!$C$31, 10.5194, 10.5165) * CHOOSE(CONTROL!$C$14, $D$10, 100%, $F$10)</f>
        <v>10.519399999999999</v>
      </c>
      <c r="D380" s="8">
        <f>CHOOSE( CONTROL!$C$31, 10.5241, 10.5211) * CHOOSE( CONTROL!$C$14, $D$10, 100%, $F$10)</f>
        <v>10.524100000000001</v>
      </c>
      <c r="E380" s="12">
        <f>CHOOSE( CONTROL!$C$31, 10.5212, 10.5182) * CHOOSE( CONTROL!$C$14, $D$10, 100%, $F$10)</f>
        <v>10.5212</v>
      </c>
      <c r="F380" s="4">
        <f>CHOOSE( CONTROL!$C$31, 11.193, 11.1901) * CHOOSE(CONTROL!$C$14, $D$10, 100%, $F$10)</f>
        <v>11.193</v>
      </c>
      <c r="G380" s="8">
        <f>CHOOSE( CONTROL!$C$31, 10.3071, 10.3042) * CHOOSE( CONTROL!$C$14, $D$10, 100%, $F$10)</f>
        <v>10.3071</v>
      </c>
      <c r="H380" s="4">
        <f>CHOOSE( CONTROL!$C$31, 11.2361, 11.2333) * CHOOSE(CONTROL!$C$14, $D$10, 100%, $F$10)</f>
        <v>11.2361</v>
      </c>
      <c r="I380" s="8">
        <f>CHOOSE( CONTROL!$C$31, 10.2264, 10.2236) * CHOOSE(CONTROL!$C$14, $D$10, 100%, $F$10)</f>
        <v>10.2264</v>
      </c>
      <c r="J380" s="4">
        <f>CHOOSE( CONTROL!$C$31, 10.1302, 10.1273) * CHOOSE(CONTROL!$C$14, $D$10, 100%, $F$10)</f>
        <v>10.1302</v>
      </c>
      <c r="K380" s="4"/>
      <c r="L380" s="9">
        <v>30.7165</v>
      </c>
      <c r="M380" s="9">
        <v>12.063700000000001</v>
      </c>
      <c r="N380" s="9">
        <v>4.9444999999999997</v>
      </c>
      <c r="O380" s="9">
        <v>0.37409999999999999</v>
      </c>
      <c r="P380" s="9">
        <v>1.2183999999999999</v>
      </c>
      <c r="Q380" s="9">
        <v>20.331700000000001</v>
      </c>
      <c r="R380" s="9"/>
      <c r="S380" s="11"/>
    </row>
    <row r="381" spans="1:19" ht="15.75">
      <c r="A381" s="13">
        <v>53508</v>
      </c>
      <c r="B381" s="8">
        <f>CHOOSE( CONTROL!$C$31, 10.343, 10.3401) * CHOOSE(CONTROL!$C$14, $D$10, 100%, $F$10)</f>
        <v>10.343</v>
      </c>
      <c r="C381" s="8">
        <f>CHOOSE( CONTROL!$C$31, 10.351, 10.3481) * CHOOSE(CONTROL!$C$14, $D$10, 100%, $F$10)</f>
        <v>10.351000000000001</v>
      </c>
      <c r="D381" s="8">
        <f>CHOOSE( CONTROL!$C$31, 10.3559, 10.353) * CHOOSE( CONTROL!$C$14, $D$10, 100%, $F$10)</f>
        <v>10.3559</v>
      </c>
      <c r="E381" s="12">
        <f>CHOOSE( CONTROL!$C$31, 10.3529, 10.35) * CHOOSE( CONTROL!$C$14, $D$10, 100%, $F$10)</f>
        <v>10.3529</v>
      </c>
      <c r="F381" s="4">
        <f>CHOOSE( CONTROL!$C$31, 11.0245, 11.0216) * CHOOSE(CONTROL!$C$14, $D$10, 100%, $F$10)</f>
        <v>11.0245</v>
      </c>
      <c r="G381" s="8">
        <f>CHOOSE( CONTROL!$C$31, 10.1419, 10.139) * CHOOSE( CONTROL!$C$14, $D$10, 100%, $F$10)</f>
        <v>10.1419</v>
      </c>
      <c r="H381" s="4">
        <f>CHOOSE( CONTROL!$C$31, 11.0705, 11.0676) * CHOOSE(CONTROL!$C$14, $D$10, 100%, $F$10)</f>
        <v>11.070499999999999</v>
      </c>
      <c r="I381" s="8">
        <f>CHOOSE( CONTROL!$C$31, 10.0647, 10.0619) * CHOOSE(CONTROL!$C$14, $D$10, 100%, $F$10)</f>
        <v>10.0647</v>
      </c>
      <c r="J381" s="4">
        <f>CHOOSE( CONTROL!$C$31, 9.9673, 9.9645) * CHOOSE(CONTROL!$C$14, $D$10, 100%, $F$10)</f>
        <v>9.9672999999999998</v>
      </c>
      <c r="K381" s="4"/>
      <c r="L381" s="9">
        <v>29.7257</v>
      </c>
      <c r="M381" s="9">
        <v>11.6745</v>
      </c>
      <c r="N381" s="9">
        <v>4.7850000000000001</v>
      </c>
      <c r="O381" s="9">
        <v>0.36199999999999999</v>
      </c>
      <c r="P381" s="9">
        <v>1.1791</v>
      </c>
      <c r="Q381" s="9">
        <v>19.675799999999999</v>
      </c>
      <c r="R381" s="9"/>
      <c r="S381" s="11"/>
    </row>
    <row r="382" spans="1:19" ht="15.75">
      <c r="A382" s="13">
        <v>53539</v>
      </c>
      <c r="B382" s="8">
        <f>CHOOSE( CONTROL!$C$31, 10.7865, 10.7836) * CHOOSE(CONTROL!$C$14, $D$10, 100%, $F$10)</f>
        <v>10.7865</v>
      </c>
      <c r="C382" s="8">
        <f>CHOOSE( CONTROL!$C$31, 10.7946, 10.7916) * CHOOSE(CONTROL!$C$14, $D$10, 100%, $F$10)</f>
        <v>10.794600000000001</v>
      </c>
      <c r="D382" s="8">
        <f>CHOOSE( CONTROL!$C$31, 10.7997, 10.7968) * CHOOSE( CONTROL!$C$14, $D$10, 100%, $F$10)</f>
        <v>10.7997</v>
      </c>
      <c r="E382" s="12">
        <f>CHOOSE( CONTROL!$C$31, 10.7966, 10.7937) * CHOOSE( CONTROL!$C$14, $D$10, 100%, $F$10)</f>
        <v>10.7966</v>
      </c>
      <c r="F382" s="4">
        <f>CHOOSE( CONTROL!$C$31, 11.4681, 11.4652) * CHOOSE(CONTROL!$C$14, $D$10, 100%, $F$10)</f>
        <v>11.4681</v>
      </c>
      <c r="G382" s="8">
        <f>CHOOSE( CONTROL!$C$31, 10.5784, 10.5755) * CHOOSE( CONTROL!$C$14, $D$10, 100%, $F$10)</f>
        <v>10.5784</v>
      </c>
      <c r="H382" s="4">
        <f>CHOOSE( CONTROL!$C$31, 11.5067, 11.5038) * CHOOSE(CONTROL!$C$14, $D$10, 100%, $F$10)</f>
        <v>11.5067</v>
      </c>
      <c r="I382" s="8">
        <f>CHOOSE( CONTROL!$C$31, 10.4949, 10.492) * CHOOSE(CONTROL!$C$14, $D$10, 100%, $F$10)</f>
        <v>10.494899999999999</v>
      </c>
      <c r="J382" s="4">
        <f>CHOOSE( CONTROL!$C$31, 10.3961, 10.3933) * CHOOSE(CONTROL!$C$14, $D$10, 100%, $F$10)</f>
        <v>10.396100000000001</v>
      </c>
      <c r="K382" s="4"/>
      <c r="L382" s="9">
        <v>30.7165</v>
      </c>
      <c r="M382" s="9">
        <v>12.063700000000001</v>
      </c>
      <c r="N382" s="9">
        <v>4.9444999999999997</v>
      </c>
      <c r="O382" s="9">
        <v>0.37409999999999999</v>
      </c>
      <c r="P382" s="9">
        <v>1.2183999999999999</v>
      </c>
      <c r="Q382" s="9">
        <v>20.331700000000001</v>
      </c>
      <c r="R382" s="9"/>
      <c r="S382" s="11"/>
    </row>
    <row r="383" spans="1:19" ht="15.75">
      <c r="A383" s="13">
        <v>53570</v>
      </c>
      <c r="B383" s="8">
        <f>CHOOSE( CONTROL!$C$31, 9.9566, 9.9537) * CHOOSE(CONTROL!$C$14, $D$10, 100%, $F$10)</f>
        <v>9.9565999999999999</v>
      </c>
      <c r="C383" s="8">
        <f>CHOOSE( CONTROL!$C$31, 9.9646, 9.9617) * CHOOSE(CONTROL!$C$14, $D$10, 100%, $F$10)</f>
        <v>9.9646000000000008</v>
      </c>
      <c r="D383" s="8">
        <f>CHOOSE( CONTROL!$C$31, 9.9698, 9.9669) * CHOOSE( CONTROL!$C$14, $D$10, 100%, $F$10)</f>
        <v>9.9697999999999993</v>
      </c>
      <c r="E383" s="12">
        <f>CHOOSE( CONTROL!$C$31, 9.9667, 9.9638) * CHOOSE( CONTROL!$C$14, $D$10, 100%, $F$10)</f>
        <v>9.9666999999999994</v>
      </c>
      <c r="F383" s="4">
        <f>CHOOSE( CONTROL!$C$31, 10.6382, 10.6352) * CHOOSE(CONTROL!$C$14, $D$10, 100%, $F$10)</f>
        <v>10.638199999999999</v>
      </c>
      <c r="G383" s="8">
        <f>CHOOSE( CONTROL!$C$31, 9.7624, 9.7595) * CHOOSE( CONTROL!$C$14, $D$10, 100%, $F$10)</f>
        <v>9.7623999999999995</v>
      </c>
      <c r="H383" s="4">
        <f>CHOOSE( CONTROL!$C$31, 10.6905, 10.6877) * CHOOSE(CONTROL!$C$14, $D$10, 100%, $F$10)</f>
        <v>10.6905</v>
      </c>
      <c r="I383" s="8">
        <f>CHOOSE( CONTROL!$C$31, 9.6926, 9.6898) * CHOOSE(CONTROL!$C$14, $D$10, 100%, $F$10)</f>
        <v>9.6926000000000005</v>
      </c>
      <c r="J383" s="4">
        <f>CHOOSE( CONTROL!$C$31, 9.5938, 9.591) * CHOOSE(CONTROL!$C$14, $D$10, 100%, $F$10)</f>
        <v>9.5937999999999999</v>
      </c>
      <c r="K383" s="4"/>
      <c r="L383" s="9">
        <v>30.7165</v>
      </c>
      <c r="M383" s="9">
        <v>12.063700000000001</v>
      </c>
      <c r="N383" s="9">
        <v>4.9444999999999997</v>
      </c>
      <c r="O383" s="9">
        <v>0.37409999999999999</v>
      </c>
      <c r="P383" s="9">
        <v>1.2183999999999999</v>
      </c>
      <c r="Q383" s="9">
        <v>20.331700000000001</v>
      </c>
      <c r="R383" s="9"/>
      <c r="S383" s="11"/>
    </row>
    <row r="384" spans="1:19" ht="15.75">
      <c r="A384" s="13">
        <v>53600</v>
      </c>
      <c r="B384" s="8">
        <f>CHOOSE( CONTROL!$C$31, 9.7488, 9.7459) * CHOOSE(CONTROL!$C$14, $D$10, 100%, $F$10)</f>
        <v>9.7487999999999992</v>
      </c>
      <c r="C384" s="8">
        <f>CHOOSE( CONTROL!$C$31, 9.7568, 9.7539) * CHOOSE(CONTROL!$C$14, $D$10, 100%, $F$10)</f>
        <v>9.7568000000000001</v>
      </c>
      <c r="D384" s="8">
        <f>CHOOSE( CONTROL!$C$31, 9.762, 9.7591) * CHOOSE( CONTROL!$C$14, $D$10, 100%, $F$10)</f>
        <v>9.7620000000000005</v>
      </c>
      <c r="E384" s="12">
        <f>CHOOSE( CONTROL!$C$31, 9.7589, 9.756) * CHOOSE( CONTROL!$C$14, $D$10, 100%, $F$10)</f>
        <v>9.7589000000000006</v>
      </c>
      <c r="F384" s="4">
        <f>CHOOSE( CONTROL!$C$31, 10.4303, 10.4274) * CHOOSE(CONTROL!$C$14, $D$10, 100%, $F$10)</f>
        <v>10.430300000000001</v>
      </c>
      <c r="G384" s="8">
        <f>CHOOSE( CONTROL!$C$31, 9.558, 9.5551) * CHOOSE( CONTROL!$C$14, $D$10, 100%, $F$10)</f>
        <v>9.5579999999999998</v>
      </c>
      <c r="H384" s="4">
        <f>CHOOSE( CONTROL!$C$31, 10.4862, 10.4833) * CHOOSE(CONTROL!$C$14, $D$10, 100%, $F$10)</f>
        <v>10.4862</v>
      </c>
      <c r="I384" s="8">
        <f>CHOOSE( CONTROL!$C$31, 9.4915, 9.4887) * CHOOSE(CONTROL!$C$14, $D$10, 100%, $F$10)</f>
        <v>9.4915000000000003</v>
      </c>
      <c r="J384" s="4">
        <f>CHOOSE( CONTROL!$C$31, 9.3929, 9.3901) * CHOOSE(CONTROL!$C$14, $D$10, 100%, $F$10)</f>
        <v>9.3928999999999991</v>
      </c>
      <c r="K384" s="4"/>
      <c r="L384" s="9">
        <v>29.7257</v>
      </c>
      <c r="M384" s="9">
        <v>11.6745</v>
      </c>
      <c r="N384" s="9">
        <v>4.7850000000000001</v>
      </c>
      <c r="O384" s="9">
        <v>0.36199999999999999</v>
      </c>
      <c r="P384" s="9">
        <v>1.1791</v>
      </c>
      <c r="Q384" s="9">
        <v>19.675799999999999</v>
      </c>
      <c r="R384" s="9"/>
      <c r="S384" s="11"/>
    </row>
    <row r="385" spans="1:19" ht="15.75">
      <c r="A385" s="13">
        <v>53631</v>
      </c>
      <c r="B385" s="8">
        <f>10.1757 * CHOOSE(CONTROL!$C$14, $D$10, 100%, $F$10)</f>
        <v>10.175700000000001</v>
      </c>
      <c r="C385" s="8">
        <f>10.181 * CHOOSE(CONTROL!$C$14, $D$10, 100%, $F$10)</f>
        <v>10.180999999999999</v>
      </c>
      <c r="D385" s="8">
        <f>10.191 * CHOOSE( CONTROL!$C$14, $D$10, 100%, $F$10)</f>
        <v>10.191000000000001</v>
      </c>
      <c r="E385" s="12">
        <f>10.1871 * CHOOSE( CONTROL!$C$14, $D$10, 100%, $F$10)</f>
        <v>10.187099999999999</v>
      </c>
      <c r="F385" s="4">
        <f>10.8589 * CHOOSE(CONTROL!$C$14, $D$10, 100%, $F$10)</f>
        <v>10.8589</v>
      </c>
      <c r="G385" s="8">
        <f>9.9791 * CHOOSE( CONTROL!$C$14, $D$10, 100%, $F$10)</f>
        <v>9.9791000000000007</v>
      </c>
      <c r="H385" s="4">
        <f>10.9076 * CHOOSE(CONTROL!$C$14, $D$10, 100%, $F$10)</f>
        <v>10.9076</v>
      </c>
      <c r="I385" s="8">
        <f>9.9069 * CHOOSE(CONTROL!$C$14, $D$10, 100%, $F$10)</f>
        <v>9.9069000000000003</v>
      </c>
      <c r="J385" s="4">
        <f>9.8072 * CHOOSE(CONTROL!$C$14, $D$10, 100%, $F$10)</f>
        <v>9.8071999999999999</v>
      </c>
      <c r="K385" s="4"/>
      <c r="L385" s="9">
        <v>31.095300000000002</v>
      </c>
      <c r="M385" s="9">
        <v>12.063700000000001</v>
      </c>
      <c r="N385" s="9">
        <v>4.9444999999999997</v>
      </c>
      <c r="O385" s="9">
        <v>0.37409999999999999</v>
      </c>
      <c r="P385" s="9">
        <v>1.2183999999999999</v>
      </c>
      <c r="Q385" s="9">
        <v>20.331700000000001</v>
      </c>
      <c r="R385" s="9"/>
      <c r="S385" s="11"/>
    </row>
    <row r="386" spans="1:19" ht="15.75">
      <c r="A386" s="13">
        <v>53661</v>
      </c>
      <c r="B386" s="8">
        <f>10.9717 * CHOOSE(CONTROL!$C$14, $D$10, 100%, $F$10)</f>
        <v>10.9717</v>
      </c>
      <c r="C386" s="8">
        <f>10.9769 * CHOOSE(CONTROL!$C$14, $D$10, 100%, $F$10)</f>
        <v>10.976900000000001</v>
      </c>
      <c r="D386" s="8">
        <f>10.9531 * CHOOSE( CONTROL!$C$14, $D$10, 100%, $F$10)</f>
        <v>10.953099999999999</v>
      </c>
      <c r="E386" s="12">
        <f>10.9612 * CHOOSE( CONTROL!$C$14, $D$10, 100%, $F$10)</f>
        <v>10.9612</v>
      </c>
      <c r="F386" s="4">
        <f>11.6192 * CHOOSE(CONTROL!$C$14, $D$10, 100%, $F$10)</f>
        <v>11.619199999999999</v>
      </c>
      <c r="G386" s="8">
        <f>10.7722 * CHOOSE( CONTROL!$C$14, $D$10, 100%, $F$10)</f>
        <v>10.7722</v>
      </c>
      <c r="H386" s="4">
        <f>11.6553 * CHOOSE(CONTROL!$C$14, $D$10, 100%, $F$10)</f>
        <v>11.6553</v>
      </c>
      <c r="I386" s="8">
        <f>10.7077 * CHOOSE(CONTROL!$C$14, $D$10, 100%, $F$10)</f>
        <v>10.707700000000001</v>
      </c>
      <c r="J386" s="4">
        <f>10.5772 * CHOOSE(CONTROL!$C$14, $D$10, 100%, $F$10)</f>
        <v>10.577199999999999</v>
      </c>
      <c r="K386" s="4"/>
      <c r="L386" s="9">
        <v>28.360600000000002</v>
      </c>
      <c r="M386" s="9">
        <v>11.6745</v>
      </c>
      <c r="N386" s="9">
        <v>4.7850000000000001</v>
      </c>
      <c r="O386" s="9">
        <v>0.36199999999999999</v>
      </c>
      <c r="P386" s="9">
        <v>1.2509999999999999</v>
      </c>
      <c r="Q386" s="9">
        <v>19.675799999999999</v>
      </c>
      <c r="R386" s="9"/>
      <c r="S386" s="11"/>
    </row>
    <row r="387" spans="1:19" ht="15.75">
      <c r="A387" s="13">
        <v>53692</v>
      </c>
      <c r="B387" s="8">
        <f>10.9518 * CHOOSE(CONTROL!$C$14, $D$10, 100%, $F$10)</f>
        <v>10.9518</v>
      </c>
      <c r="C387" s="8">
        <f>10.957 * CHOOSE(CONTROL!$C$14, $D$10, 100%, $F$10)</f>
        <v>10.957000000000001</v>
      </c>
      <c r="D387" s="8">
        <f>10.9345 * CHOOSE( CONTROL!$C$14, $D$10, 100%, $F$10)</f>
        <v>10.9345</v>
      </c>
      <c r="E387" s="12">
        <f>10.9422 * CHOOSE( CONTROL!$C$14, $D$10, 100%, $F$10)</f>
        <v>10.9422</v>
      </c>
      <c r="F387" s="4">
        <f>11.5993 * CHOOSE(CONTROL!$C$14, $D$10, 100%, $F$10)</f>
        <v>11.599299999999999</v>
      </c>
      <c r="G387" s="8">
        <f>10.7536 * CHOOSE( CONTROL!$C$14, $D$10, 100%, $F$10)</f>
        <v>10.7536</v>
      </c>
      <c r="H387" s="4">
        <f>11.6357 * CHOOSE(CONTROL!$C$14, $D$10, 100%, $F$10)</f>
        <v>11.6357</v>
      </c>
      <c r="I387" s="8">
        <f>10.6928 * CHOOSE(CONTROL!$C$14, $D$10, 100%, $F$10)</f>
        <v>10.6928</v>
      </c>
      <c r="J387" s="4">
        <f>10.558 * CHOOSE(CONTROL!$C$14, $D$10, 100%, $F$10)</f>
        <v>10.558</v>
      </c>
      <c r="K387" s="4"/>
      <c r="L387" s="9">
        <v>29.306000000000001</v>
      </c>
      <c r="M387" s="9">
        <v>12.063700000000001</v>
      </c>
      <c r="N387" s="9">
        <v>4.9444999999999997</v>
      </c>
      <c r="O387" s="9">
        <v>0.37409999999999999</v>
      </c>
      <c r="P387" s="9">
        <v>1.2927</v>
      </c>
      <c r="Q387" s="9">
        <v>20.331700000000001</v>
      </c>
      <c r="R387" s="9"/>
      <c r="S387" s="11"/>
    </row>
    <row r="388" spans="1:19" ht="15.75">
      <c r="A388" s="13">
        <v>53723</v>
      </c>
      <c r="B388" s="8">
        <f>11.3693 * CHOOSE(CONTROL!$C$14, $D$10, 100%, $F$10)</f>
        <v>11.369300000000001</v>
      </c>
      <c r="C388" s="8">
        <f>11.3744 * CHOOSE(CONTROL!$C$14, $D$10, 100%, $F$10)</f>
        <v>11.3744</v>
      </c>
      <c r="D388" s="8">
        <f>11.3702 * CHOOSE( CONTROL!$C$14, $D$10, 100%, $F$10)</f>
        <v>11.370200000000001</v>
      </c>
      <c r="E388" s="12">
        <f>11.3712 * CHOOSE( CONTROL!$C$14, $D$10, 100%, $F$10)</f>
        <v>11.3712</v>
      </c>
      <c r="F388" s="4">
        <f>12.0478 * CHOOSE(CONTROL!$C$14, $D$10, 100%, $F$10)</f>
        <v>12.047800000000001</v>
      </c>
      <c r="G388" s="8">
        <f>11.1783 * CHOOSE( CONTROL!$C$14, $D$10, 100%, $F$10)</f>
        <v>11.1783</v>
      </c>
      <c r="H388" s="4">
        <f>12.0768 * CHOOSE(CONTROL!$C$14, $D$10, 100%, $F$10)</f>
        <v>12.0768</v>
      </c>
      <c r="I388" s="8">
        <f>11.0756 * CHOOSE(CONTROL!$C$14, $D$10, 100%, $F$10)</f>
        <v>11.0756</v>
      </c>
      <c r="J388" s="4">
        <f>10.9615 * CHOOSE(CONTROL!$C$14, $D$10, 100%, $F$10)</f>
        <v>10.961499999999999</v>
      </c>
      <c r="K388" s="4"/>
      <c r="L388" s="9">
        <v>29.306000000000001</v>
      </c>
      <c r="M388" s="9">
        <v>12.063700000000001</v>
      </c>
      <c r="N388" s="9">
        <v>4.9444999999999997</v>
      </c>
      <c r="O388" s="9">
        <v>0.37409999999999999</v>
      </c>
      <c r="P388" s="9">
        <v>1.2927</v>
      </c>
      <c r="Q388" s="9">
        <v>20.2666</v>
      </c>
      <c r="R388" s="9"/>
      <c r="S388" s="11"/>
    </row>
    <row r="389" spans="1:19" ht="15.75">
      <c r="A389" s="13">
        <v>53751</v>
      </c>
      <c r="B389" s="8">
        <f>10.6362 * CHOOSE(CONTROL!$C$14, $D$10, 100%, $F$10)</f>
        <v>10.636200000000001</v>
      </c>
      <c r="C389" s="8">
        <f>10.6413 * CHOOSE(CONTROL!$C$14, $D$10, 100%, $F$10)</f>
        <v>10.641299999999999</v>
      </c>
      <c r="D389" s="8">
        <f>10.6312 * CHOOSE( CONTROL!$C$14, $D$10, 100%, $F$10)</f>
        <v>10.6312</v>
      </c>
      <c r="E389" s="12">
        <f>10.6343 * CHOOSE( CONTROL!$C$14, $D$10, 100%, $F$10)</f>
        <v>10.6343</v>
      </c>
      <c r="F389" s="4">
        <f>11.2888 * CHOOSE(CONTROL!$C$14, $D$10, 100%, $F$10)</f>
        <v>11.2888</v>
      </c>
      <c r="G389" s="8">
        <f>10.4493 * CHOOSE( CONTROL!$C$14, $D$10, 100%, $F$10)</f>
        <v>10.449299999999999</v>
      </c>
      <c r="H389" s="4">
        <f>11.3304 * CHOOSE(CONTROL!$C$14, $D$10, 100%, $F$10)</f>
        <v>11.330399999999999</v>
      </c>
      <c r="I389" s="8">
        <f>10.3572 * CHOOSE(CONTROL!$C$14, $D$10, 100%, $F$10)</f>
        <v>10.357200000000001</v>
      </c>
      <c r="J389" s="4">
        <f>10.2528 * CHOOSE(CONTROL!$C$14, $D$10, 100%, $F$10)</f>
        <v>10.252800000000001</v>
      </c>
      <c r="K389" s="4"/>
      <c r="L389" s="9">
        <v>26.469899999999999</v>
      </c>
      <c r="M389" s="9">
        <v>10.8962</v>
      </c>
      <c r="N389" s="9">
        <v>4.4660000000000002</v>
      </c>
      <c r="O389" s="9">
        <v>0.33789999999999998</v>
      </c>
      <c r="P389" s="9">
        <v>1.1676</v>
      </c>
      <c r="Q389" s="9">
        <v>18.305299999999999</v>
      </c>
      <c r="R389" s="9"/>
      <c r="S389" s="11"/>
    </row>
    <row r="390" spans="1:19" ht="15.75">
      <c r="A390" s="13">
        <v>53782</v>
      </c>
      <c r="B390" s="8">
        <f>10.4104 * CHOOSE(CONTROL!$C$14, $D$10, 100%, $F$10)</f>
        <v>10.410399999999999</v>
      </c>
      <c r="C390" s="8">
        <f>10.4155 * CHOOSE(CONTROL!$C$14, $D$10, 100%, $F$10)</f>
        <v>10.4155</v>
      </c>
      <c r="D390" s="8">
        <f>10.399 * CHOOSE( CONTROL!$C$14, $D$10, 100%, $F$10)</f>
        <v>10.398999999999999</v>
      </c>
      <c r="E390" s="12">
        <f>10.4045 * CHOOSE( CONTROL!$C$14, $D$10, 100%, $F$10)</f>
        <v>10.404500000000001</v>
      </c>
      <c r="F390" s="4">
        <f>11.0631 * CHOOSE(CONTROL!$C$14, $D$10, 100%, $F$10)</f>
        <v>11.0631</v>
      </c>
      <c r="G390" s="8">
        <f>10.2191 * CHOOSE( CONTROL!$C$14, $D$10, 100%, $F$10)</f>
        <v>10.219099999999999</v>
      </c>
      <c r="H390" s="4">
        <f>11.1084 * CHOOSE(CONTROL!$C$14, $D$10, 100%, $F$10)</f>
        <v>11.1084</v>
      </c>
      <c r="I390" s="8">
        <f>10.1187 * CHOOSE(CONTROL!$C$14, $D$10, 100%, $F$10)</f>
        <v>10.1187</v>
      </c>
      <c r="J390" s="4">
        <f>10.0346 * CHOOSE(CONTROL!$C$14, $D$10, 100%, $F$10)</f>
        <v>10.034599999999999</v>
      </c>
      <c r="K390" s="4"/>
      <c r="L390" s="9">
        <v>29.306000000000001</v>
      </c>
      <c r="M390" s="9">
        <v>12.063700000000001</v>
      </c>
      <c r="N390" s="9">
        <v>4.9444999999999997</v>
      </c>
      <c r="O390" s="9">
        <v>0.37409999999999999</v>
      </c>
      <c r="P390" s="9">
        <v>1.2927</v>
      </c>
      <c r="Q390" s="9">
        <v>20.2666</v>
      </c>
      <c r="R390" s="9"/>
      <c r="S390" s="11"/>
    </row>
    <row r="391" spans="1:19" ht="15.75">
      <c r="A391" s="13">
        <v>53812</v>
      </c>
      <c r="B391" s="8">
        <f>10.569 * CHOOSE(CONTROL!$C$14, $D$10, 100%, $F$10)</f>
        <v>10.569000000000001</v>
      </c>
      <c r="C391" s="8">
        <f>10.5735 * CHOOSE(CONTROL!$C$14, $D$10, 100%, $F$10)</f>
        <v>10.573499999999999</v>
      </c>
      <c r="D391" s="8">
        <f>10.583 * CHOOSE( CONTROL!$C$14, $D$10, 100%, $F$10)</f>
        <v>10.583</v>
      </c>
      <c r="E391" s="12">
        <f>10.5793 * CHOOSE( CONTROL!$C$14, $D$10, 100%, $F$10)</f>
        <v>10.5793</v>
      </c>
      <c r="F391" s="4">
        <f>11.2519 * CHOOSE(CONTROL!$C$14, $D$10, 100%, $F$10)</f>
        <v>11.251899999999999</v>
      </c>
      <c r="G391" s="8">
        <f>10.3641 * CHOOSE( CONTROL!$C$14, $D$10, 100%, $F$10)</f>
        <v>10.364100000000001</v>
      </c>
      <c r="H391" s="4">
        <f>11.2941 * CHOOSE(CONTROL!$C$14, $D$10, 100%, $F$10)</f>
        <v>11.2941</v>
      </c>
      <c r="I391" s="8">
        <f>10.2823 * CHOOSE(CONTROL!$C$14, $D$10, 100%, $F$10)</f>
        <v>10.282299999999999</v>
      </c>
      <c r="J391" s="4">
        <f>10.1871 * CHOOSE(CONTROL!$C$14, $D$10, 100%, $F$10)</f>
        <v>10.187099999999999</v>
      </c>
      <c r="K391" s="4"/>
      <c r="L391" s="9">
        <v>30.092199999999998</v>
      </c>
      <c r="M391" s="9">
        <v>11.6745</v>
      </c>
      <c r="N391" s="9">
        <v>4.7850000000000001</v>
      </c>
      <c r="O391" s="9">
        <v>0.36199999999999999</v>
      </c>
      <c r="P391" s="9">
        <v>1.1791</v>
      </c>
      <c r="Q391" s="9">
        <v>19.6128</v>
      </c>
      <c r="R391" s="9"/>
      <c r="S391" s="11"/>
    </row>
    <row r="392" spans="1:19" ht="15.75">
      <c r="A392" s="13">
        <v>53843</v>
      </c>
      <c r="B392" s="8">
        <f>CHOOSE( CONTROL!$C$31, 10.854, 10.8511) * CHOOSE(CONTROL!$C$14, $D$10, 100%, $F$10)</f>
        <v>10.853999999999999</v>
      </c>
      <c r="C392" s="8">
        <f>CHOOSE( CONTROL!$C$31, 10.8621, 10.8591) * CHOOSE(CONTROL!$C$14, $D$10, 100%, $F$10)</f>
        <v>10.8621</v>
      </c>
      <c r="D392" s="8">
        <f>CHOOSE( CONTROL!$C$31, 10.8667, 10.8638) * CHOOSE( CONTROL!$C$14, $D$10, 100%, $F$10)</f>
        <v>10.8667</v>
      </c>
      <c r="E392" s="12">
        <f>CHOOSE( CONTROL!$C$31, 10.8638, 10.8609) * CHOOSE( CONTROL!$C$14, $D$10, 100%, $F$10)</f>
        <v>10.863799999999999</v>
      </c>
      <c r="F392" s="4">
        <f>CHOOSE( CONTROL!$C$31, 11.5356, 11.5327) * CHOOSE(CONTROL!$C$14, $D$10, 100%, $F$10)</f>
        <v>11.535600000000001</v>
      </c>
      <c r="G392" s="8">
        <f>CHOOSE( CONTROL!$C$31, 10.6441, 10.6412) * CHOOSE( CONTROL!$C$14, $D$10, 100%, $F$10)</f>
        <v>10.6441</v>
      </c>
      <c r="H392" s="4">
        <f>CHOOSE( CONTROL!$C$31, 11.5731, 11.5702) * CHOOSE(CONTROL!$C$14, $D$10, 100%, $F$10)</f>
        <v>11.5731</v>
      </c>
      <c r="I392" s="8">
        <f>CHOOSE( CONTROL!$C$31, 10.5578, 10.5549) * CHOOSE(CONTROL!$C$14, $D$10, 100%, $F$10)</f>
        <v>10.5578</v>
      </c>
      <c r="J392" s="4">
        <f>CHOOSE( CONTROL!$C$31, 10.4614, 10.4585) * CHOOSE(CONTROL!$C$14, $D$10, 100%, $F$10)</f>
        <v>10.461399999999999</v>
      </c>
      <c r="K392" s="4"/>
      <c r="L392" s="9">
        <v>30.7165</v>
      </c>
      <c r="M392" s="9">
        <v>12.063700000000001</v>
      </c>
      <c r="N392" s="9">
        <v>4.9444999999999997</v>
      </c>
      <c r="O392" s="9">
        <v>0.37409999999999999</v>
      </c>
      <c r="P392" s="9">
        <v>1.2183999999999999</v>
      </c>
      <c r="Q392" s="9">
        <v>20.2666</v>
      </c>
      <c r="R392" s="9"/>
      <c r="S392" s="11"/>
    </row>
    <row r="393" spans="1:19" ht="15.75">
      <c r="A393" s="13">
        <v>53873</v>
      </c>
      <c r="B393" s="8">
        <f>CHOOSE( CONTROL!$C$31, 10.6801, 10.6772) * CHOOSE(CONTROL!$C$14, $D$10, 100%, $F$10)</f>
        <v>10.680099999999999</v>
      </c>
      <c r="C393" s="8">
        <f>CHOOSE( CONTROL!$C$31, 10.6881, 10.6852) * CHOOSE(CONTROL!$C$14, $D$10, 100%, $F$10)</f>
        <v>10.6881</v>
      </c>
      <c r="D393" s="8">
        <f>CHOOSE( CONTROL!$C$31, 10.693, 10.6901) * CHOOSE( CONTROL!$C$14, $D$10, 100%, $F$10)</f>
        <v>10.693</v>
      </c>
      <c r="E393" s="12">
        <f>CHOOSE( CONTROL!$C$31, 10.69, 10.6871) * CHOOSE( CONTROL!$C$14, $D$10, 100%, $F$10)</f>
        <v>10.69</v>
      </c>
      <c r="F393" s="4">
        <f>CHOOSE( CONTROL!$C$31, 11.3616, 11.3587) * CHOOSE(CONTROL!$C$14, $D$10, 100%, $F$10)</f>
        <v>11.361599999999999</v>
      </c>
      <c r="G393" s="8">
        <f>CHOOSE( CONTROL!$C$31, 10.4734, 10.4705) * CHOOSE( CONTROL!$C$14, $D$10, 100%, $F$10)</f>
        <v>10.4734</v>
      </c>
      <c r="H393" s="4">
        <f>CHOOSE( CONTROL!$C$31, 11.402, 11.3991) * CHOOSE(CONTROL!$C$14, $D$10, 100%, $F$10)</f>
        <v>11.401999999999999</v>
      </c>
      <c r="I393" s="8">
        <f>CHOOSE( CONTROL!$C$31, 10.3908, 10.3879) * CHOOSE(CONTROL!$C$14, $D$10, 100%, $F$10)</f>
        <v>10.3908</v>
      </c>
      <c r="J393" s="4">
        <f>CHOOSE( CONTROL!$C$31, 10.2932, 10.2904) * CHOOSE(CONTROL!$C$14, $D$10, 100%, $F$10)</f>
        <v>10.293200000000001</v>
      </c>
      <c r="K393" s="4"/>
      <c r="L393" s="9">
        <v>29.7257</v>
      </c>
      <c r="M393" s="9">
        <v>11.6745</v>
      </c>
      <c r="N393" s="9">
        <v>4.7850000000000001</v>
      </c>
      <c r="O393" s="9">
        <v>0.36199999999999999</v>
      </c>
      <c r="P393" s="9">
        <v>1.1791</v>
      </c>
      <c r="Q393" s="9">
        <v>19.6128</v>
      </c>
      <c r="R393" s="9"/>
      <c r="S393" s="11"/>
    </row>
    <row r="394" spans="1:19" ht="15.75">
      <c r="A394" s="13">
        <v>53904</v>
      </c>
      <c r="B394" s="8">
        <f>CHOOSE( CONTROL!$C$31, 11.1382, 11.1352) * CHOOSE(CONTROL!$C$14, $D$10, 100%, $F$10)</f>
        <v>11.138199999999999</v>
      </c>
      <c r="C394" s="8">
        <f>CHOOSE( CONTROL!$C$31, 11.1462, 11.1432) * CHOOSE(CONTROL!$C$14, $D$10, 100%, $F$10)</f>
        <v>11.1462</v>
      </c>
      <c r="D394" s="8">
        <f>CHOOSE( CONTROL!$C$31, 11.1513, 11.1484) * CHOOSE( CONTROL!$C$14, $D$10, 100%, $F$10)</f>
        <v>11.151300000000001</v>
      </c>
      <c r="E394" s="12">
        <f>CHOOSE( CONTROL!$C$31, 11.1482, 11.1453) * CHOOSE( CONTROL!$C$14, $D$10, 100%, $F$10)</f>
        <v>11.148199999999999</v>
      </c>
      <c r="F394" s="4">
        <f>CHOOSE( CONTROL!$C$31, 11.8197, 11.8168) * CHOOSE(CONTROL!$C$14, $D$10, 100%, $F$10)</f>
        <v>11.819699999999999</v>
      </c>
      <c r="G394" s="8">
        <f>CHOOSE( CONTROL!$C$31, 10.9242, 10.9213) * CHOOSE( CONTROL!$C$14, $D$10, 100%, $F$10)</f>
        <v>10.924200000000001</v>
      </c>
      <c r="H394" s="4">
        <f>CHOOSE( CONTROL!$C$31, 11.8525, 11.8496) * CHOOSE(CONTROL!$C$14, $D$10, 100%, $F$10)</f>
        <v>11.852499999999999</v>
      </c>
      <c r="I394" s="8">
        <f>CHOOSE( CONTROL!$C$31, 10.8349, 10.8321) * CHOOSE(CONTROL!$C$14, $D$10, 100%, $F$10)</f>
        <v>10.834899999999999</v>
      </c>
      <c r="J394" s="4">
        <f>CHOOSE( CONTROL!$C$31, 10.736, 10.7332) * CHOOSE(CONTROL!$C$14, $D$10, 100%, $F$10)</f>
        <v>10.736000000000001</v>
      </c>
      <c r="K394" s="4"/>
      <c r="L394" s="9">
        <v>30.7165</v>
      </c>
      <c r="M394" s="9">
        <v>12.063700000000001</v>
      </c>
      <c r="N394" s="9">
        <v>4.9444999999999997</v>
      </c>
      <c r="O394" s="9">
        <v>0.37409999999999999</v>
      </c>
      <c r="P394" s="9">
        <v>1.2183999999999999</v>
      </c>
      <c r="Q394" s="9">
        <v>20.2666</v>
      </c>
      <c r="R394" s="9"/>
      <c r="S394" s="11"/>
    </row>
    <row r="395" spans="1:19" ht="15.75">
      <c r="A395" s="13">
        <v>53935</v>
      </c>
      <c r="B395" s="8">
        <f>CHOOSE( CONTROL!$C$31, 10.2811, 10.2782) * CHOOSE(CONTROL!$C$14, $D$10, 100%, $F$10)</f>
        <v>10.2811</v>
      </c>
      <c r="C395" s="8">
        <f>CHOOSE( CONTROL!$C$31, 10.2891, 10.2862) * CHOOSE(CONTROL!$C$14, $D$10, 100%, $F$10)</f>
        <v>10.289099999999999</v>
      </c>
      <c r="D395" s="8">
        <f>CHOOSE( CONTROL!$C$31, 10.2943, 10.2914) * CHOOSE( CONTROL!$C$14, $D$10, 100%, $F$10)</f>
        <v>10.2943</v>
      </c>
      <c r="E395" s="12">
        <f>CHOOSE( CONTROL!$C$31, 10.2912, 10.2883) * CHOOSE( CONTROL!$C$14, $D$10, 100%, $F$10)</f>
        <v>10.2912</v>
      </c>
      <c r="F395" s="4">
        <f>CHOOSE( CONTROL!$C$31, 10.9626, 10.9597) * CHOOSE(CONTROL!$C$14, $D$10, 100%, $F$10)</f>
        <v>10.9626</v>
      </c>
      <c r="G395" s="8">
        <f>CHOOSE( CONTROL!$C$31, 10.0815, 10.0786) * CHOOSE( CONTROL!$C$14, $D$10, 100%, $F$10)</f>
        <v>10.0815</v>
      </c>
      <c r="H395" s="4">
        <f>CHOOSE( CONTROL!$C$31, 11.0096, 11.0067) * CHOOSE(CONTROL!$C$14, $D$10, 100%, $F$10)</f>
        <v>11.009600000000001</v>
      </c>
      <c r="I395" s="8">
        <f>CHOOSE( CONTROL!$C$31, 10.0064, 10.0036) * CHOOSE(CONTROL!$C$14, $D$10, 100%, $F$10)</f>
        <v>10.006399999999999</v>
      </c>
      <c r="J395" s="4">
        <f>CHOOSE( CONTROL!$C$31, 9.9075, 9.9047) * CHOOSE(CONTROL!$C$14, $D$10, 100%, $F$10)</f>
        <v>9.9075000000000006</v>
      </c>
      <c r="K395" s="4"/>
      <c r="L395" s="9">
        <v>30.7165</v>
      </c>
      <c r="M395" s="9">
        <v>12.063700000000001</v>
      </c>
      <c r="N395" s="9">
        <v>4.9444999999999997</v>
      </c>
      <c r="O395" s="9">
        <v>0.37409999999999999</v>
      </c>
      <c r="P395" s="9">
        <v>1.2183999999999999</v>
      </c>
      <c r="Q395" s="9">
        <v>20.2666</v>
      </c>
      <c r="R395" s="9"/>
      <c r="S395" s="11"/>
    </row>
    <row r="396" spans="1:19" ht="15.75">
      <c r="A396" s="13">
        <v>53965</v>
      </c>
      <c r="B396" s="8">
        <f>CHOOSE( CONTROL!$C$31, 10.0665, 10.0635) * CHOOSE(CONTROL!$C$14, $D$10, 100%, $F$10)</f>
        <v>10.0665</v>
      </c>
      <c r="C396" s="8">
        <f>CHOOSE( CONTROL!$C$31, 10.0745, 10.0716) * CHOOSE(CONTROL!$C$14, $D$10, 100%, $F$10)</f>
        <v>10.0745</v>
      </c>
      <c r="D396" s="8">
        <f>CHOOSE( CONTROL!$C$31, 10.0797, 10.0768) * CHOOSE( CONTROL!$C$14, $D$10, 100%, $F$10)</f>
        <v>10.079700000000001</v>
      </c>
      <c r="E396" s="12">
        <f>CHOOSE( CONTROL!$C$31, 10.0766, 10.0737) * CHOOSE( CONTROL!$C$14, $D$10, 100%, $F$10)</f>
        <v>10.076599999999999</v>
      </c>
      <c r="F396" s="4">
        <f>CHOOSE( CONTROL!$C$31, 10.748, 10.7451) * CHOOSE(CONTROL!$C$14, $D$10, 100%, $F$10)</f>
        <v>10.747999999999999</v>
      </c>
      <c r="G396" s="8">
        <f>CHOOSE( CONTROL!$C$31, 9.8704, 9.8675) * CHOOSE( CONTROL!$C$14, $D$10, 100%, $F$10)</f>
        <v>9.8704000000000001</v>
      </c>
      <c r="H396" s="4">
        <f>CHOOSE( CONTROL!$C$31, 10.7986, 10.7957) * CHOOSE(CONTROL!$C$14, $D$10, 100%, $F$10)</f>
        <v>10.7986</v>
      </c>
      <c r="I396" s="8">
        <f>CHOOSE( CONTROL!$C$31, 9.7988, 9.7959) * CHOOSE(CONTROL!$C$14, $D$10, 100%, $F$10)</f>
        <v>9.7988</v>
      </c>
      <c r="J396" s="4">
        <f>CHOOSE( CONTROL!$C$31, 9.7, 9.6972) * CHOOSE(CONTROL!$C$14, $D$10, 100%, $F$10)</f>
        <v>9.6999999999999993</v>
      </c>
      <c r="K396" s="4"/>
      <c r="L396" s="9">
        <v>29.7257</v>
      </c>
      <c r="M396" s="9">
        <v>11.6745</v>
      </c>
      <c r="N396" s="9">
        <v>4.7850000000000001</v>
      </c>
      <c r="O396" s="9">
        <v>0.36199999999999999</v>
      </c>
      <c r="P396" s="9">
        <v>1.1791</v>
      </c>
      <c r="Q396" s="9">
        <v>19.6128</v>
      </c>
      <c r="R396" s="9"/>
      <c r="S396" s="11"/>
    </row>
    <row r="397" spans="1:19" ht="15.75">
      <c r="A397" s="13">
        <v>53996</v>
      </c>
      <c r="B397" s="8">
        <f>10.5074 * CHOOSE(CONTROL!$C$14, $D$10, 100%, $F$10)</f>
        <v>10.507400000000001</v>
      </c>
      <c r="C397" s="8">
        <f>10.5128 * CHOOSE(CONTROL!$C$14, $D$10, 100%, $F$10)</f>
        <v>10.5128</v>
      </c>
      <c r="D397" s="8">
        <f>10.5228 * CHOOSE( CONTROL!$C$14, $D$10, 100%, $F$10)</f>
        <v>10.5228</v>
      </c>
      <c r="E397" s="12">
        <f>10.5189 * CHOOSE( CONTROL!$C$14, $D$10, 100%, $F$10)</f>
        <v>10.5189</v>
      </c>
      <c r="F397" s="4">
        <f>11.1907 * CHOOSE(CONTROL!$C$14, $D$10, 100%, $F$10)</f>
        <v>11.1907</v>
      </c>
      <c r="G397" s="8">
        <f>10.3054 * CHOOSE( CONTROL!$C$14, $D$10, 100%, $F$10)</f>
        <v>10.305400000000001</v>
      </c>
      <c r="H397" s="4">
        <f>11.2339 * CHOOSE(CONTROL!$C$14, $D$10, 100%, $F$10)</f>
        <v>11.2339</v>
      </c>
      <c r="I397" s="8">
        <f>10.2277 * CHOOSE(CONTROL!$C$14, $D$10, 100%, $F$10)</f>
        <v>10.2277</v>
      </c>
      <c r="J397" s="4">
        <f>10.128 * CHOOSE(CONTROL!$C$14, $D$10, 100%, $F$10)</f>
        <v>10.128</v>
      </c>
      <c r="K397" s="4"/>
      <c r="L397" s="9">
        <v>31.095300000000002</v>
      </c>
      <c r="M397" s="9">
        <v>12.063700000000001</v>
      </c>
      <c r="N397" s="9">
        <v>4.9444999999999997</v>
      </c>
      <c r="O397" s="9">
        <v>0.37409999999999999</v>
      </c>
      <c r="P397" s="9">
        <v>1.2183999999999999</v>
      </c>
      <c r="Q397" s="9">
        <v>20.2666</v>
      </c>
      <c r="R397" s="9"/>
      <c r="S397" s="11"/>
    </row>
    <row r="398" spans="1:19" ht="15.75">
      <c r="A398" s="13">
        <v>54026</v>
      </c>
      <c r="B398" s="8">
        <f>11.3296 * CHOOSE(CONTROL!$C$14, $D$10, 100%, $F$10)</f>
        <v>11.329599999999999</v>
      </c>
      <c r="C398" s="8">
        <f>11.3347 * CHOOSE(CONTROL!$C$14, $D$10, 100%, $F$10)</f>
        <v>11.3347</v>
      </c>
      <c r="D398" s="8">
        <f>11.3109 * CHOOSE( CONTROL!$C$14, $D$10, 100%, $F$10)</f>
        <v>11.3109</v>
      </c>
      <c r="E398" s="12">
        <f>11.3191 * CHOOSE( CONTROL!$C$14, $D$10, 100%, $F$10)</f>
        <v>11.319100000000001</v>
      </c>
      <c r="F398" s="4">
        <f>11.977 * CHOOSE(CONTROL!$C$14, $D$10, 100%, $F$10)</f>
        <v>11.977</v>
      </c>
      <c r="G398" s="8">
        <f>11.1241 * CHOOSE( CONTROL!$C$14, $D$10, 100%, $F$10)</f>
        <v>11.1241</v>
      </c>
      <c r="H398" s="4">
        <f>12.0072 * CHOOSE(CONTROL!$C$14, $D$10, 100%, $F$10)</f>
        <v>12.007199999999999</v>
      </c>
      <c r="I398" s="8">
        <f>11.0538 * CHOOSE(CONTROL!$C$14, $D$10, 100%, $F$10)</f>
        <v>11.053800000000001</v>
      </c>
      <c r="J398" s="4">
        <f>10.9231 * CHOOSE(CONTROL!$C$14, $D$10, 100%, $F$10)</f>
        <v>10.9231</v>
      </c>
      <c r="K398" s="4"/>
      <c r="L398" s="9">
        <v>28.360600000000002</v>
      </c>
      <c r="M398" s="9">
        <v>11.6745</v>
      </c>
      <c r="N398" s="9">
        <v>4.7850000000000001</v>
      </c>
      <c r="O398" s="9">
        <v>0.36199999999999999</v>
      </c>
      <c r="P398" s="9">
        <v>1.2509999999999999</v>
      </c>
      <c r="Q398" s="9">
        <v>19.6128</v>
      </c>
      <c r="R398" s="9"/>
      <c r="S398" s="11"/>
    </row>
    <row r="399" spans="1:19" ht="15.75">
      <c r="A399" s="13">
        <v>54057</v>
      </c>
      <c r="B399" s="8">
        <f>11.309 * CHOOSE(CONTROL!$C$14, $D$10, 100%, $F$10)</f>
        <v>11.308999999999999</v>
      </c>
      <c r="C399" s="8">
        <f>11.3141 * CHOOSE(CONTROL!$C$14, $D$10, 100%, $F$10)</f>
        <v>11.3141</v>
      </c>
      <c r="D399" s="8">
        <f>11.2917 * CHOOSE( CONTROL!$C$14, $D$10, 100%, $F$10)</f>
        <v>11.291700000000001</v>
      </c>
      <c r="E399" s="12">
        <f>11.2993 * CHOOSE( CONTROL!$C$14, $D$10, 100%, $F$10)</f>
        <v>11.299300000000001</v>
      </c>
      <c r="F399" s="4">
        <f>11.9565 * CHOOSE(CONTROL!$C$14, $D$10, 100%, $F$10)</f>
        <v>11.9565</v>
      </c>
      <c r="G399" s="8">
        <f>11.1049 * CHOOSE( CONTROL!$C$14, $D$10, 100%, $F$10)</f>
        <v>11.104900000000001</v>
      </c>
      <c r="H399" s="4">
        <f>11.987 * CHOOSE(CONTROL!$C$14, $D$10, 100%, $F$10)</f>
        <v>11.987</v>
      </c>
      <c r="I399" s="8">
        <f>11.0383 * CHOOSE(CONTROL!$C$14, $D$10, 100%, $F$10)</f>
        <v>11.0383</v>
      </c>
      <c r="J399" s="4">
        <f>10.9033 * CHOOSE(CONTROL!$C$14, $D$10, 100%, $F$10)</f>
        <v>10.9033</v>
      </c>
      <c r="K399" s="4"/>
      <c r="L399" s="9">
        <v>29.306000000000001</v>
      </c>
      <c r="M399" s="9">
        <v>12.063700000000001</v>
      </c>
      <c r="N399" s="9">
        <v>4.9444999999999997</v>
      </c>
      <c r="O399" s="9">
        <v>0.37409999999999999</v>
      </c>
      <c r="P399" s="9">
        <v>1.2927</v>
      </c>
      <c r="Q399" s="9">
        <v>20.2666</v>
      </c>
      <c r="R399" s="9"/>
      <c r="S399" s="11"/>
    </row>
    <row r="400" spans="1:19" ht="15.75">
      <c r="A400" s="13">
        <v>54088</v>
      </c>
      <c r="B400" s="8">
        <f>11.7401 * CHOOSE(CONTROL!$C$14, $D$10, 100%, $F$10)</f>
        <v>11.7401</v>
      </c>
      <c r="C400" s="8">
        <f>11.7452 * CHOOSE(CONTROL!$C$14, $D$10, 100%, $F$10)</f>
        <v>11.745200000000001</v>
      </c>
      <c r="D400" s="8">
        <f>11.741 * CHOOSE( CONTROL!$C$14, $D$10, 100%, $F$10)</f>
        <v>11.741</v>
      </c>
      <c r="E400" s="12">
        <f>11.742 * CHOOSE( CONTROL!$C$14, $D$10, 100%, $F$10)</f>
        <v>11.742000000000001</v>
      </c>
      <c r="F400" s="4">
        <f>12.4186 * CHOOSE(CONTROL!$C$14, $D$10, 100%, $F$10)</f>
        <v>12.4186</v>
      </c>
      <c r="G400" s="8">
        <f>11.543 * CHOOSE( CONTROL!$C$14, $D$10, 100%, $F$10)</f>
        <v>11.542999999999999</v>
      </c>
      <c r="H400" s="4">
        <f>12.4414 * CHOOSE(CONTROL!$C$14, $D$10, 100%, $F$10)</f>
        <v>12.4414</v>
      </c>
      <c r="I400" s="8">
        <f>11.4342 * CHOOSE(CONTROL!$C$14, $D$10, 100%, $F$10)</f>
        <v>11.434200000000001</v>
      </c>
      <c r="J400" s="4">
        <f>11.32 * CHOOSE(CONTROL!$C$14, $D$10, 100%, $F$10)</f>
        <v>11.32</v>
      </c>
      <c r="K400" s="4"/>
      <c r="L400" s="9">
        <v>29.306000000000001</v>
      </c>
      <c r="M400" s="9">
        <v>12.063700000000001</v>
      </c>
      <c r="N400" s="9">
        <v>4.9444999999999997</v>
      </c>
      <c r="O400" s="9">
        <v>0.37409999999999999</v>
      </c>
      <c r="P400" s="9">
        <v>1.2927</v>
      </c>
      <c r="Q400" s="9">
        <v>20.201499999999999</v>
      </c>
      <c r="R400" s="9"/>
      <c r="S400" s="11"/>
    </row>
    <row r="401" spans="1:19" ht="15.75">
      <c r="A401" s="13">
        <v>54116</v>
      </c>
      <c r="B401" s="8">
        <f>10.9831 * CHOOSE(CONTROL!$C$14, $D$10, 100%, $F$10)</f>
        <v>10.9831</v>
      </c>
      <c r="C401" s="8">
        <f>10.9882 * CHOOSE(CONTROL!$C$14, $D$10, 100%, $F$10)</f>
        <v>10.988200000000001</v>
      </c>
      <c r="D401" s="8">
        <f>10.9781 * CHOOSE( CONTROL!$C$14, $D$10, 100%, $F$10)</f>
        <v>10.9781</v>
      </c>
      <c r="E401" s="12">
        <f>10.9812 * CHOOSE( CONTROL!$C$14, $D$10, 100%, $F$10)</f>
        <v>10.981199999999999</v>
      </c>
      <c r="F401" s="4">
        <f>11.6357 * CHOOSE(CONTROL!$C$14, $D$10, 100%, $F$10)</f>
        <v>11.6357</v>
      </c>
      <c r="G401" s="8">
        <f>10.7904 * CHOOSE( CONTROL!$C$14, $D$10, 100%, $F$10)</f>
        <v>10.7904</v>
      </c>
      <c r="H401" s="4">
        <f>11.6715 * CHOOSE(CONTROL!$C$14, $D$10, 100%, $F$10)</f>
        <v>11.6715</v>
      </c>
      <c r="I401" s="8">
        <f>10.6927 * CHOOSE(CONTROL!$C$14, $D$10, 100%, $F$10)</f>
        <v>10.6927</v>
      </c>
      <c r="J401" s="4">
        <f>10.5882 * CHOOSE(CONTROL!$C$14, $D$10, 100%, $F$10)</f>
        <v>10.588200000000001</v>
      </c>
      <c r="K401" s="4"/>
      <c r="L401" s="9">
        <v>27.415299999999998</v>
      </c>
      <c r="M401" s="9">
        <v>11.285299999999999</v>
      </c>
      <c r="N401" s="9">
        <v>4.6254999999999997</v>
      </c>
      <c r="O401" s="9">
        <v>0.34989999999999999</v>
      </c>
      <c r="P401" s="9">
        <v>1.2093</v>
      </c>
      <c r="Q401" s="9">
        <v>18.898099999999999</v>
      </c>
      <c r="R401" s="9"/>
      <c r="S401" s="11"/>
    </row>
    <row r="402" spans="1:19" ht="15.75">
      <c r="A402" s="13">
        <v>54148</v>
      </c>
      <c r="B402" s="8">
        <f>10.7499 * CHOOSE(CONTROL!$C$14, $D$10, 100%, $F$10)</f>
        <v>10.7499</v>
      </c>
      <c r="C402" s="8">
        <f>10.755 * CHOOSE(CONTROL!$C$14, $D$10, 100%, $F$10)</f>
        <v>10.755000000000001</v>
      </c>
      <c r="D402" s="8">
        <f>10.7384 * CHOOSE( CONTROL!$C$14, $D$10, 100%, $F$10)</f>
        <v>10.7384</v>
      </c>
      <c r="E402" s="12">
        <f>10.7439 * CHOOSE( CONTROL!$C$14, $D$10, 100%, $F$10)</f>
        <v>10.7439</v>
      </c>
      <c r="F402" s="4">
        <f>11.4025 * CHOOSE(CONTROL!$C$14, $D$10, 100%, $F$10)</f>
        <v>11.4025</v>
      </c>
      <c r="G402" s="8">
        <f>10.5529 * CHOOSE( CONTROL!$C$14, $D$10, 100%, $F$10)</f>
        <v>10.552899999999999</v>
      </c>
      <c r="H402" s="4">
        <f>11.4422 * CHOOSE(CONTROL!$C$14, $D$10, 100%, $F$10)</f>
        <v>11.4422</v>
      </c>
      <c r="I402" s="8">
        <f>10.4471 * CHOOSE(CONTROL!$C$14, $D$10, 100%, $F$10)</f>
        <v>10.447100000000001</v>
      </c>
      <c r="J402" s="4">
        <f>10.3628 * CHOOSE(CONTROL!$C$14, $D$10, 100%, $F$10)</f>
        <v>10.3628</v>
      </c>
      <c r="K402" s="4"/>
      <c r="L402" s="9">
        <v>29.306000000000001</v>
      </c>
      <c r="M402" s="9">
        <v>12.063700000000001</v>
      </c>
      <c r="N402" s="9">
        <v>4.9444999999999997</v>
      </c>
      <c r="O402" s="9">
        <v>0.37409999999999999</v>
      </c>
      <c r="P402" s="9">
        <v>1.2927</v>
      </c>
      <c r="Q402" s="9">
        <v>20.201499999999999</v>
      </c>
      <c r="R402" s="9"/>
      <c r="S402" s="11"/>
    </row>
    <row r="403" spans="1:19" ht="15.75">
      <c r="A403" s="13">
        <v>54178</v>
      </c>
      <c r="B403" s="8">
        <f>10.9136 * CHOOSE(CONTROL!$C$14, $D$10, 100%, $F$10)</f>
        <v>10.913600000000001</v>
      </c>
      <c r="C403" s="8">
        <f>10.9181 * CHOOSE(CONTROL!$C$14, $D$10, 100%, $F$10)</f>
        <v>10.918100000000001</v>
      </c>
      <c r="D403" s="8">
        <f>10.9277 * CHOOSE( CONTROL!$C$14, $D$10, 100%, $F$10)</f>
        <v>10.9277</v>
      </c>
      <c r="E403" s="12">
        <f>10.924 * CHOOSE( CONTROL!$C$14, $D$10, 100%, $F$10)</f>
        <v>10.923999999999999</v>
      </c>
      <c r="F403" s="4">
        <f>11.5965 * CHOOSE(CONTROL!$C$14, $D$10, 100%, $F$10)</f>
        <v>11.596500000000001</v>
      </c>
      <c r="G403" s="8">
        <f>10.703 * CHOOSE( CONTROL!$C$14, $D$10, 100%, $F$10)</f>
        <v>10.702999999999999</v>
      </c>
      <c r="H403" s="4">
        <f>11.633 * CHOOSE(CONTROL!$C$14, $D$10, 100%, $F$10)</f>
        <v>11.632999999999999</v>
      </c>
      <c r="I403" s="8">
        <f>10.6156 * CHOOSE(CONTROL!$C$14, $D$10, 100%, $F$10)</f>
        <v>10.615600000000001</v>
      </c>
      <c r="J403" s="4">
        <f>10.5203 * CHOOSE(CONTROL!$C$14, $D$10, 100%, $F$10)</f>
        <v>10.520300000000001</v>
      </c>
      <c r="K403" s="4"/>
      <c r="L403" s="9">
        <v>30.092199999999998</v>
      </c>
      <c r="M403" s="9">
        <v>11.6745</v>
      </c>
      <c r="N403" s="9">
        <v>4.7850000000000001</v>
      </c>
      <c r="O403" s="9">
        <v>0.36199999999999999</v>
      </c>
      <c r="P403" s="9">
        <v>1.1791</v>
      </c>
      <c r="Q403" s="9">
        <v>19.549800000000001</v>
      </c>
      <c r="R403" s="9"/>
      <c r="S403" s="11"/>
    </row>
    <row r="404" spans="1:19" ht="15.75">
      <c r="A404" s="13">
        <v>54209</v>
      </c>
      <c r="B404" s="8">
        <f>CHOOSE( CONTROL!$C$31, 11.2079, 11.2049) * CHOOSE(CONTROL!$C$14, $D$10, 100%, $F$10)</f>
        <v>11.2079</v>
      </c>
      <c r="C404" s="8">
        <f>CHOOSE( CONTROL!$C$31, 11.2159, 11.2129) * CHOOSE(CONTROL!$C$14, $D$10, 100%, $F$10)</f>
        <v>11.2159</v>
      </c>
      <c r="D404" s="8">
        <f>CHOOSE( CONTROL!$C$31, 11.2205, 11.2176) * CHOOSE( CONTROL!$C$14, $D$10, 100%, $F$10)</f>
        <v>11.220499999999999</v>
      </c>
      <c r="E404" s="12">
        <f>CHOOSE( CONTROL!$C$31, 11.2176, 11.2147) * CHOOSE( CONTROL!$C$14, $D$10, 100%, $F$10)</f>
        <v>11.217599999999999</v>
      </c>
      <c r="F404" s="4">
        <f>CHOOSE( CONTROL!$C$31, 11.8894, 11.8865) * CHOOSE(CONTROL!$C$14, $D$10, 100%, $F$10)</f>
        <v>11.8894</v>
      </c>
      <c r="G404" s="8">
        <f>CHOOSE( CONTROL!$C$31, 10.992, 10.9891) * CHOOSE( CONTROL!$C$14, $D$10, 100%, $F$10)</f>
        <v>10.992000000000001</v>
      </c>
      <c r="H404" s="4">
        <f>CHOOSE( CONTROL!$C$31, 11.921, 11.9181) * CHOOSE(CONTROL!$C$14, $D$10, 100%, $F$10)</f>
        <v>11.920999999999999</v>
      </c>
      <c r="I404" s="8">
        <f>CHOOSE( CONTROL!$C$31, 10.9, 10.8971) * CHOOSE(CONTROL!$C$14, $D$10, 100%, $F$10)</f>
        <v>10.9</v>
      </c>
      <c r="J404" s="4">
        <f>CHOOSE( CONTROL!$C$31, 10.8034, 10.8006) * CHOOSE(CONTROL!$C$14, $D$10, 100%, $F$10)</f>
        <v>10.8034</v>
      </c>
      <c r="K404" s="4"/>
      <c r="L404" s="9">
        <v>30.7165</v>
      </c>
      <c r="M404" s="9">
        <v>12.063700000000001</v>
      </c>
      <c r="N404" s="9">
        <v>4.9444999999999997</v>
      </c>
      <c r="O404" s="9">
        <v>0.37409999999999999</v>
      </c>
      <c r="P404" s="9">
        <v>1.2183999999999999</v>
      </c>
      <c r="Q404" s="9">
        <v>20.201499999999999</v>
      </c>
      <c r="R404" s="9"/>
      <c r="S404" s="11"/>
    </row>
    <row r="405" spans="1:19" ht="15.75">
      <c r="A405" s="13">
        <v>54239</v>
      </c>
      <c r="B405" s="8">
        <f>CHOOSE( CONTROL!$C$31, 11.0282, 11.0253) * CHOOSE(CONTROL!$C$14, $D$10, 100%, $F$10)</f>
        <v>11.0282</v>
      </c>
      <c r="C405" s="8">
        <f>CHOOSE( CONTROL!$C$31, 11.0362, 11.0333) * CHOOSE(CONTROL!$C$14, $D$10, 100%, $F$10)</f>
        <v>11.036199999999999</v>
      </c>
      <c r="D405" s="8">
        <f>CHOOSE( CONTROL!$C$31, 11.0411, 11.0382) * CHOOSE( CONTROL!$C$14, $D$10, 100%, $F$10)</f>
        <v>11.0411</v>
      </c>
      <c r="E405" s="12">
        <f>CHOOSE( CONTROL!$C$31, 11.0381, 11.0352) * CHOOSE( CONTROL!$C$14, $D$10, 100%, $F$10)</f>
        <v>11.0381</v>
      </c>
      <c r="F405" s="4">
        <f>CHOOSE( CONTROL!$C$31, 11.7098, 11.7069) * CHOOSE(CONTROL!$C$14, $D$10, 100%, $F$10)</f>
        <v>11.7098</v>
      </c>
      <c r="G405" s="8">
        <f>CHOOSE( CONTROL!$C$31, 10.8157, 10.8129) * CHOOSE( CONTROL!$C$14, $D$10, 100%, $F$10)</f>
        <v>10.8157</v>
      </c>
      <c r="H405" s="4">
        <f>CHOOSE( CONTROL!$C$31, 11.7444, 11.7415) * CHOOSE(CONTROL!$C$14, $D$10, 100%, $F$10)</f>
        <v>11.744400000000001</v>
      </c>
      <c r="I405" s="8">
        <f>CHOOSE( CONTROL!$C$31, 10.7275, 10.7246) * CHOOSE(CONTROL!$C$14, $D$10, 100%, $F$10)</f>
        <v>10.727499999999999</v>
      </c>
      <c r="J405" s="4">
        <f>CHOOSE( CONTROL!$C$31, 10.6298, 10.6269) * CHOOSE(CONTROL!$C$14, $D$10, 100%, $F$10)</f>
        <v>10.629799999999999</v>
      </c>
      <c r="K405" s="4"/>
      <c r="L405" s="9">
        <v>29.7257</v>
      </c>
      <c r="M405" s="9">
        <v>11.6745</v>
      </c>
      <c r="N405" s="9">
        <v>4.7850000000000001</v>
      </c>
      <c r="O405" s="9">
        <v>0.36199999999999999</v>
      </c>
      <c r="P405" s="9">
        <v>1.1791</v>
      </c>
      <c r="Q405" s="9">
        <v>19.549800000000001</v>
      </c>
      <c r="R405" s="9"/>
      <c r="S405" s="11"/>
    </row>
    <row r="406" spans="1:19" ht="15.75">
      <c r="A406" s="13">
        <v>54270</v>
      </c>
      <c r="B406" s="8">
        <f>CHOOSE( CONTROL!$C$31, 11.5013, 11.4983) * CHOOSE(CONTROL!$C$14, $D$10, 100%, $F$10)</f>
        <v>11.501300000000001</v>
      </c>
      <c r="C406" s="8">
        <f>CHOOSE( CONTROL!$C$31, 11.5093, 11.5064) * CHOOSE(CONTROL!$C$14, $D$10, 100%, $F$10)</f>
        <v>11.5093</v>
      </c>
      <c r="D406" s="8">
        <f>CHOOSE( CONTROL!$C$31, 11.5144, 11.5115) * CHOOSE( CONTROL!$C$14, $D$10, 100%, $F$10)</f>
        <v>11.5144</v>
      </c>
      <c r="E406" s="12">
        <f>CHOOSE( CONTROL!$C$31, 11.5113, 11.5084) * CHOOSE( CONTROL!$C$14, $D$10, 100%, $F$10)</f>
        <v>11.5113</v>
      </c>
      <c r="F406" s="4">
        <f>CHOOSE( CONTROL!$C$31, 12.1828, 12.1799) * CHOOSE(CONTROL!$C$14, $D$10, 100%, $F$10)</f>
        <v>12.1828</v>
      </c>
      <c r="G406" s="8">
        <f>CHOOSE( CONTROL!$C$31, 11.2813, 11.2784) * CHOOSE( CONTROL!$C$14, $D$10, 100%, $F$10)</f>
        <v>11.2813</v>
      </c>
      <c r="H406" s="4">
        <f>CHOOSE( CONTROL!$C$31, 12.2096, 12.2067) * CHOOSE(CONTROL!$C$14, $D$10, 100%, $F$10)</f>
        <v>12.2096</v>
      </c>
      <c r="I406" s="8">
        <f>CHOOSE( CONTROL!$C$31, 11.1861, 11.1833) * CHOOSE(CONTROL!$C$14, $D$10, 100%, $F$10)</f>
        <v>11.1861</v>
      </c>
      <c r="J406" s="4">
        <f>CHOOSE( CONTROL!$C$31, 11.087, 11.0842) * CHOOSE(CONTROL!$C$14, $D$10, 100%, $F$10)</f>
        <v>11.087</v>
      </c>
      <c r="K406" s="4"/>
      <c r="L406" s="9">
        <v>30.7165</v>
      </c>
      <c r="M406" s="9">
        <v>12.063700000000001</v>
      </c>
      <c r="N406" s="9">
        <v>4.9444999999999997</v>
      </c>
      <c r="O406" s="9">
        <v>0.37409999999999999</v>
      </c>
      <c r="P406" s="9">
        <v>1.2183999999999999</v>
      </c>
      <c r="Q406" s="9">
        <v>20.201499999999999</v>
      </c>
      <c r="R406" s="9"/>
      <c r="S406" s="11"/>
    </row>
    <row r="407" spans="1:19" ht="15.75">
      <c r="A407" s="13">
        <v>54301</v>
      </c>
      <c r="B407" s="8">
        <f>CHOOSE( CONTROL!$C$31, 10.6162, 10.6132) * CHOOSE(CONTROL!$C$14, $D$10, 100%, $F$10)</f>
        <v>10.616199999999999</v>
      </c>
      <c r="C407" s="8">
        <f>CHOOSE( CONTROL!$C$31, 10.6242, 10.6213) * CHOOSE(CONTROL!$C$14, $D$10, 100%, $F$10)</f>
        <v>10.6242</v>
      </c>
      <c r="D407" s="8">
        <f>CHOOSE( CONTROL!$C$31, 10.6294, 10.6265) * CHOOSE( CONTROL!$C$14, $D$10, 100%, $F$10)</f>
        <v>10.6294</v>
      </c>
      <c r="E407" s="12">
        <f>CHOOSE( CONTROL!$C$31, 10.6263, 10.6234) * CHOOSE( CONTROL!$C$14, $D$10, 100%, $F$10)</f>
        <v>10.626300000000001</v>
      </c>
      <c r="F407" s="4">
        <f>CHOOSE( CONTROL!$C$31, 11.2977, 11.2948) * CHOOSE(CONTROL!$C$14, $D$10, 100%, $F$10)</f>
        <v>11.297700000000001</v>
      </c>
      <c r="G407" s="8">
        <f>CHOOSE( CONTROL!$C$31, 10.411, 10.4081) * CHOOSE( CONTROL!$C$14, $D$10, 100%, $F$10)</f>
        <v>10.411</v>
      </c>
      <c r="H407" s="4">
        <f>CHOOSE( CONTROL!$C$31, 11.3391, 11.3363) * CHOOSE(CONTROL!$C$14, $D$10, 100%, $F$10)</f>
        <v>11.3391</v>
      </c>
      <c r="I407" s="8">
        <f>CHOOSE( CONTROL!$C$31, 10.3305, 10.3277) * CHOOSE(CONTROL!$C$14, $D$10, 100%, $F$10)</f>
        <v>10.330500000000001</v>
      </c>
      <c r="J407" s="4">
        <f>CHOOSE( CONTROL!$C$31, 10.2314, 10.2286) * CHOOSE(CONTROL!$C$14, $D$10, 100%, $F$10)</f>
        <v>10.231400000000001</v>
      </c>
      <c r="K407" s="4"/>
      <c r="L407" s="9">
        <v>30.7165</v>
      </c>
      <c r="M407" s="9">
        <v>12.063700000000001</v>
      </c>
      <c r="N407" s="9">
        <v>4.9444999999999997</v>
      </c>
      <c r="O407" s="9">
        <v>0.37409999999999999</v>
      </c>
      <c r="P407" s="9">
        <v>1.2183999999999999</v>
      </c>
      <c r="Q407" s="9">
        <v>20.201499999999999</v>
      </c>
      <c r="R407" s="9"/>
      <c r="S407" s="11"/>
    </row>
    <row r="408" spans="1:19" ht="15.75">
      <c r="A408" s="13">
        <v>54331</v>
      </c>
      <c r="B408" s="8">
        <f>CHOOSE( CONTROL!$C$31, 10.3945, 10.3916) * CHOOSE(CONTROL!$C$14, $D$10, 100%, $F$10)</f>
        <v>10.394500000000001</v>
      </c>
      <c r="C408" s="8">
        <f>CHOOSE( CONTROL!$C$31, 10.4025, 10.3996) * CHOOSE(CONTROL!$C$14, $D$10, 100%, $F$10)</f>
        <v>10.4025</v>
      </c>
      <c r="D408" s="8">
        <f>CHOOSE( CONTROL!$C$31, 10.4077, 10.4048) * CHOOSE( CONTROL!$C$14, $D$10, 100%, $F$10)</f>
        <v>10.4077</v>
      </c>
      <c r="E408" s="12">
        <f>CHOOSE( CONTROL!$C$31, 10.4046, 10.4017) * CHOOSE( CONTROL!$C$14, $D$10, 100%, $F$10)</f>
        <v>10.4046</v>
      </c>
      <c r="F408" s="4">
        <f>CHOOSE( CONTROL!$C$31, 11.0761, 11.0732) * CHOOSE(CONTROL!$C$14, $D$10, 100%, $F$10)</f>
        <v>11.0761</v>
      </c>
      <c r="G408" s="8">
        <f>CHOOSE( CONTROL!$C$31, 10.193, 10.1901) * CHOOSE( CONTROL!$C$14, $D$10, 100%, $F$10)</f>
        <v>10.193</v>
      </c>
      <c r="H408" s="4">
        <f>CHOOSE( CONTROL!$C$31, 11.1212, 11.1183) * CHOOSE(CONTROL!$C$14, $D$10, 100%, $F$10)</f>
        <v>11.1212</v>
      </c>
      <c r="I408" s="8">
        <f>CHOOSE( CONTROL!$C$31, 10.1161, 10.1132) * CHOOSE(CONTROL!$C$14, $D$10, 100%, $F$10)</f>
        <v>10.116099999999999</v>
      </c>
      <c r="J408" s="4">
        <f>CHOOSE( CONTROL!$C$31, 10.0172, 10.0143) * CHOOSE(CONTROL!$C$14, $D$10, 100%, $F$10)</f>
        <v>10.017200000000001</v>
      </c>
      <c r="K408" s="4"/>
      <c r="L408" s="9">
        <v>29.7257</v>
      </c>
      <c r="M408" s="9">
        <v>11.6745</v>
      </c>
      <c r="N408" s="9">
        <v>4.7850000000000001</v>
      </c>
      <c r="O408" s="9">
        <v>0.36199999999999999</v>
      </c>
      <c r="P408" s="9">
        <v>1.1791</v>
      </c>
      <c r="Q408" s="9">
        <v>19.549800000000001</v>
      </c>
      <c r="R408" s="9"/>
      <c r="S408" s="11"/>
    </row>
    <row r="409" spans="1:19" ht="15.75">
      <c r="A409" s="13">
        <v>54362</v>
      </c>
      <c r="B409" s="8">
        <f>10.8501 * CHOOSE(CONTROL!$C$14, $D$10, 100%, $F$10)</f>
        <v>10.850099999999999</v>
      </c>
      <c r="C409" s="8">
        <f>10.8554 * CHOOSE(CONTROL!$C$14, $D$10, 100%, $F$10)</f>
        <v>10.855399999999999</v>
      </c>
      <c r="D409" s="8">
        <f>10.8654 * CHOOSE( CONTROL!$C$14, $D$10, 100%, $F$10)</f>
        <v>10.865399999999999</v>
      </c>
      <c r="E409" s="12">
        <f>10.8615 * CHOOSE( CONTROL!$C$14, $D$10, 100%, $F$10)</f>
        <v>10.861499999999999</v>
      </c>
      <c r="F409" s="4">
        <f>11.5333 * CHOOSE(CONTROL!$C$14, $D$10, 100%, $F$10)</f>
        <v>11.533300000000001</v>
      </c>
      <c r="G409" s="8">
        <f>10.6424 * CHOOSE( CONTROL!$C$14, $D$10, 100%, $F$10)</f>
        <v>10.6424</v>
      </c>
      <c r="H409" s="4">
        <f>11.5709 * CHOOSE(CONTROL!$C$14, $D$10, 100%, $F$10)</f>
        <v>11.5709</v>
      </c>
      <c r="I409" s="8">
        <f>10.5591 * CHOOSE(CONTROL!$C$14, $D$10, 100%, $F$10)</f>
        <v>10.559100000000001</v>
      </c>
      <c r="J409" s="4">
        <f>10.4592 * CHOOSE(CONTROL!$C$14, $D$10, 100%, $F$10)</f>
        <v>10.459199999999999</v>
      </c>
      <c r="K409" s="4"/>
      <c r="L409" s="9">
        <v>31.095300000000002</v>
      </c>
      <c r="M409" s="9">
        <v>12.063700000000001</v>
      </c>
      <c r="N409" s="9">
        <v>4.9444999999999997</v>
      </c>
      <c r="O409" s="9">
        <v>0.37409999999999999</v>
      </c>
      <c r="P409" s="9">
        <v>1.2183999999999999</v>
      </c>
      <c r="Q409" s="9">
        <v>20.201499999999999</v>
      </c>
      <c r="R409" s="9"/>
      <c r="S409" s="11"/>
    </row>
    <row r="410" spans="1:19" ht="15.75">
      <c r="A410" s="13">
        <v>54392</v>
      </c>
      <c r="B410" s="8">
        <f>11.6991 * CHOOSE(CONTROL!$C$14, $D$10, 100%, $F$10)</f>
        <v>11.6991</v>
      </c>
      <c r="C410" s="8">
        <f>11.7042 * CHOOSE(CONTROL!$C$14, $D$10, 100%, $F$10)</f>
        <v>11.7042</v>
      </c>
      <c r="D410" s="8">
        <f>11.6804 * CHOOSE( CONTROL!$C$14, $D$10, 100%, $F$10)</f>
        <v>11.680400000000001</v>
      </c>
      <c r="E410" s="12">
        <f>11.6886 * CHOOSE( CONTROL!$C$14, $D$10, 100%, $F$10)</f>
        <v>11.688599999999999</v>
      </c>
      <c r="F410" s="4">
        <f>12.3466 * CHOOSE(CONTROL!$C$14, $D$10, 100%, $F$10)</f>
        <v>12.3466</v>
      </c>
      <c r="G410" s="8">
        <f>11.4875 * CHOOSE( CONTROL!$C$14, $D$10, 100%, $F$10)</f>
        <v>11.487500000000001</v>
      </c>
      <c r="H410" s="4">
        <f>12.3706 * CHOOSE(CONTROL!$C$14, $D$10, 100%, $F$10)</f>
        <v>12.3706</v>
      </c>
      <c r="I410" s="8">
        <f>11.4112 * CHOOSE(CONTROL!$C$14, $D$10, 100%, $F$10)</f>
        <v>11.411199999999999</v>
      </c>
      <c r="J410" s="4">
        <f>11.2803 * CHOOSE(CONTROL!$C$14, $D$10, 100%, $F$10)</f>
        <v>11.2803</v>
      </c>
      <c r="K410" s="4"/>
      <c r="L410" s="9">
        <v>28.360600000000002</v>
      </c>
      <c r="M410" s="9">
        <v>11.6745</v>
      </c>
      <c r="N410" s="9">
        <v>4.7850000000000001</v>
      </c>
      <c r="O410" s="9">
        <v>0.36199999999999999</v>
      </c>
      <c r="P410" s="9">
        <v>1.2509999999999999</v>
      </c>
      <c r="Q410" s="9">
        <v>19.549800000000001</v>
      </c>
      <c r="R410" s="9"/>
      <c r="S410" s="11"/>
    </row>
    <row r="411" spans="1:19" ht="15.75">
      <c r="A411" s="13">
        <v>54423</v>
      </c>
      <c r="B411" s="8">
        <f>11.6779 * CHOOSE(CONTROL!$C$14, $D$10, 100%, $F$10)</f>
        <v>11.677899999999999</v>
      </c>
      <c r="C411" s="8">
        <f>11.683 * CHOOSE(CONTROL!$C$14, $D$10, 100%, $F$10)</f>
        <v>11.683</v>
      </c>
      <c r="D411" s="8">
        <f>11.6606 * CHOOSE( CONTROL!$C$14, $D$10, 100%, $F$10)</f>
        <v>11.660600000000001</v>
      </c>
      <c r="E411" s="12">
        <f>11.6682 * CHOOSE( CONTROL!$C$14, $D$10, 100%, $F$10)</f>
        <v>11.668200000000001</v>
      </c>
      <c r="F411" s="4">
        <f>12.3253 * CHOOSE(CONTROL!$C$14, $D$10, 100%, $F$10)</f>
        <v>12.3253</v>
      </c>
      <c r="G411" s="8">
        <f>11.4676 * CHOOSE( CONTROL!$C$14, $D$10, 100%, $F$10)</f>
        <v>11.467599999999999</v>
      </c>
      <c r="H411" s="4">
        <f>12.3497 * CHOOSE(CONTROL!$C$14, $D$10, 100%, $F$10)</f>
        <v>12.3497</v>
      </c>
      <c r="I411" s="8">
        <f>11.395 * CHOOSE(CONTROL!$C$14, $D$10, 100%, $F$10)</f>
        <v>11.395</v>
      </c>
      <c r="J411" s="4">
        <f>11.2598 * CHOOSE(CONTROL!$C$14, $D$10, 100%, $F$10)</f>
        <v>11.2598</v>
      </c>
      <c r="K411" s="4"/>
      <c r="L411" s="9">
        <v>29.306000000000001</v>
      </c>
      <c r="M411" s="9">
        <v>12.063700000000001</v>
      </c>
      <c r="N411" s="9">
        <v>4.9444999999999997</v>
      </c>
      <c r="O411" s="9">
        <v>0.37409999999999999</v>
      </c>
      <c r="P411" s="9">
        <v>1.2927</v>
      </c>
      <c r="Q411" s="9">
        <v>20.201499999999999</v>
      </c>
      <c r="R411" s="9"/>
      <c r="S411" s="11"/>
    </row>
    <row r="412" spans="1:19" ht="15.75">
      <c r="A412" s="13">
        <v>54454</v>
      </c>
      <c r="B412" s="8">
        <f>12.123 * CHOOSE(CONTROL!$C$14, $D$10, 100%, $F$10)</f>
        <v>12.122999999999999</v>
      </c>
      <c r="C412" s="8">
        <f>12.1282 * CHOOSE(CONTROL!$C$14, $D$10, 100%, $F$10)</f>
        <v>12.1282</v>
      </c>
      <c r="D412" s="8">
        <f>12.124 * CHOOSE( CONTROL!$C$14, $D$10, 100%, $F$10)</f>
        <v>12.124000000000001</v>
      </c>
      <c r="E412" s="12">
        <f>12.125 * CHOOSE( CONTROL!$C$14, $D$10, 100%, $F$10)</f>
        <v>12.125</v>
      </c>
      <c r="F412" s="4">
        <f>12.8016 * CHOOSE(CONTROL!$C$14, $D$10, 100%, $F$10)</f>
        <v>12.801600000000001</v>
      </c>
      <c r="G412" s="8">
        <f>11.9196 * CHOOSE( CONTROL!$C$14, $D$10, 100%, $F$10)</f>
        <v>11.919600000000001</v>
      </c>
      <c r="H412" s="4">
        <f>12.818 * CHOOSE(CONTROL!$C$14, $D$10, 100%, $F$10)</f>
        <v>12.818</v>
      </c>
      <c r="I412" s="8">
        <f>11.8046 * CHOOSE(CONTROL!$C$14, $D$10, 100%, $F$10)</f>
        <v>11.804600000000001</v>
      </c>
      <c r="J412" s="4">
        <f>11.6902 * CHOOSE(CONTROL!$C$14, $D$10, 100%, $F$10)</f>
        <v>11.690200000000001</v>
      </c>
      <c r="K412" s="4"/>
      <c r="L412" s="9">
        <v>29.306000000000001</v>
      </c>
      <c r="M412" s="9">
        <v>12.063700000000001</v>
      </c>
      <c r="N412" s="9">
        <v>4.9444999999999997</v>
      </c>
      <c r="O412" s="9">
        <v>0.37409999999999999</v>
      </c>
      <c r="P412" s="9">
        <v>1.2927</v>
      </c>
      <c r="Q412" s="9">
        <v>20.136399999999998</v>
      </c>
      <c r="R412" s="9"/>
      <c r="S412" s="11"/>
    </row>
    <row r="413" spans="1:19" ht="15.75">
      <c r="A413" s="13">
        <v>54482</v>
      </c>
      <c r="B413" s="8">
        <f>11.3413 * CHOOSE(CONTROL!$C$14, $D$10, 100%, $F$10)</f>
        <v>11.3413</v>
      </c>
      <c r="C413" s="8">
        <f>11.3464 * CHOOSE(CONTROL!$C$14, $D$10, 100%, $F$10)</f>
        <v>11.346399999999999</v>
      </c>
      <c r="D413" s="8">
        <f>11.3363 * CHOOSE( CONTROL!$C$14, $D$10, 100%, $F$10)</f>
        <v>11.3363</v>
      </c>
      <c r="E413" s="12">
        <f>11.3394 * CHOOSE( CONTROL!$C$14, $D$10, 100%, $F$10)</f>
        <v>11.339399999999999</v>
      </c>
      <c r="F413" s="4">
        <f>11.9939 * CHOOSE(CONTROL!$C$14, $D$10, 100%, $F$10)</f>
        <v>11.9939</v>
      </c>
      <c r="G413" s="8">
        <f>11.1427 * CHOOSE( CONTROL!$C$14, $D$10, 100%, $F$10)</f>
        <v>11.1427</v>
      </c>
      <c r="H413" s="4">
        <f>12.0238 * CHOOSE(CONTROL!$C$14, $D$10, 100%, $F$10)</f>
        <v>12.0238</v>
      </c>
      <c r="I413" s="8">
        <f>11.0391 * CHOOSE(CONTROL!$C$14, $D$10, 100%, $F$10)</f>
        <v>11.039099999999999</v>
      </c>
      <c r="J413" s="4">
        <f>10.9344 * CHOOSE(CONTROL!$C$14, $D$10, 100%, $F$10)</f>
        <v>10.9344</v>
      </c>
      <c r="K413" s="4"/>
      <c r="L413" s="9">
        <v>26.469899999999999</v>
      </c>
      <c r="M413" s="9">
        <v>10.8962</v>
      </c>
      <c r="N413" s="9">
        <v>4.4660000000000002</v>
      </c>
      <c r="O413" s="9">
        <v>0.33789999999999998</v>
      </c>
      <c r="P413" s="9">
        <v>1.1676</v>
      </c>
      <c r="Q413" s="9">
        <v>18.1877</v>
      </c>
      <c r="R413" s="9"/>
      <c r="S413" s="11"/>
    </row>
    <row r="414" spans="1:19" ht="15.75">
      <c r="A414" s="13">
        <v>54513</v>
      </c>
      <c r="B414" s="8">
        <f>11.1005 * CHOOSE(CONTROL!$C$14, $D$10, 100%, $F$10)</f>
        <v>11.1005</v>
      </c>
      <c r="C414" s="8">
        <f>11.1056 * CHOOSE(CONTROL!$C$14, $D$10, 100%, $F$10)</f>
        <v>11.105600000000001</v>
      </c>
      <c r="D414" s="8">
        <f>11.089 * CHOOSE( CONTROL!$C$14, $D$10, 100%, $F$10)</f>
        <v>11.089</v>
      </c>
      <c r="E414" s="12">
        <f>11.0945 * CHOOSE( CONTROL!$C$14, $D$10, 100%, $F$10)</f>
        <v>11.0945</v>
      </c>
      <c r="F414" s="4">
        <f>11.7531 * CHOOSE(CONTROL!$C$14, $D$10, 100%, $F$10)</f>
        <v>11.7531</v>
      </c>
      <c r="G414" s="8">
        <f>10.8977 * CHOOSE( CONTROL!$C$14, $D$10, 100%, $F$10)</f>
        <v>10.8977</v>
      </c>
      <c r="H414" s="4">
        <f>11.787 * CHOOSE(CONTROL!$C$14, $D$10, 100%, $F$10)</f>
        <v>11.787000000000001</v>
      </c>
      <c r="I414" s="8">
        <f>10.7861 * CHOOSE(CONTROL!$C$14, $D$10, 100%, $F$10)</f>
        <v>10.786099999999999</v>
      </c>
      <c r="J414" s="4">
        <f>10.7017 * CHOOSE(CONTROL!$C$14, $D$10, 100%, $F$10)</f>
        <v>10.701700000000001</v>
      </c>
      <c r="K414" s="4"/>
      <c r="L414" s="9">
        <v>29.306000000000001</v>
      </c>
      <c r="M414" s="9">
        <v>12.063700000000001</v>
      </c>
      <c r="N414" s="9">
        <v>4.9444999999999997</v>
      </c>
      <c r="O414" s="9">
        <v>0.37409999999999999</v>
      </c>
      <c r="P414" s="9">
        <v>1.2927</v>
      </c>
      <c r="Q414" s="9">
        <v>20.136399999999998</v>
      </c>
      <c r="R414" s="9"/>
      <c r="S414" s="11"/>
    </row>
    <row r="415" spans="1:19" ht="15.75">
      <c r="A415" s="13">
        <v>54543</v>
      </c>
      <c r="B415" s="8">
        <f>11.2695 * CHOOSE(CONTROL!$C$14, $D$10, 100%, $F$10)</f>
        <v>11.269500000000001</v>
      </c>
      <c r="C415" s="8">
        <f>11.274 * CHOOSE(CONTROL!$C$14, $D$10, 100%, $F$10)</f>
        <v>11.273999999999999</v>
      </c>
      <c r="D415" s="8">
        <f>11.2836 * CHOOSE( CONTROL!$C$14, $D$10, 100%, $F$10)</f>
        <v>11.2836</v>
      </c>
      <c r="E415" s="12">
        <f>11.2799 * CHOOSE( CONTROL!$C$14, $D$10, 100%, $F$10)</f>
        <v>11.2799</v>
      </c>
      <c r="F415" s="4">
        <f>11.9524 * CHOOSE(CONTROL!$C$14, $D$10, 100%, $F$10)</f>
        <v>11.952400000000001</v>
      </c>
      <c r="G415" s="8">
        <f>11.053 * CHOOSE( CONTROL!$C$14, $D$10, 100%, $F$10)</f>
        <v>11.053000000000001</v>
      </c>
      <c r="H415" s="4">
        <f>11.983 * CHOOSE(CONTROL!$C$14, $D$10, 100%, $F$10)</f>
        <v>11.983000000000001</v>
      </c>
      <c r="I415" s="8">
        <f>10.9598 * CHOOSE(CONTROL!$C$14, $D$10, 100%, $F$10)</f>
        <v>10.9598</v>
      </c>
      <c r="J415" s="4">
        <f>10.8643 * CHOOSE(CONTROL!$C$14, $D$10, 100%, $F$10)</f>
        <v>10.8643</v>
      </c>
      <c r="K415" s="4"/>
      <c r="L415" s="9">
        <v>30.092199999999998</v>
      </c>
      <c r="M415" s="9">
        <v>11.6745</v>
      </c>
      <c r="N415" s="9">
        <v>4.7850000000000001</v>
      </c>
      <c r="O415" s="9">
        <v>0.36199999999999999</v>
      </c>
      <c r="P415" s="9">
        <v>1.1791</v>
      </c>
      <c r="Q415" s="9">
        <v>19.486799999999999</v>
      </c>
      <c r="R415" s="9"/>
      <c r="S415" s="11"/>
    </row>
    <row r="416" spans="1:19" ht="15.75">
      <c r="A416" s="13">
        <v>54574</v>
      </c>
      <c r="B416" s="8">
        <f>CHOOSE( CONTROL!$C$31, 11.5732, 11.5703) * CHOOSE(CONTROL!$C$14, $D$10, 100%, $F$10)</f>
        <v>11.5732</v>
      </c>
      <c r="C416" s="8">
        <f>CHOOSE( CONTROL!$C$31, 11.5813, 11.5783) * CHOOSE(CONTROL!$C$14, $D$10, 100%, $F$10)</f>
        <v>11.581300000000001</v>
      </c>
      <c r="D416" s="8">
        <f>CHOOSE( CONTROL!$C$31, 11.5859, 11.583) * CHOOSE( CONTROL!$C$14, $D$10, 100%, $F$10)</f>
        <v>11.585900000000001</v>
      </c>
      <c r="E416" s="12">
        <f>CHOOSE( CONTROL!$C$31, 11.583, 11.5801) * CHOOSE( CONTROL!$C$14, $D$10, 100%, $F$10)</f>
        <v>11.583</v>
      </c>
      <c r="F416" s="4">
        <f>CHOOSE( CONTROL!$C$31, 12.2548, 12.2519) * CHOOSE(CONTROL!$C$14, $D$10, 100%, $F$10)</f>
        <v>12.254799999999999</v>
      </c>
      <c r="G416" s="8">
        <f>CHOOSE( CONTROL!$C$31, 11.3513, 11.3485) * CHOOSE( CONTROL!$C$14, $D$10, 100%, $F$10)</f>
        <v>11.3513</v>
      </c>
      <c r="H416" s="4">
        <f>CHOOSE( CONTROL!$C$31, 12.2803, 12.2775) * CHOOSE(CONTROL!$C$14, $D$10, 100%, $F$10)</f>
        <v>12.2803</v>
      </c>
      <c r="I416" s="8">
        <f>CHOOSE( CONTROL!$C$31, 11.2534, 11.2505) * CHOOSE(CONTROL!$C$14, $D$10, 100%, $F$10)</f>
        <v>11.253399999999999</v>
      </c>
      <c r="J416" s="4">
        <f>CHOOSE( CONTROL!$C$31, 11.1566, 11.1538) * CHOOSE(CONTROL!$C$14, $D$10, 100%, $F$10)</f>
        <v>11.156599999999999</v>
      </c>
      <c r="K416" s="4"/>
      <c r="L416" s="9">
        <v>30.7165</v>
      </c>
      <c r="M416" s="9">
        <v>12.063700000000001</v>
      </c>
      <c r="N416" s="9">
        <v>4.9444999999999997</v>
      </c>
      <c r="O416" s="9">
        <v>0.37409999999999999</v>
      </c>
      <c r="P416" s="9">
        <v>1.2183999999999999</v>
      </c>
      <c r="Q416" s="9">
        <v>20.136399999999998</v>
      </c>
      <c r="R416" s="9"/>
      <c r="S416" s="11"/>
    </row>
    <row r="417" spans="1:19" ht="15.75">
      <c r="A417" s="13">
        <v>54604</v>
      </c>
      <c r="B417" s="8">
        <f>CHOOSE( CONTROL!$C$31, 11.3877, 11.3848) * CHOOSE(CONTROL!$C$14, $D$10, 100%, $F$10)</f>
        <v>11.387700000000001</v>
      </c>
      <c r="C417" s="8">
        <f>CHOOSE( CONTROL!$C$31, 11.3958, 11.3928) * CHOOSE(CONTROL!$C$14, $D$10, 100%, $F$10)</f>
        <v>11.395799999999999</v>
      </c>
      <c r="D417" s="8">
        <f>CHOOSE( CONTROL!$C$31, 11.4006, 11.3977) * CHOOSE( CONTROL!$C$14, $D$10, 100%, $F$10)</f>
        <v>11.400600000000001</v>
      </c>
      <c r="E417" s="12">
        <f>CHOOSE( CONTROL!$C$31, 11.3976, 11.3947) * CHOOSE( CONTROL!$C$14, $D$10, 100%, $F$10)</f>
        <v>11.397600000000001</v>
      </c>
      <c r="F417" s="4">
        <f>CHOOSE( CONTROL!$C$31, 12.0693, 12.0664) * CHOOSE(CONTROL!$C$14, $D$10, 100%, $F$10)</f>
        <v>12.0693</v>
      </c>
      <c r="G417" s="8">
        <f>CHOOSE( CONTROL!$C$31, 11.1693, 11.1664) * CHOOSE( CONTROL!$C$14, $D$10, 100%, $F$10)</f>
        <v>11.1693</v>
      </c>
      <c r="H417" s="4">
        <f>CHOOSE( CONTROL!$C$31, 12.0979, 12.095) * CHOOSE(CONTROL!$C$14, $D$10, 100%, $F$10)</f>
        <v>12.097899999999999</v>
      </c>
      <c r="I417" s="8">
        <f>CHOOSE( CONTROL!$C$31, 11.0752, 11.0724) * CHOOSE(CONTROL!$C$14, $D$10, 100%, $F$10)</f>
        <v>11.075200000000001</v>
      </c>
      <c r="J417" s="4">
        <f>CHOOSE( CONTROL!$C$31, 10.9773, 10.9745) * CHOOSE(CONTROL!$C$14, $D$10, 100%, $F$10)</f>
        <v>10.9773</v>
      </c>
      <c r="K417" s="4"/>
      <c r="L417" s="9">
        <v>29.7257</v>
      </c>
      <c r="M417" s="9">
        <v>11.6745</v>
      </c>
      <c r="N417" s="9">
        <v>4.7850000000000001</v>
      </c>
      <c r="O417" s="9">
        <v>0.36199999999999999</v>
      </c>
      <c r="P417" s="9">
        <v>1.1791</v>
      </c>
      <c r="Q417" s="9">
        <v>19.486799999999999</v>
      </c>
      <c r="R417" s="9"/>
      <c r="S417" s="11"/>
    </row>
    <row r="418" spans="1:19" ht="15.75">
      <c r="A418" s="13">
        <v>54635</v>
      </c>
      <c r="B418" s="8">
        <f>CHOOSE( CONTROL!$C$31, 11.8762, 11.8733) * CHOOSE(CONTROL!$C$14, $D$10, 100%, $F$10)</f>
        <v>11.876200000000001</v>
      </c>
      <c r="C418" s="8">
        <f>CHOOSE( CONTROL!$C$31, 11.8843, 11.8813) * CHOOSE(CONTROL!$C$14, $D$10, 100%, $F$10)</f>
        <v>11.8843</v>
      </c>
      <c r="D418" s="8">
        <f>CHOOSE( CONTROL!$C$31, 11.8894, 11.8865) * CHOOSE( CONTROL!$C$14, $D$10, 100%, $F$10)</f>
        <v>11.8894</v>
      </c>
      <c r="E418" s="12">
        <f>CHOOSE( CONTROL!$C$31, 11.8863, 11.8834) * CHOOSE( CONTROL!$C$14, $D$10, 100%, $F$10)</f>
        <v>11.8863</v>
      </c>
      <c r="F418" s="4">
        <f>CHOOSE( CONTROL!$C$31, 12.5578, 12.5549) * CHOOSE(CONTROL!$C$14, $D$10, 100%, $F$10)</f>
        <v>12.5578</v>
      </c>
      <c r="G418" s="8">
        <f>CHOOSE( CONTROL!$C$31, 11.6501, 11.6472) * CHOOSE( CONTROL!$C$14, $D$10, 100%, $F$10)</f>
        <v>11.6501</v>
      </c>
      <c r="H418" s="4">
        <f>CHOOSE( CONTROL!$C$31, 12.5783, 12.5754) * CHOOSE(CONTROL!$C$14, $D$10, 100%, $F$10)</f>
        <v>12.5783</v>
      </c>
      <c r="I418" s="8">
        <f>CHOOSE( CONTROL!$C$31, 11.5488, 11.546) * CHOOSE(CONTROL!$C$14, $D$10, 100%, $F$10)</f>
        <v>11.5488</v>
      </c>
      <c r="J418" s="4">
        <f>CHOOSE( CONTROL!$C$31, 11.4495, 11.4467) * CHOOSE(CONTROL!$C$14, $D$10, 100%, $F$10)</f>
        <v>11.4495</v>
      </c>
      <c r="K418" s="4"/>
      <c r="L418" s="9">
        <v>30.7165</v>
      </c>
      <c r="M418" s="9">
        <v>12.063700000000001</v>
      </c>
      <c r="N418" s="9">
        <v>4.9444999999999997</v>
      </c>
      <c r="O418" s="9">
        <v>0.37409999999999999</v>
      </c>
      <c r="P418" s="9">
        <v>1.2183999999999999</v>
      </c>
      <c r="Q418" s="9">
        <v>20.136399999999998</v>
      </c>
      <c r="R418" s="9"/>
      <c r="S418" s="11"/>
    </row>
    <row r="419" spans="1:19" ht="15.75">
      <c r="A419" s="13">
        <v>54666</v>
      </c>
      <c r="B419" s="8">
        <f>CHOOSE( CONTROL!$C$31, 10.9622, 10.9593) * CHOOSE(CONTROL!$C$14, $D$10, 100%, $F$10)</f>
        <v>10.962199999999999</v>
      </c>
      <c r="C419" s="8">
        <f>CHOOSE( CONTROL!$C$31, 10.9702, 10.9673) * CHOOSE(CONTROL!$C$14, $D$10, 100%, $F$10)</f>
        <v>10.9702</v>
      </c>
      <c r="D419" s="8">
        <f>CHOOSE( CONTROL!$C$31, 10.9754, 10.9725) * CHOOSE( CONTROL!$C$14, $D$10, 100%, $F$10)</f>
        <v>10.9754</v>
      </c>
      <c r="E419" s="12">
        <f>CHOOSE( CONTROL!$C$31, 10.9723, 10.9694) * CHOOSE( CONTROL!$C$14, $D$10, 100%, $F$10)</f>
        <v>10.972300000000001</v>
      </c>
      <c r="F419" s="4">
        <f>CHOOSE( CONTROL!$C$31, 11.6438, 11.6408) * CHOOSE(CONTROL!$C$14, $D$10, 100%, $F$10)</f>
        <v>11.643800000000001</v>
      </c>
      <c r="G419" s="8">
        <f>CHOOSE( CONTROL!$C$31, 10.7513, 10.7484) * CHOOSE( CONTROL!$C$14, $D$10, 100%, $F$10)</f>
        <v>10.751300000000001</v>
      </c>
      <c r="H419" s="4">
        <f>CHOOSE( CONTROL!$C$31, 11.6794, 11.6766) * CHOOSE(CONTROL!$C$14, $D$10, 100%, $F$10)</f>
        <v>11.679399999999999</v>
      </c>
      <c r="I419" s="8">
        <f>CHOOSE( CONTROL!$C$31, 10.6652, 10.6623) * CHOOSE(CONTROL!$C$14, $D$10, 100%, $F$10)</f>
        <v>10.6652</v>
      </c>
      <c r="J419" s="4">
        <f>CHOOSE( CONTROL!$C$31, 10.5659, 10.5631) * CHOOSE(CONTROL!$C$14, $D$10, 100%, $F$10)</f>
        <v>10.565899999999999</v>
      </c>
      <c r="K419" s="4"/>
      <c r="L419" s="9">
        <v>30.7165</v>
      </c>
      <c r="M419" s="9">
        <v>12.063700000000001</v>
      </c>
      <c r="N419" s="9">
        <v>4.9444999999999997</v>
      </c>
      <c r="O419" s="9">
        <v>0.37409999999999999</v>
      </c>
      <c r="P419" s="9">
        <v>1.2183999999999999</v>
      </c>
      <c r="Q419" s="9">
        <v>20.136399999999998</v>
      </c>
      <c r="R419" s="9"/>
      <c r="S419" s="11"/>
    </row>
    <row r="420" spans="1:19" ht="15.75">
      <c r="A420" s="13">
        <v>54696</v>
      </c>
      <c r="B420" s="8">
        <f>CHOOSE( CONTROL!$C$31, 10.7333, 10.7304) * CHOOSE(CONTROL!$C$14, $D$10, 100%, $F$10)</f>
        <v>10.7333</v>
      </c>
      <c r="C420" s="8">
        <f>CHOOSE( CONTROL!$C$31, 10.7413, 10.7384) * CHOOSE(CONTROL!$C$14, $D$10, 100%, $F$10)</f>
        <v>10.741300000000001</v>
      </c>
      <c r="D420" s="8">
        <f>CHOOSE( CONTROL!$C$31, 10.7465, 10.7436) * CHOOSE( CONTROL!$C$14, $D$10, 100%, $F$10)</f>
        <v>10.746499999999999</v>
      </c>
      <c r="E420" s="12">
        <f>CHOOSE( CONTROL!$C$31, 10.7434, 10.7405) * CHOOSE( CONTROL!$C$14, $D$10, 100%, $F$10)</f>
        <v>10.743399999999999</v>
      </c>
      <c r="F420" s="4">
        <f>CHOOSE( CONTROL!$C$31, 11.4149, 11.4119) * CHOOSE(CONTROL!$C$14, $D$10, 100%, $F$10)</f>
        <v>11.414899999999999</v>
      </c>
      <c r="G420" s="8">
        <f>CHOOSE( CONTROL!$C$31, 10.5262, 10.5233) * CHOOSE( CONTROL!$C$14, $D$10, 100%, $F$10)</f>
        <v>10.526199999999999</v>
      </c>
      <c r="H420" s="4">
        <f>CHOOSE( CONTROL!$C$31, 11.4543, 11.4515) * CHOOSE(CONTROL!$C$14, $D$10, 100%, $F$10)</f>
        <v>11.4543</v>
      </c>
      <c r="I420" s="8">
        <f>CHOOSE( CONTROL!$C$31, 10.4437, 10.4409) * CHOOSE(CONTROL!$C$14, $D$10, 100%, $F$10)</f>
        <v>10.4437</v>
      </c>
      <c r="J420" s="4">
        <f>CHOOSE( CONTROL!$C$31, 10.3447, 10.3418) * CHOOSE(CONTROL!$C$14, $D$10, 100%, $F$10)</f>
        <v>10.3447</v>
      </c>
      <c r="K420" s="4"/>
      <c r="L420" s="9">
        <v>29.7257</v>
      </c>
      <c r="M420" s="9">
        <v>11.6745</v>
      </c>
      <c r="N420" s="9">
        <v>4.7850000000000001</v>
      </c>
      <c r="O420" s="9">
        <v>0.36199999999999999</v>
      </c>
      <c r="P420" s="9">
        <v>1.1791</v>
      </c>
      <c r="Q420" s="9">
        <v>19.486799999999999</v>
      </c>
      <c r="R420" s="9"/>
      <c r="S420" s="11"/>
    </row>
    <row r="421" spans="1:19" ht="15.75">
      <c r="A421" s="13">
        <v>54727</v>
      </c>
      <c r="B421" s="8">
        <f>11.2039 * CHOOSE(CONTROL!$C$14, $D$10, 100%, $F$10)</f>
        <v>11.203900000000001</v>
      </c>
      <c r="C421" s="8">
        <f>11.2093 * CHOOSE(CONTROL!$C$14, $D$10, 100%, $F$10)</f>
        <v>11.209300000000001</v>
      </c>
      <c r="D421" s="8">
        <f>11.2193 * CHOOSE( CONTROL!$C$14, $D$10, 100%, $F$10)</f>
        <v>11.2193</v>
      </c>
      <c r="E421" s="12">
        <f>11.2154 * CHOOSE( CONTROL!$C$14, $D$10, 100%, $F$10)</f>
        <v>11.215400000000001</v>
      </c>
      <c r="F421" s="4">
        <f>11.8872 * CHOOSE(CONTROL!$C$14, $D$10, 100%, $F$10)</f>
        <v>11.8872</v>
      </c>
      <c r="G421" s="8">
        <f>10.9903 * CHOOSE( CONTROL!$C$14, $D$10, 100%, $F$10)</f>
        <v>10.9903</v>
      </c>
      <c r="H421" s="4">
        <f>11.9188 * CHOOSE(CONTROL!$C$14, $D$10, 100%, $F$10)</f>
        <v>11.918799999999999</v>
      </c>
      <c r="I421" s="8">
        <f>10.9014 * CHOOSE(CONTROL!$C$14, $D$10, 100%, $F$10)</f>
        <v>10.901400000000001</v>
      </c>
      <c r="J421" s="4">
        <f>10.8013 * CHOOSE(CONTROL!$C$14, $D$10, 100%, $F$10)</f>
        <v>10.801299999999999</v>
      </c>
      <c r="K421" s="4"/>
      <c r="L421" s="9">
        <v>31.095300000000002</v>
      </c>
      <c r="M421" s="9">
        <v>12.063700000000001</v>
      </c>
      <c r="N421" s="9">
        <v>4.9444999999999997</v>
      </c>
      <c r="O421" s="9">
        <v>0.37409999999999999</v>
      </c>
      <c r="P421" s="9">
        <v>1.2183999999999999</v>
      </c>
      <c r="Q421" s="9">
        <v>20.136399999999998</v>
      </c>
      <c r="R421" s="9"/>
      <c r="S421" s="11"/>
    </row>
    <row r="422" spans="1:19" ht="15.75">
      <c r="A422" s="13">
        <v>54757</v>
      </c>
      <c r="B422" s="8">
        <f>12.0807 * CHOOSE(CONTROL!$C$14, $D$10, 100%, $F$10)</f>
        <v>12.0807</v>
      </c>
      <c r="C422" s="8">
        <f>12.0858 * CHOOSE(CONTROL!$C$14, $D$10, 100%, $F$10)</f>
        <v>12.085800000000001</v>
      </c>
      <c r="D422" s="8">
        <f>12.062 * CHOOSE( CONTROL!$C$14, $D$10, 100%, $F$10)</f>
        <v>12.061999999999999</v>
      </c>
      <c r="E422" s="12">
        <f>12.0702 * CHOOSE( CONTROL!$C$14, $D$10, 100%, $F$10)</f>
        <v>12.0702</v>
      </c>
      <c r="F422" s="4">
        <f>12.7282 * CHOOSE(CONTROL!$C$14, $D$10, 100%, $F$10)</f>
        <v>12.728199999999999</v>
      </c>
      <c r="G422" s="8">
        <f>11.8628 * CHOOSE( CONTROL!$C$14, $D$10, 100%, $F$10)</f>
        <v>11.8628</v>
      </c>
      <c r="H422" s="4">
        <f>12.7459 * CHOOSE(CONTROL!$C$14, $D$10, 100%, $F$10)</f>
        <v>12.745900000000001</v>
      </c>
      <c r="I422" s="8">
        <f>11.7802 * CHOOSE(CONTROL!$C$14, $D$10, 100%, $F$10)</f>
        <v>11.780200000000001</v>
      </c>
      <c r="J422" s="4">
        <f>11.6493 * CHOOSE(CONTROL!$C$14, $D$10, 100%, $F$10)</f>
        <v>11.6493</v>
      </c>
      <c r="K422" s="4"/>
      <c r="L422" s="9">
        <v>28.360600000000002</v>
      </c>
      <c r="M422" s="9">
        <v>11.6745</v>
      </c>
      <c r="N422" s="9">
        <v>4.7850000000000001</v>
      </c>
      <c r="O422" s="9">
        <v>0.36199999999999999</v>
      </c>
      <c r="P422" s="9">
        <v>1.2509999999999999</v>
      </c>
      <c r="Q422" s="9">
        <v>19.486799999999999</v>
      </c>
      <c r="R422" s="9"/>
      <c r="S422" s="11"/>
    </row>
    <row r="423" spans="1:19" ht="15.75">
      <c r="A423" s="13">
        <v>54788</v>
      </c>
      <c r="B423" s="8">
        <f>12.0588 * CHOOSE(CONTROL!$C$14, $D$10, 100%, $F$10)</f>
        <v>12.0588</v>
      </c>
      <c r="C423" s="8">
        <f>12.0639 * CHOOSE(CONTROL!$C$14, $D$10, 100%, $F$10)</f>
        <v>12.0639</v>
      </c>
      <c r="D423" s="8">
        <f>12.0415 * CHOOSE( CONTROL!$C$14, $D$10, 100%, $F$10)</f>
        <v>12.041499999999999</v>
      </c>
      <c r="E423" s="12">
        <f>12.0491 * CHOOSE( CONTROL!$C$14, $D$10, 100%, $F$10)</f>
        <v>12.049099999999999</v>
      </c>
      <c r="F423" s="4">
        <f>12.7063 * CHOOSE(CONTROL!$C$14, $D$10, 100%, $F$10)</f>
        <v>12.706300000000001</v>
      </c>
      <c r="G423" s="8">
        <f>11.8422 * CHOOSE( CONTROL!$C$14, $D$10, 100%, $F$10)</f>
        <v>11.8422</v>
      </c>
      <c r="H423" s="4">
        <f>12.7243 * CHOOSE(CONTROL!$C$14, $D$10, 100%, $F$10)</f>
        <v>12.724299999999999</v>
      </c>
      <c r="I423" s="8">
        <f>11.7635 * CHOOSE(CONTROL!$C$14, $D$10, 100%, $F$10)</f>
        <v>11.763500000000001</v>
      </c>
      <c r="J423" s="4">
        <f>11.6281 * CHOOSE(CONTROL!$C$14, $D$10, 100%, $F$10)</f>
        <v>11.6281</v>
      </c>
      <c r="K423" s="4"/>
      <c r="L423" s="9">
        <v>29.306000000000001</v>
      </c>
      <c r="M423" s="9">
        <v>12.063700000000001</v>
      </c>
      <c r="N423" s="9">
        <v>4.9444999999999997</v>
      </c>
      <c r="O423" s="9">
        <v>0.37409999999999999</v>
      </c>
      <c r="P423" s="9">
        <v>1.2927</v>
      </c>
      <c r="Q423" s="9">
        <v>20.136399999999998</v>
      </c>
      <c r="R423" s="9"/>
      <c r="S423" s="11"/>
    </row>
    <row r="424" spans="1:19" ht="15.75">
      <c r="A424" s="13">
        <v>54819</v>
      </c>
      <c r="B424" s="8">
        <f>12.5185 * CHOOSE(CONTROL!$C$14, $D$10, 100%, $F$10)</f>
        <v>12.5185</v>
      </c>
      <c r="C424" s="8">
        <f>12.5236 * CHOOSE(CONTROL!$C$14, $D$10, 100%, $F$10)</f>
        <v>12.5236</v>
      </c>
      <c r="D424" s="8">
        <f>12.5194 * CHOOSE( CONTROL!$C$14, $D$10, 100%, $F$10)</f>
        <v>12.519399999999999</v>
      </c>
      <c r="E424" s="12">
        <f>12.5204 * CHOOSE( CONTROL!$C$14, $D$10, 100%, $F$10)</f>
        <v>12.5204</v>
      </c>
      <c r="F424" s="4">
        <f>13.197 * CHOOSE(CONTROL!$C$14, $D$10, 100%, $F$10)</f>
        <v>13.196999999999999</v>
      </c>
      <c r="G424" s="8">
        <f>12.3085 * CHOOSE( CONTROL!$C$14, $D$10, 100%, $F$10)</f>
        <v>12.3085</v>
      </c>
      <c r="H424" s="4">
        <f>13.207 * CHOOSE(CONTROL!$C$14, $D$10, 100%, $F$10)</f>
        <v>13.207000000000001</v>
      </c>
      <c r="I424" s="8">
        <f>12.1871 * CHOOSE(CONTROL!$C$14, $D$10, 100%, $F$10)</f>
        <v>12.187099999999999</v>
      </c>
      <c r="J424" s="4">
        <f>12.0725 * CHOOSE(CONTROL!$C$14, $D$10, 100%, $F$10)</f>
        <v>12.0725</v>
      </c>
      <c r="K424" s="4"/>
      <c r="L424" s="9">
        <v>29.306000000000001</v>
      </c>
      <c r="M424" s="9">
        <v>12.063700000000001</v>
      </c>
      <c r="N424" s="9">
        <v>4.9444999999999997</v>
      </c>
      <c r="O424" s="9">
        <v>0.37409999999999999</v>
      </c>
      <c r="P424" s="9">
        <v>1.2927</v>
      </c>
      <c r="Q424" s="9">
        <v>20.071300000000001</v>
      </c>
      <c r="R424" s="9"/>
      <c r="S424" s="11"/>
    </row>
    <row r="425" spans="1:19" ht="15.75">
      <c r="A425" s="13">
        <v>54847</v>
      </c>
      <c r="B425" s="8">
        <f>11.7112 * CHOOSE(CONTROL!$C$14, $D$10, 100%, $F$10)</f>
        <v>11.7112</v>
      </c>
      <c r="C425" s="8">
        <f>11.7163 * CHOOSE(CONTROL!$C$14, $D$10, 100%, $F$10)</f>
        <v>11.7163</v>
      </c>
      <c r="D425" s="8">
        <f>11.7062 * CHOOSE( CONTROL!$C$14, $D$10, 100%, $F$10)</f>
        <v>11.706200000000001</v>
      </c>
      <c r="E425" s="12">
        <f>11.7093 * CHOOSE( CONTROL!$C$14, $D$10, 100%, $F$10)</f>
        <v>11.709300000000001</v>
      </c>
      <c r="F425" s="4">
        <f>12.3638 * CHOOSE(CONTROL!$C$14, $D$10, 100%, $F$10)</f>
        <v>12.363799999999999</v>
      </c>
      <c r="G425" s="8">
        <f>11.5065 * CHOOSE( CONTROL!$C$14, $D$10, 100%, $F$10)</f>
        <v>11.506500000000001</v>
      </c>
      <c r="H425" s="4">
        <f>12.3876 * CHOOSE(CONTROL!$C$14, $D$10, 100%, $F$10)</f>
        <v>12.387600000000001</v>
      </c>
      <c r="I425" s="8">
        <f>11.3969 * CHOOSE(CONTROL!$C$14, $D$10, 100%, $F$10)</f>
        <v>11.3969</v>
      </c>
      <c r="J425" s="4">
        <f>11.292 * CHOOSE(CONTROL!$C$14, $D$10, 100%, $F$10)</f>
        <v>11.292</v>
      </c>
      <c r="K425" s="4"/>
      <c r="L425" s="9">
        <v>26.469899999999999</v>
      </c>
      <c r="M425" s="9">
        <v>10.8962</v>
      </c>
      <c r="N425" s="9">
        <v>4.4660000000000002</v>
      </c>
      <c r="O425" s="9">
        <v>0.33789999999999998</v>
      </c>
      <c r="P425" s="9">
        <v>1.1676</v>
      </c>
      <c r="Q425" s="9">
        <v>18.128900000000002</v>
      </c>
      <c r="R425" s="9"/>
      <c r="S425" s="11"/>
    </row>
    <row r="426" spans="1:19" ht="15.75">
      <c r="A426" s="13">
        <v>54878</v>
      </c>
      <c r="B426" s="8">
        <f>11.4625 * CHOOSE(CONTROL!$C$14, $D$10, 100%, $F$10)</f>
        <v>11.4625</v>
      </c>
      <c r="C426" s="8">
        <f>11.4676 * CHOOSE(CONTROL!$C$14, $D$10, 100%, $F$10)</f>
        <v>11.467599999999999</v>
      </c>
      <c r="D426" s="8">
        <f>11.451 * CHOOSE( CONTROL!$C$14, $D$10, 100%, $F$10)</f>
        <v>11.451000000000001</v>
      </c>
      <c r="E426" s="12">
        <f>11.4565 * CHOOSE( CONTROL!$C$14, $D$10, 100%, $F$10)</f>
        <v>11.4565</v>
      </c>
      <c r="F426" s="4">
        <f>12.1152 * CHOOSE(CONTROL!$C$14, $D$10, 100%, $F$10)</f>
        <v>12.1152</v>
      </c>
      <c r="G426" s="8">
        <f>11.2537 * CHOOSE( CONTROL!$C$14, $D$10, 100%, $F$10)</f>
        <v>11.2537</v>
      </c>
      <c r="H426" s="4">
        <f>12.143 * CHOOSE(CONTROL!$C$14, $D$10, 100%, $F$10)</f>
        <v>12.143000000000001</v>
      </c>
      <c r="I426" s="8">
        <f>11.1363 * CHOOSE(CONTROL!$C$14, $D$10, 100%, $F$10)</f>
        <v>11.1363</v>
      </c>
      <c r="J426" s="4">
        <f>11.0516 * CHOOSE(CONTROL!$C$14, $D$10, 100%, $F$10)</f>
        <v>11.051600000000001</v>
      </c>
      <c r="K426" s="4"/>
      <c r="L426" s="9">
        <v>29.306000000000001</v>
      </c>
      <c r="M426" s="9">
        <v>12.063700000000001</v>
      </c>
      <c r="N426" s="9">
        <v>4.9444999999999997</v>
      </c>
      <c r="O426" s="9">
        <v>0.37409999999999999</v>
      </c>
      <c r="P426" s="9">
        <v>1.2927</v>
      </c>
      <c r="Q426" s="9">
        <v>20.071300000000001</v>
      </c>
      <c r="R426" s="9"/>
      <c r="S426" s="11"/>
    </row>
    <row r="427" spans="1:19" ht="15.75">
      <c r="A427" s="13">
        <v>54908</v>
      </c>
      <c r="B427" s="8">
        <f>11.637 * CHOOSE(CONTROL!$C$14, $D$10, 100%, $F$10)</f>
        <v>11.637</v>
      </c>
      <c r="C427" s="8">
        <f>11.6416 * CHOOSE(CONTROL!$C$14, $D$10, 100%, $F$10)</f>
        <v>11.6416</v>
      </c>
      <c r="D427" s="8">
        <f>11.6511 * CHOOSE( CONTROL!$C$14, $D$10, 100%, $F$10)</f>
        <v>11.6511</v>
      </c>
      <c r="E427" s="12">
        <f>11.6474 * CHOOSE( CONTROL!$C$14, $D$10, 100%, $F$10)</f>
        <v>11.647399999999999</v>
      </c>
      <c r="F427" s="4">
        <f>12.32 * CHOOSE(CONTROL!$C$14, $D$10, 100%, $F$10)</f>
        <v>12.32</v>
      </c>
      <c r="G427" s="8">
        <f>11.4145 * CHOOSE( CONTROL!$C$14, $D$10, 100%, $F$10)</f>
        <v>11.4145</v>
      </c>
      <c r="H427" s="4">
        <f>12.3444 * CHOOSE(CONTROL!$C$14, $D$10, 100%, $F$10)</f>
        <v>12.3444</v>
      </c>
      <c r="I427" s="8">
        <f>11.3153 * CHOOSE(CONTROL!$C$14, $D$10, 100%, $F$10)</f>
        <v>11.315300000000001</v>
      </c>
      <c r="J427" s="4">
        <f>11.2196 * CHOOSE(CONTROL!$C$14, $D$10, 100%, $F$10)</f>
        <v>11.2196</v>
      </c>
      <c r="K427" s="4"/>
      <c r="L427" s="9">
        <v>30.092199999999998</v>
      </c>
      <c r="M427" s="9">
        <v>11.6745</v>
      </c>
      <c r="N427" s="9">
        <v>4.7850000000000001</v>
      </c>
      <c r="O427" s="9">
        <v>0.36199999999999999</v>
      </c>
      <c r="P427" s="9">
        <v>1.1791</v>
      </c>
      <c r="Q427" s="9">
        <v>19.4238</v>
      </c>
      <c r="R427" s="9"/>
      <c r="S427" s="11"/>
    </row>
    <row r="428" spans="1:19" ht="15.75">
      <c r="A428" s="13">
        <v>54939</v>
      </c>
      <c r="B428" s="8">
        <f>CHOOSE( CONTROL!$C$31, 11.9506, 11.9477) * CHOOSE(CONTROL!$C$14, $D$10, 100%, $F$10)</f>
        <v>11.9506</v>
      </c>
      <c r="C428" s="8">
        <f>CHOOSE( CONTROL!$C$31, 11.9586, 11.9557) * CHOOSE(CONTROL!$C$14, $D$10, 100%, $F$10)</f>
        <v>11.958600000000001</v>
      </c>
      <c r="D428" s="8">
        <f>CHOOSE( CONTROL!$C$31, 11.9632, 11.9603) * CHOOSE( CONTROL!$C$14, $D$10, 100%, $F$10)</f>
        <v>11.963200000000001</v>
      </c>
      <c r="E428" s="12">
        <f>CHOOSE( CONTROL!$C$31, 11.9603, 11.9574) * CHOOSE( CONTROL!$C$14, $D$10, 100%, $F$10)</f>
        <v>11.9603</v>
      </c>
      <c r="F428" s="4">
        <f>CHOOSE( CONTROL!$C$31, 12.6321, 12.6292) * CHOOSE(CONTROL!$C$14, $D$10, 100%, $F$10)</f>
        <v>12.632099999999999</v>
      </c>
      <c r="G428" s="8">
        <f>CHOOSE( CONTROL!$C$31, 11.7224, 11.7195) * CHOOSE( CONTROL!$C$14, $D$10, 100%, $F$10)</f>
        <v>11.7224</v>
      </c>
      <c r="H428" s="4">
        <f>CHOOSE( CONTROL!$C$31, 12.6514, 12.6486) * CHOOSE(CONTROL!$C$14, $D$10, 100%, $F$10)</f>
        <v>12.651400000000001</v>
      </c>
      <c r="I428" s="8">
        <f>CHOOSE( CONTROL!$C$31, 11.6183, 11.6155) * CHOOSE(CONTROL!$C$14, $D$10, 100%, $F$10)</f>
        <v>11.6183</v>
      </c>
      <c r="J428" s="4">
        <f>CHOOSE( CONTROL!$C$31, 11.5214, 11.5186) * CHOOSE(CONTROL!$C$14, $D$10, 100%, $F$10)</f>
        <v>11.5214</v>
      </c>
      <c r="K428" s="4"/>
      <c r="L428" s="9">
        <v>30.7165</v>
      </c>
      <c r="M428" s="9">
        <v>12.063700000000001</v>
      </c>
      <c r="N428" s="9">
        <v>4.9444999999999997</v>
      </c>
      <c r="O428" s="9">
        <v>0.37409999999999999</v>
      </c>
      <c r="P428" s="9">
        <v>1.2183999999999999</v>
      </c>
      <c r="Q428" s="9">
        <v>20.071300000000001</v>
      </c>
      <c r="R428" s="9"/>
      <c r="S428" s="11"/>
    </row>
    <row r="429" spans="1:19" ht="15.75">
      <c r="A429" s="13">
        <v>54969</v>
      </c>
      <c r="B429" s="8">
        <f>CHOOSE( CONTROL!$C$31, 11.759, 11.7561) * CHOOSE(CONTROL!$C$14, $D$10, 100%, $F$10)</f>
        <v>11.759</v>
      </c>
      <c r="C429" s="8">
        <f>CHOOSE( CONTROL!$C$31, 11.767, 11.7641) * CHOOSE(CONTROL!$C$14, $D$10, 100%, $F$10)</f>
        <v>11.766999999999999</v>
      </c>
      <c r="D429" s="8">
        <f>CHOOSE( CONTROL!$C$31, 11.7719, 11.769) * CHOOSE( CONTROL!$C$14, $D$10, 100%, $F$10)</f>
        <v>11.7719</v>
      </c>
      <c r="E429" s="12">
        <f>CHOOSE( CONTROL!$C$31, 11.7689, 11.766) * CHOOSE( CONTROL!$C$14, $D$10, 100%, $F$10)</f>
        <v>11.7689</v>
      </c>
      <c r="F429" s="4">
        <f>CHOOSE( CONTROL!$C$31, 12.4406, 12.4376) * CHOOSE(CONTROL!$C$14, $D$10, 100%, $F$10)</f>
        <v>12.4406</v>
      </c>
      <c r="G429" s="8">
        <f>CHOOSE( CONTROL!$C$31, 11.5344, 11.5315) * CHOOSE( CONTROL!$C$14, $D$10, 100%, $F$10)</f>
        <v>11.5344</v>
      </c>
      <c r="H429" s="4">
        <f>CHOOSE( CONTROL!$C$31, 12.463, 12.4602) * CHOOSE(CONTROL!$C$14, $D$10, 100%, $F$10)</f>
        <v>12.462999999999999</v>
      </c>
      <c r="I429" s="8">
        <f>CHOOSE( CONTROL!$C$31, 11.4343, 11.4314) * CHOOSE(CONTROL!$C$14, $D$10, 100%, $F$10)</f>
        <v>11.4343</v>
      </c>
      <c r="J429" s="4">
        <f>CHOOSE( CONTROL!$C$31, 11.3362, 11.3334) * CHOOSE(CONTROL!$C$14, $D$10, 100%, $F$10)</f>
        <v>11.3362</v>
      </c>
      <c r="K429" s="4"/>
      <c r="L429" s="9">
        <v>29.7257</v>
      </c>
      <c r="M429" s="9">
        <v>11.6745</v>
      </c>
      <c r="N429" s="9">
        <v>4.7850000000000001</v>
      </c>
      <c r="O429" s="9">
        <v>0.36199999999999999</v>
      </c>
      <c r="P429" s="9">
        <v>1.1791</v>
      </c>
      <c r="Q429" s="9">
        <v>19.4238</v>
      </c>
      <c r="R429" s="9"/>
      <c r="S429" s="11"/>
    </row>
    <row r="430" spans="1:19" ht="15.75">
      <c r="A430" s="13">
        <v>55000</v>
      </c>
      <c r="B430" s="8">
        <f>CHOOSE( CONTROL!$C$31, 12.2635, 12.2606) * CHOOSE(CONTROL!$C$14, $D$10, 100%, $F$10)</f>
        <v>12.263500000000001</v>
      </c>
      <c r="C430" s="8">
        <f>CHOOSE( CONTROL!$C$31, 12.2715, 12.2686) * CHOOSE(CONTROL!$C$14, $D$10, 100%, $F$10)</f>
        <v>12.2715</v>
      </c>
      <c r="D430" s="8">
        <f>CHOOSE( CONTROL!$C$31, 12.2766, 12.2737) * CHOOSE( CONTROL!$C$14, $D$10, 100%, $F$10)</f>
        <v>12.2766</v>
      </c>
      <c r="E430" s="12">
        <f>CHOOSE( CONTROL!$C$31, 12.2735, 12.2706) * CHOOSE( CONTROL!$C$14, $D$10, 100%, $F$10)</f>
        <v>12.2735</v>
      </c>
      <c r="F430" s="4">
        <f>CHOOSE( CONTROL!$C$31, 12.945, 12.9421) * CHOOSE(CONTROL!$C$14, $D$10, 100%, $F$10)</f>
        <v>12.945</v>
      </c>
      <c r="G430" s="8">
        <f>CHOOSE( CONTROL!$C$31, 12.0309, 12.028) * CHOOSE( CONTROL!$C$14, $D$10, 100%, $F$10)</f>
        <v>12.030900000000001</v>
      </c>
      <c r="H430" s="4">
        <f>CHOOSE( CONTROL!$C$31, 12.9591, 12.9563) * CHOOSE(CONTROL!$C$14, $D$10, 100%, $F$10)</f>
        <v>12.959099999999999</v>
      </c>
      <c r="I430" s="8">
        <f>CHOOSE( CONTROL!$C$31, 11.9233, 11.9205) * CHOOSE(CONTROL!$C$14, $D$10, 100%, $F$10)</f>
        <v>11.923299999999999</v>
      </c>
      <c r="J430" s="4">
        <f>CHOOSE( CONTROL!$C$31, 11.8239, 11.8211) * CHOOSE(CONTROL!$C$14, $D$10, 100%, $F$10)</f>
        <v>11.8239</v>
      </c>
      <c r="K430" s="4"/>
      <c r="L430" s="9">
        <v>30.7165</v>
      </c>
      <c r="M430" s="9">
        <v>12.063700000000001</v>
      </c>
      <c r="N430" s="9">
        <v>4.9444999999999997</v>
      </c>
      <c r="O430" s="9">
        <v>0.37409999999999999</v>
      </c>
      <c r="P430" s="9">
        <v>1.2183999999999999</v>
      </c>
      <c r="Q430" s="9">
        <v>20.071300000000001</v>
      </c>
      <c r="R430" s="9"/>
      <c r="S430" s="11"/>
    </row>
    <row r="431" spans="1:19" ht="15.75">
      <c r="A431" s="13">
        <v>55031</v>
      </c>
      <c r="B431" s="8">
        <f>CHOOSE( CONTROL!$C$31, 11.3196, 11.3166) * CHOOSE(CONTROL!$C$14, $D$10, 100%, $F$10)</f>
        <v>11.319599999999999</v>
      </c>
      <c r="C431" s="8">
        <f>CHOOSE( CONTROL!$C$31, 11.3276, 11.3246) * CHOOSE(CONTROL!$C$14, $D$10, 100%, $F$10)</f>
        <v>11.3276</v>
      </c>
      <c r="D431" s="8">
        <f>CHOOSE( CONTROL!$C$31, 11.3328, 11.3299) * CHOOSE( CONTROL!$C$14, $D$10, 100%, $F$10)</f>
        <v>11.332800000000001</v>
      </c>
      <c r="E431" s="12">
        <f>CHOOSE( CONTROL!$C$31, 11.3297, 11.3268) * CHOOSE( CONTROL!$C$14, $D$10, 100%, $F$10)</f>
        <v>11.329700000000001</v>
      </c>
      <c r="F431" s="4">
        <f>CHOOSE( CONTROL!$C$31, 12.0011, 11.9982) * CHOOSE(CONTROL!$C$14, $D$10, 100%, $F$10)</f>
        <v>12.001099999999999</v>
      </c>
      <c r="G431" s="8">
        <f>CHOOSE( CONTROL!$C$31, 11.1027, 11.0998) * CHOOSE( CONTROL!$C$14, $D$10, 100%, $F$10)</f>
        <v>11.1027</v>
      </c>
      <c r="H431" s="4">
        <f>CHOOSE( CONTROL!$C$31, 12.0309, 12.028) * CHOOSE(CONTROL!$C$14, $D$10, 100%, $F$10)</f>
        <v>12.030900000000001</v>
      </c>
      <c r="I431" s="8">
        <f>CHOOSE( CONTROL!$C$31, 11.0108, 11.008) * CHOOSE(CONTROL!$C$14, $D$10, 100%, $F$10)</f>
        <v>11.0108</v>
      </c>
      <c r="J431" s="4">
        <f>CHOOSE( CONTROL!$C$31, 10.9114, 10.9086) * CHOOSE(CONTROL!$C$14, $D$10, 100%, $F$10)</f>
        <v>10.9114</v>
      </c>
      <c r="K431" s="4"/>
      <c r="L431" s="9">
        <v>30.7165</v>
      </c>
      <c r="M431" s="9">
        <v>12.063700000000001</v>
      </c>
      <c r="N431" s="9">
        <v>4.9444999999999997</v>
      </c>
      <c r="O431" s="9">
        <v>0.37409999999999999</v>
      </c>
      <c r="P431" s="9">
        <v>1.2183999999999999</v>
      </c>
      <c r="Q431" s="9">
        <v>20.071300000000001</v>
      </c>
      <c r="R431" s="9"/>
      <c r="S431" s="11"/>
    </row>
    <row r="432" spans="1:19" ht="15.75">
      <c r="A432" s="13">
        <v>55061</v>
      </c>
      <c r="B432" s="8">
        <f>CHOOSE( CONTROL!$C$31, 11.0832, 11.0803) * CHOOSE(CONTROL!$C$14, $D$10, 100%, $F$10)</f>
        <v>11.0832</v>
      </c>
      <c r="C432" s="8">
        <f>CHOOSE( CONTROL!$C$31, 11.0912, 11.0883) * CHOOSE(CONTROL!$C$14, $D$10, 100%, $F$10)</f>
        <v>11.091200000000001</v>
      </c>
      <c r="D432" s="8">
        <f>CHOOSE( CONTROL!$C$31, 11.0964, 11.0935) * CHOOSE( CONTROL!$C$14, $D$10, 100%, $F$10)</f>
        <v>11.096399999999999</v>
      </c>
      <c r="E432" s="12">
        <f>CHOOSE( CONTROL!$C$31, 11.0933, 11.0904) * CHOOSE( CONTROL!$C$14, $D$10, 100%, $F$10)</f>
        <v>11.093299999999999</v>
      </c>
      <c r="F432" s="4">
        <f>CHOOSE( CONTROL!$C$31, 11.7647, 11.7618) * CHOOSE(CONTROL!$C$14, $D$10, 100%, $F$10)</f>
        <v>11.764699999999999</v>
      </c>
      <c r="G432" s="8">
        <f>CHOOSE( CONTROL!$C$31, 10.8703, 10.8674) * CHOOSE( CONTROL!$C$14, $D$10, 100%, $F$10)</f>
        <v>10.8703</v>
      </c>
      <c r="H432" s="4">
        <f>CHOOSE( CONTROL!$C$31, 11.7984, 11.7955) * CHOOSE(CONTROL!$C$14, $D$10, 100%, $F$10)</f>
        <v>11.798400000000001</v>
      </c>
      <c r="I432" s="8">
        <f>CHOOSE( CONTROL!$C$31, 10.7821, 10.7793) * CHOOSE(CONTROL!$C$14, $D$10, 100%, $F$10)</f>
        <v>10.7821</v>
      </c>
      <c r="J432" s="4">
        <f>CHOOSE( CONTROL!$C$31, 10.6829, 10.6801) * CHOOSE(CONTROL!$C$14, $D$10, 100%, $F$10)</f>
        <v>10.6829</v>
      </c>
      <c r="K432" s="4"/>
      <c r="L432" s="9">
        <v>29.7257</v>
      </c>
      <c r="M432" s="9">
        <v>11.6745</v>
      </c>
      <c r="N432" s="9">
        <v>4.7850000000000001</v>
      </c>
      <c r="O432" s="9">
        <v>0.36199999999999999</v>
      </c>
      <c r="P432" s="9">
        <v>1.1791</v>
      </c>
      <c r="Q432" s="9">
        <v>19.4238</v>
      </c>
      <c r="R432" s="9"/>
      <c r="S432" s="11"/>
    </row>
    <row r="433" spans="1:19" ht="15.75">
      <c r="A433" s="13">
        <v>55092</v>
      </c>
      <c r="B433" s="8">
        <f>11.5693 * CHOOSE(CONTROL!$C$14, $D$10, 100%, $F$10)</f>
        <v>11.5693</v>
      </c>
      <c r="C433" s="8">
        <f>11.5747 * CHOOSE(CONTROL!$C$14, $D$10, 100%, $F$10)</f>
        <v>11.5747</v>
      </c>
      <c r="D433" s="8">
        <f>11.5847 * CHOOSE( CONTROL!$C$14, $D$10, 100%, $F$10)</f>
        <v>11.5847</v>
      </c>
      <c r="E433" s="12">
        <f>11.5808 * CHOOSE( CONTROL!$C$14, $D$10, 100%, $F$10)</f>
        <v>11.5808</v>
      </c>
      <c r="F433" s="4">
        <f>12.2526 * CHOOSE(CONTROL!$C$14, $D$10, 100%, $F$10)</f>
        <v>12.252599999999999</v>
      </c>
      <c r="G433" s="8">
        <f>11.3497 * CHOOSE( CONTROL!$C$14, $D$10, 100%, $F$10)</f>
        <v>11.3497</v>
      </c>
      <c r="H433" s="4">
        <f>12.2782 * CHOOSE(CONTROL!$C$14, $D$10, 100%, $F$10)</f>
        <v>12.2782</v>
      </c>
      <c r="I433" s="8">
        <f>11.2548 * CHOOSE(CONTROL!$C$14, $D$10, 100%, $F$10)</f>
        <v>11.254799999999999</v>
      </c>
      <c r="J433" s="4">
        <f>11.1545 * CHOOSE(CONTROL!$C$14, $D$10, 100%, $F$10)</f>
        <v>11.154500000000001</v>
      </c>
      <c r="K433" s="4"/>
      <c r="L433" s="9">
        <v>31.095300000000002</v>
      </c>
      <c r="M433" s="9">
        <v>12.063700000000001</v>
      </c>
      <c r="N433" s="9">
        <v>4.9444999999999997</v>
      </c>
      <c r="O433" s="9">
        <v>0.37409999999999999</v>
      </c>
      <c r="P433" s="9">
        <v>1.2183999999999999</v>
      </c>
      <c r="Q433" s="9">
        <v>20.071300000000001</v>
      </c>
      <c r="R433" s="9"/>
      <c r="S433" s="11"/>
    </row>
    <row r="434" spans="1:19" ht="15.75">
      <c r="A434" s="13">
        <v>55122</v>
      </c>
      <c r="B434" s="8">
        <f>12.4748 * CHOOSE(CONTROL!$C$14, $D$10, 100%, $F$10)</f>
        <v>12.4748</v>
      </c>
      <c r="C434" s="8">
        <f>12.4799 * CHOOSE(CONTROL!$C$14, $D$10, 100%, $F$10)</f>
        <v>12.479900000000001</v>
      </c>
      <c r="D434" s="8">
        <f>12.4561 * CHOOSE( CONTROL!$C$14, $D$10, 100%, $F$10)</f>
        <v>12.456099999999999</v>
      </c>
      <c r="E434" s="12">
        <f>12.4643 * CHOOSE( CONTROL!$C$14, $D$10, 100%, $F$10)</f>
        <v>12.4643</v>
      </c>
      <c r="F434" s="4">
        <f>13.1223 * CHOOSE(CONTROL!$C$14, $D$10, 100%, $F$10)</f>
        <v>13.122299999999999</v>
      </c>
      <c r="G434" s="8">
        <f>12.2503 * CHOOSE( CONTROL!$C$14, $D$10, 100%, $F$10)</f>
        <v>12.250299999999999</v>
      </c>
      <c r="H434" s="4">
        <f>13.1335 * CHOOSE(CONTROL!$C$14, $D$10, 100%, $F$10)</f>
        <v>13.1335</v>
      </c>
      <c r="I434" s="8">
        <f>12.1614 * CHOOSE(CONTROL!$C$14, $D$10, 100%, $F$10)</f>
        <v>12.1614</v>
      </c>
      <c r="J434" s="4">
        <f>12.0302 * CHOOSE(CONTROL!$C$14, $D$10, 100%, $F$10)</f>
        <v>12.030200000000001</v>
      </c>
      <c r="K434" s="4"/>
      <c r="L434" s="9">
        <v>28.360600000000002</v>
      </c>
      <c r="M434" s="9">
        <v>11.6745</v>
      </c>
      <c r="N434" s="9">
        <v>4.7850000000000001</v>
      </c>
      <c r="O434" s="9">
        <v>0.36199999999999999</v>
      </c>
      <c r="P434" s="9">
        <v>1.2509999999999999</v>
      </c>
      <c r="Q434" s="9">
        <v>19.4238</v>
      </c>
      <c r="R434" s="9"/>
      <c r="S434" s="11"/>
    </row>
    <row r="435" spans="1:19" ht="15.75">
      <c r="A435" s="13">
        <v>55153</v>
      </c>
      <c r="B435" s="8">
        <f>12.4522 * CHOOSE(CONTROL!$C$14, $D$10, 100%, $F$10)</f>
        <v>12.452199999999999</v>
      </c>
      <c r="C435" s="8">
        <f>12.4573 * CHOOSE(CONTROL!$C$14, $D$10, 100%, $F$10)</f>
        <v>12.4573</v>
      </c>
      <c r="D435" s="8">
        <f>12.4349 * CHOOSE( CONTROL!$C$14, $D$10, 100%, $F$10)</f>
        <v>12.434900000000001</v>
      </c>
      <c r="E435" s="12">
        <f>12.4425 * CHOOSE( CONTROL!$C$14, $D$10, 100%, $F$10)</f>
        <v>12.442500000000001</v>
      </c>
      <c r="F435" s="4">
        <f>13.0997 * CHOOSE(CONTROL!$C$14, $D$10, 100%, $F$10)</f>
        <v>13.0997</v>
      </c>
      <c r="G435" s="8">
        <f>12.2291 * CHOOSE( CONTROL!$C$14, $D$10, 100%, $F$10)</f>
        <v>12.229100000000001</v>
      </c>
      <c r="H435" s="4">
        <f>13.1112 * CHOOSE(CONTROL!$C$14, $D$10, 100%, $F$10)</f>
        <v>13.1112</v>
      </c>
      <c r="I435" s="8">
        <f>12.1439 * CHOOSE(CONTROL!$C$14, $D$10, 100%, $F$10)</f>
        <v>12.1439</v>
      </c>
      <c r="J435" s="4">
        <f>12.0083 * CHOOSE(CONTROL!$C$14, $D$10, 100%, $F$10)</f>
        <v>12.0083</v>
      </c>
      <c r="K435" s="4"/>
      <c r="L435" s="9">
        <v>29.306000000000001</v>
      </c>
      <c r="M435" s="9">
        <v>12.063700000000001</v>
      </c>
      <c r="N435" s="9">
        <v>4.9444999999999997</v>
      </c>
      <c r="O435" s="9">
        <v>0.37409999999999999</v>
      </c>
      <c r="P435" s="9">
        <v>1.2927</v>
      </c>
      <c r="Q435" s="9">
        <v>20.071300000000001</v>
      </c>
      <c r="R435" s="9"/>
      <c r="S435" s="11"/>
    </row>
    <row r="436" spans="1:19" ht="15.75">
      <c r="A436" s="13">
        <v>55184</v>
      </c>
      <c r="B436" s="8">
        <f>12.9269 * CHOOSE(CONTROL!$C$14, $D$10, 100%, $F$10)</f>
        <v>12.9269</v>
      </c>
      <c r="C436" s="8">
        <f>12.9321 * CHOOSE(CONTROL!$C$14, $D$10, 100%, $F$10)</f>
        <v>12.9321</v>
      </c>
      <c r="D436" s="8">
        <f>12.9279 * CHOOSE( CONTROL!$C$14, $D$10, 100%, $F$10)</f>
        <v>12.927899999999999</v>
      </c>
      <c r="E436" s="12">
        <f>12.9289 * CHOOSE( CONTROL!$C$14, $D$10, 100%, $F$10)</f>
        <v>12.928900000000001</v>
      </c>
      <c r="F436" s="4">
        <f>13.6054 * CHOOSE(CONTROL!$C$14, $D$10, 100%, $F$10)</f>
        <v>13.605399999999999</v>
      </c>
      <c r="G436" s="8">
        <f>12.7102 * CHOOSE( CONTROL!$C$14, $D$10, 100%, $F$10)</f>
        <v>12.7102</v>
      </c>
      <c r="H436" s="4">
        <f>13.6086 * CHOOSE(CONTROL!$C$14, $D$10, 100%, $F$10)</f>
        <v>13.608599999999999</v>
      </c>
      <c r="I436" s="8">
        <f>12.5821 * CHOOSE(CONTROL!$C$14, $D$10, 100%, $F$10)</f>
        <v>12.582100000000001</v>
      </c>
      <c r="J436" s="4">
        <f>12.4673 * CHOOSE(CONTROL!$C$14, $D$10, 100%, $F$10)</f>
        <v>12.4673</v>
      </c>
      <c r="K436" s="4"/>
      <c r="L436" s="9">
        <v>29.306000000000001</v>
      </c>
      <c r="M436" s="9">
        <v>12.063700000000001</v>
      </c>
      <c r="N436" s="9">
        <v>4.9444999999999997</v>
      </c>
      <c r="O436" s="9">
        <v>0.37409999999999999</v>
      </c>
      <c r="P436" s="9">
        <v>1.2927</v>
      </c>
      <c r="Q436" s="9">
        <v>20.007999999999999</v>
      </c>
      <c r="R436" s="9"/>
      <c r="S436" s="11"/>
    </row>
    <row r="437" spans="1:19" ht="15.75">
      <c r="A437" s="13">
        <v>55212</v>
      </c>
      <c r="B437" s="8">
        <f>12.0932 * CHOOSE(CONTROL!$C$14, $D$10, 100%, $F$10)</f>
        <v>12.0932</v>
      </c>
      <c r="C437" s="8">
        <f>12.0983 * CHOOSE(CONTROL!$C$14, $D$10, 100%, $F$10)</f>
        <v>12.0983</v>
      </c>
      <c r="D437" s="8">
        <f>12.0882 * CHOOSE( CONTROL!$C$14, $D$10, 100%, $F$10)</f>
        <v>12.088200000000001</v>
      </c>
      <c r="E437" s="12">
        <f>12.0913 * CHOOSE( CONTROL!$C$14, $D$10, 100%, $F$10)</f>
        <v>12.0913</v>
      </c>
      <c r="F437" s="4">
        <f>12.7458 * CHOOSE(CONTROL!$C$14, $D$10, 100%, $F$10)</f>
        <v>12.745799999999999</v>
      </c>
      <c r="G437" s="8">
        <f>11.8822 * CHOOSE( CONTROL!$C$14, $D$10, 100%, $F$10)</f>
        <v>11.882199999999999</v>
      </c>
      <c r="H437" s="4">
        <f>12.7632 * CHOOSE(CONTROL!$C$14, $D$10, 100%, $F$10)</f>
        <v>12.763199999999999</v>
      </c>
      <c r="I437" s="8">
        <f>11.7664 * CHOOSE(CONTROL!$C$14, $D$10, 100%, $F$10)</f>
        <v>11.766400000000001</v>
      </c>
      <c r="J437" s="4">
        <f>11.6613 * CHOOSE(CONTROL!$C$14, $D$10, 100%, $F$10)</f>
        <v>11.661300000000001</v>
      </c>
      <c r="K437" s="4"/>
      <c r="L437" s="9">
        <v>26.469899999999999</v>
      </c>
      <c r="M437" s="9">
        <v>10.8962</v>
      </c>
      <c r="N437" s="9">
        <v>4.4660000000000002</v>
      </c>
      <c r="O437" s="9">
        <v>0.33789999999999998</v>
      </c>
      <c r="P437" s="9">
        <v>1.1676</v>
      </c>
      <c r="Q437" s="9">
        <v>18.0718</v>
      </c>
      <c r="R437" s="9"/>
      <c r="S437" s="11"/>
    </row>
    <row r="438" spans="1:19" ht="15.75">
      <c r="A438" s="13">
        <v>55243</v>
      </c>
      <c r="B438" s="8">
        <f>11.8364 * CHOOSE(CONTROL!$C$14, $D$10, 100%, $F$10)</f>
        <v>11.836399999999999</v>
      </c>
      <c r="C438" s="8">
        <f>11.8415 * CHOOSE(CONTROL!$C$14, $D$10, 100%, $F$10)</f>
        <v>11.8415</v>
      </c>
      <c r="D438" s="8">
        <f>11.8249 * CHOOSE( CONTROL!$C$14, $D$10, 100%, $F$10)</f>
        <v>11.8249</v>
      </c>
      <c r="E438" s="12">
        <f>11.8304 * CHOOSE( CONTROL!$C$14, $D$10, 100%, $F$10)</f>
        <v>11.830399999999999</v>
      </c>
      <c r="F438" s="4">
        <f>12.489 * CHOOSE(CONTROL!$C$14, $D$10, 100%, $F$10)</f>
        <v>12.489000000000001</v>
      </c>
      <c r="G438" s="8">
        <f>11.6214 * CHOOSE( CONTROL!$C$14, $D$10, 100%, $F$10)</f>
        <v>11.6214</v>
      </c>
      <c r="H438" s="4">
        <f>12.5107 * CHOOSE(CONTROL!$C$14, $D$10, 100%, $F$10)</f>
        <v>12.5107</v>
      </c>
      <c r="I438" s="8">
        <f>11.4979 * CHOOSE(CONTROL!$C$14, $D$10, 100%, $F$10)</f>
        <v>11.4979</v>
      </c>
      <c r="J438" s="4">
        <f>11.4131 * CHOOSE(CONTROL!$C$14, $D$10, 100%, $F$10)</f>
        <v>11.4131</v>
      </c>
      <c r="K438" s="4"/>
      <c r="L438" s="9">
        <v>29.306000000000001</v>
      </c>
      <c r="M438" s="9">
        <v>12.063700000000001</v>
      </c>
      <c r="N438" s="9">
        <v>4.9444999999999997</v>
      </c>
      <c r="O438" s="9">
        <v>0.37409999999999999</v>
      </c>
      <c r="P438" s="9">
        <v>1.2927</v>
      </c>
      <c r="Q438" s="9">
        <v>20.007999999999999</v>
      </c>
      <c r="R438" s="9"/>
      <c r="S438" s="11"/>
    </row>
    <row r="439" spans="1:19" ht="15.75">
      <c r="A439" s="13">
        <v>55273</v>
      </c>
      <c r="B439" s="8">
        <f>12.0166 * CHOOSE(CONTROL!$C$14, $D$10, 100%, $F$10)</f>
        <v>12.0166</v>
      </c>
      <c r="C439" s="8">
        <f>12.0211 * CHOOSE(CONTROL!$C$14, $D$10, 100%, $F$10)</f>
        <v>12.021100000000001</v>
      </c>
      <c r="D439" s="8">
        <f>12.0307 * CHOOSE( CONTROL!$C$14, $D$10, 100%, $F$10)</f>
        <v>12.0307</v>
      </c>
      <c r="E439" s="12">
        <f>12.027 * CHOOSE( CONTROL!$C$14, $D$10, 100%, $F$10)</f>
        <v>12.026999999999999</v>
      </c>
      <c r="F439" s="4">
        <f>12.6995 * CHOOSE(CONTROL!$C$14, $D$10, 100%, $F$10)</f>
        <v>12.6995</v>
      </c>
      <c r="G439" s="8">
        <f>11.7877 * CHOOSE( CONTROL!$C$14, $D$10, 100%, $F$10)</f>
        <v>11.787699999999999</v>
      </c>
      <c r="H439" s="4">
        <f>12.7177 * CHOOSE(CONTROL!$C$14, $D$10, 100%, $F$10)</f>
        <v>12.717700000000001</v>
      </c>
      <c r="I439" s="8">
        <f>11.6824 * CHOOSE(CONTROL!$C$14, $D$10, 100%, $F$10)</f>
        <v>11.682399999999999</v>
      </c>
      <c r="J439" s="4">
        <f>11.5865 * CHOOSE(CONTROL!$C$14, $D$10, 100%, $F$10)</f>
        <v>11.586499999999999</v>
      </c>
      <c r="K439" s="4"/>
      <c r="L439" s="9">
        <v>30.092199999999998</v>
      </c>
      <c r="M439" s="9">
        <v>11.6745</v>
      </c>
      <c r="N439" s="9">
        <v>4.7850000000000001</v>
      </c>
      <c r="O439" s="9">
        <v>0.36199999999999999</v>
      </c>
      <c r="P439" s="9">
        <v>1.1791</v>
      </c>
      <c r="Q439" s="9">
        <v>19.3626</v>
      </c>
      <c r="R439" s="9"/>
      <c r="S439" s="11"/>
    </row>
    <row r="440" spans="1:19" ht="15.75">
      <c r="A440" s="13">
        <v>55304</v>
      </c>
      <c r="B440" s="8">
        <f>CHOOSE( CONTROL!$C$31, 12.3403, 12.3373) * CHOOSE(CONTROL!$C$14, $D$10, 100%, $F$10)</f>
        <v>12.340299999999999</v>
      </c>
      <c r="C440" s="8">
        <f>CHOOSE( CONTROL!$C$31, 12.3483, 12.3453) * CHOOSE(CONTROL!$C$14, $D$10, 100%, $F$10)</f>
        <v>12.3483</v>
      </c>
      <c r="D440" s="8">
        <f>CHOOSE( CONTROL!$C$31, 12.3529, 12.35) * CHOOSE( CONTROL!$C$14, $D$10, 100%, $F$10)</f>
        <v>12.3529</v>
      </c>
      <c r="E440" s="12">
        <f>CHOOSE( CONTROL!$C$31, 12.35, 12.3471) * CHOOSE( CONTROL!$C$14, $D$10, 100%, $F$10)</f>
        <v>12.35</v>
      </c>
      <c r="F440" s="4">
        <f>CHOOSE( CONTROL!$C$31, 13.0218, 13.0189) * CHOOSE(CONTROL!$C$14, $D$10, 100%, $F$10)</f>
        <v>13.021800000000001</v>
      </c>
      <c r="G440" s="8">
        <f>CHOOSE( CONTROL!$C$31, 12.1056, 12.1027) * CHOOSE( CONTROL!$C$14, $D$10, 100%, $F$10)</f>
        <v>12.105600000000001</v>
      </c>
      <c r="H440" s="4">
        <f>CHOOSE( CONTROL!$C$31, 13.0346, 13.0318) * CHOOSE(CONTROL!$C$14, $D$10, 100%, $F$10)</f>
        <v>13.034599999999999</v>
      </c>
      <c r="I440" s="8">
        <f>CHOOSE( CONTROL!$C$31, 11.9952, 11.9924) * CHOOSE(CONTROL!$C$14, $D$10, 100%, $F$10)</f>
        <v>11.995200000000001</v>
      </c>
      <c r="J440" s="4">
        <f>CHOOSE( CONTROL!$C$31, 11.8981, 11.8953) * CHOOSE(CONTROL!$C$14, $D$10, 100%, $F$10)</f>
        <v>11.898099999999999</v>
      </c>
      <c r="K440" s="4"/>
      <c r="L440" s="9">
        <v>30.7165</v>
      </c>
      <c r="M440" s="9">
        <v>12.063700000000001</v>
      </c>
      <c r="N440" s="9">
        <v>4.9444999999999997</v>
      </c>
      <c r="O440" s="9">
        <v>0.37409999999999999</v>
      </c>
      <c r="P440" s="9">
        <v>1.2183999999999999</v>
      </c>
      <c r="Q440" s="9">
        <v>20.007999999999999</v>
      </c>
      <c r="R440" s="9"/>
      <c r="S440" s="11"/>
    </row>
    <row r="441" spans="1:19" ht="15.75">
      <c r="A441" s="13">
        <v>55334</v>
      </c>
      <c r="B441" s="8">
        <f>CHOOSE( CONTROL!$C$31, 12.1424, 12.1395) * CHOOSE(CONTROL!$C$14, $D$10, 100%, $F$10)</f>
        <v>12.1424</v>
      </c>
      <c r="C441" s="8">
        <f>CHOOSE( CONTROL!$C$31, 12.1504, 12.1475) * CHOOSE(CONTROL!$C$14, $D$10, 100%, $F$10)</f>
        <v>12.150399999999999</v>
      </c>
      <c r="D441" s="8">
        <f>CHOOSE( CONTROL!$C$31, 12.1553, 12.1524) * CHOOSE( CONTROL!$C$14, $D$10, 100%, $F$10)</f>
        <v>12.1553</v>
      </c>
      <c r="E441" s="12">
        <f>CHOOSE( CONTROL!$C$31, 12.1523, 12.1494) * CHOOSE( CONTROL!$C$14, $D$10, 100%, $F$10)</f>
        <v>12.1523</v>
      </c>
      <c r="F441" s="4">
        <f>CHOOSE( CONTROL!$C$31, 12.824, 12.821) * CHOOSE(CONTROL!$C$14, $D$10, 100%, $F$10)</f>
        <v>12.824</v>
      </c>
      <c r="G441" s="8">
        <f>CHOOSE( CONTROL!$C$31, 11.9115, 11.9086) * CHOOSE( CONTROL!$C$14, $D$10, 100%, $F$10)</f>
        <v>11.9115</v>
      </c>
      <c r="H441" s="4">
        <f>CHOOSE( CONTROL!$C$31, 12.8401, 12.8372) * CHOOSE(CONTROL!$C$14, $D$10, 100%, $F$10)</f>
        <v>12.8401</v>
      </c>
      <c r="I441" s="8">
        <f>CHOOSE( CONTROL!$C$31, 11.8051, 11.8023) * CHOOSE(CONTROL!$C$14, $D$10, 100%, $F$10)</f>
        <v>11.805099999999999</v>
      </c>
      <c r="J441" s="4">
        <f>CHOOSE( CONTROL!$C$31, 11.7068, 11.704) * CHOOSE(CONTROL!$C$14, $D$10, 100%, $F$10)</f>
        <v>11.706799999999999</v>
      </c>
      <c r="K441" s="4"/>
      <c r="L441" s="9">
        <v>29.7257</v>
      </c>
      <c r="M441" s="9">
        <v>11.6745</v>
      </c>
      <c r="N441" s="9">
        <v>4.7850000000000001</v>
      </c>
      <c r="O441" s="9">
        <v>0.36199999999999999</v>
      </c>
      <c r="P441" s="9">
        <v>1.1791</v>
      </c>
      <c r="Q441" s="9">
        <v>19.3626</v>
      </c>
      <c r="R441" s="9"/>
      <c r="S441" s="11"/>
    </row>
    <row r="442" spans="1:19" ht="15.75">
      <c r="A442" s="13">
        <v>55365</v>
      </c>
      <c r="B442" s="8">
        <f>CHOOSE( CONTROL!$C$31, 12.6634, 12.6605) * CHOOSE(CONTROL!$C$14, $D$10, 100%, $F$10)</f>
        <v>12.663399999999999</v>
      </c>
      <c r="C442" s="8">
        <f>CHOOSE( CONTROL!$C$31, 12.6714, 12.6685) * CHOOSE(CONTROL!$C$14, $D$10, 100%, $F$10)</f>
        <v>12.6714</v>
      </c>
      <c r="D442" s="8">
        <f>CHOOSE( CONTROL!$C$31, 12.6765, 12.6736) * CHOOSE( CONTROL!$C$14, $D$10, 100%, $F$10)</f>
        <v>12.676500000000001</v>
      </c>
      <c r="E442" s="12">
        <f>CHOOSE( CONTROL!$C$31, 12.6734, 12.6705) * CHOOSE( CONTROL!$C$14, $D$10, 100%, $F$10)</f>
        <v>12.673400000000001</v>
      </c>
      <c r="F442" s="4">
        <f>CHOOSE( CONTROL!$C$31, 13.3449, 13.342) * CHOOSE(CONTROL!$C$14, $D$10, 100%, $F$10)</f>
        <v>13.344900000000001</v>
      </c>
      <c r="G442" s="8">
        <f>CHOOSE( CONTROL!$C$31, 12.4242, 12.4213) * CHOOSE( CONTROL!$C$14, $D$10, 100%, $F$10)</f>
        <v>12.424200000000001</v>
      </c>
      <c r="H442" s="4">
        <f>CHOOSE( CONTROL!$C$31, 13.3524, 13.3495) * CHOOSE(CONTROL!$C$14, $D$10, 100%, $F$10)</f>
        <v>13.352399999999999</v>
      </c>
      <c r="I442" s="8">
        <f>CHOOSE( CONTROL!$C$31, 12.3101, 12.3073) * CHOOSE(CONTROL!$C$14, $D$10, 100%, $F$10)</f>
        <v>12.3101</v>
      </c>
      <c r="J442" s="4">
        <f>CHOOSE( CONTROL!$C$31, 12.2105, 12.2076) * CHOOSE(CONTROL!$C$14, $D$10, 100%, $F$10)</f>
        <v>12.2105</v>
      </c>
      <c r="K442" s="4"/>
      <c r="L442" s="9">
        <v>30.7165</v>
      </c>
      <c r="M442" s="9">
        <v>12.063700000000001</v>
      </c>
      <c r="N442" s="9">
        <v>4.9444999999999997</v>
      </c>
      <c r="O442" s="9">
        <v>0.37409999999999999</v>
      </c>
      <c r="P442" s="9">
        <v>1.2183999999999999</v>
      </c>
      <c r="Q442" s="9">
        <v>20.007999999999999</v>
      </c>
      <c r="R442" s="9"/>
      <c r="S442" s="11"/>
    </row>
    <row r="443" spans="1:19" ht="15.75">
      <c r="A443" s="13">
        <v>55396</v>
      </c>
      <c r="B443" s="8">
        <f>CHOOSE( CONTROL!$C$31, 11.6886, 11.6857) * CHOOSE(CONTROL!$C$14, $D$10, 100%, $F$10)</f>
        <v>11.688599999999999</v>
      </c>
      <c r="C443" s="8">
        <f>CHOOSE( CONTROL!$C$31, 11.6966, 11.6937) * CHOOSE(CONTROL!$C$14, $D$10, 100%, $F$10)</f>
        <v>11.6966</v>
      </c>
      <c r="D443" s="8">
        <f>CHOOSE( CONTROL!$C$31, 11.7018, 11.6989) * CHOOSE( CONTROL!$C$14, $D$10, 100%, $F$10)</f>
        <v>11.7018</v>
      </c>
      <c r="E443" s="12">
        <f>CHOOSE( CONTROL!$C$31, 11.6987, 11.6958) * CHOOSE( CONTROL!$C$14, $D$10, 100%, $F$10)</f>
        <v>11.698700000000001</v>
      </c>
      <c r="F443" s="4">
        <f>CHOOSE( CONTROL!$C$31, 12.3701, 12.3672) * CHOOSE(CONTROL!$C$14, $D$10, 100%, $F$10)</f>
        <v>12.370100000000001</v>
      </c>
      <c r="G443" s="8">
        <f>CHOOSE( CONTROL!$C$31, 11.4656, 11.4628) * CHOOSE( CONTROL!$C$14, $D$10, 100%, $F$10)</f>
        <v>11.4656</v>
      </c>
      <c r="H443" s="4">
        <f>CHOOSE( CONTROL!$C$31, 12.3938, 12.3909) * CHOOSE(CONTROL!$C$14, $D$10, 100%, $F$10)</f>
        <v>12.393800000000001</v>
      </c>
      <c r="I443" s="8">
        <f>CHOOSE( CONTROL!$C$31, 11.3677, 11.3649) * CHOOSE(CONTROL!$C$14, $D$10, 100%, $F$10)</f>
        <v>11.367699999999999</v>
      </c>
      <c r="J443" s="4">
        <f>CHOOSE( CONTROL!$C$31, 11.2681, 11.2653) * CHOOSE(CONTROL!$C$14, $D$10, 100%, $F$10)</f>
        <v>11.2681</v>
      </c>
      <c r="K443" s="4"/>
      <c r="L443" s="9">
        <v>30.7165</v>
      </c>
      <c r="M443" s="9">
        <v>12.063700000000001</v>
      </c>
      <c r="N443" s="9">
        <v>4.9444999999999997</v>
      </c>
      <c r="O443" s="9">
        <v>0.37409999999999999</v>
      </c>
      <c r="P443" s="9">
        <v>1.2183999999999999</v>
      </c>
      <c r="Q443" s="9">
        <v>20.007999999999999</v>
      </c>
      <c r="R443" s="9"/>
      <c r="S443" s="11"/>
    </row>
    <row r="444" spans="1:19" ht="15.75">
      <c r="A444" s="13">
        <v>55426</v>
      </c>
      <c r="B444" s="8">
        <f>CHOOSE( CONTROL!$C$31, 11.4445, 11.4416) * CHOOSE(CONTROL!$C$14, $D$10, 100%, $F$10)</f>
        <v>11.4445</v>
      </c>
      <c r="C444" s="8">
        <f>CHOOSE( CONTROL!$C$31, 11.4525, 11.4496) * CHOOSE(CONTROL!$C$14, $D$10, 100%, $F$10)</f>
        <v>11.452500000000001</v>
      </c>
      <c r="D444" s="8">
        <f>CHOOSE( CONTROL!$C$31, 11.4577, 11.4548) * CHOOSE( CONTROL!$C$14, $D$10, 100%, $F$10)</f>
        <v>11.457700000000001</v>
      </c>
      <c r="E444" s="12">
        <f>CHOOSE( CONTROL!$C$31, 11.4546, 11.4517) * CHOOSE( CONTROL!$C$14, $D$10, 100%, $F$10)</f>
        <v>11.454599999999999</v>
      </c>
      <c r="F444" s="4">
        <f>CHOOSE( CONTROL!$C$31, 12.126, 12.1231) * CHOOSE(CONTROL!$C$14, $D$10, 100%, $F$10)</f>
        <v>12.125999999999999</v>
      </c>
      <c r="G444" s="8">
        <f>CHOOSE( CONTROL!$C$31, 11.2256, 11.2227) * CHOOSE( CONTROL!$C$14, $D$10, 100%, $F$10)</f>
        <v>11.2256</v>
      </c>
      <c r="H444" s="4">
        <f>CHOOSE( CONTROL!$C$31, 12.1537, 12.1509) * CHOOSE(CONTROL!$C$14, $D$10, 100%, $F$10)</f>
        <v>12.153700000000001</v>
      </c>
      <c r="I444" s="8">
        <f>CHOOSE( CONTROL!$C$31, 11.1316, 11.1287) * CHOOSE(CONTROL!$C$14, $D$10, 100%, $F$10)</f>
        <v>11.131600000000001</v>
      </c>
      <c r="J444" s="4">
        <f>CHOOSE( CONTROL!$C$31, 11.0322, 11.0293) * CHOOSE(CONTROL!$C$14, $D$10, 100%, $F$10)</f>
        <v>11.0322</v>
      </c>
      <c r="K444" s="4"/>
      <c r="L444" s="9">
        <v>29.7257</v>
      </c>
      <c r="M444" s="9">
        <v>11.6745</v>
      </c>
      <c r="N444" s="9">
        <v>4.7850000000000001</v>
      </c>
      <c r="O444" s="9">
        <v>0.36199999999999999</v>
      </c>
      <c r="P444" s="9">
        <v>1.1791</v>
      </c>
      <c r="Q444" s="9">
        <v>19.3626</v>
      </c>
      <c r="R444" s="9"/>
      <c r="S444" s="11"/>
    </row>
    <row r="445" spans="1:19" ht="15.75">
      <c r="A445" s="13">
        <v>55457</v>
      </c>
      <c r="B445" s="8">
        <f>11.9467 * CHOOSE(CONTROL!$C$14, $D$10, 100%, $F$10)</f>
        <v>11.9467</v>
      </c>
      <c r="C445" s="8">
        <f>11.9521 * CHOOSE(CONTROL!$C$14, $D$10, 100%, $F$10)</f>
        <v>11.9521</v>
      </c>
      <c r="D445" s="8">
        <f>11.962 * CHOOSE( CONTROL!$C$14, $D$10, 100%, $F$10)</f>
        <v>11.962</v>
      </c>
      <c r="E445" s="12">
        <f>11.9582 * CHOOSE( CONTROL!$C$14, $D$10, 100%, $F$10)</f>
        <v>11.9582</v>
      </c>
      <c r="F445" s="4">
        <f>12.63 * CHOOSE(CONTROL!$C$14, $D$10, 100%, $F$10)</f>
        <v>12.63</v>
      </c>
      <c r="G445" s="8">
        <f>11.7208 * CHOOSE( CONTROL!$C$14, $D$10, 100%, $F$10)</f>
        <v>11.720800000000001</v>
      </c>
      <c r="H445" s="4">
        <f>12.6493 * CHOOSE(CONTROL!$C$14, $D$10, 100%, $F$10)</f>
        <v>12.6493</v>
      </c>
      <c r="I445" s="8">
        <f>11.6198 * CHOOSE(CONTROL!$C$14, $D$10, 100%, $F$10)</f>
        <v>11.6198</v>
      </c>
      <c r="J445" s="4">
        <f>11.5193 * CHOOSE(CONTROL!$C$14, $D$10, 100%, $F$10)</f>
        <v>11.519299999999999</v>
      </c>
      <c r="K445" s="4"/>
      <c r="L445" s="9">
        <v>31.095300000000002</v>
      </c>
      <c r="M445" s="9">
        <v>12.063700000000001</v>
      </c>
      <c r="N445" s="9">
        <v>4.9444999999999997</v>
      </c>
      <c r="O445" s="9">
        <v>0.37409999999999999</v>
      </c>
      <c r="P445" s="9">
        <v>1.2183999999999999</v>
      </c>
      <c r="Q445" s="9">
        <v>20.007999999999999</v>
      </c>
      <c r="R445" s="9"/>
      <c r="S445" s="11"/>
    </row>
    <row r="446" spans="1:19" ht="15.75">
      <c r="A446" s="13">
        <v>55487</v>
      </c>
      <c r="B446" s="8">
        <f>12.8818 * CHOOSE(CONTROL!$C$14, $D$10, 100%, $F$10)</f>
        <v>12.8818</v>
      </c>
      <c r="C446" s="8">
        <f>12.8869 * CHOOSE(CONTROL!$C$14, $D$10, 100%, $F$10)</f>
        <v>12.886900000000001</v>
      </c>
      <c r="D446" s="8">
        <f>12.8631 * CHOOSE( CONTROL!$C$14, $D$10, 100%, $F$10)</f>
        <v>12.863099999999999</v>
      </c>
      <c r="E446" s="12">
        <f>12.8713 * CHOOSE( CONTROL!$C$14, $D$10, 100%, $F$10)</f>
        <v>12.8713</v>
      </c>
      <c r="F446" s="4">
        <f>13.5293 * CHOOSE(CONTROL!$C$14, $D$10, 100%, $F$10)</f>
        <v>13.529299999999999</v>
      </c>
      <c r="G446" s="8">
        <f>12.6506 * CHOOSE( CONTROL!$C$14, $D$10, 100%, $F$10)</f>
        <v>12.650600000000001</v>
      </c>
      <c r="H446" s="4">
        <f>13.5337 * CHOOSE(CONTROL!$C$14, $D$10, 100%, $F$10)</f>
        <v>13.5337</v>
      </c>
      <c r="I446" s="8">
        <f>12.555 * CHOOSE(CONTROL!$C$14, $D$10, 100%, $F$10)</f>
        <v>12.555</v>
      </c>
      <c r="J446" s="4">
        <f>12.4237 * CHOOSE(CONTROL!$C$14, $D$10, 100%, $F$10)</f>
        <v>12.4237</v>
      </c>
      <c r="K446" s="4"/>
      <c r="L446" s="9">
        <v>28.360600000000002</v>
      </c>
      <c r="M446" s="9">
        <v>11.6745</v>
      </c>
      <c r="N446" s="9">
        <v>4.7850000000000001</v>
      </c>
      <c r="O446" s="9">
        <v>0.36199999999999999</v>
      </c>
      <c r="P446" s="9">
        <v>1.2509999999999999</v>
      </c>
      <c r="Q446" s="9">
        <v>19.3626</v>
      </c>
      <c r="R446" s="9"/>
      <c r="S446" s="11"/>
    </row>
    <row r="447" spans="1:19" ht="15.75">
      <c r="A447" s="13">
        <v>55518</v>
      </c>
      <c r="B447" s="8">
        <f>12.8584 * CHOOSE(CONTROL!$C$14, $D$10, 100%, $F$10)</f>
        <v>12.8584</v>
      </c>
      <c r="C447" s="8">
        <f>12.8635 * CHOOSE(CONTROL!$C$14, $D$10, 100%, $F$10)</f>
        <v>12.8635</v>
      </c>
      <c r="D447" s="8">
        <f>12.8411 * CHOOSE( CONTROL!$C$14, $D$10, 100%, $F$10)</f>
        <v>12.841100000000001</v>
      </c>
      <c r="E447" s="12">
        <f>12.8487 * CHOOSE( CONTROL!$C$14, $D$10, 100%, $F$10)</f>
        <v>12.848699999999999</v>
      </c>
      <c r="F447" s="4">
        <f>13.5059 * CHOOSE(CONTROL!$C$14, $D$10, 100%, $F$10)</f>
        <v>13.5059</v>
      </c>
      <c r="G447" s="8">
        <f>12.6286 * CHOOSE( CONTROL!$C$14, $D$10, 100%, $F$10)</f>
        <v>12.6286</v>
      </c>
      <c r="H447" s="4">
        <f>13.5107 * CHOOSE(CONTROL!$C$14, $D$10, 100%, $F$10)</f>
        <v>13.5107</v>
      </c>
      <c r="I447" s="8">
        <f>12.5368 * CHOOSE(CONTROL!$C$14, $D$10, 100%, $F$10)</f>
        <v>12.536799999999999</v>
      </c>
      <c r="J447" s="4">
        <f>12.4011 * CHOOSE(CONTROL!$C$14, $D$10, 100%, $F$10)</f>
        <v>12.4011</v>
      </c>
      <c r="K447" s="4"/>
      <c r="L447" s="9">
        <v>29.306000000000001</v>
      </c>
      <c r="M447" s="9">
        <v>12.063700000000001</v>
      </c>
      <c r="N447" s="9">
        <v>4.9444999999999997</v>
      </c>
      <c r="O447" s="9">
        <v>0.37409999999999999</v>
      </c>
      <c r="P447" s="9">
        <v>1.2927</v>
      </c>
      <c r="Q447" s="9">
        <v>20.007999999999999</v>
      </c>
      <c r="R447" s="9"/>
      <c r="S447" s="11"/>
    </row>
    <row r="448" spans="1:19" ht="15.75">
      <c r="A448" s="13">
        <v>55549</v>
      </c>
      <c r="B448" s="8">
        <f>13.3487 * CHOOSE(CONTROL!$C$14, $D$10, 100%, $F$10)</f>
        <v>13.348699999999999</v>
      </c>
      <c r="C448" s="8">
        <f>13.3538 * CHOOSE(CONTROL!$C$14, $D$10, 100%, $F$10)</f>
        <v>13.3538</v>
      </c>
      <c r="D448" s="8">
        <f>13.3496 * CHOOSE( CONTROL!$C$14, $D$10, 100%, $F$10)</f>
        <v>13.349600000000001</v>
      </c>
      <c r="E448" s="12">
        <f>13.3506 * CHOOSE( CONTROL!$C$14, $D$10, 100%, $F$10)</f>
        <v>13.3506</v>
      </c>
      <c r="F448" s="4">
        <f>14.0272 * CHOOSE(CONTROL!$C$14, $D$10, 100%, $F$10)</f>
        <v>14.027200000000001</v>
      </c>
      <c r="G448" s="8">
        <f>13.125 * CHOOSE( CONTROL!$C$14, $D$10, 100%, $F$10)</f>
        <v>13.125</v>
      </c>
      <c r="H448" s="4">
        <f>14.0234 * CHOOSE(CONTROL!$C$14, $D$10, 100%, $F$10)</f>
        <v>14.023400000000001</v>
      </c>
      <c r="I448" s="8">
        <f>12.9901 * CHOOSE(CONTROL!$C$14, $D$10, 100%, $F$10)</f>
        <v>12.9901</v>
      </c>
      <c r="J448" s="4">
        <f>12.875 * CHOOSE(CONTROL!$C$14, $D$10, 100%, $F$10)</f>
        <v>12.875</v>
      </c>
      <c r="K448" s="4"/>
      <c r="L448" s="9">
        <v>29.306000000000001</v>
      </c>
      <c r="M448" s="9">
        <v>12.063700000000001</v>
      </c>
      <c r="N448" s="9">
        <v>4.9444999999999997</v>
      </c>
      <c r="O448" s="9">
        <v>0.37409999999999999</v>
      </c>
      <c r="P448" s="9">
        <v>1.2927</v>
      </c>
      <c r="Q448" s="9">
        <v>19.942900000000002</v>
      </c>
      <c r="R448" s="9"/>
      <c r="S448" s="11"/>
    </row>
    <row r="449" spans="1:19" ht="15.75">
      <c r="A449" s="13">
        <v>55577</v>
      </c>
      <c r="B449" s="8">
        <f>12.4877 * CHOOSE(CONTROL!$C$14, $D$10, 100%, $F$10)</f>
        <v>12.4877</v>
      </c>
      <c r="C449" s="8">
        <f>12.4928 * CHOOSE(CONTROL!$C$14, $D$10, 100%, $F$10)</f>
        <v>12.492800000000001</v>
      </c>
      <c r="D449" s="8">
        <f>12.4827 * CHOOSE( CONTROL!$C$14, $D$10, 100%, $F$10)</f>
        <v>12.482699999999999</v>
      </c>
      <c r="E449" s="12">
        <f>12.4858 * CHOOSE( CONTROL!$C$14, $D$10, 100%, $F$10)</f>
        <v>12.485799999999999</v>
      </c>
      <c r="F449" s="4">
        <f>13.1403 * CHOOSE(CONTROL!$C$14, $D$10, 100%, $F$10)</f>
        <v>13.1403</v>
      </c>
      <c r="G449" s="8">
        <f>12.2701 * CHOOSE( CONTROL!$C$14, $D$10, 100%, $F$10)</f>
        <v>12.270099999999999</v>
      </c>
      <c r="H449" s="4">
        <f>13.1512 * CHOOSE(CONTROL!$C$14, $D$10, 100%, $F$10)</f>
        <v>13.151199999999999</v>
      </c>
      <c r="I449" s="8">
        <f>12.148 * CHOOSE(CONTROL!$C$14, $D$10, 100%, $F$10)</f>
        <v>12.148</v>
      </c>
      <c r="J449" s="4">
        <f>12.0427 * CHOOSE(CONTROL!$C$14, $D$10, 100%, $F$10)</f>
        <v>12.0427</v>
      </c>
      <c r="K449" s="4"/>
      <c r="L449" s="9">
        <v>27.415299999999998</v>
      </c>
      <c r="M449" s="9">
        <v>11.285299999999999</v>
      </c>
      <c r="N449" s="9">
        <v>4.6254999999999997</v>
      </c>
      <c r="O449" s="9">
        <v>0.34989999999999999</v>
      </c>
      <c r="P449" s="9">
        <v>1.2093</v>
      </c>
      <c r="Q449" s="9">
        <v>18.656300000000002</v>
      </c>
      <c r="R449" s="9"/>
      <c r="S449" s="11"/>
    </row>
    <row r="450" spans="1:19" ht="15.75">
      <c r="A450" s="13">
        <v>55609</v>
      </c>
      <c r="B450" s="8">
        <f>12.2225 * CHOOSE(CONTROL!$C$14, $D$10, 100%, $F$10)</f>
        <v>12.2225</v>
      </c>
      <c r="C450" s="8">
        <f>12.2276 * CHOOSE(CONTROL!$C$14, $D$10, 100%, $F$10)</f>
        <v>12.227600000000001</v>
      </c>
      <c r="D450" s="8">
        <f>12.211 * CHOOSE( CONTROL!$C$14, $D$10, 100%, $F$10)</f>
        <v>12.211</v>
      </c>
      <c r="E450" s="12">
        <f>12.2165 * CHOOSE( CONTROL!$C$14, $D$10, 100%, $F$10)</f>
        <v>12.2165</v>
      </c>
      <c r="F450" s="4">
        <f>12.8751 * CHOOSE(CONTROL!$C$14, $D$10, 100%, $F$10)</f>
        <v>12.8751</v>
      </c>
      <c r="G450" s="8">
        <f>12.0011 * CHOOSE( CONTROL!$C$14, $D$10, 100%, $F$10)</f>
        <v>12.001099999999999</v>
      </c>
      <c r="H450" s="4">
        <f>12.8904 * CHOOSE(CONTROL!$C$14, $D$10, 100%, $F$10)</f>
        <v>12.8904</v>
      </c>
      <c r="I450" s="8">
        <f>11.8713 * CHOOSE(CONTROL!$C$14, $D$10, 100%, $F$10)</f>
        <v>11.8713</v>
      </c>
      <c r="J450" s="4">
        <f>11.7863 * CHOOSE(CONTROL!$C$14, $D$10, 100%, $F$10)</f>
        <v>11.786300000000001</v>
      </c>
      <c r="K450" s="4"/>
      <c r="L450" s="9">
        <v>29.306000000000001</v>
      </c>
      <c r="M450" s="9">
        <v>12.063700000000001</v>
      </c>
      <c r="N450" s="9">
        <v>4.9444999999999997</v>
      </c>
      <c r="O450" s="9">
        <v>0.37409999999999999</v>
      </c>
      <c r="P450" s="9">
        <v>1.2927</v>
      </c>
      <c r="Q450" s="9">
        <v>19.942900000000002</v>
      </c>
      <c r="R450" s="9"/>
      <c r="S450" s="11"/>
    </row>
    <row r="451" spans="1:19" ht="15.75">
      <c r="A451" s="13">
        <v>55639</v>
      </c>
      <c r="B451" s="8">
        <f>12.4086 * CHOOSE(CONTROL!$C$14, $D$10, 100%, $F$10)</f>
        <v>12.4086</v>
      </c>
      <c r="C451" s="8">
        <f>12.4131 * CHOOSE(CONTROL!$C$14, $D$10, 100%, $F$10)</f>
        <v>12.4131</v>
      </c>
      <c r="D451" s="8">
        <f>12.4227 * CHOOSE( CONTROL!$C$14, $D$10, 100%, $F$10)</f>
        <v>12.422700000000001</v>
      </c>
      <c r="E451" s="12">
        <f>12.419 * CHOOSE( CONTROL!$C$14, $D$10, 100%, $F$10)</f>
        <v>12.419</v>
      </c>
      <c r="F451" s="4">
        <f>13.0915 * CHOOSE(CONTROL!$C$14, $D$10, 100%, $F$10)</f>
        <v>13.0915</v>
      </c>
      <c r="G451" s="8">
        <f>12.1732 * CHOOSE( CONTROL!$C$14, $D$10, 100%, $F$10)</f>
        <v>12.1732</v>
      </c>
      <c r="H451" s="4">
        <f>13.1032 * CHOOSE(CONTROL!$C$14, $D$10, 100%, $F$10)</f>
        <v>13.103199999999999</v>
      </c>
      <c r="I451" s="8">
        <f>12.0615 * CHOOSE(CONTROL!$C$14, $D$10, 100%, $F$10)</f>
        <v>12.061500000000001</v>
      </c>
      <c r="J451" s="4">
        <f>11.9655 * CHOOSE(CONTROL!$C$14, $D$10, 100%, $F$10)</f>
        <v>11.9655</v>
      </c>
      <c r="K451" s="4"/>
      <c r="L451" s="9">
        <v>30.092199999999998</v>
      </c>
      <c r="M451" s="9">
        <v>11.6745</v>
      </c>
      <c r="N451" s="9">
        <v>4.7850000000000001</v>
      </c>
      <c r="O451" s="9">
        <v>0.36199999999999999</v>
      </c>
      <c r="P451" s="9">
        <v>1.1791</v>
      </c>
      <c r="Q451" s="9">
        <v>19.299600000000002</v>
      </c>
      <c r="R451" s="9"/>
      <c r="S451" s="11"/>
    </row>
    <row r="452" spans="1:19" ht="15.75">
      <c r="A452" s="13">
        <v>55670</v>
      </c>
      <c r="B452" s="8">
        <f>CHOOSE( CONTROL!$C$31, 12.7427, 12.7398) * CHOOSE(CONTROL!$C$14, $D$10, 100%, $F$10)</f>
        <v>12.742699999999999</v>
      </c>
      <c r="C452" s="8">
        <f>CHOOSE( CONTROL!$C$31, 12.7507, 12.7478) * CHOOSE(CONTROL!$C$14, $D$10, 100%, $F$10)</f>
        <v>12.7507</v>
      </c>
      <c r="D452" s="8">
        <f>CHOOSE( CONTROL!$C$31, 12.7553, 12.7524) * CHOOSE( CONTROL!$C$14, $D$10, 100%, $F$10)</f>
        <v>12.7553</v>
      </c>
      <c r="E452" s="12">
        <f>CHOOSE( CONTROL!$C$31, 12.7524, 12.7495) * CHOOSE( CONTROL!$C$14, $D$10, 100%, $F$10)</f>
        <v>12.7524</v>
      </c>
      <c r="F452" s="4">
        <f>CHOOSE( CONTROL!$C$31, 13.4242, 13.4213) * CHOOSE(CONTROL!$C$14, $D$10, 100%, $F$10)</f>
        <v>13.424200000000001</v>
      </c>
      <c r="G452" s="8">
        <f>CHOOSE( CONTROL!$C$31, 12.5014, 12.4985) * CHOOSE( CONTROL!$C$14, $D$10, 100%, $F$10)</f>
        <v>12.5014</v>
      </c>
      <c r="H452" s="4">
        <f>CHOOSE( CONTROL!$C$31, 13.4304, 13.4275) * CHOOSE(CONTROL!$C$14, $D$10, 100%, $F$10)</f>
        <v>13.430400000000001</v>
      </c>
      <c r="I452" s="8">
        <f>CHOOSE( CONTROL!$C$31, 12.3844, 12.3816) * CHOOSE(CONTROL!$C$14, $D$10, 100%, $F$10)</f>
        <v>12.384399999999999</v>
      </c>
      <c r="J452" s="4">
        <f>CHOOSE( CONTROL!$C$31, 12.2871, 12.2843) * CHOOSE(CONTROL!$C$14, $D$10, 100%, $F$10)</f>
        <v>12.287100000000001</v>
      </c>
      <c r="K452" s="4"/>
      <c r="L452" s="9">
        <v>30.7165</v>
      </c>
      <c r="M452" s="9">
        <v>12.063700000000001</v>
      </c>
      <c r="N452" s="9">
        <v>4.9444999999999997</v>
      </c>
      <c r="O452" s="9">
        <v>0.37409999999999999</v>
      </c>
      <c r="P452" s="9">
        <v>1.2183999999999999</v>
      </c>
      <c r="Q452" s="9">
        <v>19.942900000000002</v>
      </c>
      <c r="R452" s="9"/>
      <c r="S452" s="11"/>
    </row>
    <row r="453" spans="1:19" ht="15.75">
      <c r="A453" s="13">
        <v>55700</v>
      </c>
      <c r="B453" s="8">
        <f>CHOOSE( CONTROL!$C$31, 12.5384, 12.5354) * CHOOSE(CONTROL!$C$14, $D$10, 100%, $F$10)</f>
        <v>12.538399999999999</v>
      </c>
      <c r="C453" s="8">
        <f>CHOOSE( CONTROL!$C$31, 12.5464, 12.5435) * CHOOSE(CONTROL!$C$14, $D$10, 100%, $F$10)</f>
        <v>12.5464</v>
      </c>
      <c r="D453" s="8">
        <f>CHOOSE( CONTROL!$C$31, 12.5513, 12.5483) * CHOOSE( CONTROL!$C$14, $D$10, 100%, $F$10)</f>
        <v>12.551299999999999</v>
      </c>
      <c r="E453" s="12">
        <f>CHOOSE( CONTROL!$C$31, 12.5483, 12.5453) * CHOOSE( CONTROL!$C$14, $D$10, 100%, $F$10)</f>
        <v>12.548299999999999</v>
      </c>
      <c r="F453" s="4">
        <f>CHOOSE( CONTROL!$C$31, 13.2199, 13.217) * CHOOSE(CONTROL!$C$14, $D$10, 100%, $F$10)</f>
        <v>13.219900000000001</v>
      </c>
      <c r="G453" s="8">
        <f>CHOOSE( CONTROL!$C$31, 12.3008, 12.298) * CHOOSE( CONTROL!$C$14, $D$10, 100%, $F$10)</f>
        <v>12.300800000000001</v>
      </c>
      <c r="H453" s="4">
        <f>CHOOSE( CONTROL!$C$31, 13.2295, 13.2266) * CHOOSE(CONTROL!$C$14, $D$10, 100%, $F$10)</f>
        <v>13.2295</v>
      </c>
      <c r="I453" s="8">
        <f>CHOOSE( CONTROL!$C$31, 12.1881, 12.1852) * CHOOSE(CONTROL!$C$14, $D$10, 100%, $F$10)</f>
        <v>12.1881</v>
      </c>
      <c r="J453" s="4">
        <f>CHOOSE( CONTROL!$C$31, 12.0896, 12.0868) * CHOOSE(CONTROL!$C$14, $D$10, 100%, $F$10)</f>
        <v>12.089600000000001</v>
      </c>
      <c r="K453" s="4"/>
      <c r="L453" s="9">
        <v>29.7257</v>
      </c>
      <c r="M453" s="9">
        <v>11.6745</v>
      </c>
      <c r="N453" s="9">
        <v>4.7850000000000001</v>
      </c>
      <c r="O453" s="9">
        <v>0.36199999999999999</v>
      </c>
      <c r="P453" s="9">
        <v>1.1791</v>
      </c>
      <c r="Q453" s="9">
        <v>19.299600000000002</v>
      </c>
      <c r="R453" s="9"/>
      <c r="S453" s="11"/>
    </row>
    <row r="454" spans="1:19" ht="15.75">
      <c r="A454" s="13">
        <v>55731</v>
      </c>
      <c r="B454" s="8">
        <f>CHOOSE( CONTROL!$C$31, 13.0764, 13.0735) * CHOOSE(CONTROL!$C$14, $D$10, 100%, $F$10)</f>
        <v>13.0764</v>
      </c>
      <c r="C454" s="8">
        <f>CHOOSE( CONTROL!$C$31, 13.0844, 13.0815) * CHOOSE(CONTROL!$C$14, $D$10, 100%, $F$10)</f>
        <v>13.0844</v>
      </c>
      <c r="D454" s="8">
        <f>CHOOSE( CONTROL!$C$31, 13.0895, 13.0866) * CHOOSE( CONTROL!$C$14, $D$10, 100%, $F$10)</f>
        <v>13.089499999999999</v>
      </c>
      <c r="E454" s="12">
        <f>CHOOSE( CONTROL!$C$31, 13.0864, 13.0835) * CHOOSE( CONTROL!$C$14, $D$10, 100%, $F$10)</f>
        <v>13.086399999999999</v>
      </c>
      <c r="F454" s="4">
        <f>CHOOSE( CONTROL!$C$31, 13.7579, 13.755) * CHOOSE(CONTROL!$C$14, $D$10, 100%, $F$10)</f>
        <v>13.757899999999999</v>
      </c>
      <c r="G454" s="8">
        <f>CHOOSE( CONTROL!$C$31, 12.8303, 12.8274) * CHOOSE( CONTROL!$C$14, $D$10, 100%, $F$10)</f>
        <v>12.830299999999999</v>
      </c>
      <c r="H454" s="4">
        <f>CHOOSE( CONTROL!$C$31, 13.7586, 13.7557) * CHOOSE(CONTROL!$C$14, $D$10, 100%, $F$10)</f>
        <v>13.758599999999999</v>
      </c>
      <c r="I454" s="8">
        <f>CHOOSE( CONTROL!$C$31, 12.7096, 12.7067) * CHOOSE(CONTROL!$C$14, $D$10, 100%, $F$10)</f>
        <v>12.7096</v>
      </c>
      <c r="J454" s="4">
        <f>CHOOSE( CONTROL!$C$31, 12.6097, 12.6069) * CHOOSE(CONTROL!$C$14, $D$10, 100%, $F$10)</f>
        <v>12.6097</v>
      </c>
      <c r="K454" s="4"/>
      <c r="L454" s="9">
        <v>30.7165</v>
      </c>
      <c r="M454" s="9">
        <v>12.063700000000001</v>
      </c>
      <c r="N454" s="9">
        <v>4.9444999999999997</v>
      </c>
      <c r="O454" s="9">
        <v>0.37409999999999999</v>
      </c>
      <c r="P454" s="9">
        <v>1.2183999999999999</v>
      </c>
      <c r="Q454" s="9">
        <v>19.942900000000002</v>
      </c>
      <c r="R454" s="9"/>
      <c r="S454" s="11"/>
    </row>
    <row r="455" spans="1:19" ht="15.75">
      <c r="A455" s="13">
        <v>55762</v>
      </c>
      <c r="B455" s="8">
        <f>CHOOSE( CONTROL!$C$31, 12.0697, 12.0668) * CHOOSE(CONTROL!$C$14, $D$10, 100%, $F$10)</f>
        <v>12.069699999999999</v>
      </c>
      <c r="C455" s="8">
        <f>CHOOSE( CONTROL!$C$31, 12.0777, 12.0748) * CHOOSE(CONTROL!$C$14, $D$10, 100%, $F$10)</f>
        <v>12.0777</v>
      </c>
      <c r="D455" s="8">
        <f>CHOOSE( CONTROL!$C$31, 12.0829, 12.08) * CHOOSE( CONTROL!$C$14, $D$10, 100%, $F$10)</f>
        <v>12.0829</v>
      </c>
      <c r="E455" s="12">
        <f>CHOOSE( CONTROL!$C$31, 12.0798, 12.0769) * CHOOSE( CONTROL!$C$14, $D$10, 100%, $F$10)</f>
        <v>12.079800000000001</v>
      </c>
      <c r="F455" s="4">
        <f>CHOOSE( CONTROL!$C$31, 12.7513, 12.7483) * CHOOSE(CONTROL!$C$14, $D$10, 100%, $F$10)</f>
        <v>12.751300000000001</v>
      </c>
      <c r="G455" s="8">
        <f>CHOOSE( CONTROL!$C$31, 11.8404, 11.8376) * CHOOSE( CONTROL!$C$14, $D$10, 100%, $F$10)</f>
        <v>11.840400000000001</v>
      </c>
      <c r="H455" s="4">
        <f>CHOOSE( CONTROL!$C$31, 12.7686, 12.7657) * CHOOSE(CONTROL!$C$14, $D$10, 100%, $F$10)</f>
        <v>12.768599999999999</v>
      </c>
      <c r="I455" s="8">
        <f>CHOOSE( CONTROL!$C$31, 11.7363, 11.7335) * CHOOSE(CONTROL!$C$14, $D$10, 100%, $F$10)</f>
        <v>11.7363</v>
      </c>
      <c r="J455" s="4">
        <f>CHOOSE( CONTROL!$C$31, 11.6365, 11.6337) * CHOOSE(CONTROL!$C$14, $D$10, 100%, $F$10)</f>
        <v>11.6365</v>
      </c>
      <c r="K455" s="4"/>
      <c r="L455" s="9">
        <v>30.7165</v>
      </c>
      <c r="M455" s="9">
        <v>12.063700000000001</v>
      </c>
      <c r="N455" s="9">
        <v>4.9444999999999997</v>
      </c>
      <c r="O455" s="9">
        <v>0.37409999999999999</v>
      </c>
      <c r="P455" s="9">
        <v>1.2183999999999999</v>
      </c>
      <c r="Q455" s="9">
        <v>19.942900000000002</v>
      </c>
      <c r="R455" s="9"/>
      <c r="S455" s="11"/>
    </row>
    <row r="456" spans="1:19" ht="15.75">
      <c r="A456" s="13">
        <v>55792</v>
      </c>
      <c r="B456" s="8">
        <f>CHOOSE( CONTROL!$C$31, 11.8176, 11.8147) * CHOOSE(CONTROL!$C$14, $D$10, 100%, $F$10)</f>
        <v>11.817600000000001</v>
      </c>
      <c r="C456" s="8">
        <f>CHOOSE( CONTROL!$C$31, 11.8256, 11.8227) * CHOOSE(CONTROL!$C$14, $D$10, 100%, $F$10)</f>
        <v>11.8256</v>
      </c>
      <c r="D456" s="8">
        <f>CHOOSE( CONTROL!$C$31, 11.8308, 11.8279) * CHOOSE( CONTROL!$C$14, $D$10, 100%, $F$10)</f>
        <v>11.8308</v>
      </c>
      <c r="E456" s="12">
        <f>CHOOSE( CONTROL!$C$31, 11.8277, 11.8248) * CHOOSE( CONTROL!$C$14, $D$10, 100%, $F$10)</f>
        <v>11.8277</v>
      </c>
      <c r="F456" s="4">
        <f>CHOOSE( CONTROL!$C$31, 12.4992, 12.4962) * CHOOSE(CONTROL!$C$14, $D$10, 100%, $F$10)</f>
        <v>12.4992</v>
      </c>
      <c r="G456" s="8">
        <f>CHOOSE( CONTROL!$C$31, 11.5925, 11.5896) * CHOOSE( CONTROL!$C$14, $D$10, 100%, $F$10)</f>
        <v>11.592499999999999</v>
      </c>
      <c r="H456" s="4">
        <f>CHOOSE( CONTROL!$C$31, 12.5207, 12.5178) * CHOOSE(CONTROL!$C$14, $D$10, 100%, $F$10)</f>
        <v>12.5207</v>
      </c>
      <c r="I456" s="8">
        <f>CHOOSE( CONTROL!$C$31, 11.4924, 11.4896) * CHOOSE(CONTROL!$C$14, $D$10, 100%, $F$10)</f>
        <v>11.4924</v>
      </c>
      <c r="J456" s="4">
        <f>CHOOSE( CONTROL!$C$31, 11.3929, 11.39) * CHOOSE(CONTROL!$C$14, $D$10, 100%, $F$10)</f>
        <v>11.392899999999999</v>
      </c>
      <c r="K456" s="4"/>
      <c r="L456" s="9">
        <v>29.7257</v>
      </c>
      <c r="M456" s="9">
        <v>11.6745</v>
      </c>
      <c r="N456" s="9">
        <v>4.7850000000000001</v>
      </c>
      <c r="O456" s="9">
        <v>0.36199999999999999</v>
      </c>
      <c r="P456" s="9">
        <v>1.1791</v>
      </c>
      <c r="Q456" s="9">
        <v>19.299600000000002</v>
      </c>
      <c r="R456" s="9"/>
      <c r="S456" s="11"/>
    </row>
    <row r="457" spans="1:19" ht="15.75">
      <c r="A457" s="13">
        <v>55823</v>
      </c>
      <c r="B457" s="8">
        <f>12.3364 * CHOOSE(CONTROL!$C$14, $D$10, 100%, $F$10)</f>
        <v>12.336399999999999</v>
      </c>
      <c r="C457" s="8">
        <f>12.3418 * CHOOSE(CONTROL!$C$14, $D$10, 100%, $F$10)</f>
        <v>12.341799999999999</v>
      </c>
      <c r="D457" s="8">
        <f>12.3517 * CHOOSE( CONTROL!$C$14, $D$10, 100%, $F$10)</f>
        <v>12.351699999999999</v>
      </c>
      <c r="E457" s="12">
        <f>12.3479 * CHOOSE( CONTROL!$C$14, $D$10, 100%, $F$10)</f>
        <v>12.347899999999999</v>
      </c>
      <c r="F457" s="4">
        <f>13.0197 * CHOOSE(CONTROL!$C$14, $D$10, 100%, $F$10)</f>
        <v>13.0197</v>
      </c>
      <c r="G457" s="8">
        <f>12.104 * CHOOSE( CONTROL!$C$14, $D$10, 100%, $F$10)</f>
        <v>12.103999999999999</v>
      </c>
      <c r="H457" s="4">
        <f>13.0325 * CHOOSE(CONTROL!$C$14, $D$10, 100%, $F$10)</f>
        <v>13.032500000000001</v>
      </c>
      <c r="I457" s="8">
        <f>11.9967 * CHOOSE(CONTROL!$C$14, $D$10, 100%, $F$10)</f>
        <v>11.996700000000001</v>
      </c>
      <c r="J457" s="4">
        <f>11.896 * CHOOSE(CONTROL!$C$14, $D$10, 100%, $F$10)</f>
        <v>11.896000000000001</v>
      </c>
      <c r="K457" s="4"/>
      <c r="L457" s="9">
        <v>31.095300000000002</v>
      </c>
      <c r="M457" s="9">
        <v>12.063700000000001</v>
      </c>
      <c r="N457" s="9">
        <v>4.9444999999999997</v>
      </c>
      <c r="O457" s="9">
        <v>0.37409999999999999</v>
      </c>
      <c r="P457" s="9">
        <v>1.2183999999999999</v>
      </c>
      <c r="Q457" s="9">
        <v>19.942900000000002</v>
      </c>
      <c r="R457" s="9"/>
      <c r="S457" s="11"/>
    </row>
    <row r="458" spans="1:19" ht="15.75">
      <c r="A458" s="13">
        <v>55853</v>
      </c>
      <c r="B458" s="8">
        <f>13.3021 * CHOOSE(CONTROL!$C$14, $D$10, 100%, $F$10)</f>
        <v>13.302099999999999</v>
      </c>
      <c r="C458" s="8">
        <f>13.3072 * CHOOSE(CONTROL!$C$14, $D$10, 100%, $F$10)</f>
        <v>13.3072</v>
      </c>
      <c r="D458" s="8">
        <f>13.2834 * CHOOSE( CONTROL!$C$14, $D$10, 100%, $F$10)</f>
        <v>13.2834</v>
      </c>
      <c r="E458" s="12">
        <f>13.2916 * CHOOSE( CONTROL!$C$14, $D$10, 100%, $F$10)</f>
        <v>13.291600000000001</v>
      </c>
      <c r="F458" s="4">
        <f>13.9496 * CHOOSE(CONTROL!$C$14, $D$10, 100%, $F$10)</f>
        <v>13.9496</v>
      </c>
      <c r="G458" s="8">
        <f>13.0639 * CHOOSE( CONTROL!$C$14, $D$10, 100%, $F$10)</f>
        <v>13.0639</v>
      </c>
      <c r="H458" s="4">
        <f>13.947 * CHOOSE(CONTROL!$C$14, $D$10, 100%, $F$10)</f>
        <v>13.946999999999999</v>
      </c>
      <c r="I458" s="8">
        <f>12.9615 * CHOOSE(CONTROL!$C$14, $D$10, 100%, $F$10)</f>
        <v>12.961499999999999</v>
      </c>
      <c r="J458" s="4">
        <f>12.83 * CHOOSE(CONTROL!$C$14, $D$10, 100%, $F$10)</f>
        <v>12.83</v>
      </c>
      <c r="K458" s="4"/>
      <c r="L458" s="9">
        <v>28.360600000000002</v>
      </c>
      <c r="M458" s="9">
        <v>11.6745</v>
      </c>
      <c r="N458" s="9">
        <v>4.7850000000000001</v>
      </c>
      <c r="O458" s="9">
        <v>0.36199999999999999</v>
      </c>
      <c r="P458" s="9">
        <v>1.2509999999999999</v>
      </c>
      <c r="Q458" s="9">
        <v>19.299600000000002</v>
      </c>
      <c r="R458" s="9"/>
      <c r="S458" s="11"/>
    </row>
    <row r="459" spans="1:19" ht="15.75">
      <c r="A459" s="13">
        <v>55884</v>
      </c>
      <c r="B459" s="8">
        <f>13.278 * CHOOSE(CONTROL!$C$14, $D$10, 100%, $F$10)</f>
        <v>13.278</v>
      </c>
      <c r="C459" s="8">
        <f>13.2831 * CHOOSE(CONTROL!$C$14, $D$10, 100%, $F$10)</f>
        <v>13.283099999999999</v>
      </c>
      <c r="D459" s="8">
        <f>13.2607 * CHOOSE( CONTROL!$C$14, $D$10, 100%, $F$10)</f>
        <v>13.2607</v>
      </c>
      <c r="E459" s="12">
        <f>13.2683 * CHOOSE( CONTROL!$C$14, $D$10, 100%, $F$10)</f>
        <v>13.2683</v>
      </c>
      <c r="F459" s="4">
        <f>13.9254 * CHOOSE(CONTROL!$C$14, $D$10, 100%, $F$10)</f>
        <v>13.9254</v>
      </c>
      <c r="G459" s="8">
        <f>13.0412 * CHOOSE( CONTROL!$C$14, $D$10, 100%, $F$10)</f>
        <v>13.0412</v>
      </c>
      <c r="H459" s="4">
        <f>13.9233 * CHOOSE(CONTROL!$C$14, $D$10, 100%, $F$10)</f>
        <v>13.923299999999999</v>
      </c>
      <c r="I459" s="8">
        <f>12.9426 * CHOOSE(CONTROL!$C$14, $D$10, 100%, $F$10)</f>
        <v>12.942600000000001</v>
      </c>
      <c r="J459" s="4">
        <f>12.8066 * CHOOSE(CONTROL!$C$14, $D$10, 100%, $F$10)</f>
        <v>12.8066</v>
      </c>
      <c r="K459" s="4"/>
      <c r="L459" s="9">
        <v>29.306000000000001</v>
      </c>
      <c r="M459" s="9">
        <v>12.063700000000001</v>
      </c>
      <c r="N459" s="9">
        <v>4.9444999999999997</v>
      </c>
      <c r="O459" s="9">
        <v>0.37409999999999999</v>
      </c>
      <c r="P459" s="9">
        <v>1.2927</v>
      </c>
      <c r="Q459" s="9">
        <v>19.942900000000002</v>
      </c>
      <c r="R459" s="9"/>
      <c r="S459" s="11"/>
    </row>
    <row r="460" spans="1:19" ht="15.75">
      <c r="A460" s="13">
        <v>55915</v>
      </c>
      <c r="B460" s="8">
        <f>13.7843 * CHOOSE(CONTROL!$C$14, $D$10, 100%, $F$10)</f>
        <v>13.7843</v>
      </c>
      <c r="C460" s="8">
        <f>13.7894 * CHOOSE(CONTROL!$C$14, $D$10, 100%, $F$10)</f>
        <v>13.789400000000001</v>
      </c>
      <c r="D460" s="8">
        <f>13.7852 * CHOOSE( CONTROL!$C$14, $D$10, 100%, $F$10)</f>
        <v>13.7852</v>
      </c>
      <c r="E460" s="12">
        <f>13.7862 * CHOOSE( CONTROL!$C$14, $D$10, 100%, $F$10)</f>
        <v>13.786199999999999</v>
      </c>
      <c r="F460" s="4">
        <f>14.4628 * CHOOSE(CONTROL!$C$14, $D$10, 100%, $F$10)</f>
        <v>14.4628</v>
      </c>
      <c r="G460" s="8">
        <f>13.5533 * CHOOSE( CONTROL!$C$14, $D$10, 100%, $F$10)</f>
        <v>13.5533</v>
      </c>
      <c r="H460" s="4">
        <f>14.4517 * CHOOSE(CONTROL!$C$14, $D$10, 100%, $F$10)</f>
        <v>14.451700000000001</v>
      </c>
      <c r="I460" s="8">
        <f>13.4113 * CHOOSE(CONTROL!$C$14, $D$10, 100%, $F$10)</f>
        <v>13.411300000000001</v>
      </c>
      <c r="J460" s="4">
        <f>13.2961 * CHOOSE(CONTROL!$C$14, $D$10, 100%, $F$10)</f>
        <v>13.296099999999999</v>
      </c>
      <c r="K460" s="4"/>
      <c r="L460" s="9">
        <v>29.306000000000001</v>
      </c>
      <c r="M460" s="9">
        <v>12.063700000000001</v>
      </c>
      <c r="N460" s="9">
        <v>4.9444999999999997</v>
      </c>
      <c r="O460" s="9">
        <v>0.37409999999999999</v>
      </c>
      <c r="P460" s="9">
        <v>1.2927</v>
      </c>
      <c r="Q460" s="9">
        <v>19.877800000000001</v>
      </c>
      <c r="R460" s="9"/>
      <c r="S460" s="11"/>
    </row>
    <row r="461" spans="1:19" ht="15.75">
      <c r="A461" s="13">
        <v>55943</v>
      </c>
      <c r="B461" s="8">
        <f>12.8951 * CHOOSE(CONTROL!$C$14, $D$10, 100%, $F$10)</f>
        <v>12.895099999999999</v>
      </c>
      <c r="C461" s="8">
        <f>12.9002 * CHOOSE(CONTROL!$C$14, $D$10, 100%, $F$10)</f>
        <v>12.9002</v>
      </c>
      <c r="D461" s="8">
        <f>12.8901 * CHOOSE( CONTROL!$C$14, $D$10, 100%, $F$10)</f>
        <v>12.8901</v>
      </c>
      <c r="E461" s="12">
        <f>12.8932 * CHOOSE( CONTROL!$C$14, $D$10, 100%, $F$10)</f>
        <v>12.8932</v>
      </c>
      <c r="F461" s="4">
        <f>13.5477 * CHOOSE(CONTROL!$C$14, $D$10, 100%, $F$10)</f>
        <v>13.547700000000001</v>
      </c>
      <c r="G461" s="8">
        <f>12.6708 * CHOOSE( CONTROL!$C$14, $D$10, 100%, $F$10)</f>
        <v>12.6708</v>
      </c>
      <c r="H461" s="4">
        <f>13.5519 * CHOOSE(CONTROL!$C$14, $D$10, 100%, $F$10)</f>
        <v>13.5519</v>
      </c>
      <c r="I461" s="8">
        <f>12.542 * CHOOSE(CONTROL!$C$14, $D$10, 100%, $F$10)</f>
        <v>12.542</v>
      </c>
      <c r="J461" s="4">
        <f>12.4365 * CHOOSE(CONTROL!$C$14, $D$10, 100%, $F$10)</f>
        <v>12.436500000000001</v>
      </c>
      <c r="K461" s="4"/>
      <c r="L461" s="9">
        <v>26.469899999999999</v>
      </c>
      <c r="M461" s="9">
        <v>10.8962</v>
      </c>
      <c r="N461" s="9">
        <v>4.4660000000000002</v>
      </c>
      <c r="O461" s="9">
        <v>0.33789999999999998</v>
      </c>
      <c r="P461" s="9">
        <v>1.1676</v>
      </c>
      <c r="Q461" s="9">
        <v>17.9542</v>
      </c>
      <c r="R461" s="9"/>
      <c r="S461" s="11"/>
    </row>
    <row r="462" spans="1:19" ht="15.75">
      <c r="A462" s="13">
        <v>55974</v>
      </c>
      <c r="B462" s="8">
        <f>12.6212 * CHOOSE(CONTROL!$C$14, $D$10, 100%, $F$10)</f>
        <v>12.6212</v>
      </c>
      <c r="C462" s="8">
        <f>12.6264 * CHOOSE(CONTROL!$C$14, $D$10, 100%, $F$10)</f>
        <v>12.6264</v>
      </c>
      <c r="D462" s="8">
        <f>12.6098 * CHOOSE( CONTROL!$C$14, $D$10, 100%, $F$10)</f>
        <v>12.6098</v>
      </c>
      <c r="E462" s="12">
        <f>12.6153 * CHOOSE( CONTROL!$C$14, $D$10, 100%, $F$10)</f>
        <v>12.6153</v>
      </c>
      <c r="F462" s="4">
        <f>13.2739 * CHOOSE(CONTROL!$C$14, $D$10, 100%, $F$10)</f>
        <v>13.273899999999999</v>
      </c>
      <c r="G462" s="8">
        <f>12.3932 * CHOOSE( CONTROL!$C$14, $D$10, 100%, $F$10)</f>
        <v>12.3932</v>
      </c>
      <c r="H462" s="4">
        <f>13.2825 * CHOOSE(CONTROL!$C$14, $D$10, 100%, $F$10)</f>
        <v>13.282500000000001</v>
      </c>
      <c r="I462" s="8">
        <f>12.257 * CHOOSE(CONTROL!$C$14, $D$10, 100%, $F$10)</f>
        <v>12.257</v>
      </c>
      <c r="J462" s="4">
        <f>12.1718 * CHOOSE(CONTROL!$C$14, $D$10, 100%, $F$10)</f>
        <v>12.171799999999999</v>
      </c>
      <c r="K462" s="4"/>
      <c r="L462" s="9">
        <v>29.306000000000001</v>
      </c>
      <c r="M462" s="9">
        <v>12.063700000000001</v>
      </c>
      <c r="N462" s="9">
        <v>4.9444999999999997</v>
      </c>
      <c r="O462" s="9">
        <v>0.37409999999999999</v>
      </c>
      <c r="P462" s="9">
        <v>1.2927</v>
      </c>
      <c r="Q462" s="9">
        <v>19.877800000000001</v>
      </c>
      <c r="R462" s="9"/>
      <c r="S462" s="11"/>
    </row>
    <row r="463" spans="1:19" ht="15.75">
      <c r="A463" s="13">
        <v>56004</v>
      </c>
      <c r="B463" s="8">
        <f>12.8134 * CHOOSE(CONTROL!$C$14, $D$10, 100%, $F$10)</f>
        <v>12.8134</v>
      </c>
      <c r="C463" s="8">
        <f>12.8179 * CHOOSE(CONTROL!$C$14, $D$10, 100%, $F$10)</f>
        <v>12.8179</v>
      </c>
      <c r="D463" s="8">
        <f>12.8274 * CHOOSE( CONTROL!$C$14, $D$10, 100%, $F$10)</f>
        <v>12.827400000000001</v>
      </c>
      <c r="E463" s="12">
        <f>12.8237 * CHOOSE( CONTROL!$C$14, $D$10, 100%, $F$10)</f>
        <v>12.823700000000001</v>
      </c>
      <c r="F463" s="4">
        <f>13.4963 * CHOOSE(CONTROL!$C$14, $D$10, 100%, $F$10)</f>
        <v>13.4963</v>
      </c>
      <c r="G463" s="8">
        <f>12.5713 * CHOOSE( CONTROL!$C$14, $D$10, 100%, $F$10)</f>
        <v>12.571300000000001</v>
      </c>
      <c r="H463" s="4">
        <f>13.5013 * CHOOSE(CONTROL!$C$14, $D$10, 100%, $F$10)</f>
        <v>13.501300000000001</v>
      </c>
      <c r="I463" s="8">
        <f>12.453 * CHOOSE(CONTROL!$C$14, $D$10, 100%, $F$10)</f>
        <v>12.452999999999999</v>
      </c>
      <c r="J463" s="4">
        <f>12.3568 * CHOOSE(CONTROL!$C$14, $D$10, 100%, $F$10)</f>
        <v>12.3568</v>
      </c>
      <c r="K463" s="4"/>
      <c r="L463" s="9">
        <v>30.092199999999998</v>
      </c>
      <c r="M463" s="9">
        <v>11.6745</v>
      </c>
      <c r="N463" s="9">
        <v>4.7850000000000001</v>
      </c>
      <c r="O463" s="9">
        <v>0.36199999999999999</v>
      </c>
      <c r="P463" s="9">
        <v>1.1791</v>
      </c>
      <c r="Q463" s="9">
        <v>19.236599999999999</v>
      </c>
      <c r="R463" s="9"/>
      <c r="S463" s="11"/>
    </row>
    <row r="464" spans="1:19" ht="15.75">
      <c r="A464" s="13">
        <v>56035</v>
      </c>
      <c r="B464" s="8">
        <f>CHOOSE( CONTROL!$C$31, 13.1583, 13.1553) * CHOOSE(CONTROL!$C$14, $D$10, 100%, $F$10)</f>
        <v>13.158300000000001</v>
      </c>
      <c r="C464" s="8">
        <f>CHOOSE( CONTROL!$C$31, 13.1663, 13.1633) * CHOOSE(CONTROL!$C$14, $D$10, 100%, $F$10)</f>
        <v>13.1663</v>
      </c>
      <c r="D464" s="8">
        <f>CHOOSE( CONTROL!$C$31, 13.1709, 13.168) * CHOOSE( CONTROL!$C$14, $D$10, 100%, $F$10)</f>
        <v>13.1709</v>
      </c>
      <c r="E464" s="12">
        <f>CHOOSE( CONTROL!$C$31, 13.168, 13.1651) * CHOOSE( CONTROL!$C$14, $D$10, 100%, $F$10)</f>
        <v>13.167999999999999</v>
      </c>
      <c r="F464" s="4">
        <f>CHOOSE( CONTROL!$C$31, 13.8398, 13.8369) * CHOOSE(CONTROL!$C$14, $D$10, 100%, $F$10)</f>
        <v>13.8398</v>
      </c>
      <c r="G464" s="8">
        <f>CHOOSE( CONTROL!$C$31, 12.9101, 12.9072) * CHOOSE( CONTROL!$C$14, $D$10, 100%, $F$10)</f>
        <v>12.9101</v>
      </c>
      <c r="H464" s="4">
        <f>CHOOSE( CONTROL!$C$31, 13.8391, 13.8362) * CHOOSE(CONTROL!$C$14, $D$10, 100%, $F$10)</f>
        <v>13.8391</v>
      </c>
      <c r="I464" s="8">
        <f>CHOOSE( CONTROL!$C$31, 12.7864, 12.7835) * CHOOSE(CONTROL!$C$14, $D$10, 100%, $F$10)</f>
        <v>12.7864</v>
      </c>
      <c r="J464" s="4">
        <f>CHOOSE( CONTROL!$C$31, 12.6889, 12.686) * CHOOSE(CONTROL!$C$14, $D$10, 100%, $F$10)</f>
        <v>12.6889</v>
      </c>
      <c r="K464" s="4"/>
      <c r="L464" s="9">
        <v>30.7165</v>
      </c>
      <c r="M464" s="9">
        <v>12.063700000000001</v>
      </c>
      <c r="N464" s="9">
        <v>4.9444999999999997</v>
      </c>
      <c r="O464" s="9">
        <v>0.37409999999999999</v>
      </c>
      <c r="P464" s="9">
        <v>1.2183999999999999</v>
      </c>
      <c r="Q464" s="9">
        <v>19.877800000000001</v>
      </c>
      <c r="R464" s="9"/>
      <c r="S464" s="11"/>
    </row>
    <row r="465" spans="1:19" ht="15.75">
      <c r="A465" s="13">
        <v>56065</v>
      </c>
      <c r="B465" s="8">
        <f>CHOOSE( CONTROL!$C$31, 12.9473, 12.9443) * CHOOSE(CONTROL!$C$14, $D$10, 100%, $F$10)</f>
        <v>12.9473</v>
      </c>
      <c r="C465" s="8">
        <f>CHOOSE( CONTROL!$C$31, 12.9553, 12.9524) * CHOOSE(CONTROL!$C$14, $D$10, 100%, $F$10)</f>
        <v>12.955299999999999</v>
      </c>
      <c r="D465" s="8">
        <f>CHOOSE( CONTROL!$C$31, 12.9602, 12.9572) * CHOOSE( CONTROL!$C$14, $D$10, 100%, $F$10)</f>
        <v>12.9602</v>
      </c>
      <c r="E465" s="12">
        <f>CHOOSE( CONTROL!$C$31, 12.9572, 12.9542) * CHOOSE( CONTROL!$C$14, $D$10, 100%, $F$10)</f>
        <v>12.9572</v>
      </c>
      <c r="F465" s="4">
        <f>CHOOSE( CONTROL!$C$31, 13.6288, 13.6259) * CHOOSE(CONTROL!$C$14, $D$10, 100%, $F$10)</f>
        <v>13.6288</v>
      </c>
      <c r="G465" s="8">
        <f>CHOOSE( CONTROL!$C$31, 12.703, 12.7001) * CHOOSE( CONTROL!$C$14, $D$10, 100%, $F$10)</f>
        <v>12.702999999999999</v>
      </c>
      <c r="H465" s="4">
        <f>CHOOSE( CONTROL!$C$31, 13.6316, 13.6287) * CHOOSE(CONTROL!$C$14, $D$10, 100%, $F$10)</f>
        <v>13.631600000000001</v>
      </c>
      <c r="I465" s="8">
        <f>CHOOSE( CONTROL!$C$31, 12.5835, 12.5807) * CHOOSE(CONTROL!$C$14, $D$10, 100%, $F$10)</f>
        <v>12.583500000000001</v>
      </c>
      <c r="J465" s="4">
        <f>CHOOSE( CONTROL!$C$31, 12.4849, 12.4821) * CHOOSE(CONTROL!$C$14, $D$10, 100%, $F$10)</f>
        <v>12.4849</v>
      </c>
      <c r="K465" s="4"/>
      <c r="L465" s="9">
        <v>29.7257</v>
      </c>
      <c r="M465" s="9">
        <v>11.6745</v>
      </c>
      <c r="N465" s="9">
        <v>4.7850000000000001</v>
      </c>
      <c r="O465" s="9">
        <v>0.36199999999999999</v>
      </c>
      <c r="P465" s="9">
        <v>1.1791</v>
      </c>
      <c r="Q465" s="9">
        <v>19.236599999999999</v>
      </c>
      <c r="R465" s="9"/>
      <c r="S465" s="11"/>
    </row>
    <row r="466" spans="1:19" ht="15.75">
      <c r="A466" s="13">
        <v>56096</v>
      </c>
      <c r="B466" s="8">
        <f>CHOOSE( CONTROL!$C$31, 13.5029, 13.5) * CHOOSE(CONTROL!$C$14, $D$10, 100%, $F$10)</f>
        <v>13.5029</v>
      </c>
      <c r="C466" s="8">
        <f>CHOOSE( CONTROL!$C$31, 13.5109, 13.508) * CHOOSE(CONTROL!$C$14, $D$10, 100%, $F$10)</f>
        <v>13.510899999999999</v>
      </c>
      <c r="D466" s="8">
        <f>CHOOSE( CONTROL!$C$31, 13.516, 13.5131) * CHOOSE( CONTROL!$C$14, $D$10, 100%, $F$10)</f>
        <v>13.516</v>
      </c>
      <c r="E466" s="12">
        <f>CHOOSE( CONTROL!$C$31, 13.5129, 13.51) * CHOOSE( CONTROL!$C$14, $D$10, 100%, $F$10)</f>
        <v>13.5129</v>
      </c>
      <c r="F466" s="4">
        <f>CHOOSE( CONTROL!$C$31, 14.1844, 14.1815) * CHOOSE(CONTROL!$C$14, $D$10, 100%, $F$10)</f>
        <v>14.1844</v>
      </c>
      <c r="G466" s="8">
        <f>CHOOSE( CONTROL!$C$31, 13.2497, 13.2468) * CHOOSE( CONTROL!$C$14, $D$10, 100%, $F$10)</f>
        <v>13.249700000000001</v>
      </c>
      <c r="H466" s="4">
        <f>CHOOSE( CONTROL!$C$31, 14.178, 14.1751) * CHOOSE(CONTROL!$C$14, $D$10, 100%, $F$10)</f>
        <v>14.178000000000001</v>
      </c>
      <c r="I466" s="8">
        <f>CHOOSE( CONTROL!$C$31, 13.1221, 13.1192) * CHOOSE(CONTROL!$C$14, $D$10, 100%, $F$10)</f>
        <v>13.1221</v>
      </c>
      <c r="J466" s="4">
        <f>CHOOSE( CONTROL!$C$31, 13.022, 13.0192) * CHOOSE(CONTROL!$C$14, $D$10, 100%, $F$10)</f>
        <v>13.022</v>
      </c>
      <c r="K466" s="4"/>
      <c r="L466" s="9">
        <v>30.7165</v>
      </c>
      <c r="M466" s="9">
        <v>12.063700000000001</v>
      </c>
      <c r="N466" s="9">
        <v>4.9444999999999997</v>
      </c>
      <c r="O466" s="9">
        <v>0.37409999999999999</v>
      </c>
      <c r="P466" s="9">
        <v>1.2183999999999999</v>
      </c>
      <c r="Q466" s="9">
        <v>19.877800000000001</v>
      </c>
      <c r="R466" s="9"/>
      <c r="S466" s="11"/>
    </row>
    <row r="467" spans="1:19" ht="15.75">
      <c r="A467" s="13">
        <v>56127</v>
      </c>
      <c r="B467" s="8">
        <f>CHOOSE( CONTROL!$C$31, 12.4633, 12.4604) * CHOOSE(CONTROL!$C$14, $D$10, 100%, $F$10)</f>
        <v>12.4633</v>
      </c>
      <c r="C467" s="8">
        <f>CHOOSE( CONTROL!$C$31, 12.4713, 12.4684) * CHOOSE(CONTROL!$C$14, $D$10, 100%, $F$10)</f>
        <v>12.471299999999999</v>
      </c>
      <c r="D467" s="8">
        <f>CHOOSE( CONTROL!$C$31, 12.4765, 12.4736) * CHOOSE( CONTROL!$C$14, $D$10, 100%, $F$10)</f>
        <v>12.4765</v>
      </c>
      <c r="E467" s="12">
        <f>CHOOSE( CONTROL!$C$31, 12.4734, 12.4705) * CHOOSE( CONTROL!$C$14, $D$10, 100%, $F$10)</f>
        <v>12.4734</v>
      </c>
      <c r="F467" s="4">
        <f>CHOOSE( CONTROL!$C$31, 13.1448, 13.1419) * CHOOSE(CONTROL!$C$14, $D$10, 100%, $F$10)</f>
        <v>13.1448</v>
      </c>
      <c r="G467" s="8">
        <f>CHOOSE( CONTROL!$C$31, 12.2275, 12.2246) * CHOOSE( CONTROL!$C$14, $D$10, 100%, $F$10)</f>
        <v>12.227499999999999</v>
      </c>
      <c r="H467" s="4">
        <f>CHOOSE( CONTROL!$C$31, 13.1556, 13.1527) * CHOOSE(CONTROL!$C$14, $D$10, 100%, $F$10)</f>
        <v>13.1556</v>
      </c>
      <c r="I467" s="8">
        <f>CHOOSE( CONTROL!$C$31, 12.117, 12.1141) * CHOOSE(CONTROL!$C$14, $D$10, 100%, $F$10)</f>
        <v>12.117000000000001</v>
      </c>
      <c r="J467" s="4">
        <f>CHOOSE( CONTROL!$C$31, 12.017, 12.0142) * CHOOSE(CONTROL!$C$14, $D$10, 100%, $F$10)</f>
        <v>12.016999999999999</v>
      </c>
      <c r="K467" s="4"/>
      <c r="L467" s="9">
        <v>30.7165</v>
      </c>
      <c r="M467" s="9">
        <v>12.063700000000001</v>
      </c>
      <c r="N467" s="9">
        <v>4.9444999999999997</v>
      </c>
      <c r="O467" s="9">
        <v>0.37409999999999999</v>
      </c>
      <c r="P467" s="9">
        <v>1.2183999999999999</v>
      </c>
      <c r="Q467" s="9">
        <v>19.877800000000001</v>
      </c>
      <c r="R467" s="9"/>
      <c r="S467" s="11"/>
    </row>
    <row r="468" spans="1:19" ht="15.75">
      <c r="A468" s="13">
        <v>56157</v>
      </c>
      <c r="B468" s="8">
        <f>CHOOSE( CONTROL!$C$31, 12.2029, 12.2) * CHOOSE(CONTROL!$C$14, $D$10, 100%, $F$10)</f>
        <v>12.2029</v>
      </c>
      <c r="C468" s="8">
        <f>CHOOSE( CONTROL!$C$31, 12.211, 12.208) * CHOOSE(CONTROL!$C$14, $D$10, 100%, $F$10)</f>
        <v>12.211</v>
      </c>
      <c r="D468" s="8">
        <f>CHOOSE( CONTROL!$C$31, 12.2162, 12.2132) * CHOOSE( CONTROL!$C$14, $D$10, 100%, $F$10)</f>
        <v>12.216200000000001</v>
      </c>
      <c r="E468" s="12">
        <f>CHOOSE( CONTROL!$C$31, 12.2131, 12.2101) * CHOOSE( CONTROL!$C$14, $D$10, 100%, $F$10)</f>
        <v>12.213100000000001</v>
      </c>
      <c r="F468" s="4">
        <f>CHOOSE( CONTROL!$C$31, 12.8845, 12.8816) * CHOOSE(CONTROL!$C$14, $D$10, 100%, $F$10)</f>
        <v>12.884499999999999</v>
      </c>
      <c r="G468" s="8">
        <f>CHOOSE( CONTROL!$C$31, 11.9714, 11.9686) * CHOOSE( CONTROL!$C$14, $D$10, 100%, $F$10)</f>
        <v>11.971399999999999</v>
      </c>
      <c r="H468" s="4">
        <f>CHOOSE( CONTROL!$C$31, 12.8996, 12.8967) * CHOOSE(CONTROL!$C$14, $D$10, 100%, $F$10)</f>
        <v>12.8996</v>
      </c>
      <c r="I468" s="8">
        <f>CHOOSE( CONTROL!$C$31, 11.8651, 11.8623) * CHOOSE(CONTROL!$C$14, $D$10, 100%, $F$10)</f>
        <v>11.8651</v>
      </c>
      <c r="J468" s="4">
        <f>CHOOSE( CONTROL!$C$31, 11.7654, 11.7625) * CHOOSE(CONTROL!$C$14, $D$10, 100%, $F$10)</f>
        <v>11.7654</v>
      </c>
      <c r="K468" s="4"/>
      <c r="L468" s="9">
        <v>29.7257</v>
      </c>
      <c r="M468" s="9">
        <v>11.6745</v>
      </c>
      <c r="N468" s="9">
        <v>4.7850000000000001</v>
      </c>
      <c r="O468" s="9">
        <v>0.36199999999999999</v>
      </c>
      <c r="P468" s="9">
        <v>1.1791</v>
      </c>
      <c r="Q468" s="9">
        <v>19.236599999999999</v>
      </c>
      <c r="R468" s="9"/>
      <c r="S468" s="11"/>
    </row>
    <row r="469" spans="1:19" ht="15.75">
      <c r="A469" s="13">
        <v>56188</v>
      </c>
      <c r="B469" s="8">
        <f>12.7388 * CHOOSE(CONTROL!$C$14, $D$10, 100%, $F$10)</f>
        <v>12.738799999999999</v>
      </c>
      <c r="C469" s="8">
        <f>12.7442 * CHOOSE(CONTROL!$C$14, $D$10, 100%, $F$10)</f>
        <v>12.744199999999999</v>
      </c>
      <c r="D469" s="8">
        <f>12.7542 * CHOOSE( CONTROL!$C$14, $D$10, 100%, $F$10)</f>
        <v>12.754200000000001</v>
      </c>
      <c r="E469" s="12">
        <f>12.7503 * CHOOSE( CONTROL!$C$14, $D$10, 100%, $F$10)</f>
        <v>12.750299999999999</v>
      </c>
      <c r="F469" s="4">
        <f>13.4221 * CHOOSE(CONTROL!$C$14, $D$10, 100%, $F$10)</f>
        <v>13.4221</v>
      </c>
      <c r="G469" s="8">
        <f>12.4998 * CHOOSE( CONTROL!$C$14, $D$10, 100%, $F$10)</f>
        <v>12.4998</v>
      </c>
      <c r="H469" s="4">
        <f>13.4283 * CHOOSE(CONTROL!$C$14, $D$10, 100%, $F$10)</f>
        <v>13.4283</v>
      </c>
      <c r="I469" s="8">
        <f>12.3859 * CHOOSE(CONTROL!$C$14, $D$10, 100%, $F$10)</f>
        <v>12.385899999999999</v>
      </c>
      <c r="J469" s="4">
        <f>12.2851 * CHOOSE(CONTROL!$C$14, $D$10, 100%, $F$10)</f>
        <v>12.2851</v>
      </c>
      <c r="K469" s="4"/>
      <c r="L469" s="9">
        <v>31.095300000000002</v>
      </c>
      <c r="M469" s="9">
        <v>12.063700000000001</v>
      </c>
      <c r="N469" s="9">
        <v>4.9444999999999997</v>
      </c>
      <c r="O469" s="9">
        <v>0.37409999999999999</v>
      </c>
      <c r="P469" s="9">
        <v>1.2183999999999999</v>
      </c>
      <c r="Q469" s="9">
        <v>19.877800000000001</v>
      </c>
      <c r="R469" s="9"/>
      <c r="S469" s="11"/>
    </row>
    <row r="470" spans="1:19" ht="15.75">
      <c r="A470" s="13">
        <v>56218</v>
      </c>
      <c r="B470" s="8">
        <f>13.7361 * CHOOSE(CONTROL!$C$14, $D$10, 100%, $F$10)</f>
        <v>13.7361</v>
      </c>
      <c r="C470" s="8">
        <f>13.7413 * CHOOSE(CONTROL!$C$14, $D$10, 100%, $F$10)</f>
        <v>13.741300000000001</v>
      </c>
      <c r="D470" s="8">
        <f>13.7175 * CHOOSE( CONTROL!$C$14, $D$10, 100%, $F$10)</f>
        <v>13.717499999999999</v>
      </c>
      <c r="E470" s="12">
        <f>13.7256 * CHOOSE( CONTROL!$C$14, $D$10, 100%, $F$10)</f>
        <v>13.7256</v>
      </c>
      <c r="F470" s="4">
        <f>14.3836 * CHOOSE(CONTROL!$C$14, $D$10, 100%, $F$10)</f>
        <v>14.383599999999999</v>
      </c>
      <c r="G470" s="8">
        <f>13.4907 * CHOOSE( CONTROL!$C$14, $D$10, 100%, $F$10)</f>
        <v>13.4907</v>
      </c>
      <c r="H470" s="4">
        <f>14.3739 * CHOOSE(CONTROL!$C$14, $D$10, 100%, $F$10)</f>
        <v>14.373900000000001</v>
      </c>
      <c r="I470" s="8">
        <f>13.3813 * CHOOSE(CONTROL!$C$14, $D$10, 100%, $F$10)</f>
        <v>13.3813</v>
      </c>
      <c r="J470" s="4">
        <f>13.2496 * CHOOSE(CONTROL!$C$14, $D$10, 100%, $F$10)</f>
        <v>13.249599999999999</v>
      </c>
      <c r="K470" s="4"/>
      <c r="L470" s="9">
        <v>28.360600000000002</v>
      </c>
      <c r="M470" s="9">
        <v>11.6745</v>
      </c>
      <c r="N470" s="9">
        <v>4.7850000000000001</v>
      </c>
      <c r="O470" s="9">
        <v>0.36199999999999999</v>
      </c>
      <c r="P470" s="9">
        <v>1.2509999999999999</v>
      </c>
      <c r="Q470" s="9">
        <v>19.236599999999999</v>
      </c>
      <c r="R470" s="9"/>
      <c r="S470" s="11"/>
    </row>
    <row r="471" spans="1:19" ht="15.75">
      <c r="A471" s="13">
        <v>56249</v>
      </c>
      <c r="B471" s="8">
        <f>13.7112 * CHOOSE(CONTROL!$C$14, $D$10, 100%, $F$10)</f>
        <v>13.7112</v>
      </c>
      <c r="C471" s="8">
        <f>13.7163 * CHOOSE(CONTROL!$C$14, $D$10, 100%, $F$10)</f>
        <v>13.7163</v>
      </c>
      <c r="D471" s="8">
        <f>13.6939 * CHOOSE( CONTROL!$C$14, $D$10, 100%, $F$10)</f>
        <v>13.693899999999999</v>
      </c>
      <c r="E471" s="12">
        <f>13.7015 * CHOOSE( CONTROL!$C$14, $D$10, 100%, $F$10)</f>
        <v>13.701499999999999</v>
      </c>
      <c r="F471" s="4">
        <f>14.3587 * CHOOSE(CONTROL!$C$14, $D$10, 100%, $F$10)</f>
        <v>14.358700000000001</v>
      </c>
      <c r="G471" s="8">
        <f>13.4672 * CHOOSE( CONTROL!$C$14, $D$10, 100%, $F$10)</f>
        <v>13.4672</v>
      </c>
      <c r="H471" s="4">
        <f>14.3494 * CHOOSE(CONTROL!$C$14, $D$10, 100%, $F$10)</f>
        <v>14.349399999999999</v>
      </c>
      <c r="I471" s="8">
        <f>13.3616 * CHOOSE(CONTROL!$C$14, $D$10, 100%, $F$10)</f>
        <v>13.361599999999999</v>
      </c>
      <c r="J471" s="4">
        <f>13.2255 * CHOOSE(CONTROL!$C$14, $D$10, 100%, $F$10)</f>
        <v>13.2255</v>
      </c>
      <c r="K471" s="4"/>
      <c r="L471" s="9">
        <v>29.306000000000001</v>
      </c>
      <c r="M471" s="9">
        <v>12.063700000000001</v>
      </c>
      <c r="N471" s="9">
        <v>4.9444999999999997</v>
      </c>
      <c r="O471" s="9">
        <v>0.37409999999999999</v>
      </c>
      <c r="P471" s="9">
        <v>1.2927</v>
      </c>
      <c r="Q471" s="9">
        <v>19.877800000000001</v>
      </c>
      <c r="R471" s="9"/>
      <c r="S471" s="11"/>
    </row>
    <row r="472" spans="1:19" ht="15.75">
      <c r="A472" s="13">
        <v>56280</v>
      </c>
      <c r="B472" s="8">
        <f>14.2341 * CHOOSE(CONTROL!$C$14, $D$10, 100%, $F$10)</f>
        <v>14.2341</v>
      </c>
      <c r="C472" s="8">
        <f>14.2392 * CHOOSE(CONTROL!$C$14, $D$10, 100%, $F$10)</f>
        <v>14.2392</v>
      </c>
      <c r="D472" s="8">
        <f>14.235 * CHOOSE( CONTROL!$C$14, $D$10, 100%, $F$10)</f>
        <v>14.234999999999999</v>
      </c>
      <c r="E472" s="12">
        <f>14.236 * CHOOSE( CONTROL!$C$14, $D$10, 100%, $F$10)</f>
        <v>14.236000000000001</v>
      </c>
      <c r="F472" s="4">
        <f>14.9126 * CHOOSE(CONTROL!$C$14, $D$10, 100%, $F$10)</f>
        <v>14.912599999999999</v>
      </c>
      <c r="G472" s="8">
        <f>13.9957 * CHOOSE( CONTROL!$C$14, $D$10, 100%, $F$10)</f>
        <v>13.995699999999999</v>
      </c>
      <c r="H472" s="4">
        <f>14.8941 * CHOOSE(CONTROL!$C$14, $D$10, 100%, $F$10)</f>
        <v>14.8941</v>
      </c>
      <c r="I472" s="8">
        <f>13.8464 * CHOOSE(CONTROL!$C$14, $D$10, 100%, $F$10)</f>
        <v>13.846399999999999</v>
      </c>
      <c r="J472" s="4">
        <f>13.7309 * CHOOSE(CONTROL!$C$14, $D$10, 100%, $F$10)</f>
        <v>13.7309</v>
      </c>
      <c r="K472" s="4"/>
      <c r="L472" s="9">
        <v>29.306000000000001</v>
      </c>
      <c r="M472" s="9">
        <v>12.063700000000001</v>
      </c>
      <c r="N472" s="9">
        <v>4.9444999999999997</v>
      </c>
      <c r="O472" s="9">
        <v>0.37409999999999999</v>
      </c>
      <c r="P472" s="9">
        <v>1.2927</v>
      </c>
      <c r="Q472" s="9">
        <v>19.814599999999999</v>
      </c>
      <c r="R472" s="9"/>
      <c r="S472" s="11"/>
    </row>
    <row r="473" spans="1:19" ht="15.75">
      <c r="A473" s="13">
        <v>56308</v>
      </c>
      <c r="B473" s="8">
        <f>13.3158 * CHOOSE(CONTROL!$C$14, $D$10, 100%, $F$10)</f>
        <v>13.315799999999999</v>
      </c>
      <c r="C473" s="8">
        <f>13.3209 * CHOOSE(CONTROL!$C$14, $D$10, 100%, $F$10)</f>
        <v>13.3209</v>
      </c>
      <c r="D473" s="8">
        <f>13.3108 * CHOOSE( CONTROL!$C$14, $D$10, 100%, $F$10)</f>
        <v>13.3108</v>
      </c>
      <c r="E473" s="12">
        <f>13.3139 * CHOOSE( CONTROL!$C$14, $D$10, 100%, $F$10)</f>
        <v>13.3139</v>
      </c>
      <c r="F473" s="4">
        <f>13.9685 * CHOOSE(CONTROL!$C$14, $D$10, 100%, $F$10)</f>
        <v>13.968500000000001</v>
      </c>
      <c r="G473" s="8">
        <f>13.0845 * CHOOSE( CONTROL!$C$14, $D$10, 100%, $F$10)</f>
        <v>13.0845</v>
      </c>
      <c r="H473" s="4">
        <f>13.9656 * CHOOSE(CONTROL!$C$14, $D$10, 100%, $F$10)</f>
        <v>13.9656</v>
      </c>
      <c r="I473" s="8">
        <f>12.9489 * CHOOSE(CONTROL!$C$14, $D$10, 100%, $F$10)</f>
        <v>12.9489</v>
      </c>
      <c r="J473" s="4">
        <f>12.8432 * CHOOSE(CONTROL!$C$14, $D$10, 100%, $F$10)</f>
        <v>12.8432</v>
      </c>
      <c r="K473" s="4"/>
      <c r="L473" s="9">
        <v>26.469899999999999</v>
      </c>
      <c r="M473" s="9">
        <v>10.8962</v>
      </c>
      <c r="N473" s="9">
        <v>4.4660000000000002</v>
      </c>
      <c r="O473" s="9">
        <v>0.33789999999999998</v>
      </c>
      <c r="P473" s="9">
        <v>1.1676</v>
      </c>
      <c r="Q473" s="9">
        <v>17.896999999999998</v>
      </c>
      <c r="R473" s="9"/>
      <c r="S473" s="11"/>
    </row>
    <row r="474" spans="1:19" ht="15.75">
      <c r="A474" s="13">
        <v>56339</v>
      </c>
      <c r="B474" s="8">
        <f>13.033 * CHOOSE(CONTROL!$C$14, $D$10, 100%, $F$10)</f>
        <v>13.032999999999999</v>
      </c>
      <c r="C474" s="8">
        <f>13.0381 * CHOOSE(CONTROL!$C$14, $D$10, 100%, $F$10)</f>
        <v>13.0381</v>
      </c>
      <c r="D474" s="8">
        <f>13.0215 * CHOOSE( CONTROL!$C$14, $D$10, 100%, $F$10)</f>
        <v>13.0215</v>
      </c>
      <c r="E474" s="12">
        <f>13.027 * CHOOSE( CONTROL!$C$14, $D$10, 100%, $F$10)</f>
        <v>13.026999999999999</v>
      </c>
      <c r="F474" s="4">
        <f>13.6857 * CHOOSE(CONTROL!$C$14, $D$10, 100%, $F$10)</f>
        <v>13.685700000000001</v>
      </c>
      <c r="G474" s="8">
        <f>12.7982 * CHOOSE( CONTROL!$C$14, $D$10, 100%, $F$10)</f>
        <v>12.7982</v>
      </c>
      <c r="H474" s="4">
        <f>13.6875 * CHOOSE(CONTROL!$C$14, $D$10, 100%, $F$10)</f>
        <v>13.6875</v>
      </c>
      <c r="I474" s="8">
        <f>12.6553 * CHOOSE(CONTROL!$C$14, $D$10, 100%, $F$10)</f>
        <v>12.6553</v>
      </c>
      <c r="J474" s="4">
        <f>12.5698 * CHOOSE(CONTROL!$C$14, $D$10, 100%, $F$10)</f>
        <v>12.569800000000001</v>
      </c>
      <c r="K474" s="4"/>
      <c r="L474" s="9">
        <v>29.306000000000001</v>
      </c>
      <c r="M474" s="9">
        <v>12.063700000000001</v>
      </c>
      <c r="N474" s="9">
        <v>4.9444999999999997</v>
      </c>
      <c r="O474" s="9">
        <v>0.37409999999999999</v>
      </c>
      <c r="P474" s="9">
        <v>1.2927</v>
      </c>
      <c r="Q474" s="9">
        <v>19.814599999999999</v>
      </c>
      <c r="R474" s="9"/>
      <c r="S474" s="11"/>
    </row>
    <row r="475" spans="1:19" ht="15.75">
      <c r="A475" s="13">
        <v>56369</v>
      </c>
      <c r="B475" s="8">
        <f>13.2314 * CHOOSE(CONTROL!$C$14, $D$10, 100%, $F$10)</f>
        <v>13.231400000000001</v>
      </c>
      <c r="C475" s="8">
        <f>13.236 * CHOOSE(CONTROL!$C$14, $D$10, 100%, $F$10)</f>
        <v>13.236000000000001</v>
      </c>
      <c r="D475" s="8">
        <f>13.2455 * CHOOSE( CONTROL!$C$14, $D$10, 100%, $F$10)</f>
        <v>13.2455</v>
      </c>
      <c r="E475" s="12">
        <f>13.2418 * CHOOSE( CONTROL!$C$14, $D$10, 100%, $F$10)</f>
        <v>13.2418</v>
      </c>
      <c r="F475" s="4">
        <f>13.9143 * CHOOSE(CONTROL!$C$14, $D$10, 100%, $F$10)</f>
        <v>13.914300000000001</v>
      </c>
      <c r="G475" s="8">
        <f>12.9824 * CHOOSE( CONTROL!$C$14, $D$10, 100%, $F$10)</f>
        <v>12.9824</v>
      </c>
      <c r="H475" s="4">
        <f>13.9124 * CHOOSE(CONTROL!$C$14, $D$10, 100%, $F$10)</f>
        <v>13.9124</v>
      </c>
      <c r="I475" s="8">
        <f>12.8574 * CHOOSE(CONTROL!$C$14, $D$10, 100%, $F$10)</f>
        <v>12.8574</v>
      </c>
      <c r="J475" s="4">
        <f>12.7609 * CHOOSE(CONTROL!$C$14, $D$10, 100%, $F$10)</f>
        <v>12.760899999999999</v>
      </c>
      <c r="K475" s="4"/>
      <c r="L475" s="9">
        <v>30.092199999999998</v>
      </c>
      <c r="M475" s="9">
        <v>11.6745</v>
      </c>
      <c r="N475" s="9">
        <v>4.7850000000000001</v>
      </c>
      <c r="O475" s="9">
        <v>0.36199999999999999</v>
      </c>
      <c r="P475" s="9">
        <v>1.1791</v>
      </c>
      <c r="Q475" s="9">
        <v>19.1754</v>
      </c>
      <c r="R475" s="9"/>
      <c r="S475" s="11"/>
    </row>
    <row r="476" spans="1:19" ht="15.75">
      <c r="A476" s="13">
        <v>56400</v>
      </c>
      <c r="B476" s="8">
        <f>CHOOSE( CONTROL!$C$31, 13.5874, 13.5845) * CHOOSE(CONTROL!$C$14, $D$10, 100%, $F$10)</f>
        <v>13.587400000000001</v>
      </c>
      <c r="C476" s="8">
        <f>CHOOSE( CONTROL!$C$31, 13.5954, 13.5925) * CHOOSE(CONTROL!$C$14, $D$10, 100%, $F$10)</f>
        <v>13.5954</v>
      </c>
      <c r="D476" s="8">
        <f>CHOOSE( CONTROL!$C$31, 13.6001, 13.5971) * CHOOSE( CONTROL!$C$14, $D$10, 100%, $F$10)</f>
        <v>13.600099999999999</v>
      </c>
      <c r="E476" s="12">
        <f>CHOOSE( CONTROL!$C$31, 13.5972, 13.5942) * CHOOSE( CONTROL!$C$14, $D$10, 100%, $F$10)</f>
        <v>13.597200000000001</v>
      </c>
      <c r="F476" s="4">
        <f>CHOOSE( CONTROL!$C$31, 14.269, 14.2661) * CHOOSE(CONTROL!$C$14, $D$10, 100%, $F$10)</f>
        <v>14.269</v>
      </c>
      <c r="G476" s="8">
        <f>CHOOSE( CONTROL!$C$31, 13.3321, 13.3292) * CHOOSE( CONTROL!$C$14, $D$10, 100%, $F$10)</f>
        <v>13.332100000000001</v>
      </c>
      <c r="H476" s="4">
        <f>CHOOSE( CONTROL!$C$31, 14.2611, 14.2583) * CHOOSE(CONTROL!$C$14, $D$10, 100%, $F$10)</f>
        <v>14.261100000000001</v>
      </c>
      <c r="I476" s="8">
        <f>CHOOSE( CONTROL!$C$31, 13.2014, 13.1986) * CHOOSE(CONTROL!$C$14, $D$10, 100%, $F$10)</f>
        <v>13.2014</v>
      </c>
      <c r="J476" s="4">
        <f>CHOOSE( CONTROL!$C$31, 13.1037, 13.1009) * CHOOSE(CONTROL!$C$14, $D$10, 100%, $F$10)</f>
        <v>13.1037</v>
      </c>
      <c r="K476" s="4"/>
      <c r="L476" s="9">
        <v>30.7165</v>
      </c>
      <c r="M476" s="9">
        <v>12.063700000000001</v>
      </c>
      <c r="N476" s="9">
        <v>4.9444999999999997</v>
      </c>
      <c r="O476" s="9">
        <v>0.37409999999999999</v>
      </c>
      <c r="P476" s="9">
        <v>1.2183999999999999</v>
      </c>
      <c r="Q476" s="9">
        <v>19.814599999999999</v>
      </c>
      <c r="R476" s="9"/>
      <c r="S476" s="11"/>
    </row>
    <row r="477" spans="1:19" ht="15.75">
      <c r="A477" s="13">
        <v>56430</v>
      </c>
      <c r="B477" s="8">
        <f>CHOOSE( CONTROL!$C$31, 13.3695, 13.3666) * CHOOSE(CONTROL!$C$14, $D$10, 100%, $F$10)</f>
        <v>13.3695</v>
      </c>
      <c r="C477" s="8">
        <f>CHOOSE( CONTROL!$C$31, 13.3776, 13.3746) * CHOOSE(CONTROL!$C$14, $D$10, 100%, $F$10)</f>
        <v>13.377599999999999</v>
      </c>
      <c r="D477" s="8">
        <f>CHOOSE( CONTROL!$C$31, 13.3824, 13.3795) * CHOOSE( CONTROL!$C$14, $D$10, 100%, $F$10)</f>
        <v>13.382400000000001</v>
      </c>
      <c r="E477" s="12">
        <f>CHOOSE( CONTROL!$C$31, 13.3794, 13.3765) * CHOOSE( CONTROL!$C$14, $D$10, 100%, $F$10)</f>
        <v>13.3794</v>
      </c>
      <c r="F477" s="4">
        <f>CHOOSE( CONTROL!$C$31, 14.0511, 14.0482) * CHOOSE(CONTROL!$C$14, $D$10, 100%, $F$10)</f>
        <v>14.0511</v>
      </c>
      <c r="G477" s="8">
        <f>CHOOSE( CONTROL!$C$31, 13.1182, 13.1154) * CHOOSE( CONTROL!$C$14, $D$10, 100%, $F$10)</f>
        <v>13.1182</v>
      </c>
      <c r="H477" s="4">
        <f>CHOOSE( CONTROL!$C$31, 14.0469, 14.044) * CHOOSE(CONTROL!$C$14, $D$10, 100%, $F$10)</f>
        <v>14.046900000000001</v>
      </c>
      <c r="I477" s="8">
        <f>CHOOSE( CONTROL!$C$31, 12.9919, 12.9891) * CHOOSE(CONTROL!$C$14, $D$10, 100%, $F$10)</f>
        <v>12.991899999999999</v>
      </c>
      <c r="J477" s="4">
        <f>CHOOSE( CONTROL!$C$31, 12.8931, 12.8903) * CHOOSE(CONTROL!$C$14, $D$10, 100%, $F$10)</f>
        <v>12.8931</v>
      </c>
      <c r="K477" s="4"/>
      <c r="L477" s="9">
        <v>29.7257</v>
      </c>
      <c r="M477" s="9">
        <v>11.6745</v>
      </c>
      <c r="N477" s="9">
        <v>4.7850000000000001</v>
      </c>
      <c r="O477" s="9">
        <v>0.36199999999999999</v>
      </c>
      <c r="P477" s="9">
        <v>1.1791</v>
      </c>
      <c r="Q477" s="9">
        <v>19.1754</v>
      </c>
      <c r="R477" s="9"/>
      <c r="S477" s="11"/>
    </row>
    <row r="478" spans="1:19" ht="15.75">
      <c r="A478" s="13">
        <v>56461</v>
      </c>
      <c r="B478" s="8">
        <f>CHOOSE( CONTROL!$C$31, 13.9433, 13.9404) * CHOOSE(CONTROL!$C$14, $D$10, 100%, $F$10)</f>
        <v>13.943300000000001</v>
      </c>
      <c r="C478" s="8">
        <f>CHOOSE( CONTROL!$C$31, 13.9513, 13.9484) * CHOOSE(CONTROL!$C$14, $D$10, 100%, $F$10)</f>
        <v>13.9513</v>
      </c>
      <c r="D478" s="8">
        <f>CHOOSE( CONTROL!$C$31, 13.9565, 13.9535) * CHOOSE( CONTROL!$C$14, $D$10, 100%, $F$10)</f>
        <v>13.9565</v>
      </c>
      <c r="E478" s="12">
        <f>CHOOSE( CONTROL!$C$31, 13.9534, 13.9504) * CHOOSE( CONTROL!$C$14, $D$10, 100%, $F$10)</f>
        <v>13.9534</v>
      </c>
      <c r="F478" s="4">
        <f>CHOOSE( CONTROL!$C$31, 14.6249, 14.6219) * CHOOSE(CONTROL!$C$14, $D$10, 100%, $F$10)</f>
        <v>14.6249</v>
      </c>
      <c r="G478" s="8">
        <f>CHOOSE( CONTROL!$C$31, 13.6829, 13.68) * CHOOSE( CONTROL!$C$14, $D$10, 100%, $F$10)</f>
        <v>13.6829</v>
      </c>
      <c r="H478" s="4">
        <f>CHOOSE( CONTROL!$C$31, 14.6111, 14.6082) * CHOOSE(CONTROL!$C$14, $D$10, 100%, $F$10)</f>
        <v>14.6111</v>
      </c>
      <c r="I478" s="8">
        <f>CHOOSE( CONTROL!$C$31, 13.548, 13.5452) * CHOOSE(CONTROL!$C$14, $D$10, 100%, $F$10)</f>
        <v>13.548</v>
      </c>
      <c r="J478" s="4">
        <f>CHOOSE( CONTROL!$C$31, 13.4478, 13.4449) * CHOOSE(CONTROL!$C$14, $D$10, 100%, $F$10)</f>
        <v>13.447800000000001</v>
      </c>
      <c r="K478" s="4"/>
      <c r="L478" s="9">
        <v>30.7165</v>
      </c>
      <c r="M478" s="9">
        <v>12.063700000000001</v>
      </c>
      <c r="N478" s="9">
        <v>4.9444999999999997</v>
      </c>
      <c r="O478" s="9">
        <v>0.37409999999999999</v>
      </c>
      <c r="P478" s="9">
        <v>1.2183999999999999</v>
      </c>
      <c r="Q478" s="9">
        <v>19.814599999999999</v>
      </c>
      <c r="R478" s="9"/>
      <c r="S478" s="11"/>
    </row>
    <row r="479" spans="1:19" ht="15.75">
      <c r="A479" s="13">
        <v>56492</v>
      </c>
      <c r="B479" s="8">
        <f>CHOOSE( CONTROL!$C$31, 12.8697, 12.8668) * CHOOSE(CONTROL!$C$14, $D$10, 100%, $F$10)</f>
        <v>12.8697</v>
      </c>
      <c r="C479" s="8">
        <f>CHOOSE( CONTROL!$C$31, 12.8777, 12.8748) * CHOOSE(CONTROL!$C$14, $D$10, 100%, $F$10)</f>
        <v>12.877700000000001</v>
      </c>
      <c r="D479" s="8">
        <f>CHOOSE( CONTROL!$C$31, 12.8829, 12.88) * CHOOSE( CONTROL!$C$14, $D$10, 100%, $F$10)</f>
        <v>12.882899999999999</v>
      </c>
      <c r="E479" s="12">
        <f>CHOOSE( CONTROL!$C$31, 12.8798, 12.8769) * CHOOSE( CONTROL!$C$14, $D$10, 100%, $F$10)</f>
        <v>12.879799999999999</v>
      </c>
      <c r="F479" s="4">
        <f>CHOOSE( CONTROL!$C$31, 13.5513, 13.5483) * CHOOSE(CONTROL!$C$14, $D$10, 100%, $F$10)</f>
        <v>13.551299999999999</v>
      </c>
      <c r="G479" s="8">
        <f>CHOOSE( CONTROL!$C$31, 12.6272, 12.6243) * CHOOSE( CONTROL!$C$14, $D$10, 100%, $F$10)</f>
        <v>12.6272</v>
      </c>
      <c r="H479" s="4">
        <f>CHOOSE( CONTROL!$C$31, 13.5553, 13.5524) * CHOOSE(CONTROL!$C$14, $D$10, 100%, $F$10)</f>
        <v>13.555300000000001</v>
      </c>
      <c r="I479" s="8">
        <f>CHOOSE( CONTROL!$C$31, 12.5101, 12.5073) * CHOOSE(CONTROL!$C$14, $D$10, 100%, $F$10)</f>
        <v>12.5101</v>
      </c>
      <c r="J479" s="4">
        <f>CHOOSE( CONTROL!$C$31, 12.4099, 12.4071) * CHOOSE(CONTROL!$C$14, $D$10, 100%, $F$10)</f>
        <v>12.4099</v>
      </c>
      <c r="K479" s="4"/>
      <c r="L479" s="9">
        <v>30.7165</v>
      </c>
      <c r="M479" s="9">
        <v>12.063700000000001</v>
      </c>
      <c r="N479" s="9">
        <v>4.9444999999999997</v>
      </c>
      <c r="O479" s="9">
        <v>0.37409999999999999</v>
      </c>
      <c r="P479" s="9">
        <v>1.2183999999999999</v>
      </c>
      <c r="Q479" s="9">
        <v>19.814599999999999</v>
      </c>
      <c r="R479" s="9"/>
      <c r="S479" s="11"/>
    </row>
    <row r="480" spans="1:19" ht="15.75">
      <c r="A480" s="13">
        <v>56522</v>
      </c>
      <c r="B480" s="8">
        <f>CHOOSE( CONTROL!$C$31, 12.6009, 12.598) * CHOOSE(CONTROL!$C$14, $D$10, 100%, $F$10)</f>
        <v>12.600899999999999</v>
      </c>
      <c r="C480" s="8">
        <f>CHOOSE( CONTROL!$C$31, 12.6089, 12.606) * CHOOSE(CONTROL!$C$14, $D$10, 100%, $F$10)</f>
        <v>12.6089</v>
      </c>
      <c r="D480" s="8">
        <f>CHOOSE( CONTROL!$C$31, 12.6141, 12.6112) * CHOOSE( CONTROL!$C$14, $D$10, 100%, $F$10)</f>
        <v>12.614100000000001</v>
      </c>
      <c r="E480" s="12">
        <f>CHOOSE( CONTROL!$C$31, 12.611, 12.6081) * CHOOSE( CONTROL!$C$14, $D$10, 100%, $F$10)</f>
        <v>12.611000000000001</v>
      </c>
      <c r="F480" s="4">
        <f>CHOOSE( CONTROL!$C$31, 13.2824, 13.2795) * CHOOSE(CONTROL!$C$14, $D$10, 100%, $F$10)</f>
        <v>13.282400000000001</v>
      </c>
      <c r="G480" s="8">
        <f>CHOOSE( CONTROL!$C$31, 12.3628, 12.3599) * CHOOSE( CONTROL!$C$14, $D$10, 100%, $F$10)</f>
        <v>12.3628</v>
      </c>
      <c r="H480" s="4">
        <f>CHOOSE( CONTROL!$C$31, 13.2909, 13.2881) * CHOOSE(CONTROL!$C$14, $D$10, 100%, $F$10)</f>
        <v>13.290900000000001</v>
      </c>
      <c r="I480" s="8">
        <f>CHOOSE( CONTROL!$C$31, 12.25, 12.2472) * CHOOSE(CONTROL!$C$14, $D$10, 100%, $F$10)</f>
        <v>12.25</v>
      </c>
      <c r="J480" s="4">
        <f>CHOOSE( CONTROL!$C$31, 12.15, 12.1472) * CHOOSE(CONTROL!$C$14, $D$10, 100%, $F$10)</f>
        <v>12.15</v>
      </c>
      <c r="K480" s="4"/>
      <c r="L480" s="9">
        <v>29.7257</v>
      </c>
      <c r="M480" s="9">
        <v>11.6745</v>
      </c>
      <c r="N480" s="9">
        <v>4.7850000000000001</v>
      </c>
      <c r="O480" s="9">
        <v>0.36199999999999999</v>
      </c>
      <c r="P480" s="9">
        <v>1.1791</v>
      </c>
      <c r="Q480" s="9">
        <v>19.1754</v>
      </c>
      <c r="R480" s="9"/>
      <c r="S480" s="11"/>
    </row>
    <row r="481" spans="1:19" ht="15.75">
      <c r="A481" s="13">
        <v>56553</v>
      </c>
      <c r="B481" s="8">
        <f>13.1544 * CHOOSE(CONTROL!$C$14, $D$10, 100%, $F$10)</f>
        <v>13.154400000000001</v>
      </c>
      <c r="C481" s="8">
        <f>13.1598 * CHOOSE(CONTROL!$C$14, $D$10, 100%, $F$10)</f>
        <v>13.159800000000001</v>
      </c>
      <c r="D481" s="8">
        <f>13.1698 * CHOOSE( CONTROL!$C$14, $D$10, 100%, $F$10)</f>
        <v>13.1698</v>
      </c>
      <c r="E481" s="12">
        <f>13.1659 * CHOOSE( CONTROL!$C$14, $D$10, 100%, $F$10)</f>
        <v>13.165900000000001</v>
      </c>
      <c r="F481" s="4">
        <f>13.8377 * CHOOSE(CONTROL!$C$14, $D$10, 100%, $F$10)</f>
        <v>13.8377</v>
      </c>
      <c r="G481" s="8">
        <f>12.9085 * CHOOSE( CONTROL!$C$14, $D$10, 100%, $F$10)</f>
        <v>12.9085</v>
      </c>
      <c r="H481" s="4">
        <f>13.837 * CHOOSE(CONTROL!$C$14, $D$10, 100%, $F$10)</f>
        <v>13.837</v>
      </c>
      <c r="I481" s="8">
        <f>12.7879 * CHOOSE(CONTROL!$C$14, $D$10, 100%, $F$10)</f>
        <v>12.7879</v>
      </c>
      <c r="J481" s="4">
        <f>12.6868 * CHOOSE(CONTROL!$C$14, $D$10, 100%, $F$10)</f>
        <v>12.6868</v>
      </c>
      <c r="K481" s="4"/>
      <c r="L481" s="9">
        <v>31.095300000000002</v>
      </c>
      <c r="M481" s="9">
        <v>12.063700000000001</v>
      </c>
      <c r="N481" s="9">
        <v>4.9444999999999997</v>
      </c>
      <c r="O481" s="9">
        <v>0.37409999999999999</v>
      </c>
      <c r="P481" s="9">
        <v>1.2183999999999999</v>
      </c>
      <c r="Q481" s="9">
        <v>19.814599999999999</v>
      </c>
      <c r="R481" s="9"/>
      <c r="S481" s="11"/>
    </row>
    <row r="482" spans="1:19" ht="15.75">
      <c r="A482" s="13">
        <v>56583</v>
      </c>
      <c r="B482" s="8">
        <f>14.1844 * CHOOSE(CONTROL!$C$14, $D$10, 100%, $F$10)</f>
        <v>14.1844</v>
      </c>
      <c r="C482" s="8">
        <f>14.1895 * CHOOSE(CONTROL!$C$14, $D$10, 100%, $F$10)</f>
        <v>14.189500000000001</v>
      </c>
      <c r="D482" s="8">
        <f>14.1657 * CHOOSE( CONTROL!$C$14, $D$10, 100%, $F$10)</f>
        <v>14.165699999999999</v>
      </c>
      <c r="E482" s="12">
        <f>14.1739 * CHOOSE( CONTROL!$C$14, $D$10, 100%, $F$10)</f>
        <v>14.1739</v>
      </c>
      <c r="F482" s="4">
        <f>14.8318 * CHOOSE(CONTROL!$C$14, $D$10, 100%, $F$10)</f>
        <v>14.831799999999999</v>
      </c>
      <c r="G482" s="8">
        <f>13.9315 * CHOOSE( CONTROL!$C$14, $D$10, 100%, $F$10)</f>
        <v>13.9315</v>
      </c>
      <c r="H482" s="4">
        <f>14.8147 * CHOOSE(CONTROL!$C$14, $D$10, 100%, $F$10)</f>
        <v>14.8147</v>
      </c>
      <c r="I482" s="8">
        <f>13.8149 * CHOOSE(CONTROL!$C$14, $D$10, 100%, $F$10)</f>
        <v>13.8149</v>
      </c>
      <c r="J482" s="4">
        <f>13.6829 * CHOOSE(CONTROL!$C$14, $D$10, 100%, $F$10)</f>
        <v>13.6829</v>
      </c>
      <c r="K482" s="4"/>
      <c r="L482" s="9">
        <v>28.360600000000002</v>
      </c>
      <c r="M482" s="9">
        <v>11.6745</v>
      </c>
      <c r="N482" s="9">
        <v>4.7850000000000001</v>
      </c>
      <c r="O482" s="9">
        <v>0.36199999999999999</v>
      </c>
      <c r="P482" s="9">
        <v>1.2509999999999999</v>
      </c>
      <c r="Q482" s="9">
        <v>19.1754</v>
      </c>
      <c r="R482" s="9"/>
      <c r="S482" s="11"/>
    </row>
    <row r="483" spans="1:19" ht="15.75">
      <c r="A483" s="13">
        <v>56614</v>
      </c>
      <c r="B483" s="8">
        <f>14.1586 * CHOOSE(CONTROL!$C$14, $D$10, 100%, $F$10)</f>
        <v>14.1586</v>
      </c>
      <c r="C483" s="8">
        <f>14.1637 * CHOOSE(CONTROL!$C$14, $D$10, 100%, $F$10)</f>
        <v>14.1637</v>
      </c>
      <c r="D483" s="8">
        <f>14.1413 * CHOOSE( CONTROL!$C$14, $D$10, 100%, $F$10)</f>
        <v>14.141299999999999</v>
      </c>
      <c r="E483" s="12">
        <f>14.1489 * CHOOSE( CONTROL!$C$14, $D$10, 100%, $F$10)</f>
        <v>14.148899999999999</v>
      </c>
      <c r="F483" s="4">
        <f>14.8061 * CHOOSE(CONTROL!$C$14, $D$10, 100%, $F$10)</f>
        <v>14.806100000000001</v>
      </c>
      <c r="G483" s="8">
        <f>13.9072 * CHOOSE( CONTROL!$C$14, $D$10, 100%, $F$10)</f>
        <v>13.9072</v>
      </c>
      <c r="H483" s="4">
        <f>14.7894 * CHOOSE(CONTROL!$C$14, $D$10, 100%, $F$10)</f>
        <v>14.789400000000001</v>
      </c>
      <c r="I483" s="8">
        <f>13.7944 * CHOOSE(CONTROL!$C$14, $D$10, 100%, $F$10)</f>
        <v>13.7944</v>
      </c>
      <c r="J483" s="4">
        <f>13.658 * CHOOSE(CONTROL!$C$14, $D$10, 100%, $F$10)</f>
        <v>13.657999999999999</v>
      </c>
      <c r="K483" s="4"/>
      <c r="L483" s="9">
        <v>29.306000000000001</v>
      </c>
      <c r="M483" s="9">
        <v>12.063700000000001</v>
      </c>
      <c r="N483" s="9">
        <v>4.9444999999999997</v>
      </c>
      <c r="O483" s="9">
        <v>0.37409999999999999</v>
      </c>
      <c r="P483" s="9">
        <v>1.2927</v>
      </c>
      <c r="Q483" s="9">
        <v>19.814599999999999</v>
      </c>
      <c r="R483" s="9"/>
      <c r="S483" s="11"/>
    </row>
    <row r="484" spans="1:19" ht="15.75">
      <c r="A484" s="13">
        <v>56645</v>
      </c>
      <c r="B484" s="8">
        <f>14.6986 * CHOOSE(CONTROL!$C$14, $D$10, 100%, $F$10)</f>
        <v>14.698600000000001</v>
      </c>
      <c r="C484" s="8">
        <f>14.7037 * CHOOSE(CONTROL!$C$14, $D$10, 100%, $F$10)</f>
        <v>14.7037</v>
      </c>
      <c r="D484" s="8">
        <f>14.6995 * CHOOSE( CONTROL!$C$14, $D$10, 100%, $F$10)</f>
        <v>14.6995</v>
      </c>
      <c r="E484" s="12">
        <f>14.7005 * CHOOSE( CONTROL!$C$14, $D$10, 100%, $F$10)</f>
        <v>14.7005</v>
      </c>
      <c r="F484" s="4">
        <f>15.3771 * CHOOSE(CONTROL!$C$14, $D$10, 100%, $F$10)</f>
        <v>15.3771</v>
      </c>
      <c r="G484" s="8">
        <f>14.4525 * CHOOSE( CONTROL!$C$14, $D$10, 100%, $F$10)</f>
        <v>14.452500000000001</v>
      </c>
      <c r="H484" s="4">
        <f>15.3509 * CHOOSE(CONTROL!$C$14, $D$10, 100%, $F$10)</f>
        <v>15.350899999999999</v>
      </c>
      <c r="I484" s="8">
        <f>14.2957 * CHOOSE(CONTROL!$C$14, $D$10, 100%, $F$10)</f>
        <v>14.2957</v>
      </c>
      <c r="J484" s="4">
        <f>14.18 * CHOOSE(CONTROL!$C$14, $D$10, 100%, $F$10)</f>
        <v>14.18</v>
      </c>
      <c r="K484" s="4"/>
      <c r="L484" s="9">
        <v>29.306000000000001</v>
      </c>
      <c r="M484" s="9">
        <v>12.063700000000001</v>
      </c>
      <c r="N484" s="9">
        <v>4.9444999999999997</v>
      </c>
      <c r="O484" s="9">
        <v>0.37409999999999999</v>
      </c>
      <c r="P484" s="9">
        <v>1.2927</v>
      </c>
      <c r="Q484" s="9">
        <v>19.751300000000001</v>
      </c>
      <c r="R484" s="9"/>
      <c r="S484" s="11"/>
    </row>
    <row r="485" spans="1:19" ht="15.75">
      <c r="A485" s="13">
        <v>56673</v>
      </c>
      <c r="B485" s="8">
        <f>13.7503 * CHOOSE(CONTROL!$C$14, $D$10, 100%, $F$10)</f>
        <v>13.750299999999999</v>
      </c>
      <c r="C485" s="8">
        <f>13.7554 * CHOOSE(CONTROL!$C$14, $D$10, 100%, $F$10)</f>
        <v>13.7554</v>
      </c>
      <c r="D485" s="8">
        <f>13.7453 * CHOOSE( CONTROL!$C$14, $D$10, 100%, $F$10)</f>
        <v>13.7453</v>
      </c>
      <c r="E485" s="12">
        <f>13.7484 * CHOOSE( CONTROL!$C$14, $D$10, 100%, $F$10)</f>
        <v>13.7484</v>
      </c>
      <c r="F485" s="4">
        <f>14.403 * CHOOSE(CONTROL!$C$14, $D$10, 100%, $F$10)</f>
        <v>14.403</v>
      </c>
      <c r="G485" s="8">
        <f>13.5118 * CHOOSE( CONTROL!$C$14, $D$10, 100%, $F$10)</f>
        <v>13.511799999999999</v>
      </c>
      <c r="H485" s="4">
        <f>14.3929 * CHOOSE(CONTROL!$C$14, $D$10, 100%, $F$10)</f>
        <v>14.392899999999999</v>
      </c>
      <c r="I485" s="8">
        <f>13.3692 * CHOOSE(CONTROL!$C$14, $D$10, 100%, $F$10)</f>
        <v>13.369199999999999</v>
      </c>
      <c r="J485" s="4">
        <f>13.2633 * CHOOSE(CONTROL!$C$14, $D$10, 100%, $F$10)</f>
        <v>13.263299999999999</v>
      </c>
      <c r="K485" s="4"/>
      <c r="L485" s="9">
        <v>26.469899999999999</v>
      </c>
      <c r="M485" s="9">
        <v>10.8962</v>
      </c>
      <c r="N485" s="9">
        <v>4.4660000000000002</v>
      </c>
      <c r="O485" s="9">
        <v>0.33789999999999998</v>
      </c>
      <c r="P485" s="9">
        <v>1.1676</v>
      </c>
      <c r="Q485" s="9">
        <v>17.8399</v>
      </c>
      <c r="R485" s="9"/>
      <c r="S485" s="11"/>
    </row>
    <row r="486" spans="1:19" ht="15.75">
      <c r="A486" s="13">
        <v>56704</v>
      </c>
      <c r="B486" s="8">
        <f>13.4583 * CHOOSE(CONTROL!$C$14, $D$10, 100%, $F$10)</f>
        <v>13.458299999999999</v>
      </c>
      <c r="C486" s="8">
        <f>13.4634 * CHOOSE(CONTROL!$C$14, $D$10, 100%, $F$10)</f>
        <v>13.4634</v>
      </c>
      <c r="D486" s="8">
        <f>13.4468 * CHOOSE( CONTROL!$C$14, $D$10, 100%, $F$10)</f>
        <v>13.4468</v>
      </c>
      <c r="E486" s="12">
        <f>13.4523 * CHOOSE( CONTROL!$C$14, $D$10, 100%, $F$10)</f>
        <v>13.452299999999999</v>
      </c>
      <c r="F486" s="4">
        <f>14.1109 * CHOOSE(CONTROL!$C$14, $D$10, 100%, $F$10)</f>
        <v>14.110900000000001</v>
      </c>
      <c r="G486" s="8">
        <f>13.2164 * CHOOSE( CONTROL!$C$14, $D$10, 100%, $F$10)</f>
        <v>13.2164</v>
      </c>
      <c r="H486" s="4">
        <f>14.1057 * CHOOSE(CONTROL!$C$14, $D$10, 100%, $F$10)</f>
        <v>14.105700000000001</v>
      </c>
      <c r="I486" s="8">
        <f>13.0665 * CHOOSE(CONTROL!$C$14, $D$10, 100%, $F$10)</f>
        <v>13.0665</v>
      </c>
      <c r="J486" s="4">
        <f>12.9809 * CHOOSE(CONTROL!$C$14, $D$10, 100%, $F$10)</f>
        <v>12.9809</v>
      </c>
      <c r="K486" s="4"/>
      <c r="L486" s="9">
        <v>29.306000000000001</v>
      </c>
      <c r="M486" s="9">
        <v>12.063700000000001</v>
      </c>
      <c r="N486" s="9">
        <v>4.9444999999999997</v>
      </c>
      <c r="O486" s="9">
        <v>0.37409999999999999</v>
      </c>
      <c r="P486" s="9">
        <v>1.2927</v>
      </c>
      <c r="Q486" s="9">
        <v>19.751300000000001</v>
      </c>
      <c r="R486" s="9"/>
      <c r="S486" s="11"/>
    </row>
    <row r="487" spans="1:19" ht="15.75">
      <c r="A487" s="13">
        <v>56734</v>
      </c>
      <c r="B487" s="8">
        <f>13.6631 * CHOOSE(CONTROL!$C$14, $D$10, 100%, $F$10)</f>
        <v>13.6631</v>
      </c>
      <c r="C487" s="8">
        <f>13.6677 * CHOOSE(CONTROL!$C$14, $D$10, 100%, $F$10)</f>
        <v>13.6677</v>
      </c>
      <c r="D487" s="8">
        <f>13.6772 * CHOOSE( CONTROL!$C$14, $D$10, 100%, $F$10)</f>
        <v>13.677199999999999</v>
      </c>
      <c r="E487" s="12">
        <f>13.6735 * CHOOSE( CONTROL!$C$14, $D$10, 100%, $F$10)</f>
        <v>13.673500000000001</v>
      </c>
      <c r="F487" s="4">
        <f>14.346 * CHOOSE(CONTROL!$C$14, $D$10, 100%, $F$10)</f>
        <v>14.346</v>
      </c>
      <c r="G487" s="8">
        <f>13.407 * CHOOSE( CONTROL!$C$14, $D$10, 100%, $F$10)</f>
        <v>13.407</v>
      </c>
      <c r="H487" s="4">
        <f>14.3369 * CHOOSE(CONTROL!$C$14, $D$10, 100%, $F$10)</f>
        <v>14.3369</v>
      </c>
      <c r="I487" s="8">
        <f>13.2749 * CHOOSE(CONTROL!$C$14, $D$10, 100%, $F$10)</f>
        <v>13.274900000000001</v>
      </c>
      <c r="J487" s="4">
        <f>13.1782 * CHOOSE(CONTROL!$C$14, $D$10, 100%, $F$10)</f>
        <v>13.1782</v>
      </c>
      <c r="K487" s="4"/>
      <c r="L487" s="9">
        <v>30.092199999999998</v>
      </c>
      <c r="M487" s="9">
        <v>11.6745</v>
      </c>
      <c r="N487" s="9">
        <v>4.7850000000000001</v>
      </c>
      <c r="O487" s="9">
        <v>0.36199999999999999</v>
      </c>
      <c r="P487" s="9">
        <v>1.1791</v>
      </c>
      <c r="Q487" s="9">
        <v>19.1142</v>
      </c>
      <c r="R487" s="9"/>
      <c r="S487" s="11"/>
    </row>
    <row r="488" spans="1:19" ht="15.75">
      <c r="A488" s="13">
        <v>56765</v>
      </c>
      <c r="B488" s="8">
        <f>CHOOSE( CONTROL!$C$31, 14.0306, 14.0277) * CHOOSE(CONTROL!$C$14, $D$10, 100%, $F$10)</f>
        <v>14.0306</v>
      </c>
      <c r="C488" s="8">
        <f>CHOOSE( CONTROL!$C$31, 14.0387, 14.0357) * CHOOSE(CONTROL!$C$14, $D$10, 100%, $F$10)</f>
        <v>14.0387</v>
      </c>
      <c r="D488" s="8">
        <f>CHOOSE( CONTROL!$C$31, 14.0433, 14.0404) * CHOOSE( CONTROL!$C$14, $D$10, 100%, $F$10)</f>
        <v>14.0433</v>
      </c>
      <c r="E488" s="12">
        <f>CHOOSE( CONTROL!$C$31, 14.0404, 14.0375) * CHOOSE( CONTROL!$C$14, $D$10, 100%, $F$10)</f>
        <v>14.0404</v>
      </c>
      <c r="F488" s="4">
        <f>CHOOSE( CONTROL!$C$31, 14.7122, 14.7093) * CHOOSE(CONTROL!$C$14, $D$10, 100%, $F$10)</f>
        <v>14.712199999999999</v>
      </c>
      <c r="G488" s="8">
        <f>CHOOSE( CONTROL!$C$31, 13.768, 13.7651) * CHOOSE( CONTROL!$C$14, $D$10, 100%, $F$10)</f>
        <v>13.768000000000001</v>
      </c>
      <c r="H488" s="4">
        <f>CHOOSE( CONTROL!$C$31, 14.697, 14.6941) * CHOOSE(CONTROL!$C$14, $D$10, 100%, $F$10)</f>
        <v>14.696999999999999</v>
      </c>
      <c r="I488" s="8">
        <f>CHOOSE( CONTROL!$C$31, 13.6301, 13.6273) * CHOOSE(CONTROL!$C$14, $D$10, 100%, $F$10)</f>
        <v>13.630100000000001</v>
      </c>
      <c r="J488" s="4">
        <f>CHOOSE( CONTROL!$C$31, 13.5322, 13.5294) * CHOOSE(CONTROL!$C$14, $D$10, 100%, $F$10)</f>
        <v>13.5322</v>
      </c>
      <c r="K488" s="4"/>
      <c r="L488" s="9">
        <v>30.7165</v>
      </c>
      <c r="M488" s="9">
        <v>12.063700000000001</v>
      </c>
      <c r="N488" s="9">
        <v>4.9444999999999997</v>
      </c>
      <c r="O488" s="9">
        <v>0.37409999999999999</v>
      </c>
      <c r="P488" s="9">
        <v>1.2183999999999999</v>
      </c>
      <c r="Q488" s="9">
        <v>19.751300000000001</v>
      </c>
      <c r="R488" s="9"/>
      <c r="S488" s="11"/>
    </row>
    <row r="489" spans="1:19" ht="15.75">
      <c r="A489" s="13">
        <v>56795</v>
      </c>
      <c r="B489" s="8">
        <f>CHOOSE( CONTROL!$C$31, 13.8056, 13.8027) * CHOOSE(CONTROL!$C$14, $D$10, 100%, $F$10)</f>
        <v>13.8056</v>
      </c>
      <c r="C489" s="8">
        <f>CHOOSE( CONTROL!$C$31, 13.8136, 13.8107) * CHOOSE(CONTROL!$C$14, $D$10, 100%, $F$10)</f>
        <v>13.813599999999999</v>
      </c>
      <c r="D489" s="8">
        <f>CHOOSE( CONTROL!$C$31, 13.8185, 13.8156) * CHOOSE( CONTROL!$C$14, $D$10, 100%, $F$10)</f>
        <v>13.8185</v>
      </c>
      <c r="E489" s="12">
        <f>CHOOSE( CONTROL!$C$31, 13.8155, 13.8126) * CHOOSE( CONTROL!$C$14, $D$10, 100%, $F$10)</f>
        <v>13.8155</v>
      </c>
      <c r="F489" s="4">
        <f>CHOOSE( CONTROL!$C$31, 14.4872, 14.4842) * CHOOSE(CONTROL!$C$14, $D$10, 100%, $F$10)</f>
        <v>14.4872</v>
      </c>
      <c r="G489" s="8">
        <f>CHOOSE( CONTROL!$C$31, 13.5471, 13.5442) * CHOOSE( CONTROL!$C$14, $D$10, 100%, $F$10)</f>
        <v>13.5471</v>
      </c>
      <c r="H489" s="4">
        <f>CHOOSE( CONTROL!$C$31, 14.4757, 14.4728) * CHOOSE(CONTROL!$C$14, $D$10, 100%, $F$10)</f>
        <v>14.4757</v>
      </c>
      <c r="I489" s="8">
        <f>CHOOSE( CONTROL!$C$31, 13.4137, 13.4109) * CHOOSE(CONTROL!$C$14, $D$10, 100%, $F$10)</f>
        <v>13.4137</v>
      </c>
      <c r="J489" s="4">
        <f>CHOOSE( CONTROL!$C$31, 13.3147, 13.3118) * CHOOSE(CONTROL!$C$14, $D$10, 100%, $F$10)</f>
        <v>13.3147</v>
      </c>
      <c r="K489" s="4"/>
      <c r="L489" s="9">
        <v>29.7257</v>
      </c>
      <c r="M489" s="9">
        <v>11.6745</v>
      </c>
      <c r="N489" s="9">
        <v>4.7850000000000001</v>
      </c>
      <c r="O489" s="9">
        <v>0.36199999999999999</v>
      </c>
      <c r="P489" s="9">
        <v>1.1791</v>
      </c>
      <c r="Q489" s="9">
        <v>19.1142</v>
      </c>
      <c r="R489" s="9"/>
      <c r="S489" s="11"/>
    </row>
    <row r="490" spans="1:19" ht="15.75">
      <c r="A490" s="13">
        <v>56826</v>
      </c>
      <c r="B490" s="8">
        <f>CHOOSE( CONTROL!$C$31, 14.3982, 14.3952) * CHOOSE(CONTROL!$C$14, $D$10, 100%, $F$10)</f>
        <v>14.398199999999999</v>
      </c>
      <c r="C490" s="8">
        <f>CHOOSE( CONTROL!$C$31, 14.4062, 14.4033) * CHOOSE(CONTROL!$C$14, $D$10, 100%, $F$10)</f>
        <v>14.4062</v>
      </c>
      <c r="D490" s="8">
        <f>CHOOSE( CONTROL!$C$31, 14.4113, 14.4084) * CHOOSE( CONTROL!$C$14, $D$10, 100%, $F$10)</f>
        <v>14.411300000000001</v>
      </c>
      <c r="E490" s="12">
        <f>CHOOSE( CONTROL!$C$31, 14.4082, 14.4053) * CHOOSE( CONTROL!$C$14, $D$10, 100%, $F$10)</f>
        <v>14.408200000000001</v>
      </c>
      <c r="F490" s="4">
        <f>CHOOSE( CONTROL!$C$31, 15.0797, 15.0768) * CHOOSE(CONTROL!$C$14, $D$10, 100%, $F$10)</f>
        <v>15.079700000000001</v>
      </c>
      <c r="G490" s="8">
        <f>CHOOSE( CONTROL!$C$31, 14.1302, 14.1273) * CHOOSE( CONTROL!$C$14, $D$10, 100%, $F$10)</f>
        <v>14.1302</v>
      </c>
      <c r="H490" s="4">
        <f>CHOOSE( CONTROL!$C$31, 15.0584, 15.0556) * CHOOSE(CONTROL!$C$14, $D$10, 100%, $F$10)</f>
        <v>15.058400000000001</v>
      </c>
      <c r="I490" s="8">
        <f>CHOOSE( CONTROL!$C$31, 13.988, 13.9851) * CHOOSE(CONTROL!$C$14, $D$10, 100%, $F$10)</f>
        <v>13.988</v>
      </c>
      <c r="J490" s="4">
        <f>CHOOSE( CONTROL!$C$31, 13.8875, 13.8846) * CHOOSE(CONTROL!$C$14, $D$10, 100%, $F$10)</f>
        <v>13.887499999999999</v>
      </c>
      <c r="K490" s="4"/>
      <c r="L490" s="9">
        <v>30.7165</v>
      </c>
      <c r="M490" s="9">
        <v>12.063700000000001</v>
      </c>
      <c r="N490" s="9">
        <v>4.9444999999999997</v>
      </c>
      <c r="O490" s="9">
        <v>0.37409999999999999</v>
      </c>
      <c r="P490" s="9">
        <v>1.2183999999999999</v>
      </c>
      <c r="Q490" s="9">
        <v>19.751300000000001</v>
      </c>
      <c r="R490" s="9"/>
      <c r="S490" s="11"/>
    </row>
    <row r="491" spans="1:19" ht="15.75">
      <c r="A491" s="13">
        <v>56857</v>
      </c>
      <c r="B491" s="8">
        <f>CHOOSE( CONTROL!$C$31, 13.2895, 13.2865) * CHOOSE(CONTROL!$C$14, $D$10, 100%, $F$10)</f>
        <v>13.2895</v>
      </c>
      <c r="C491" s="8">
        <f>CHOOSE( CONTROL!$C$31, 13.2975, 13.2945) * CHOOSE(CONTROL!$C$14, $D$10, 100%, $F$10)</f>
        <v>13.297499999999999</v>
      </c>
      <c r="D491" s="8">
        <f>CHOOSE( CONTROL!$C$31, 13.3027, 13.2998) * CHOOSE( CONTROL!$C$14, $D$10, 100%, $F$10)</f>
        <v>13.3027</v>
      </c>
      <c r="E491" s="12">
        <f>CHOOSE( CONTROL!$C$31, 13.2996, 13.2967) * CHOOSE( CONTROL!$C$14, $D$10, 100%, $F$10)</f>
        <v>13.2996</v>
      </c>
      <c r="F491" s="4">
        <f>CHOOSE( CONTROL!$C$31, 13.971, 13.9681) * CHOOSE(CONTROL!$C$14, $D$10, 100%, $F$10)</f>
        <v>13.971</v>
      </c>
      <c r="G491" s="8">
        <f>CHOOSE( CONTROL!$C$31, 13.04, 13.0371) * CHOOSE( CONTROL!$C$14, $D$10, 100%, $F$10)</f>
        <v>13.04</v>
      </c>
      <c r="H491" s="4">
        <f>CHOOSE( CONTROL!$C$31, 13.9681, 13.9652) * CHOOSE(CONTROL!$C$14, $D$10, 100%, $F$10)</f>
        <v>13.9681</v>
      </c>
      <c r="I491" s="8">
        <f>CHOOSE( CONTROL!$C$31, 12.916, 12.9132) * CHOOSE(CONTROL!$C$14, $D$10, 100%, $F$10)</f>
        <v>12.916</v>
      </c>
      <c r="J491" s="4">
        <f>CHOOSE( CONTROL!$C$31, 12.8157, 12.8129) * CHOOSE(CONTROL!$C$14, $D$10, 100%, $F$10)</f>
        <v>12.8157</v>
      </c>
      <c r="K491" s="4"/>
      <c r="L491" s="9">
        <v>30.7165</v>
      </c>
      <c r="M491" s="9">
        <v>12.063700000000001</v>
      </c>
      <c r="N491" s="9">
        <v>4.9444999999999997</v>
      </c>
      <c r="O491" s="9">
        <v>0.37409999999999999</v>
      </c>
      <c r="P491" s="9">
        <v>1.2183999999999999</v>
      </c>
      <c r="Q491" s="9">
        <v>19.751300000000001</v>
      </c>
      <c r="R491" s="9"/>
      <c r="S491" s="11"/>
    </row>
    <row r="492" spans="1:19" ht="15.75">
      <c r="A492" s="13">
        <v>56887</v>
      </c>
      <c r="B492" s="8">
        <f>CHOOSE( CONTROL!$C$31, 13.0118, 13.0089) * CHOOSE(CONTROL!$C$14, $D$10, 100%, $F$10)</f>
        <v>13.011799999999999</v>
      </c>
      <c r="C492" s="8">
        <f>CHOOSE( CONTROL!$C$31, 13.0198, 13.0169) * CHOOSE(CONTROL!$C$14, $D$10, 100%, $F$10)</f>
        <v>13.0198</v>
      </c>
      <c r="D492" s="8">
        <f>CHOOSE( CONTROL!$C$31, 13.025, 13.0221) * CHOOSE( CONTROL!$C$14, $D$10, 100%, $F$10)</f>
        <v>13.025</v>
      </c>
      <c r="E492" s="12">
        <f>CHOOSE( CONTROL!$C$31, 13.0219, 13.019) * CHOOSE( CONTROL!$C$14, $D$10, 100%, $F$10)</f>
        <v>13.0219</v>
      </c>
      <c r="F492" s="4">
        <f>CHOOSE( CONTROL!$C$31, 13.6934, 13.6904) * CHOOSE(CONTROL!$C$14, $D$10, 100%, $F$10)</f>
        <v>13.6934</v>
      </c>
      <c r="G492" s="8">
        <f>CHOOSE( CONTROL!$C$31, 12.7669, 12.764) * CHOOSE( CONTROL!$C$14, $D$10, 100%, $F$10)</f>
        <v>12.7669</v>
      </c>
      <c r="H492" s="4">
        <f>CHOOSE( CONTROL!$C$31, 13.6951, 13.6922) * CHOOSE(CONTROL!$C$14, $D$10, 100%, $F$10)</f>
        <v>13.6951</v>
      </c>
      <c r="I492" s="8">
        <f>CHOOSE( CONTROL!$C$31, 12.6475, 12.6446) * CHOOSE(CONTROL!$C$14, $D$10, 100%, $F$10)</f>
        <v>12.647500000000001</v>
      </c>
      <c r="J492" s="4">
        <f>CHOOSE( CONTROL!$C$31, 12.5473, 12.5445) * CHOOSE(CONTROL!$C$14, $D$10, 100%, $F$10)</f>
        <v>12.5473</v>
      </c>
      <c r="K492" s="4"/>
      <c r="L492" s="9">
        <v>29.7257</v>
      </c>
      <c r="M492" s="9">
        <v>11.6745</v>
      </c>
      <c r="N492" s="9">
        <v>4.7850000000000001</v>
      </c>
      <c r="O492" s="9">
        <v>0.36199999999999999</v>
      </c>
      <c r="P492" s="9">
        <v>1.1791</v>
      </c>
      <c r="Q492" s="9">
        <v>19.1142</v>
      </c>
      <c r="R492" s="9"/>
      <c r="S492" s="11"/>
    </row>
    <row r="493" spans="1:19" ht="15.75">
      <c r="A493" s="13">
        <v>56918</v>
      </c>
      <c r="B493" s="8">
        <f>13.5836 * CHOOSE(CONTROL!$C$14, $D$10, 100%, $F$10)</f>
        <v>13.583600000000001</v>
      </c>
      <c r="C493" s="8">
        <f>13.589 * CHOOSE(CONTROL!$C$14, $D$10, 100%, $F$10)</f>
        <v>13.589</v>
      </c>
      <c r="D493" s="8">
        <f>13.599 * CHOOSE( CONTROL!$C$14, $D$10, 100%, $F$10)</f>
        <v>13.599</v>
      </c>
      <c r="E493" s="12">
        <f>13.5951 * CHOOSE( CONTROL!$C$14, $D$10, 100%, $F$10)</f>
        <v>13.5951</v>
      </c>
      <c r="F493" s="4">
        <f>14.2669 * CHOOSE(CONTROL!$C$14, $D$10, 100%, $F$10)</f>
        <v>14.2669</v>
      </c>
      <c r="G493" s="8">
        <f>13.3306 * CHOOSE( CONTROL!$C$14, $D$10, 100%, $F$10)</f>
        <v>13.3306</v>
      </c>
      <c r="H493" s="4">
        <f>14.2591 * CHOOSE(CONTROL!$C$14, $D$10, 100%, $F$10)</f>
        <v>14.2591</v>
      </c>
      <c r="I493" s="8">
        <f>13.203 * CHOOSE(CONTROL!$C$14, $D$10, 100%, $F$10)</f>
        <v>13.202999999999999</v>
      </c>
      <c r="J493" s="4">
        <f>13.1017 * CHOOSE(CONTROL!$C$14, $D$10, 100%, $F$10)</f>
        <v>13.101699999999999</v>
      </c>
      <c r="K493" s="4"/>
      <c r="L493" s="9">
        <v>31.095300000000002</v>
      </c>
      <c r="M493" s="9">
        <v>12.063700000000001</v>
      </c>
      <c r="N493" s="9">
        <v>4.9444999999999997</v>
      </c>
      <c r="O493" s="9">
        <v>0.37409999999999999</v>
      </c>
      <c r="P493" s="9">
        <v>1.2183999999999999</v>
      </c>
      <c r="Q493" s="9">
        <v>19.751300000000001</v>
      </c>
      <c r="R493" s="9"/>
      <c r="S493" s="11"/>
    </row>
    <row r="494" spans="1:19" ht="15.75">
      <c r="A494" s="13">
        <v>56948</v>
      </c>
      <c r="B494" s="8">
        <f>14.6473 * CHOOSE(CONTROL!$C$14, $D$10, 100%, $F$10)</f>
        <v>14.6473</v>
      </c>
      <c r="C494" s="8">
        <f>14.6524 * CHOOSE(CONTROL!$C$14, $D$10, 100%, $F$10)</f>
        <v>14.6524</v>
      </c>
      <c r="D494" s="8">
        <f>14.6286 * CHOOSE( CONTROL!$C$14, $D$10, 100%, $F$10)</f>
        <v>14.6286</v>
      </c>
      <c r="E494" s="12">
        <f>14.6368 * CHOOSE( CONTROL!$C$14, $D$10, 100%, $F$10)</f>
        <v>14.636799999999999</v>
      </c>
      <c r="F494" s="4">
        <f>15.2947 * CHOOSE(CONTROL!$C$14, $D$10, 100%, $F$10)</f>
        <v>15.294700000000001</v>
      </c>
      <c r="G494" s="8">
        <f>14.3868 * CHOOSE( CONTROL!$C$14, $D$10, 100%, $F$10)</f>
        <v>14.386799999999999</v>
      </c>
      <c r="H494" s="4">
        <f>15.2699 * CHOOSE(CONTROL!$C$14, $D$10, 100%, $F$10)</f>
        <v>15.2699</v>
      </c>
      <c r="I494" s="8">
        <f>14.2626 * CHOOSE(CONTROL!$C$14, $D$10, 100%, $F$10)</f>
        <v>14.262600000000001</v>
      </c>
      <c r="J494" s="4">
        <f>14.1303 * CHOOSE(CONTROL!$C$14, $D$10, 100%, $F$10)</f>
        <v>14.1303</v>
      </c>
      <c r="K494" s="4"/>
      <c r="L494" s="9">
        <v>28.360600000000002</v>
      </c>
      <c r="M494" s="9">
        <v>11.6745</v>
      </c>
      <c r="N494" s="9">
        <v>4.7850000000000001</v>
      </c>
      <c r="O494" s="9">
        <v>0.36199999999999999</v>
      </c>
      <c r="P494" s="9">
        <v>1.2509999999999999</v>
      </c>
      <c r="Q494" s="9">
        <v>19.1142</v>
      </c>
      <c r="R494" s="9"/>
      <c r="S494" s="11"/>
    </row>
    <row r="495" spans="1:19" ht="15.75">
      <c r="A495" s="13">
        <v>56979</v>
      </c>
      <c r="B495" s="8">
        <f>14.6207 * CHOOSE(CONTROL!$C$14, $D$10, 100%, $F$10)</f>
        <v>14.620699999999999</v>
      </c>
      <c r="C495" s="8">
        <f>14.6258 * CHOOSE(CONTROL!$C$14, $D$10, 100%, $F$10)</f>
        <v>14.6258</v>
      </c>
      <c r="D495" s="8">
        <f>14.6034 * CHOOSE( CONTROL!$C$14, $D$10, 100%, $F$10)</f>
        <v>14.603400000000001</v>
      </c>
      <c r="E495" s="12">
        <f>14.611 * CHOOSE( CONTROL!$C$14, $D$10, 100%, $F$10)</f>
        <v>14.611000000000001</v>
      </c>
      <c r="F495" s="4">
        <f>15.2682 * CHOOSE(CONTROL!$C$14, $D$10, 100%, $F$10)</f>
        <v>15.2682</v>
      </c>
      <c r="G495" s="8">
        <f>14.3616 * CHOOSE( CONTROL!$C$14, $D$10, 100%, $F$10)</f>
        <v>14.361599999999999</v>
      </c>
      <c r="H495" s="4">
        <f>15.2437 * CHOOSE(CONTROL!$C$14, $D$10, 100%, $F$10)</f>
        <v>15.2437</v>
      </c>
      <c r="I495" s="8">
        <f>14.2413 * CHOOSE(CONTROL!$C$14, $D$10, 100%, $F$10)</f>
        <v>14.241300000000001</v>
      </c>
      <c r="J495" s="4">
        <f>14.1046 * CHOOSE(CONTROL!$C$14, $D$10, 100%, $F$10)</f>
        <v>14.1046</v>
      </c>
      <c r="K495" s="4"/>
      <c r="L495" s="9">
        <v>29.306000000000001</v>
      </c>
      <c r="M495" s="9">
        <v>12.063700000000001</v>
      </c>
      <c r="N495" s="9">
        <v>4.9444999999999997</v>
      </c>
      <c r="O495" s="9">
        <v>0.37409999999999999</v>
      </c>
      <c r="P495" s="9">
        <v>1.2927</v>
      </c>
      <c r="Q495" s="9">
        <v>19.751300000000001</v>
      </c>
      <c r="R495" s="9"/>
      <c r="S495" s="11"/>
    </row>
    <row r="496" spans="1:19" ht="15.75">
      <c r="A496" s="13">
        <v>57010</v>
      </c>
      <c r="B496" s="8">
        <f>15.1783 * CHOOSE(CONTROL!$C$14, $D$10, 100%, $F$10)</f>
        <v>15.1783</v>
      </c>
      <c r="C496" s="8">
        <f>15.1834 * CHOOSE(CONTROL!$C$14, $D$10, 100%, $F$10)</f>
        <v>15.183400000000001</v>
      </c>
      <c r="D496" s="8">
        <f>15.1792 * CHOOSE( CONTROL!$C$14, $D$10, 100%, $F$10)</f>
        <v>15.1792</v>
      </c>
      <c r="E496" s="12">
        <f>15.1802 * CHOOSE( CONTROL!$C$14, $D$10, 100%, $F$10)</f>
        <v>15.180199999999999</v>
      </c>
      <c r="F496" s="4">
        <f>15.8568 * CHOOSE(CONTROL!$C$14, $D$10, 100%, $F$10)</f>
        <v>15.8568</v>
      </c>
      <c r="G496" s="8">
        <f>14.9242 * CHOOSE( CONTROL!$C$14, $D$10, 100%, $F$10)</f>
        <v>14.924200000000001</v>
      </c>
      <c r="H496" s="4">
        <f>15.8227 * CHOOSE(CONTROL!$C$14, $D$10, 100%, $F$10)</f>
        <v>15.822699999999999</v>
      </c>
      <c r="I496" s="8">
        <f>14.7596 * CHOOSE(CONTROL!$C$14, $D$10, 100%, $F$10)</f>
        <v>14.759600000000001</v>
      </c>
      <c r="J496" s="4">
        <f>14.6437 * CHOOSE(CONTROL!$C$14, $D$10, 100%, $F$10)</f>
        <v>14.643700000000001</v>
      </c>
      <c r="K496" s="4"/>
      <c r="L496" s="9">
        <v>29.306000000000001</v>
      </c>
      <c r="M496" s="9">
        <v>12.063700000000001</v>
      </c>
      <c r="N496" s="9">
        <v>4.9444999999999997</v>
      </c>
      <c r="O496" s="9">
        <v>0.37409999999999999</v>
      </c>
      <c r="P496" s="9">
        <v>1.2927</v>
      </c>
      <c r="Q496" s="9">
        <v>19.688099999999999</v>
      </c>
      <c r="R496" s="9"/>
      <c r="S496" s="11"/>
    </row>
    <row r="497" spans="1:19" ht="15.75">
      <c r="A497" s="13">
        <v>57038</v>
      </c>
      <c r="B497" s="8">
        <f>14.199 * CHOOSE(CONTROL!$C$14, $D$10, 100%, $F$10)</f>
        <v>14.199</v>
      </c>
      <c r="C497" s="8">
        <f>14.2041 * CHOOSE(CONTROL!$C$14, $D$10, 100%, $F$10)</f>
        <v>14.2041</v>
      </c>
      <c r="D497" s="8">
        <f>14.194 * CHOOSE( CONTROL!$C$14, $D$10, 100%, $F$10)</f>
        <v>14.194000000000001</v>
      </c>
      <c r="E497" s="12">
        <f>14.1971 * CHOOSE( CONTROL!$C$14, $D$10, 100%, $F$10)</f>
        <v>14.197100000000001</v>
      </c>
      <c r="F497" s="4">
        <f>14.8517 * CHOOSE(CONTROL!$C$14, $D$10, 100%, $F$10)</f>
        <v>14.851699999999999</v>
      </c>
      <c r="G497" s="8">
        <f>13.9531 * CHOOSE( CONTROL!$C$14, $D$10, 100%, $F$10)</f>
        <v>13.953099999999999</v>
      </c>
      <c r="H497" s="4">
        <f>14.8342 * CHOOSE(CONTROL!$C$14, $D$10, 100%, $F$10)</f>
        <v>14.834199999999999</v>
      </c>
      <c r="I497" s="8">
        <f>13.8031 * CHOOSE(CONTROL!$C$14, $D$10, 100%, $F$10)</f>
        <v>13.803100000000001</v>
      </c>
      <c r="J497" s="4">
        <f>13.697 * CHOOSE(CONTROL!$C$14, $D$10, 100%, $F$10)</f>
        <v>13.696999999999999</v>
      </c>
      <c r="K497" s="4"/>
      <c r="L497" s="9">
        <v>27.415299999999998</v>
      </c>
      <c r="M497" s="9">
        <v>11.285299999999999</v>
      </c>
      <c r="N497" s="9">
        <v>4.6254999999999997</v>
      </c>
      <c r="O497" s="9">
        <v>0.34989999999999999</v>
      </c>
      <c r="P497" s="9">
        <v>1.2093</v>
      </c>
      <c r="Q497" s="9">
        <v>18.417899999999999</v>
      </c>
      <c r="R497" s="9"/>
      <c r="S497" s="11"/>
    </row>
    <row r="498" spans="1:19" ht="15.75">
      <c r="A498" s="13">
        <v>57070</v>
      </c>
      <c r="B498" s="8">
        <f>13.8974 * CHOOSE(CONTROL!$C$14, $D$10, 100%, $F$10)</f>
        <v>13.897399999999999</v>
      </c>
      <c r="C498" s="8">
        <f>13.9025 * CHOOSE(CONTROL!$C$14, $D$10, 100%, $F$10)</f>
        <v>13.9025</v>
      </c>
      <c r="D498" s="8">
        <f>13.8859 * CHOOSE( CONTROL!$C$14, $D$10, 100%, $F$10)</f>
        <v>13.885899999999999</v>
      </c>
      <c r="E498" s="12">
        <f>13.8914 * CHOOSE( CONTROL!$C$14, $D$10, 100%, $F$10)</f>
        <v>13.891400000000001</v>
      </c>
      <c r="F498" s="4">
        <f>14.55 * CHOOSE(CONTROL!$C$14, $D$10, 100%, $F$10)</f>
        <v>14.55</v>
      </c>
      <c r="G498" s="8">
        <f>13.6482 * CHOOSE( CONTROL!$C$14, $D$10, 100%, $F$10)</f>
        <v>13.648199999999999</v>
      </c>
      <c r="H498" s="4">
        <f>14.5375 * CHOOSE(CONTROL!$C$14, $D$10, 100%, $F$10)</f>
        <v>14.5375</v>
      </c>
      <c r="I498" s="8">
        <f>13.4913 * CHOOSE(CONTROL!$C$14, $D$10, 100%, $F$10)</f>
        <v>13.491300000000001</v>
      </c>
      <c r="J498" s="4">
        <f>13.4054 * CHOOSE(CONTROL!$C$14, $D$10, 100%, $F$10)</f>
        <v>13.4054</v>
      </c>
      <c r="K498" s="4"/>
      <c r="L498" s="9">
        <v>29.306000000000001</v>
      </c>
      <c r="M498" s="9">
        <v>12.063700000000001</v>
      </c>
      <c r="N498" s="9">
        <v>4.9444999999999997</v>
      </c>
      <c r="O498" s="9">
        <v>0.37409999999999999</v>
      </c>
      <c r="P498" s="9">
        <v>1.2927</v>
      </c>
      <c r="Q498" s="9">
        <v>19.688099999999999</v>
      </c>
      <c r="R498" s="9"/>
      <c r="S498" s="11"/>
    </row>
    <row r="499" spans="1:19" ht="15.75">
      <c r="A499" s="13">
        <v>57100</v>
      </c>
      <c r="B499" s="8">
        <f>14.1089 * CHOOSE(CONTROL!$C$14, $D$10, 100%, $F$10)</f>
        <v>14.1089</v>
      </c>
      <c r="C499" s="8">
        <f>14.1135 * CHOOSE(CONTROL!$C$14, $D$10, 100%, $F$10)</f>
        <v>14.1135</v>
      </c>
      <c r="D499" s="8">
        <f>14.123 * CHOOSE( CONTROL!$C$14, $D$10, 100%, $F$10)</f>
        <v>14.122999999999999</v>
      </c>
      <c r="E499" s="12">
        <f>14.1193 * CHOOSE( CONTROL!$C$14, $D$10, 100%, $F$10)</f>
        <v>14.119300000000001</v>
      </c>
      <c r="F499" s="4">
        <f>14.7918 * CHOOSE(CONTROL!$C$14, $D$10, 100%, $F$10)</f>
        <v>14.7918</v>
      </c>
      <c r="G499" s="8">
        <f>13.8454 * CHOOSE( CONTROL!$C$14, $D$10, 100%, $F$10)</f>
        <v>13.8454</v>
      </c>
      <c r="H499" s="4">
        <f>14.7753 * CHOOSE(CONTROL!$C$14, $D$10, 100%, $F$10)</f>
        <v>14.7753</v>
      </c>
      <c r="I499" s="8">
        <f>13.7061 * CHOOSE(CONTROL!$C$14, $D$10, 100%, $F$10)</f>
        <v>13.706099999999999</v>
      </c>
      <c r="J499" s="4">
        <f>13.6092 * CHOOSE(CONTROL!$C$14, $D$10, 100%, $F$10)</f>
        <v>13.6092</v>
      </c>
      <c r="K499" s="4"/>
      <c r="L499" s="9">
        <v>30.092199999999998</v>
      </c>
      <c r="M499" s="9">
        <v>11.6745</v>
      </c>
      <c r="N499" s="9">
        <v>4.7850000000000001</v>
      </c>
      <c r="O499" s="9">
        <v>0.36199999999999999</v>
      </c>
      <c r="P499" s="9">
        <v>1.1791</v>
      </c>
      <c r="Q499" s="9">
        <v>19.053000000000001</v>
      </c>
      <c r="R499" s="9"/>
      <c r="S499" s="11"/>
    </row>
    <row r="500" spans="1:19" ht="15.75">
      <c r="A500" s="13">
        <v>57131</v>
      </c>
      <c r="B500" s="8">
        <f>CHOOSE( CONTROL!$C$31, 14.4883, 14.4854) * CHOOSE(CONTROL!$C$14, $D$10, 100%, $F$10)</f>
        <v>14.488300000000001</v>
      </c>
      <c r="C500" s="8">
        <f>CHOOSE( CONTROL!$C$31, 14.4964, 14.4934) * CHOOSE(CONTROL!$C$14, $D$10, 100%, $F$10)</f>
        <v>14.4964</v>
      </c>
      <c r="D500" s="8">
        <f>CHOOSE( CONTROL!$C$31, 14.501, 14.4981) * CHOOSE( CONTROL!$C$14, $D$10, 100%, $F$10)</f>
        <v>14.500999999999999</v>
      </c>
      <c r="E500" s="12">
        <f>CHOOSE( CONTROL!$C$31, 14.4981, 14.4952) * CHOOSE( CONTROL!$C$14, $D$10, 100%, $F$10)</f>
        <v>14.498100000000001</v>
      </c>
      <c r="F500" s="4">
        <f>CHOOSE( CONTROL!$C$31, 15.1699, 15.167) * CHOOSE(CONTROL!$C$14, $D$10, 100%, $F$10)</f>
        <v>15.1699</v>
      </c>
      <c r="G500" s="8">
        <f>CHOOSE( CONTROL!$C$31, 14.2181, 14.2152) * CHOOSE( CONTROL!$C$14, $D$10, 100%, $F$10)</f>
        <v>14.2181</v>
      </c>
      <c r="H500" s="4">
        <f>CHOOSE( CONTROL!$C$31, 15.1471, 15.1442) * CHOOSE(CONTROL!$C$14, $D$10, 100%, $F$10)</f>
        <v>15.1471</v>
      </c>
      <c r="I500" s="8">
        <f>CHOOSE( CONTROL!$C$31, 14.0728, 14.07) * CHOOSE(CONTROL!$C$14, $D$10, 100%, $F$10)</f>
        <v>14.072800000000001</v>
      </c>
      <c r="J500" s="4">
        <f>CHOOSE( CONTROL!$C$31, 13.9746, 13.9718) * CHOOSE(CONTROL!$C$14, $D$10, 100%, $F$10)</f>
        <v>13.974600000000001</v>
      </c>
      <c r="K500" s="4"/>
      <c r="L500" s="9">
        <v>30.7165</v>
      </c>
      <c r="M500" s="9">
        <v>12.063700000000001</v>
      </c>
      <c r="N500" s="9">
        <v>4.9444999999999997</v>
      </c>
      <c r="O500" s="9">
        <v>0.37409999999999999</v>
      </c>
      <c r="P500" s="9">
        <v>1.2183999999999999</v>
      </c>
      <c r="Q500" s="9">
        <v>19.688099999999999</v>
      </c>
      <c r="R500" s="9"/>
      <c r="S500" s="11"/>
    </row>
    <row r="501" spans="1:19" ht="15.75">
      <c r="A501" s="13">
        <v>57161</v>
      </c>
      <c r="B501" s="8">
        <f>CHOOSE( CONTROL!$C$31, 14.256, 14.253) * CHOOSE(CONTROL!$C$14, $D$10, 100%, $F$10)</f>
        <v>14.256</v>
      </c>
      <c r="C501" s="8">
        <f>CHOOSE( CONTROL!$C$31, 14.264, 14.2611) * CHOOSE(CONTROL!$C$14, $D$10, 100%, $F$10)</f>
        <v>14.263999999999999</v>
      </c>
      <c r="D501" s="8">
        <f>CHOOSE( CONTROL!$C$31, 14.2689, 14.2659) * CHOOSE( CONTROL!$C$14, $D$10, 100%, $F$10)</f>
        <v>14.2689</v>
      </c>
      <c r="E501" s="12">
        <f>CHOOSE( CONTROL!$C$31, 14.2659, 14.2629) * CHOOSE( CONTROL!$C$14, $D$10, 100%, $F$10)</f>
        <v>14.2659</v>
      </c>
      <c r="F501" s="4">
        <f>CHOOSE( CONTROL!$C$31, 14.9375, 14.9346) * CHOOSE(CONTROL!$C$14, $D$10, 100%, $F$10)</f>
        <v>14.9375</v>
      </c>
      <c r="G501" s="8">
        <f>CHOOSE( CONTROL!$C$31, 13.99, 13.9871) * CHOOSE( CONTROL!$C$14, $D$10, 100%, $F$10)</f>
        <v>13.99</v>
      </c>
      <c r="H501" s="4">
        <f>CHOOSE( CONTROL!$C$31, 14.9186, 14.9157) * CHOOSE(CONTROL!$C$14, $D$10, 100%, $F$10)</f>
        <v>14.9186</v>
      </c>
      <c r="I501" s="8">
        <f>CHOOSE( CONTROL!$C$31, 13.8493, 13.8465) * CHOOSE(CONTROL!$C$14, $D$10, 100%, $F$10)</f>
        <v>13.849299999999999</v>
      </c>
      <c r="J501" s="4">
        <f>CHOOSE( CONTROL!$C$31, 13.75, 13.7472) * CHOOSE(CONTROL!$C$14, $D$10, 100%, $F$10)</f>
        <v>13.75</v>
      </c>
      <c r="K501" s="4"/>
      <c r="L501" s="9">
        <v>29.7257</v>
      </c>
      <c r="M501" s="9">
        <v>11.6745</v>
      </c>
      <c r="N501" s="9">
        <v>4.7850000000000001</v>
      </c>
      <c r="O501" s="9">
        <v>0.36199999999999999</v>
      </c>
      <c r="P501" s="9">
        <v>1.1791</v>
      </c>
      <c r="Q501" s="9">
        <v>19.053000000000001</v>
      </c>
      <c r="R501" s="9"/>
      <c r="S501" s="11"/>
    </row>
    <row r="502" spans="1:19" ht="15.75">
      <c r="A502" s="13">
        <v>57192</v>
      </c>
      <c r="B502" s="8">
        <f>CHOOSE( CONTROL!$C$31, 14.8679, 14.865) * CHOOSE(CONTROL!$C$14, $D$10, 100%, $F$10)</f>
        <v>14.867900000000001</v>
      </c>
      <c r="C502" s="8">
        <f>CHOOSE( CONTROL!$C$31, 14.8759, 14.873) * CHOOSE(CONTROL!$C$14, $D$10, 100%, $F$10)</f>
        <v>14.8759</v>
      </c>
      <c r="D502" s="8">
        <f>CHOOSE( CONTROL!$C$31, 14.881, 14.8781) * CHOOSE( CONTROL!$C$14, $D$10, 100%, $F$10)</f>
        <v>14.881</v>
      </c>
      <c r="E502" s="12">
        <f>CHOOSE( CONTROL!$C$31, 14.8779, 14.875) * CHOOSE( CONTROL!$C$14, $D$10, 100%, $F$10)</f>
        <v>14.8779</v>
      </c>
      <c r="F502" s="4">
        <f>CHOOSE( CONTROL!$C$31, 15.5494, 15.5465) * CHOOSE(CONTROL!$C$14, $D$10, 100%, $F$10)</f>
        <v>15.5494</v>
      </c>
      <c r="G502" s="8">
        <f>CHOOSE( CONTROL!$C$31, 14.5921, 14.5892) * CHOOSE( CONTROL!$C$14, $D$10, 100%, $F$10)</f>
        <v>14.5921</v>
      </c>
      <c r="H502" s="4">
        <f>CHOOSE( CONTROL!$C$31, 15.5204, 15.5175) * CHOOSE(CONTROL!$C$14, $D$10, 100%, $F$10)</f>
        <v>15.5204</v>
      </c>
      <c r="I502" s="8">
        <f>CHOOSE( CONTROL!$C$31, 14.4423, 14.4394) * CHOOSE(CONTROL!$C$14, $D$10, 100%, $F$10)</f>
        <v>14.442299999999999</v>
      </c>
      <c r="J502" s="4">
        <f>CHOOSE( CONTROL!$C$31, 14.3416, 14.3387) * CHOOSE(CONTROL!$C$14, $D$10, 100%, $F$10)</f>
        <v>14.3416</v>
      </c>
      <c r="K502" s="4"/>
      <c r="L502" s="9">
        <v>30.7165</v>
      </c>
      <c r="M502" s="9">
        <v>12.063700000000001</v>
      </c>
      <c r="N502" s="9">
        <v>4.9444999999999997</v>
      </c>
      <c r="O502" s="9">
        <v>0.37409999999999999</v>
      </c>
      <c r="P502" s="9">
        <v>1.2183999999999999</v>
      </c>
      <c r="Q502" s="9">
        <v>19.688099999999999</v>
      </c>
      <c r="R502" s="9"/>
      <c r="S502" s="11"/>
    </row>
    <row r="503" spans="1:19" ht="15.75">
      <c r="A503" s="13">
        <v>57223</v>
      </c>
      <c r="B503" s="8">
        <f>CHOOSE( CONTROL!$C$31, 13.7229, 13.72) * CHOOSE(CONTROL!$C$14, $D$10, 100%, $F$10)</f>
        <v>13.722899999999999</v>
      </c>
      <c r="C503" s="8">
        <f>CHOOSE( CONTROL!$C$31, 13.7309, 13.728) * CHOOSE(CONTROL!$C$14, $D$10, 100%, $F$10)</f>
        <v>13.7309</v>
      </c>
      <c r="D503" s="8">
        <f>CHOOSE( CONTROL!$C$31, 13.7361, 13.7332) * CHOOSE( CONTROL!$C$14, $D$10, 100%, $F$10)</f>
        <v>13.7361</v>
      </c>
      <c r="E503" s="12">
        <f>CHOOSE( CONTROL!$C$31, 13.733, 13.7301) * CHOOSE( CONTROL!$C$14, $D$10, 100%, $F$10)</f>
        <v>13.733000000000001</v>
      </c>
      <c r="F503" s="4">
        <f>CHOOSE( CONTROL!$C$31, 14.4045, 14.4015) * CHOOSE(CONTROL!$C$14, $D$10, 100%, $F$10)</f>
        <v>14.404500000000001</v>
      </c>
      <c r="G503" s="8">
        <f>CHOOSE( CONTROL!$C$31, 13.4662, 13.4634) * CHOOSE( CONTROL!$C$14, $D$10, 100%, $F$10)</f>
        <v>13.466200000000001</v>
      </c>
      <c r="H503" s="4">
        <f>CHOOSE( CONTROL!$C$31, 14.3944, 14.3915) * CHOOSE(CONTROL!$C$14, $D$10, 100%, $F$10)</f>
        <v>14.394399999999999</v>
      </c>
      <c r="I503" s="8">
        <f>CHOOSE( CONTROL!$C$31, 13.3353, 13.3325) * CHOOSE(CONTROL!$C$14, $D$10, 100%, $F$10)</f>
        <v>13.3353</v>
      </c>
      <c r="J503" s="4">
        <f>CHOOSE( CONTROL!$C$31, 13.2347, 13.2319) * CHOOSE(CONTROL!$C$14, $D$10, 100%, $F$10)</f>
        <v>13.2347</v>
      </c>
      <c r="K503" s="4"/>
      <c r="L503" s="9">
        <v>30.7165</v>
      </c>
      <c r="M503" s="9">
        <v>12.063700000000001</v>
      </c>
      <c r="N503" s="9">
        <v>4.9444999999999997</v>
      </c>
      <c r="O503" s="9">
        <v>0.37409999999999999</v>
      </c>
      <c r="P503" s="9">
        <v>1.2183999999999999</v>
      </c>
      <c r="Q503" s="9">
        <v>19.688099999999999</v>
      </c>
      <c r="R503" s="9"/>
      <c r="S503" s="11"/>
    </row>
    <row r="504" spans="1:19" ht="15.75">
      <c r="A504" s="13">
        <v>57253</v>
      </c>
      <c r="B504" s="8">
        <f>CHOOSE( CONTROL!$C$31, 13.4362, 13.4333) * CHOOSE(CONTROL!$C$14, $D$10, 100%, $F$10)</f>
        <v>13.436199999999999</v>
      </c>
      <c r="C504" s="8">
        <f>CHOOSE( CONTROL!$C$31, 13.4442, 13.4413) * CHOOSE(CONTROL!$C$14, $D$10, 100%, $F$10)</f>
        <v>13.4442</v>
      </c>
      <c r="D504" s="8">
        <f>CHOOSE( CONTROL!$C$31, 13.4494, 13.4465) * CHOOSE( CONTROL!$C$14, $D$10, 100%, $F$10)</f>
        <v>13.449400000000001</v>
      </c>
      <c r="E504" s="12">
        <f>CHOOSE( CONTROL!$C$31, 13.4463, 13.4434) * CHOOSE( CONTROL!$C$14, $D$10, 100%, $F$10)</f>
        <v>13.446300000000001</v>
      </c>
      <c r="F504" s="4">
        <f>CHOOSE( CONTROL!$C$31, 14.1177, 14.1148) * CHOOSE(CONTROL!$C$14, $D$10, 100%, $F$10)</f>
        <v>14.117699999999999</v>
      </c>
      <c r="G504" s="8">
        <f>CHOOSE( CONTROL!$C$31, 13.1843, 13.1814) * CHOOSE( CONTROL!$C$14, $D$10, 100%, $F$10)</f>
        <v>13.1843</v>
      </c>
      <c r="H504" s="4">
        <f>CHOOSE( CONTROL!$C$31, 14.1124, 14.1095) * CHOOSE(CONTROL!$C$14, $D$10, 100%, $F$10)</f>
        <v>14.112399999999999</v>
      </c>
      <c r="I504" s="8">
        <f>CHOOSE( CONTROL!$C$31, 13.0579, 13.0551) * CHOOSE(CONTROL!$C$14, $D$10, 100%, $F$10)</f>
        <v>13.0579</v>
      </c>
      <c r="J504" s="4">
        <f>CHOOSE( CONTROL!$C$31, 12.9575, 12.9547) * CHOOSE(CONTROL!$C$14, $D$10, 100%, $F$10)</f>
        <v>12.9575</v>
      </c>
      <c r="K504" s="4"/>
      <c r="L504" s="9">
        <v>29.7257</v>
      </c>
      <c r="M504" s="9">
        <v>11.6745</v>
      </c>
      <c r="N504" s="9">
        <v>4.7850000000000001</v>
      </c>
      <c r="O504" s="9">
        <v>0.36199999999999999</v>
      </c>
      <c r="P504" s="9">
        <v>1.1791</v>
      </c>
      <c r="Q504" s="9">
        <v>19.053000000000001</v>
      </c>
      <c r="R504" s="9"/>
      <c r="S504" s="11"/>
    </row>
    <row r="505" spans="1:19" ht="15.75">
      <c r="A505" s="13">
        <v>57284</v>
      </c>
      <c r="B505" s="8">
        <f>14.0269 * CHOOSE(CONTROL!$C$14, $D$10, 100%, $F$10)</f>
        <v>14.026899999999999</v>
      </c>
      <c r="C505" s="8">
        <f>14.0322 * CHOOSE(CONTROL!$C$14, $D$10, 100%, $F$10)</f>
        <v>14.0322</v>
      </c>
      <c r="D505" s="8">
        <f>14.0422 * CHOOSE( CONTROL!$C$14, $D$10, 100%, $F$10)</f>
        <v>14.042199999999999</v>
      </c>
      <c r="E505" s="12">
        <f>14.0383 * CHOOSE( CONTROL!$C$14, $D$10, 100%, $F$10)</f>
        <v>14.0383</v>
      </c>
      <c r="F505" s="4">
        <f>14.7101 * CHOOSE(CONTROL!$C$14, $D$10, 100%, $F$10)</f>
        <v>14.710100000000001</v>
      </c>
      <c r="G505" s="8">
        <f>13.7665 * CHOOSE( CONTROL!$C$14, $D$10, 100%, $F$10)</f>
        <v>13.766500000000001</v>
      </c>
      <c r="H505" s="4">
        <f>14.695 * CHOOSE(CONTROL!$C$14, $D$10, 100%, $F$10)</f>
        <v>14.695</v>
      </c>
      <c r="I505" s="8">
        <f>13.6317 * CHOOSE(CONTROL!$C$14, $D$10, 100%, $F$10)</f>
        <v>13.6317</v>
      </c>
      <c r="J505" s="4">
        <f>13.5302 * CHOOSE(CONTROL!$C$14, $D$10, 100%, $F$10)</f>
        <v>13.530200000000001</v>
      </c>
      <c r="K505" s="4"/>
      <c r="L505" s="9">
        <v>31.095300000000002</v>
      </c>
      <c r="M505" s="9">
        <v>12.063700000000001</v>
      </c>
      <c r="N505" s="9">
        <v>4.9444999999999997</v>
      </c>
      <c r="O505" s="9">
        <v>0.37409999999999999</v>
      </c>
      <c r="P505" s="9">
        <v>1.2183999999999999</v>
      </c>
      <c r="Q505" s="9">
        <v>19.688099999999999</v>
      </c>
      <c r="R505" s="9"/>
      <c r="S505" s="11"/>
    </row>
    <row r="506" spans="1:19" ht="15.75">
      <c r="A506" s="13">
        <v>57314</v>
      </c>
      <c r="B506" s="8">
        <f>15.1253 * CHOOSE(CONTROL!$C$14, $D$10, 100%, $F$10)</f>
        <v>15.125299999999999</v>
      </c>
      <c r="C506" s="8">
        <f>15.1304 * CHOOSE(CONTROL!$C$14, $D$10, 100%, $F$10)</f>
        <v>15.1304</v>
      </c>
      <c r="D506" s="8">
        <f>15.1066 * CHOOSE( CONTROL!$C$14, $D$10, 100%, $F$10)</f>
        <v>15.1066</v>
      </c>
      <c r="E506" s="12">
        <f>15.1148 * CHOOSE( CONTROL!$C$14, $D$10, 100%, $F$10)</f>
        <v>15.114800000000001</v>
      </c>
      <c r="F506" s="4">
        <f>15.7728 * CHOOSE(CONTROL!$C$14, $D$10, 100%, $F$10)</f>
        <v>15.7728</v>
      </c>
      <c r="G506" s="8">
        <f>14.8569 * CHOOSE( CONTROL!$C$14, $D$10, 100%, $F$10)</f>
        <v>14.8569</v>
      </c>
      <c r="H506" s="4">
        <f>15.74 * CHOOSE(CONTROL!$C$14, $D$10, 100%, $F$10)</f>
        <v>15.74</v>
      </c>
      <c r="I506" s="8">
        <f>14.7249 * CHOOSE(CONTROL!$C$14, $D$10, 100%, $F$10)</f>
        <v>14.7249</v>
      </c>
      <c r="J506" s="4">
        <f>14.5925 * CHOOSE(CONTROL!$C$14, $D$10, 100%, $F$10)</f>
        <v>14.592499999999999</v>
      </c>
      <c r="K506" s="4"/>
      <c r="L506" s="9">
        <v>28.360600000000002</v>
      </c>
      <c r="M506" s="9">
        <v>11.6745</v>
      </c>
      <c r="N506" s="9">
        <v>4.7850000000000001</v>
      </c>
      <c r="O506" s="9">
        <v>0.36199999999999999</v>
      </c>
      <c r="P506" s="9">
        <v>1.2509999999999999</v>
      </c>
      <c r="Q506" s="9">
        <v>19.053000000000001</v>
      </c>
      <c r="R506" s="9"/>
      <c r="S506" s="11"/>
    </row>
    <row r="507" spans="1:19" ht="15.75">
      <c r="A507" s="13">
        <v>57345</v>
      </c>
      <c r="B507" s="8">
        <f>15.0978 * CHOOSE(CONTROL!$C$14, $D$10, 100%, $F$10)</f>
        <v>15.097799999999999</v>
      </c>
      <c r="C507" s="8">
        <f>15.103 * CHOOSE(CONTROL!$C$14, $D$10, 100%, $F$10)</f>
        <v>15.103</v>
      </c>
      <c r="D507" s="8">
        <f>15.0805 * CHOOSE( CONTROL!$C$14, $D$10, 100%, $F$10)</f>
        <v>15.080500000000001</v>
      </c>
      <c r="E507" s="12">
        <f>15.0882 * CHOOSE( CONTROL!$C$14, $D$10, 100%, $F$10)</f>
        <v>15.088200000000001</v>
      </c>
      <c r="F507" s="4">
        <f>15.7453 * CHOOSE(CONTROL!$C$14, $D$10, 100%, $F$10)</f>
        <v>15.7453</v>
      </c>
      <c r="G507" s="8">
        <f>14.8309 * CHOOSE( CONTROL!$C$14, $D$10, 100%, $F$10)</f>
        <v>14.8309</v>
      </c>
      <c r="H507" s="4">
        <f>15.713 * CHOOSE(CONTROL!$C$14, $D$10, 100%, $F$10)</f>
        <v>15.712999999999999</v>
      </c>
      <c r="I507" s="8">
        <f>14.7028 * CHOOSE(CONTROL!$C$14, $D$10, 100%, $F$10)</f>
        <v>14.7028</v>
      </c>
      <c r="J507" s="4">
        <f>14.5659 * CHOOSE(CONTROL!$C$14, $D$10, 100%, $F$10)</f>
        <v>14.565899999999999</v>
      </c>
      <c r="K507" s="4"/>
      <c r="L507" s="9">
        <v>29.306000000000001</v>
      </c>
      <c r="M507" s="9">
        <v>12.063700000000001</v>
      </c>
      <c r="N507" s="9">
        <v>4.9444999999999997</v>
      </c>
      <c r="O507" s="9">
        <v>0.37409999999999999</v>
      </c>
      <c r="P507" s="9">
        <v>1.2927</v>
      </c>
      <c r="Q507" s="9">
        <v>19.688099999999999</v>
      </c>
      <c r="R507" s="9"/>
      <c r="S507" s="11"/>
    </row>
    <row r="508" spans="1:19" ht="15.75">
      <c r="A508" s="13">
        <v>57376</v>
      </c>
      <c r="B508" s="8">
        <f>15.6737 * CHOOSE(CONTROL!$C$14, $D$10, 100%, $F$10)</f>
        <v>15.6737</v>
      </c>
      <c r="C508" s="8">
        <f>15.6788 * CHOOSE(CONTROL!$C$14, $D$10, 100%, $F$10)</f>
        <v>15.678800000000001</v>
      </c>
      <c r="D508" s="8">
        <f>15.6746 * CHOOSE( CONTROL!$C$14, $D$10, 100%, $F$10)</f>
        <v>15.6746</v>
      </c>
      <c r="E508" s="12">
        <f>15.6756 * CHOOSE( CONTROL!$C$14, $D$10, 100%, $F$10)</f>
        <v>15.675599999999999</v>
      </c>
      <c r="F508" s="4">
        <f>16.3522 * CHOOSE(CONTROL!$C$14, $D$10, 100%, $F$10)</f>
        <v>16.3522</v>
      </c>
      <c r="G508" s="8">
        <f>15.4114 * CHOOSE( CONTROL!$C$14, $D$10, 100%, $F$10)</f>
        <v>15.4114</v>
      </c>
      <c r="H508" s="4">
        <f>16.3098 * CHOOSE(CONTROL!$C$14, $D$10, 100%, $F$10)</f>
        <v>16.309799999999999</v>
      </c>
      <c r="I508" s="8">
        <f>15.2388 * CHOOSE(CONTROL!$C$14, $D$10, 100%, $F$10)</f>
        <v>15.238799999999999</v>
      </c>
      <c r="J508" s="4">
        <f>15.1226 * CHOOSE(CONTROL!$C$14, $D$10, 100%, $F$10)</f>
        <v>15.1226</v>
      </c>
      <c r="K508" s="4"/>
      <c r="L508" s="9">
        <v>29.306000000000001</v>
      </c>
      <c r="M508" s="9">
        <v>12.063700000000001</v>
      </c>
      <c r="N508" s="9">
        <v>4.9444999999999997</v>
      </c>
      <c r="O508" s="9">
        <v>0.37409999999999999</v>
      </c>
      <c r="P508" s="9">
        <v>1.2927</v>
      </c>
      <c r="Q508" s="9">
        <v>19.688099999999999</v>
      </c>
      <c r="R508" s="9"/>
      <c r="S508" s="11"/>
    </row>
    <row r="509" spans="1:19" ht="15.75">
      <c r="A509" s="13">
        <v>57404</v>
      </c>
      <c r="B509" s="8">
        <f>14.6624 * CHOOSE(CONTROL!$C$14, $D$10, 100%, $F$10)</f>
        <v>14.6624</v>
      </c>
      <c r="C509" s="8">
        <f>14.6675 * CHOOSE(CONTROL!$C$14, $D$10, 100%, $F$10)</f>
        <v>14.6675</v>
      </c>
      <c r="D509" s="8">
        <f>14.6574 * CHOOSE( CONTROL!$C$14, $D$10, 100%, $F$10)</f>
        <v>14.657400000000001</v>
      </c>
      <c r="E509" s="12">
        <f>14.6605 * CHOOSE( CONTROL!$C$14, $D$10, 100%, $F$10)</f>
        <v>14.660500000000001</v>
      </c>
      <c r="F509" s="4">
        <f>15.315 * CHOOSE(CONTROL!$C$14, $D$10, 100%, $F$10)</f>
        <v>15.315</v>
      </c>
      <c r="G509" s="8">
        <f>14.4088 * CHOOSE( CONTROL!$C$14, $D$10, 100%, $F$10)</f>
        <v>14.408799999999999</v>
      </c>
      <c r="H509" s="4">
        <f>15.2899 * CHOOSE(CONTROL!$C$14, $D$10, 100%, $F$10)</f>
        <v>15.289899999999999</v>
      </c>
      <c r="I509" s="8">
        <f>14.2513 * CHOOSE(CONTROL!$C$14, $D$10, 100%, $F$10)</f>
        <v>14.251300000000001</v>
      </c>
      <c r="J509" s="4">
        <f>14.145 * CHOOSE(CONTROL!$C$14, $D$10, 100%, $F$10)</f>
        <v>14.145</v>
      </c>
      <c r="K509" s="4"/>
      <c r="L509" s="9">
        <v>26.469899999999999</v>
      </c>
      <c r="M509" s="9">
        <v>10.8962</v>
      </c>
      <c r="N509" s="9">
        <v>4.4660000000000002</v>
      </c>
      <c r="O509" s="9">
        <v>0.33789999999999998</v>
      </c>
      <c r="P509" s="9">
        <v>1.1676</v>
      </c>
      <c r="Q509" s="9">
        <v>17.782800000000002</v>
      </c>
      <c r="R509" s="9"/>
      <c r="S509" s="11"/>
    </row>
    <row r="510" spans="1:19" ht="15.75">
      <c r="A510" s="13">
        <v>57435</v>
      </c>
      <c r="B510" s="8">
        <f>14.3509 * CHOOSE(CONTROL!$C$14, $D$10, 100%, $F$10)</f>
        <v>14.350899999999999</v>
      </c>
      <c r="C510" s="8">
        <f>14.356 * CHOOSE(CONTROL!$C$14, $D$10, 100%, $F$10)</f>
        <v>14.356</v>
      </c>
      <c r="D510" s="8">
        <f>14.3394 * CHOOSE( CONTROL!$C$14, $D$10, 100%, $F$10)</f>
        <v>14.339399999999999</v>
      </c>
      <c r="E510" s="12">
        <f>14.3449 * CHOOSE( CONTROL!$C$14, $D$10, 100%, $F$10)</f>
        <v>14.344900000000001</v>
      </c>
      <c r="F510" s="4">
        <f>15.0036 * CHOOSE(CONTROL!$C$14, $D$10, 100%, $F$10)</f>
        <v>15.0036</v>
      </c>
      <c r="G510" s="8">
        <f>14.0942 * CHOOSE( CONTROL!$C$14, $D$10, 100%, $F$10)</f>
        <v>14.094200000000001</v>
      </c>
      <c r="H510" s="4">
        <f>14.9835 * CHOOSE(CONTROL!$C$14, $D$10, 100%, $F$10)</f>
        <v>14.983499999999999</v>
      </c>
      <c r="I510" s="8">
        <f>13.9299 * CHOOSE(CONTROL!$C$14, $D$10, 100%, $F$10)</f>
        <v>13.9299</v>
      </c>
      <c r="J510" s="4">
        <f>13.8439 * CHOOSE(CONTROL!$C$14, $D$10, 100%, $F$10)</f>
        <v>13.8439</v>
      </c>
      <c r="K510" s="4"/>
      <c r="L510" s="9">
        <v>29.306000000000001</v>
      </c>
      <c r="M510" s="9">
        <v>12.063700000000001</v>
      </c>
      <c r="N510" s="9">
        <v>4.9444999999999997</v>
      </c>
      <c r="O510" s="9">
        <v>0.37409999999999999</v>
      </c>
      <c r="P510" s="9">
        <v>1.2927</v>
      </c>
      <c r="Q510" s="9">
        <v>19.688099999999999</v>
      </c>
      <c r="R510" s="9"/>
      <c r="S510" s="11"/>
    </row>
    <row r="511" spans="1:19" ht="15.75">
      <c r="A511" s="13">
        <v>57465</v>
      </c>
      <c r="B511" s="8">
        <f>14.5693 * CHOOSE(CONTROL!$C$14, $D$10, 100%, $F$10)</f>
        <v>14.5693</v>
      </c>
      <c r="C511" s="8">
        <f>14.5739 * CHOOSE(CONTROL!$C$14, $D$10, 100%, $F$10)</f>
        <v>14.5739</v>
      </c>
      <c r="D511" s="8">
        <f>14.5834 * CHOOSE( CONTROL!$C$14, $D$10, 100%, $F$10)</f>
        <v>14.583399999999999</v>
      </c>
      <c r="E511" s="12">
        <f>14.5797 * CHOOSE( CONTROL!$C$14, $D$10, 100%, $F$10)</f>
        <v>14.579700000000001</v>
      </c>
      <c r="F511" s="4">
        <f>15.2522 * CHOOSE(CONTROL!$C$14, $D$10, 100%, $F$10)</f>
        <v>15.2522</v>
      </c>
      <c r="G511" s="8">
        <f>14.2981 * CHOOSE( CONTROL!$C$14, $D$10, 100%, $F$10)</f>
        <v>14.2981</v>
      </c>
      <c r="H511" s="4">
        <f>15.2281 * CHOOSE(CONTROL!$C$14, $D$10, 100%, $F$10)</f>
        <v>15.2281</v>
      </c>
      <c r="I511" s="8">
        <f>14.1514 * CHOOSE(CONTROL!$C$14, $D$10, 100%, $F$10)</f>
        <v>14.151400000000001</v>
      </c>
      <c r="J511" s="4">
        <f>14.0543 * CHOOSE(CONTROL!$C$14, $D$10, 100%, $F$10)</f>
        <v>14.0543</v>
      </c>
      <c r="K511" s="4"/>
      <c r="L511" s="9">
        <v>30.092199999999998</v>
      </c>
      <c r="M511" s="9">
        <v>11.6745</v>
      </c>
      <c r="N511" s="9">
        <v>4.7850000000000001</v>
      </c>
      <c r="O511" s="9">
        <v>0.36199999999999999</v>
      </c>
      <c r="P511" s="9">
        <v>1.1791</v>
      </c>
      <c r="Q511" s="9">
        <v>19.053000000000001</v>
      </c>
      <c r="R511" s="9"/>
      <c r="S511" s="11"/>
    </row>
    <row r="512" spans="1:19" ht="15.75">
      <c r="A512" s="13">
        <v>57496</v>
      </c>
      <c r="B512" s="8">
        <f>CHOOSE( CONTROL!$C$31, 14.961, 14.9581) * CHOOSE(CONTROL!$C$14, $D$10, 100%, $F$10)</f>
        <v>14.961</v>
      </c>
      <c r="C512" s="8">
        <f>CHOOSE( CONTROL!$C$31, 14.969, 14.9661) * CHOOSE(CONTROL!$C$14, $D$10, 100%, $F$10)</f>
        <v>14.968999999999999</v>
      </c>
      <c r="D512" s="8">
        <f>CHOOSE( CONTROL!$C$31, 14.9736, 14.9707) * CHOOSE( CONTROL!$C$14, $D$10, 100%, $F$10)</f>
        <v>14.973599999999999</v>
      </c>
      <c r="E512" s="12">
        <f>CHOOSE( CONTROL!$C$31, 14.9707, 14.9678) * CHOOSE( CONTROL!$C$14, $D$10, 100%, $F$10)</f>
        <v>14.970700000000001</v>
      </c>
      <c r="F512" s="4">
        <f>CHOOSE( CONTROL!$C$31, 15.6426, 15.6396) * CHOOSE(CONTROL!$C$14, $D$10, 100%, $F$10)</f>
        <v>15.6426</v>
      </c>
      <c r="G512" s="8">
        <f>CHOOSE( CONTROL!$C$31, 14.6829, 14.68) * CHOOSE( CONTROL!$C$14, $D$10, 100%, $F$10)</f>
        <v>14.6829</v>
      </c>
      <c r="H512" s="4">
        <f>CHOOSE( CONTROL!$C$31, 15.6119, 15.6091) * CHOOSE(CONTROL!$C$14, $D$10, 100%, $F$10)</f>
        <v>15.6119</v>
      </c>
      <c r="I512" s="8">
        <f>CHOOSE( CONTROL!$C$31, 14.5299, 14.5271) * CHOOSE(CONTROL!$C$14, $D$10, 100%, $F$10)</f>
        <v>14.5299</v>
      </c>
      <c r="J512" s="4">
        <f>CHOOSE( CONTROL!$C$31, 14.4316, 14.4287) * CHOOSE(CONTROL!$C$14, $D$10, 100%, $F$10)</f>
        <v>14.4316</v>
      </c>
      <c r="K512" s="4"/>
      <c r="L512" s="9">
        <v>30.7165</v>
      </c>
      <c r="M512" s="9">
        <v>12.063700000000001</v>
      </c>
      <c r="N512" s="9">
        <v>4.9444999999999997</v>
      </c>
      <c r="O512" s="9">
        <v>0.37409999999999999</v>
      </c>
      <c r="P512" s="9">
        <v>1.2183999999999999</v>
      </c>
      <c r="Q512" s="9">
        <v>19.688099999999999</v>
      </c>
      <c r="R512" s="9"/>
      <c r="S512" s="11"/>
    </row>
    <row r="513" spans="1:19" ht="15.75">
      <c r="A513" s="13">
        <v>57526</v>
      </c>
      <c r="B513" s="8">
        <f>CHOOSE( CONTROL!$C$31, 14.721, 14.7181) * CHOOSE(CONTROL!$C$14, $D$10, 100%, $F$10)</f>
        <v>14.721</v>
      </c>
      <c r="C513" s="8">
        <f>CHOOSE( CONTROL!$C$31, 14.7291, 14.7261) * CHOOSE(CONTROL!$C$14, $D$10, 100%, $F$10)</f>
        <v>14.729100000000001</v>
      </c>
      <c r="D513" s="8">
        <f>CHOOSE( CONTROL!$C$31, 14.7339, 14.731) * CHOOSE( CONTROL!$C$14, $D$10, 100%, $F$10)</f>
        <v>14.7339</v>
      </c>
      <c r="E513" s="12">
        <f>CHOOSE( CONTROL!$C$31, 14.7309, 14.728) * CHOOSE( CONTROL!$C$14, $D$10, 100%, $F$10)</f>
        <v>14.7309</v>
      </c>
      <c r="F513" s="4">
        <f>CHOOSE( CONTROL!$C$31, 15.4026, 15.3997) * CHOOSE(CONTROL!$C$14, $D$10, 100%, $F$10)</f>
        <v>15.4026</v>
      </c>
      <c r="G513" s="8">
        <f>CHOOSE( CONTROL!$C$31, 14.4473, 14.4444) * CHOOSE( CONTROL!$C$14, $D$10, 100%, $F$10)</f>
        <v>14.4473</v>
      </c>
      <c r="H513" s="4">
        <f>CHOOSE( CONTROL!$C$31, 15.3759, 15.3731) * CHOOSE(CONTROL!$C$14, $D$10, 100%, $F$10)</f>
        <v>15.3759</v>
      </c>
      <c r="I513" s="8">
        <f>CHOOSE( CONTROL!$C$31, 14.2991, 14.2963) * CHOOSE(CONTROL!$C$14, $D$10, 100%, $F$10)</f>
        <v>14.299099999999999</v>
      </c>
      <c r="J513" s="4">
        <f>CHOOSE( CONTROL!$C$31, 14.1996, 14.1968) * CHOOSE(CONTROL!$C$14, $D$10, 100%, $F$10)</f>
        <v>14.1996</v>
      </c>
      <c r="K513" s="4"/>
      <c r="L513" s="9">
        <v>29.7257</v>
      </c>
      <c r="M513" s="9">
        <v>11.6745</v>
      </c>
      <c r="N513" s="9">
        <v>4.7850000000000001</v>
      </c>
      <c r="O513" s="9">
        <v>0.36199999999999999</v>
      </c>
      <c r="P513" s="9">
        <v>1.1791</v>
      </c>
      <c r="Q513" s="9">
        <v>19.053000000000001</v>
      </c>
      <c r="R513" s="9"/>
      <c r="S513" s="11"/>
    </row>
    <row r="514" spans="1:19" ht="15.75">
      <c r="A514" s="13">
        <v>57557</v>
      </c>
      <c r="B514" s="8">
        <f>CHOOSE( CONTROL!$C$31, 15.353, 15.35) * CHOOSE(CONTROL!$C$14, $D$10, 100%, $F$10)</f>
        <v>15.353</v>
      </c>
      <c r="C514" s="8">
        <f>CHOOSE( CONTROL!$C$31, 15.361, 15.3581) * CHOOSE(CONTROL!$C$14, $D$10, 100%, $F$10)</f>
        <v>15.361000000000001</v>
      </c>
      <c r="D514" s="8">
        <f>CHOOSE( CONTROL!$C$31, 15.3661, 15.3632) * CHOOSE( CONTROL!$C$14, $D$10, 100%, $F$10)</f>
        <v>15.366099999999999</v>
      </c>
      <c r="E514" s="12">
        <f>CHOOSE( CONTROL!$C$31, 15.363, 15.3601) * CHOOSE( CONTROL!$C$14, $D$10, 100%, $F$10)</f>
        <v>15.363</v>
      </c>
      <c r="F514" s="4">
        <f>CHOOSE( CONTROL!$C$31, 16.0345, 16.0316) * CHOOSE(CONTROL!$C$14, $D$10, 100%, $F$10)</f>
        <v>16.034500000000001</v>
      </c>
      <c r="G514" s="8">
        <f>CHOOSE( CONTROL!$C$31, 15.0691, 15.0663) * CHOOSE( CONTROL!$C$14, $D$10, 100%, $F$10)</f>
        <v>15.069100000000001</v>
      </c>
      <c r="H514" s="4">
        <f>CHOOSE( CONTROL!$C$31, 15.9974, 15.9945) * CHOOSE(CONTROL!$C$14, $D$10, 100%, $F$10)</f>
        <v>15.997400000000001</v>
      </c>
      <c r="I514" s="8">
        <f>CHOOSE( CONTROL!$C$31, 14.9114, 14.9086) * CHOOSE(CONTROL!$C$14, $D$10, 100%, $F$10)</f>
        <v>14.9114</v>
      </c>
      <c r="J514" s="4">
        <f>CHOOSE( CONTROL!$C$31, 14.8105, 14.8077) * CHOOSE(CONTROL!$C$14, $D$10, 100%, $F$10)</f>
        <v>14.810499999999999</v>
      </c>
      <c r="K514" s="4"/>
      <c r="L514" s="9">
        <v>30.7165</v>
      </c>
      <c r="M514" s="9">
        <v>12.063700000000001</v>
      </c>
      <c r="N514" s="9">
        <v>4.9444999999999997</v>
      </c>
      <c r="O514" s="9">
        <v>0.37409999999999999</v>
      </c>
      <c r="P514" s="9">
        <v>1.2183999999999999</v>
      </c>
      <c r="Q514" s="9">
        <v>19.688099999999999</v>
      </c>
      <c r="R514" s="9"/>
      <c r="S514" s="11"/>
    </row>
    <row r="515" spans="1:19" ht="15.75">
      <c r="A515" s="13">
        <v>57588</v>
      </c>
      <c r="B515" s="8">
        <f>CHOOSE( CONTROL!$C$31, 14.1706, 14.1676) * CHOOSE(CONTROL!$C$14, $D$10, 100%, $F$10)</f>
        <v>14.1706</v>
      </c>
      <c r="C515" s="8">
        <f>CHOOSE( CONTROL!$C$31, 14.1786, 14.1756) * CHOOSE(CONTROL!$C$14, $D$10, 100%, $F$10)</f>
        <v>14.178599999999999</v>
      </c>
      <c r="D515" s="8">
        <f>CHOOSE( CONTROL!$C$31, 14.1838, 14.1809) * CHOOSE( CONTROL!$C$14, $D$10, 100%, $F$10)</f>
        <v>14.1838</v>
      </c>
      <c r="E515" s="12">
        <f>CHOOSE( CONTROL!$C$31, 14.1807, 14.1778) * CHOOSE( CONTROL!$C$14, $D$10, 100%, $F$10)</f>
        <v>14.1807</v>
      </c>
      <c r="F515" s="4">
        <f>CHOOSE( CONTROL!$C$31, 14.8521, 14.8492) * CHOOSE(CONTROL!$C$14, $D$10, 100%, $F$10)</f>
        <v>14.8521</v>
      </c>
      <c r="G515" s="8">
        <f>CHOOSE( CONTROL!$C$31, 13.9064, 13.9036) * CHOOSE( CONTROL!$C$14, $D$10, 100%, $F$10)</f>
        <v>13.9064</v>
      </c>
      <c r="H515" s="4">
        <f>CHOOSE( CONTROL!$C$31, 14.8346, 14.8317) * CHOOSE(CONTROL!$C$14, $D$10, 100%, $F$10)</f>
        <v>14.8346</v>
      </c>
      <c r="I515" s="8">
        <f>CHOOSE( CONTROL!$C$31, 13.7682, 13.7654) * CHOOSE(CONTROL!$C$14, $D$10, 100%, $F$10)</f>
        <v>13.7682</v>
      </c>
      <c r="J515" s="4">
        <f>CHOOSE( CONTROL!$C$31, 13.6674, 13.6646) * CHOOSE(CONTROL!$C$14, $D$10, 100%, $F$10)</f>
        <v>13.667400000000001</v>
      </c>
      <c r="K515" s="4"/>
      <c r="L515" s="9">
        <v>30.7165</v>
      </c>
      <c r="M515" s="9">
        <v>12.063700000000001</v>
      </c>
      <c r="N515" s="9">
        <v>4.9444999999999997</v>
      </c>
      <c r="O515" s="9">
        <v>0.37409999999999999</v>
      </c>
      <c r="P515" s="9">
        <v>1.2183999999999999</v>
      </c>
      <c r="Q515" s="9">
        <v>19.688099999999999</v>
      </c>
      <c r="R515" s="9"/>
      <c r="S515" s="11"/>
    </row>
    <row r="516" spans="1:19" ht="15.75">
      <c r="A516" s="13">
        <v>57618</v>
      </c>
      <c r="B516" s="8">
        <f>CHOOSE( CONTROL!$C$31, 13.8745, 13.8715) * CHOOSE(CONTROL!$C$14, $D$10, 100%, $F$10)</f>
        <v>13.874499999999999</v>
      </c>
      <c r="C516" s="8">
        <f>CHOOSE( CONTROL!$C$31, 13.8825, 13.8796) * CHOOSE(CONTROL!$C$14, $D$10, 100%, $F$10)</f>
        <v>13.8825</v>
      </c>
      <c r="D516" s="8">
        <f>CHOOSE( CONTROL!$C$31, 13.8877, 13.8847) * CHOOSE( CONTROL!$C$14, $D$10, 100%, $F$10)</f>
        <v>13.887700000000001</v>
      </c>
      <c r="E516" s="12">
        <f>CHOOSE( CONTROL!$C$31, 13.8846, 13.8816) * CHOOSE( CONTROL!$C$14, $D$10, 100%, $F$10)</f>
        <v>13.884600000000001</v>
      </c>
      <c r="F516" s="4">
        <f>CHOOSE( CONTROL!$C$31, 14.556, 14.5531) * CHOOSE(CONTROL!$C$14, $D$10, 100%, $F$10)</f>
        <v>14.555999999999999</v>
      </c>
      <c r="G516" s="8">
        <f>CHOOSE( CONTROL!$C$31, 13.6152, 13.6124) * CHOOSE( CONTROL!$C$14, $D$10, 100%, $F$10)</f>
        <v>13.6152</v>
      </c>
      <c r="H516" s="4">
        <f>CHOOSE( CONTROL!$C$31, 14.5434, 14.5405) * CHOOSE(CONTROL!$C$14, $D$10, 100%, $F$10)</f>
        <v>14.5434</v>
      </c>
      <c r="I516" s="8">
        <f>CHOOSE( CONTROL!$C$31, 13.4818, 13.479) * CHOOSE(CONTROL!$C$14, $D$10, 100%, $F$10)</f>
        <v>13.4818</v>
      </c>
      <c r="J516" s="4">
        <f>CHOOSE( CONTROL!$C$31, 13.3812, 13.3784) * CHOOSE(CONTROL!$C$14, $D$10, 100%, $F$10)</f>
        <v>13.3812</v>
      </c>
      <c r="K516" s="4"/>
      <c r="L516" s="9">
        <v>29.7257</v>
      </c>
      <c r="M516" s="9">
        <v>11.6745</v>
      </c>
      <c r="N516" s="9">
        <v>4.7850000000000001</v>
      </c>
      <c r="O516" s="9">
        <v>0.36199999999999999</v>
      </c>
      <c r="P516" s="9">
        <v>1.1791</v>
      </c>
      <c r="Q516" s="9">
        <v>19.053000000000001</v>
      </c>
      <c r="R516" s="9"/>
      <c r="S516" s="11"/>
    </row>
    <row r="517" spans="1:19" ht="15.75">
      <c r="A517" s="13">
        <v>57649</v>
      </c>
      <c r="B517" s="8">
        <f>14.4846 * CHOOSE(CONTROL!$C$14, $D$10, 100%, $F$10)</f>
        <v>14.4846</v>
      </c>
      <c r="C517" s="8">
        <f>14.49 * CHOOSE(CONTROL!$C$14, $D$10, 100%, $F$10)</f>
        <v>14.49</v>
      </c>
      <c r="D517" s="8">
        <f>14.5 * CHOOSE( CONTROL!$C$14, $D$10, 100%, $F$10)</f>
        <v>14.5</v>
      </c>
      <c r="E517" s="12">
        <f>14.4961 * CHOOSE( CONTROL!$C$14, $D$10, 100%, $F$10)</f>
        <v>14.4961</v>
      </c>
      <c r="F517" s="4">
        <f>15.1679 * CHOOSE(CONTROL!$C$14, $D$10, 100%, $F$10)</f>
        <v>15.167899999999999</v>
      </c>
      <c r="G517" s="8">
        <f>14.2166 * CHOOSE( CONTROL!$C$14, $D$10, 100%, $F$10)</f>
        <v>14.2166</v>
      </c>
      <c r="H517" s="4">
        <f>15.1451 * CHOOSE(CONTROL!$C$14, $D$10, 100%, $F$10)</f>
        <v>15.145099999999999</v>
      </c>
      <c r="I517" s="8">
        <f>14.0744 * CHOOSE(CONTROL!$C$14, $D$10, 100%, $F$10)</f>
        <v>14.074400000000001</v>
      </c>
      <c r="J517" s="4">
        <f>13.9727 * CHOOSE(CONTROL!$C$14, $D$10, 100%, $F$10)</f>
        <v>13.9727</v>
      </c>
      <c r="K517" s="4"/>
      <c r="L517" s="9">
        <v>31.095300000000002</v>
      </c>
      <c r="M517" s="9">
        <v>12.063700000000001</v>
      </c>
      <c r="N517" s="9">
        <v>4.9444999999999997</v>
      </c>
      <c r="O517" s="9">
        <v>0.37409999999999999</v>
      </c>
      <c r="P517" s="9">
        <v>1.2183999999999999</v>
      </c>
      <c r="Q517" s="9">
        <v>19.688099999999999</v>
      </c>
      <c r="R517" s="9"/>
      <c r="S517" s="11"/>
    </row>
    <row r="518" spans="1:19" ht="15.75">
      <c r="A518" s="13">
        <v>57679</v>
      </c>
      <c r="B518" s="8">
        <f>15.619 * CHOOSE(CONTROL!$C$14, $D$10, 100%, $F$10)</f>
        <v>15.619</v>
      </c>
      <c r="C518" s="8">
        <f>15.6241 * CHOOSE(CONTROL!$C$14, $D$10, 100%, $F$10)</f>
        <v>15.6241</v>
      </c>
      <c r="D518" s="8">
        <f>15.6003 * CHOOSE( CONTROL!$C$14, $D$10, 100%, $F$10)</f>
        <v>15.600300000000001</v>
      </c>
      <c r="E518" s="12">
        <f>15.6085 * CHOOSE( CONTROL!$C$14, $D$10, 100%, $F$10)</f>
        <v>15.608499999999999</v>
      </c>
      <c r="F518" s="4">
        <f>16.2664 * CHOOSE(CONTROL!$C$14, $D$10, 100%, $F$10)</f>
        <v>16.266400000000001</v>
      </c>
      <c r="G518" s="8">
        <f>15.3423 * CHOOSE( CONTROL!$C$14, $D$10, 100%, $F$10)</f>
        <v>15.3423</v>
      </c>
      <c r="H518" s="4">
        <f>16.2255 * CHOOSE(CONTROL!$C$14, $D$10, 100%, $F$10)</f>
        <v>16.2255</v>
      </c>
      <c r="I518" s="8">
        <f>15.2024 * CHOOSE(CONTROL!$C$14, $D$10, 100%, $F$10)</f>
        <v>15.202400000000001</v>
      </c>
      <c r="J518" s="4">
        <f>15.0697 * CHOOSE(CONTROL!$C$14, $D$10, 100%, $F$10)</f>
        <v>15.069699999999999</v>
      </c>
      <c r="K518" s="4"/>
      <c r="L518" s="9">
        <v>28.360600000000002</v>
      </c>
      <c r="M518" s="9">
        <v>11.6745</v>
      </c>
      <c r="N518" s="9">
        <v>4.7850000000000001</v>
      </c>
      <c r="O518" s="9">
        <v>0.36199999999999999</v>
      </c>
      <c r="P518" s="9">
        <v>1.2509999999999999</v>
      </c>
      <c r="Q518" s="9">
        <v>19.053000000000001</v>
      </c>
      <c r="R518" s="9"/>
      <c r="S518" s="11"/>
    </row>
    <row r="519" spans="1:19" ht="15.75">
      <c r="A519" s="13">
        <v>57710</v>
      </c>
      <c r="B519" s="8">
        <f>15.5906 * CHOOSE(CONTROL!$C$14, $D$10, 100%, $F$10)</f>
        <v>15.5906</v>
      </c>
      <c r="C519" s="8">
        <f>15.5957 * CHOOSE(CONTROL!$C$14, $D$10, 100%, $F$10)</f>
        <v>15.595700000000001</v>
      </c>
      <c r="D519" s="8">
        <f>15.5733 * CHOOSE( CONTROL!$C$14, $D$10, 100%, $F$10)</f>
        <v>15.5733</v>
      </c>
      <c r="E519" s="12">
        <f>15.5809 * CHOOSE( CONTROL!$C$14, $D$10, 100%, $F$10)</f>
        <v>15.5809</v>
      </c>
      <c r="F519" s="4">
        <f>16.2381 * CHOOSE(CONTROL!$C$14, $D$10, 100%, $F$10)</f>
        <v>16.238099999999999</v>
      </c>
      <c r="G519" s="8">
        <f>15.3155 * CHOOSE( CONTROL!$C$14, $D$10, 100%, $F$10)</f>
        <v>15.3155</v>
      </c>
      <c r="H519" s="4">
        <f>16.1976 * CHOOSE(CONTROL!$C$14, $D$10, 100%, $F$10)</f>
        <v>16.197600000000001</v>
      </c>
      <c r="I519" s="8">
        <f>15.1794 * CHOOSE(CONTROL!$C$14, $D$10, 100%, $F$10)</f>
        <v>15.179399999999999</v>
      </c>
      <c r="J519" s="4">
        <f>15.0423 * CHOOSE(CONTROL!$C$14, $D$10, 100%, $F$10)</f>
        <v>15.042299999999999</v>
      </c>
      <c r="K519" s="4"/>
      <c r="L519" s="9">
        <v>29.306000000000001</v>
      </c>
      <c r="M519" s="9">
        <v>12.063700000000001</v>
      </c>
      <c r="N519" s="9">
        <v>4.9444999999999997</v>
      </c>
      <c r="O519" s="9">
        <v>0.37409999999999999</v>
      </c>
      <c r="P519" s="9">
        <v>1.2927</v>
      </c>
      <c r="Q519" s="9">
        <v>19.688099999999999</v>
      </c>
      <c r="R519" s="9"/>
      <c r="S519" s="11"/>
    </row>
    <row r="520" spans="1:19" ht="15.75">
      <c r="A520" s="13">
        <v>57741</v>
      </c>
      <c r="B520" s="8">
        <f>16.1853 * CHOOSE(CONTROL!$C$14, $D$10, 100%, $F$10)</f>
        <v>16.185300000000002</v>
      </c>
      <c r="C520" s="8">
        <f>16.1904 * CHOOSE(CONTROL!$C$14, $D$10, 100%, $F$10)</f>
        <v>16.1904</v>
      </c>
      <c r="D520" s="8">
        <f>16.1862 * CHOOSE( CONTROL!$C$14, $D$10, 100%, $F$10)</f>
        <v>16.186199999999999</v>
      </c>
      <c r="E520" s="12">
        <f>16.1872 * CHOOSE( CONTROL!$C$14, $D$10, 100%, $F$10)</f>
        <v>16.187200000000001</v>
      </c>
      <c r="F520" s="4">
        <f>16.8638 * CHOOSE(CONTROL!$C$14, $D$10, 100%, $F$10)</f>
        <v>16.863800000000001</v>
      </c>
      <c r="G520" s="8">
        <f>15.9145 * CHOOSE( CONTROL!$C$14, $D$10, 100%, $F$10)</f>
        <v>15.9145</v>
      </c>
      <c r="H520" s="4">
        <f>16.813 * CHOOSE(CONTROL!$C$14, $D$10, 100%, $F$10)</f>
        <v>16.812999999999999</v>
      </c>
      <c r="I520" s="8">
        <f>15.7336 * CHOOSE(CONTROL!$C$14, $D$10, 100%, $F$10)</f>
        <v>15.733599999999999</v>
      </c>
      <c r="J520" s="4">
        <f>15.6172 * CHOOSE(CONTROL!$C$14, $D$10, 100%, $F$10)</f>
        <v>15.6172</v>
      </c>
      <c r="K520" s="4"/>
      <c r="L520" s="9">
        <v>29.306000000000001</v>
      </c>
      <c r="M520" s="9">
        <v>12.063700000000001</v>
      </c>
      <c r="N520" s="9">
        <v>4.9444999999999997</v>
      </c>
      <c r="O520" s="9">
        <v>0.37409999999999999</v>
      </c>
      <c r="P520" s="9">
        <v>1.2927</v>
      </c>
      <c r="Q520" s="9">
        <v>19.688099999999999</v>
      </c>
      <c r="R520" s="9"/>
      <c r="S520" s="11"/>
    </row>
    <row r="521" spans="1:19" ht="15.75">
      <c r="A521" s="13">
        <v>57769</v>
      </c>
      <c r="B521" s="8">
        <f>15.1409 * CHOOSE(CONTROL!$C$14, $D$10, 100%, $F$10)</f>
        <v>15.1409</v>
      </c>
      <c r="C521" s="8">
        <f>15.146 * CHOOSE(CONTROL!$C$14, $D$10, 100%, $F$10)</f>
        <v>15.146000000000001</v>
      </c>
      <c r="D521" s="8">
        <f>15.1359 * CHOOSE( CONTROL!$C$14, $D$10, 100%, $F$10)</f>
        <v>15.135899999999999</v>
      </c>
      <c r="E521" s="12">
        <f>15.139 * CHOOSE( CONTROL!$C$14, $D$10, 100%, $F$10)</f>
        <v>15.138999999999999</v>
      </c>
      <c r="F521" s="4">
        <f>15.7936 * CHOOSE(CONTROL!$C$14, $D$10, 100%, $F$10)</f>
        <v>15.7936</v>
      </c>
      <c r="G521" s="8">
        <f>14.8793 * CHOOSE( CONTROL!$C$14, $D$10, 100%, $F$10)</f>
        <v>14.879300000000001</v>
      </c>
      <c r="H521" s="4">
        <f>15.7604 * CHOOSE(CONTROL!$C$14, $D$10, 100%, $F$10)</f>
        <v>15.760400000000001</v>
      </c>
      <c r="I521" s="8">
        <f>14.7141 * CHOOSE(CONTROL!$C$14, $D$10, 100%, $F$10)</f>
        <v>14.7141</v>
      </c>
      <c r="J521" s="4">
        <f>14.6076 * CHOOSE(CONTROL!$C$14, $D$10, 100%, $F$10)</f>
        <v>14.6076</v>
      </c>
      <c r="K521" s="4"/>
      <c r="L521" s="9">
        <v>26.469899999999999</v>
      </c>
      <c r="M521" s="9">
        <v>10.8962</v>
      </c>
      <c r="N521" s="9">
        <v>4.4660000000000002</v>
      </c>
      <c r="O521" s="9">
        <v>0.33789999999999998</v>
      </c>
      <c r="P521" s="9">
        <v>1.1676</v>
      </c>
      <c r="Q521" s="9">
        <v>17.782800000000002</v>
      </c>
      <c r="R521" s="9"/>
      <c r="S521" s="11"/>
    </row>
    <row r="522" spans="1:19" ht="15.75">
      <c r="A522" s="13">
        <v>57800</v>
      </c>
      <c r="B522" s="8">
        <f>14.8193 * CHOOSE(CONTROL!$C$14, $D$10, 100%, $F$10)</f>
        <v>14.8193</v>
      </c>
      <c r="C522" s="8">
        <f>14.8244 * CHOOSE(CONTROL!$C$14, $D$10, 100%, $F$10)</f>
        <v>14.824400000000001</v>
      </c>
      <c r="D522" s="8">
        <f>14.8078 * CHOOSE( CONTROL!$C$14, $D$10, 100%, $F$10)</f>
        <v>14.8078</v>
      </c>
      <c r="E522" s="12">
        <f>14.8133 * CHOOSE( CONTROL!$C$14, $D$10, 100%, $F$10)</f>
        <v>14.8133</v>
      </c>
      <c r="F522" s="4">
        <f>15.4719 * CHOOSE(CONTROL!$C$14, $D$10, 100%, $F$10)</f>
        <v>15.4719</v>
      </c>
      <c r="G522" s="8">
        <f>14.5548 * CHOOSE( CONTROL!$C$14, $D$10, 100%, $F$10)</f>
        <v>14.5548</v>
      </c>
      <c r="H522" s="4">
        <f>15.4441 * CHOOSE(CONTROL!$C$14, $D$10, 100%, $F$10)</f>
        <v>15.444100000000001</v>
      </c>
      <c r="I522" s="8">
        <f>14.3829 * CHOOSE(CONTROL!$C$14, $D$10, 100%, $F$10)</f>
        <v>14.382899999999999</v>
      </c>
      <c r="J522" s="4">
        <f>14.2966 * CHOOSE(CONTROL!$C$14, $D$10, 100%, $F$10)</f>
        <v>14.2966</v>
      </c>
      <c r="K522" s="4"/>
      <c r="L522" s="9">
        <v>29.306000000000001</v>
      </c>
      <c r="M522" s="9">
        <v>12.063700000000001</v>
      </c>
      <c r="N522" s="9">
        <v>4.9444999999999997</v>
      </c>
      <c r="O522" s="9">
        <v>0.37409999999999999</v>
      </c>
      <c r="P522" s="9">
        <v>1.2927</v>
      </c>
      <c r="Q522" s="9">
        <v>19.688099999999999</v>
      </c>
      <c r="R522" s="9"/>
      <c r="S522" s="11"/>
    </row>
    <row r="523" spans="1:19" ht="15.75">
      <c r="A523" s="13">
        <v>57830</v>
      </c>
      <c r="B523" s="8">
        <f>15.0448 * CHOOSE(CONTROL!$C$14, $D$10, 100%, $F$10)</f>
        <v>15.0448</v>
      </c>
      <c r="C523" s="8">
        <f>15.0493 * CHOOSE(CONTROL!$C$14, $D$10, 100%, $F$10)</f>
        <v>15.049300000000001</v>
      </c>
      <c r="D523" s="8">
        <f>15.0589 * CHOOSE( CONTROL!$C$14, $D$10, 100%, $F$10)</f>
        <v>15.0589</v>
      </c>
      <c r="E523" s="12">
        <f>15.0552 * CHOOSE( CONTROL!$C$14, $D$10, 100%, $F$10)</f>
        <v>15.055199999999999</v>
      </c>
      <c r="F523" s="4">
        <f>15.7277 * CHOOSE(CONTROL!$C$14, $D$10, 100%, $F$10)</f>
        <v>15.7277</v>
      </c>
      <c r="G523" s="8">
        <f>14.7657 * CHOOSE( CONTROL!$C$14, $D$10, 100%, $F$10)</f>
        <v>14.765700000000001</v>
      </c>
      <c r="H523" s="4">
        <f>15.6957 * CHOOSE(CONTROL!$C$14, $D$10, 100%, $F$10)</f>
        <v>15.6957</v>
      </c>
      <c r="I523" s="8">
        <f>14.6112 * CHOOSE(CONTROL!$C$14, $D$10, 100%, $F$10)</f>
        <v>14.6112</v>
      </c>
      <c r="J523" s="4">
        <f>14.5139 * CHOOSE(CONTROL!$C$14, $D$10, 100%, $F$10)</f>
        <v>14.5139</v>
      </c>
      <c r="K523" s="4"/>
      <c r="L523" s="9">
        <v>30.092199999999998</v>
      </c>
      <c r="M523" s="9">
        <v>11.6745</v>
      </c>
      <c r="N523" s="9">
        <v>4.7850000000000001</v>
      </c>
      <c r="O523" s="9">
        <v>0.36199999999999999</v>
      </c>
      <c r="P523" s="9">
        <v>1.1791</v>
      </c>
      <c r="Q523" s="9">
        <v>19.053000000000001</v>
      </c>
      <c r="R523" s="9"/>
      <c r="S523" s="11"/>
    </row>
    <row r="524" spans="1:19" ht="15.75">
      <c r="A524" s="13">
        <v>57861</v>
      </c>
      <c r="B524" s="8">
        <f>CHOOSE( CONTROL!$C$31, 15.4491, 15.4462) * CHOOSE(CONTROL!$C$14, $D$10, 100%, $F$10)</f>
        <v>15.4491</v>
      </c>
      <c r="C524" s="8">
        <f>CHOOSE( CONTROL!$C$31, 15.4572, 15.4542) * CHOOSE(CONTROL!$C$14, $D$10, 100%, $F$10)</f>
        <v>15.4572</v>
      </c>
      <c r="D524" s="8">
        <f>CHOOSE( CONTROL!$C$31, 15.4618, 15.4589) * CHOOSE( CONTROL!$C$14, $D$10, 100%, $F$10)</f>
        <v>15.4618</v>
      </c>
      <c r="E524" s="12">
        <f>CHOOSE( CONTROL!$C$31, 15.4589, 15.456) * CHOOSE( CONTROL!$C$14, $D$10, 100%, $F$10)</f>
        <v>15.4589</v>
      </c>
      <c r="F524" s="4">
        <f>CHOOSE( CONTROL!$C$31, 16.1307, 16.1278) * CHOOSE(CONTROL!$C$14, $D$10, 100%, $F$10)</f>
        <v>16.130700000000001</v>
      </c>
      <c r="G524" s="8">
        <f>CHOOSE( CONTROL!$C$31, 15.163, 15.1601) * CHOOSE( CONTROL!$C$14, $D$10, 100%, $F$10)</f>
        <v>15.163</v>
      </c>
      <c r="H524" s="4">
        <f>CHOOSE( CONTROL!$C$31, 16.092, 16.0891) * CHOOSE(CONTROL!$C$14, $D$10, 100%, $F$10)</f>
        <v>16.091999999999999</v>
      </c>
      <c r="I524" s="8">
        <f>CHOOSE( CONTROL!$C$31, 15.0021, 14.9992) * CHOOSE(CONTROL!$C$14, $D$10, 100%, $F$10)</f>
        <v>15.0021</v>
      </c>
      <c r="J524" s="4">
        <f>CHOOSE( CONTROL!$C$31, 14.9034, 14.9006) * CHOOSE(CONTROL!$C$14, $D$10, 100%, $F$10)</f>
        <v>14.9034</v>
      </c>
      <c r="K524" s="4"/>
      <c r="L524" s="9">
        <v>30.7165</v>
      </c>
      <c r="M524" s="9">
        <v>12.063700000000001</v>
      </c>
      <c r="N524" s="9">
        <v>4.9444999999999997</v>
      </c>
      <c r="O524" s="9">
        <v>0.37409999999999999</v>
      </c>
      <c r="P524" s="9">
        <v>1.2183999999999999</v>
      </c>
      <c r="Q524" s="9">
        <v>19.688099999999999</v>
      </c>
      <c r="R524" s="9"/>
      <c r="S524" s="11"/>
    </row>
    <row r="525" spans="1:19" ht="15.75">
      <c r="A525" s="13">
        <v>57891</v>
      </c>
      <c r="B525" s="8">
        <f>CHOOSE( CONTROL!$C$31, 15.2013, 15.1984) * CHOOSE(CONTROL!$C$14, $D$10, 100%, $F$10)</f>
        <v>15.2013</v>
      </c>
      <c r="C525" s="8">
        <f>CHOOSE( CONTROL!$C$31, 15.2093, 15.2064) * CHOOSE(CONTROL!$C$14, $D$10, 100%, $F$10)</f>
        <v>15.209300000000001</v>
      </c>
      <c r="D525" s="8">
        <f>CHOOSE( CONTROL!$C$31, 15.2142, 15.2113) * CHOOSE( CONTROL!$C$14, $D$10, 100%, $F$10)</f>
        <v>15.2142</v>
      </c>
      <c r="E525" s="12">
        <f>CHOOSE( CONTROL!$C$31, 15.2112, 15.2083) * CHOOSE( CONTROL!$C$14, $D$10, 100%, $F$10)</f>
        <v>15.2112</v>
      </c>
      <c r="F525" s="4">
        <f>CHOOSE( CONTROL!$C$31, 15.8829, 15.8799) * CHOOSE(CONTROL!$C$14, $D$10, 100%, $F$10)</f>
        <v>15.882899999999999</v>
      </c>
      <c r="G525" s="8">
        <f>CHOOSE( CONTROL!$C$31, 14.9196, 14.9168) * CHOOSE( CONTROL!$C$14, $D$10, 100%, $F$10)</f>
        <v>14.919600000000001</v>
      </c>
      <c r="H525" s="4">
        <f>CHOOSE( CONTROL!$C$31, 15.8483, 15.8454) * CHOOSE(CONTROL!$C$14, $D$10, 100%, $F$10)</f>
        <v>15.8483</v>
      </c>
      <c r="I525" s="8">
        <f>CHOOSE( CONTROL!$C$31, 14.7636, 14.7608) * CHOOSE(CONTROL!$C$14, $D$10, 100%, $F$10)</f>
        <v>14.7636</v>
      </c>
      <c r="J525" s="4">
        <f>CHOOSE( CONTROL!$C$31, 14.6639, 14.6611) * CHOOSE(CONTROL!$C$14, $D$10, 100%, $F$10)</f>
        <v>14.6639</v>
      </c>
      <c r="K525" s="4"/>
      <c r="L525" s="9">
        <v>29.7257</v>
      </c>
      <c r="M525" s="9">
        <v>11.6745</v>
      </c>
      <c r="N525" s="9">
        <v>4.7850000000000001</v>
      </c>
      <c r="O525" s="9">
        <v>0.36199999999999999</v>
      </c>
      <c r="P525" s="9">
        <v>1.1791</v>
      </c>
      <c r="Q525" s="9">
        <v>19.053000000000001</v>
      </c>
      <c r="R525" s="9"/>
      <c r="S525" s="11"/>
    </row>
    <row r="526" spans="1:19" ht="15.75">
      <c r="A526" s="13">
        <v>57922</v>
      </c>
      <c r="B526" s="8">
        <f>CHOOSE( CONTROL!$C$31, 15.8539, 15.851) * CHOOSE(CONTROL!$C$14, $D$10, 100%, $F$10)</f>
        <v>15.853899999999999</v>
      </c>
      <c r="C526" s="8">
        <f>CHOOSE( CONTROL!$C$31, 15.8619, 15.859) * CHOOSE(CONTROL!$C$14, $D$10, 100%, $F$10)</f>
        <v>15.8619</v>
      </c>
      <c r="D526" s="8">
        <f>CHOOSE( CONTROL!$C$31, 15.8671, 15.8641) * CHOOSE( CONTROL!$C$14, $D$10, 100%, $F$10)</f>
        <v>15.867100000000001</v>
      </c>
      <c r="E526" s="12">
        <f>CHOOSE( CONTROL!$C$31, 15.864, 15.861) * CHOOSE( CONTROL!$C$14, $D$10, 100%, $F$10)</f>
        <v>15.864000000000001</v>
      </c>
      <c r="F526" s="4">
        <f>CHOOSE( CONTROL!$C$31, 16.5355, 16.5325) * CHOOSE(CONTROL!$C$14, $D$10, 100%, $F$10)</f>
        <v>16.535499999999999</v>
      </c>
      <c r="G526" s="8">
        <f>CHOOSE( CONTROL!$C$31, 15.5618, 15.5589) * CHOOSE( CONTROL!$C$14, $D$10, 100%, $F$10)</f>
        <v>15.5618</v>
      </c>
      <c r="H526" s="4">
        <f>CHOOSE( CONTROL!$C$31, 16.49, 16.4872) * CHOOSE(CONTROL!$C$14, $D$10, 100%, $F$10)</f>
        <v>16.489999999999998</v>
      </c>
      <c r="I526" s="8">
        <f>CHOOSE( CONTROL!$C$31, 15.3959, 15.3931) * CHOOSE(CONTROL!$C$14, $D$10, 100%, $F$10)</f>
        <v>15.395899999999999</v>
      </c>
      <c r="J526" s="4">
        <f>CHOOSE( CONTROL!$C$31, 15.2948, 15.2919) * CHOOSE(CONTROL!$C$14, $D$10, 100%, $F$10)</f>
        <v>15.2948</v>
      </c>
      <c r="K526" s="4"/>
      <c r="L526" s="9">
        <v>30.7165</v>
      </c>
      <c r="M526" s="9">
        <v>12.063700000000001</v>
      </c>
      <c r="N526" s="9">
        <v>4.9444999999999997</v>
      </c>
      <c r="O526" s="9">
        <v>0.37409999999999999</v>
      </c>
      <c r="P526" s="9">
        <v>1.2183999999999999</v>
      </c>
      <c r="Q526" s="9">
        <v>19.688099999999999</v>
      </c>
      <c r="R526" s="9"/>
      <c r="S526" s="11"/>
    </row>
    <row r="527" spans="1:19" ht="15.75">
      <c r="A527" s="13">
        <v>57953</v>
      </c>
      <c r="B527" s="8">
        <f>CHOOSE( CONTROL!$C$31, 14.6328, 14.6299) * CHOOSE(CONTROL!$C$14, $D$10, 100%, $F$10)</f>
        <v>14.6328</v>
      </c>
      <c r="C527" s="8">
        <f>CHOOSE( CONTROL!$C$31, 14.6408, 14.6379) * CHOOSE(CONTROL!$C$14, $D$10, 100%, $F$10)</f>
        <v>14.6408</v>
      </c>
      <c r="D527" s="8">
        <f>CHOOSE( CONTROL!$C$31, 14.6461, 14.6431) * CHOOSE( CONTROL!$C$14, $D$10, 100%, $F$10)</f>
        <v>14.646100000000001</v>
      </c>
      <c r="E527" s="12">
        <f>CHOOSE( CONTROL!$C$31, 14.643, 14.64) * CHOOSE( CONTROL!$C$14, $D$10, 100%, $F$10)</f>
        <v>14.643000000000001</v>
      </c>
      <c r="F527" s="4">
        <f>CHOOSE( CONTROL!$C$31, 15.3144, 15.3115) * CHOOSE(CONTROL!$C$14, $D$10, 100%, $F$10)</f>
        <v>15.314399999999999</v>
      </c>
      <c r="G527" s="8">
        <f>CHOOSE( CONTROL!$C$31, 14.3611, 14.3582) * CHOOSE( CONTROL!$C$14, $D$10, 100%, $F$10)</f>
        <v>14.3611</v>
      </c>
      <c r="H527" s="4">
        <f>CHOOSE( CONTROL!$C$31, 15.2892, 15.2863) * CHOOSE(CONTROL!$C$14, $D$10, 100%, $F$10)</f>
        <v>15.289199999999999</v>
      </c>
      <c r="I527" s="8">
        <f>CHOOSE( CONTROL!$C$31, 14.2153, 14.2125) * CHOOSE(CONTROL!$C$14, $D$10, 100%, $F$10)</f>
        <v>14.215299999999999</v>
      </c>
      <c r="J527" s="4">
        <f>CHOOSE( CONTROL!$C$31, 14.1143, 14.1115) * CHOOSE(CONTROL!$C$14, $D$10, 100%, $F$10)</f>
        <v>14.1143</v>
      </c>
      <c r="K527" s="4"/>
      <c r="L527" s="9">
        <v>30.7165</v>
      </c>
      <c r="M527" s="9">
        <v>12.063700000000001</v>
      </c>
      <c r="N527" s="9">
        <v>4.9444999999999997</v>
      </c>
      <c r="O527" s="9">
        <v>0.37409999999999999</v>
      </c>
      <c r="P527" s="9">
        <v>1.2183999999999999</v>
      </c>
      <c r="Q527" s="9">
        <v>19.688099999999999</v>
      </c>
      <c r="R527" s="9"/>
      <c r="S527" s="11"/>
    </row>
    <row r="528" spans="1:19" ht="15.75">
      <c r="A528" s="13">
        <v>57983</v>
      </c>
      <c r="B528" s="8">
        <f>CHOOSE( CONTROL!$C$31, 14.3271, 14.3241) * CHOOSE(CONTROL!$C$14, $D$10, 100%, $F$10)</f>
        <v>14.3271</v>
      </c>
      <c r="C528" s="8">
        <f>CHOOSE( CONTROL!$C$31, 14.3351, 14.3321) * CHOOSE(CONTROL!$C$14, $D$10, 100%, $F$10)</f>
        <v>14.335100000000001</v>
      </c>
      <c r="D528" s="8">
        <f>CHOOSE( CONTROL!$C$31, 14.3403, 14.3373) * CHOOSE( CONTROL!$C$14, $D$10, 100%, $F$10)</f>
        <v>14.340299999999999</v>
      </c>
      <c r="E528" s="12">
        <f>CHOOSE( CONTROL!$C$31, 14.3372, 14.3342) * CHOOSE( CONTROL!$C$14, $D$10, 100%, $F$10)</f>
        <v>14.337199999999999</v>
      </c>
      <c r="F528" s="4">
        <f>CHOOSE( CONTROL!$C$31, 15.0086, 15.0057) * CHOOSE(CONTROL!$C$14, $D$10, 100%, $F$10)</f>
        <v>15.008599999999999</v>
      </c>
      <c r="G528" s="8">
        <f>CHOOSE( CONTROL!$C$31, 14.0603, 14.0575) * CHOOSE( CONTROL!$C$14, $D$10, 100%, $F$10)</f>
        <v>14.0603</v>
      </c>
      <c r="H528" s="4">
        <f>CHOOSE( CONTROL!$C$31, 14.9885, 14.9856) * CHOOSE(CONTROL!$C$14, $D$10, 100%, $F$10)</f>
        <v>14.9885</v>
      </c>
      <c r="I528" s="8">
        <f>CHOOSE( CONTROL!$C$31, 13.9195, 13.9167) * CHOOSE(CONTROL!$C$14, $D$10, 100%, $F$10)</f>
        <v>13.919499999999999</v>
      </c>
      <c r="J528" s="4">
        <f>CHOOSE( CONTROL!$C$31, 13.8187, 13.8159) * CHOOSE(CONTROL!$C$14, $D$10, 100%, $F$10)</f>
        <v>13.8187</v>
      </c>
      <c r="K528" s="4"/>
      <c r="L528" s="9">
        <v>29.7257</v>
      </c>
      <c r="M528" s="9">
        <v>11.6745</v>
      </c>
      <c r="N528" s="9">
        <v>4.7850000000000001</v>
      </c>
      <c r="O528" s="9">
        <v>0.36199999999999999</v>
      </c>
      <c r="P528" s="9">
        <v>1.1791</v>
      </c>
      <c r="Q528" s="9">
        <v>19.053000000000001</v>
      </c>
      <c r="R528" s="9"/>
      <c r="S528" s="11"/>
    </row>
    <row r="529" spans="1:19" ht="15.75">
      <c r="A529" s="13">
        <v>58014</v>
      </c>
      <c r="B529" s="8">
        <f>14.9573 * CHOOSE(CONTROL!$C$14, $D$10, 100%, $F$10)</f>
        <v>14.9573</v>
      </c>
      <c r="C529" s="8">
        <f>14.9627 * CHOOSE(CONTROL!$C$14, $D$10, 100%, $F$10)</f>
        <v>14.9627</v>
      </c>
      <c r="D529" s="8">
        <f>14.9727 * CHOOSE( CONTROL!$C$14, $D$10, 100%, $F$10)</f>
        <v>14.9727</v>
      </c>
      <c r="E529" s="12">
        <f>14.9688 * CHOOSE( CONTROL!$C$14, $D$10, 100%, $F$10)</f>
        <v>14.9688</v>
      </c>
      <c r="F529" s="4">
        <f>15.6406 * CHOOSE(CONTROL!$C$14, $D$10, 100%, $F$10)</f>
        <v>15.640599999999999</v>
      </c>
      <c r="G529" s="8">
        <f>14.6815 * CHOOSE( CONTROL!$C$14, $D$10, 100%, $F$10)</f>
        <v>14.6815</v>
      </c>
      <c r="H529" s="4">
        <f>15.61 * CHOOSE(CONTROL!$C$14, $D$10, 100%, $F$10)</f>
        <v>15.61</v>
      </c>
      <c r="I529" s="8">
        <f>14.5316 * CHOOSE(CONTROL!$C$14, $D$10, 100%, $F$10)</f>
        <v>14.531599999999999</v>
      </c>
      <c r="J529" s="4">
        <f>14.4297 * CHOOSE(CONTROL!$C$14, $D$10, 100%, $F$10)</f>
        <v>14.4297</v>
      </c>
      <c r="K529" s="4"/>
      <c r="L529" s="9">
        <v>31.095300000000002</v>
      </c>
      <c r="M529" s="9">
        <v>12.063700000000001</v>
      </c>
      <c r="N529" s="9">
        <v>4.9444999999999997</v>
      </c>
      <c r="O529" s="9">
        <v>0.37409999999999999</v>
      </c>
      <c r="P529" s="9">
        <v>1.2183999999999999</v>
      </c>
      <c r="Q529" s="9">
        <v>19.688099999999999</v>
      </c>
      <c r="R529" s="9"/>
      <c r="S529" s="11"/>
    </row>
    <row r="530" spans="1:19" ht="15.75">
      <c r="A530" s="13">
        <v>58044</v>
      </c>
      <c r="B530" s="8">
        <f>16.1288 * CHOOSE(CONTROL!$C$14, $D$10, 100%, $F$10)</f>
        <v>16.128799999999998</v>
      </c>
      <c r="C530" s="8">
        <f>16.1339 * CHOOSE(CONTROL!$C$14, $D$10, 100%, $F$10)</f>
        <v>16.133900000000001</v>
      </c>
      <c r="D530" s="8">
        <f>16.1101 * CHOOSE( CONTROL!$C$14, $D$10, 100%, $F$10)</f>
        <v>16.110099999999999</v>
      </c>
      <c r="E530" s="12">
        <f>16.1183 * CHOOSE( CONTROL!$C$14, $D$10, 100%, $F$10)</f>
        <v>16.118300000000001</v>
      </c>
      <c r="F530" s="4">
        <f>16.7763 * CHOOSE(CONTROL!$C$14, $D$10, 100%, $F$10)</f>
        <v>16.776299999999999</v>
      </c>
      <c r="G530" s="8">
        <f>15.8437 * CHOOSE( CONTROL!$C$14, $D$10, 100%, $F$10)</f>
        <v>15.8437</v>
      </c>
      <c r="H530" s="4">
        <f>16.7268 * CHOOSE(CONTROL!$C$14, $D$10, 100%, $F$10)</f>
        <v>16.726800000000001</v>
      </c>
      <c r="I530" s="8">
        <f>15.6955 * CHOOSE(CONTROL!$C$14, $D$10, 100%, $F$10)</f>
        <v>15.695499999999999</v>
      </c>
      <c r="J530" s="4">
        <f>15.5625 * CHOOSE(CONTROL!$C$14, $D$10, 100%, $F$10)</f>
        <v>15.5625</v>
      </c>
      <c r="K530" s="4"/>
      <c r="L530" s="9">
        <v>28.360600000000002</v>
      </c>
      <c r="M530" s="9">
        <v>11.6745</v>
      </c>
      <c r="N530" s="9">
        <v>4.7850000000000001</v>
      </c>
      <c r="O530" s="9">
        <v>0.36199999999999999</v>
      </c>
      <c r="P530" s="9">
        <v>1.2509999999999999</v>
      </c>
      <c r="Q530" s="9">
        <v>19.053000000000001</v>
      </c>
      <c r="R530" s="9"/>
      <c r="S530" s="11"/>
    </row>
    <row r="531" spans="1:19" ht="15.75">
      <c r="A531" s="13">
        <v>58075</v>
      </c>
      <c r="B531" s="8">
        <f>16.0995 * CHOOSE(CONTROL!$C$14, $D$10, 100%, $F$10)</f>
        <v>16.099499999999999</v>
      </c>
      <c r="C531" s="8">
        <f>16.1046 * CHOOSE(CONTROL!$C$14, $D$10, 100%, $F$10)</f>
        <v>16.104600000000001</v>
      </c>
      <c r="D531" s="8">
        <f>16.0822 * CHOOSE( CONTROL!$C$14, $D$10, 100%, $F$10)</f>
        <v>16.0822</v>
      </c>
      <c r="E531" s="12">
        <f>16.0898 * CHOOSE( CONTROL!$C$14, $D$10, 100%, $F$10)</f>
        <v>16.0898</v>
      </c>
      <c r="F531" s="4">
        <f>16.747 * CHOOSE(CONTROL!$C$14, $D$10, 100%, $F$10)</f>
        <v>16.747</v>
      </c>
      <c r="G531" s="8">
        <f>15.8159 * CHOOSE( CONTROL!$C$14, $D$10, 100%, $F$10)</f>
        <v>15.815899999999999</v>
      </c>
      <c r="H531" s="4">
        <f>16.698 * CHOOSE(CONTROL!$C$14, $D$10, 100%, $F$10)</f>
        <v>16.698</v>
      </c>
      <c r="I531" s="8">
        <f>15.6716 * CHOOSE(CONTROL!$C$14, $D$10, 100%, $F$10)</f>
        <v>15.6716</v>
      </c>
      <c r="J531" s="4">
        <f>15.5342 * CHOOSE(CONTROL!$C$14, $D$10, 100%, $F$10)</f>
        <v>15.5342</v>
      </c>
      <c r="K531" s="4"/>
      <c r="L531" s="9">
        <v>29.306000000000001</v>
      </c>
      <c r="M531" s="9">
        <v>12.063700000000001</v>
      </c>
      <c r="N531" s="9">
        <v>4.9444999999999997</v>
      </c>
      <c r="O531" s="9">
        <v>0.37409999999999999</v>
      </c>
      <c r="P531" s="9">
        <v>1.2927</v>
      </c>
      <c r="Q531" s="9">
        <v>19.688099999999999</v>
      </c>
      <c r="R531" s="9"/>
      <c r="S531" s="11"/>
    </row>
    <row r="532" spans="1:19" ht="15.75">
      <c r="A532" s="13">
        <v>58106</v>
      </c>
      <c r="B532" s="8">
        <f>16.7137 * CHOOSE(CONTROL!$C$14, $D$10, 100%, $F$10)</f>
        <v>16.713699999999999</v>
      </c>
      <c r="C532" s="8">
        <f>16.7188 * CHOOSE(CONTROL!$C$14, $D$10, 100%, $F$10)</f>
        <v>16.718800000000002</v>
      </c>
      <c r="D532" s="8">
        <f>16.7146 * CHOOSE( CONTROL!$C$14, $D$10, 100%, $F$10)</f>
        <v>16.714600000000001</v>
      </c>
      <c r="E532" s="12">
        <f>16.7156 * CHOOSE( CONTROL!$C$14, $D$10, 100%, $F$10)</f>
        <v>16.715599999999998</v>
      </c>
      <c r="F532" s="4">
        <f>17.3922 * CHOOSE(CONTROL!$C$14, $D$10, 100%, $F$10)</f>
        <v>17.392199999999999</v>
      </c>
      <c r="G532" s="8">
        <f>16.4341 * CHOOSE( CONTROL!$C$14, $D$10, 100%, $F$10)</f>
        <v>16.434100000000001</v>
      </c>
      <c r="H532" s="4">
        <f>17.3325 * CHOOSE(CONTROL!$C$14, $D$10, 100%, $F$10)</f>
        <v>17.3325</v>
      </c>
      <c r="I532" s="8">
        <f>16.2446 * CHOOSE(CONTROL!$C$14, $D$10, 100%, $F$10)</f>
        <v>16.244599999999998</v>
      </c>
      <c r="J532" s="4">
        <f>16.1279 * CHOOSE(CONTROL!$C$14, $D$10, 100%, $F$10)</f>
        <v>16.1279</v>
      </c>
      <c r="K532" s="4"/>
      <c r="L532" s="9">
        <v>29.306000000000001</v>
      </c>
      <c r="M532" s="9">
        <v>12.063700000000001</v>
      </c>
      <c r="N532" s="9">
        <v>4.9444999999999997</v>
      </c>
      <c r="O532" s="9">
        <v>0.37409999999999999</v>
      </c>
      <c r="P532" s="9">
        <v>1.2927</v>
      </c>
      <c r="Q532" s="9">
        <v>19.688099999999999</v>
      </c>
      <c r="R532" s="9"/>
      <c r="S532" s="11"/>
    </row>
    <row r="533" spans="1:19" ht="15.75">
      <c r="A533" s="13">
        <v>58134</v>
      </c>
      <c r="B533" s="8">
        <f>15.6351 * CHOOSE(CONTROL!$C$14, $D$10, 100%, $F$10)</f>
        <v>15.6351</v>
      </c>
      <c r="C533" s="8">
        <f>15.6402 * CHOOSE(CONTROL!$C$14, $D$10, 100%, $F$10)</f>
        <v>15.6402</v>
      </c>
      <c r="D533" s="8">
        <f>15.6301 * CHOOSE( CONTROL!$C$14, $D$10, 100%, $F$10)</f>
        <v>15.630100000000001</v>
      </c>
      <c r="E533" s="12">
        <f>15.6332 * CHOOSE( CONTROL!$C$14, $D$10, 100%, $F$10)</f>
        <v>15.6332</v>
      </c>
      <c r="F533" s="4">
        <f>16.2877 * CHOOSE(CONTROL!$C$14, $D$10, 100%, $F$10)</f>
        <v>16.287700000000001</v>
      </c>
      <c r="G533" s="8">
        <f>15.3653 * CHOOSE( CONTROL!$C$14, $D$10, 100%, $F$10)</f>
        <v>15.3653</v>
      </c>
      <c r="H533" s="4">
        <f>16.2464 * CHOOSE(CONTROL!$C$14, $D$10, 100%, $F$10)</f>
        <v>16.246400000000001</v>
      </c>
      <c r="I533" s="8">
        <f>15.1921 * CHOOSE(CONTROL!$C$14, $D$10, 100%, $F$10)</f>
        <v>15.1921</v>
      </c>
      <c r="J533" s="4">
        <f>15.0853 * CHOOSE(CONTROL!$C$14, $D$10, 100%, $F$10)</f>
        <v>15.0853</v>
      </c>
      <c r="K533" s="4"/>
      <c r="L533" s="9">
        <v>26.469899999999999</v>
      </c>
      <c r="M533" s="9">
        <v>10.8962</v>
      </c>
      <c r="N533" s="9">
        <v>4.4660000000000002</v>
      </c>
      <c r="O533" s="9">
        <v>0.33789999999999998</v>
      </c>
      <c r="P533" s="9">
        <v>1.1676</v>
      </c>
      <c r="Q533" s="9">
        <v>17.782800000000002</v>
      </c>
      <c r="R533" s="9"/>
      <c r="S533" s="11"/>
    </row>
    <row r="534" spans="1:19" ht="15.75">
      <c r="A534" s="13">
        <v>58165</v>
      </c>
      <c r="B534" s="8">
        <f>15.3029 * CHOOSE(CONTROL!$C$14, $D$10, 100%, $F$10)</f>
        <v>15.302899999999999</v>
      </c>
      <c r="C534" s="8">
        <f>15.308 * CHOOSE(CONTROL!$C$14, $D$10, 100%, $F$10)</f>
        <v>15.308</v>
      </c>
      <c r="D534" s="8">
        <f>15.2914 * CHOOSE( CONTROL!$C$14, $D$10, 100%, $F$10)</f>
        <v>15.291399999999999</v>
      </c>
      <c r="E534" s="12">
        <f>15.2969 * CHOOSE( CONTROL!$C$14, $D$10, 100%, $F$10)</f>
        <v>15.296900000000001</v>
      </c>
      <c r="F534" s="4">
        <f>15.9556 * CHOOSE(CONTROL!$C$14, $D$10, 100%, $F$10)</f>
        <v>15.9556</v>
      </c>
      <c r="G534" s="8">
        <f>15.0304 * CHOOSE( CONTROL!$C$14, $D$10, 100%, $F$10)</f>
        <v>15.0304</v>
      </c>
      <c r="H534" s="4">
        <f>15.9197 * CHOOSE(CONTROL!$C$14, $D$10, 100%, $F$10)</f>
        <v>15.919700000000001</v>
      </c>
      <c r="I534" s="8">
        <f>14.8507 * CHOOSE(CONTROL!$C$14, $D$10, 100%, $F$10)</f>
        <v>14.8507</v>
      </c>
      <c r="J534" s="4">
        <f>14.7641 * CHOOSE(CONTROL!$C$14, $D$10, 100%, $F$10)</f>
        <v>14.764099999999999</v>
      </c>
      <c r="K534" s="4"/>
      <c r="L534" s="9">
        <v>29.306000000000001</v>
      </c>
      <c r="M534" s="9">
        <v>12.063700000000001</v>
      </c>
      <c r="N534" s="9">
        <v>4.9444999999999997</v>
      </c>
      <c r="O534" s="9">
        <v>0.37409999999999999</v>
      </c>
      <c r="P534" s="9">
        <v>1.2927</v>
      </c>
      <c r="Q534" s="9">
        <v>19.688099999999999</v>
      </c>
      <c r="R534" s="9"/>
      <c r="S534" s="11"/>
    </row>
    <row r="535" spans="1:19" ht="15.75">
      <c r="A535" s="13">
        <v>58195</v>
      </c>
      <c r="B535" s="8">
        <f>15.5358 * CHOOSE(CONTROL!$C$14, $D$10, 100%, $F$10)</f>
        <v>15.5358</v>
      </c>
      <c r="C535" s="8">
        <f>15.5403 * CHOOSE(CONTROL!$C$14, $D$10, 100%, $F$10)</f>
        <v>15.5403</v>
      </c>
      <c r="D535" s="8">
        <f>15.5499 * CHOOSE( CONTROL!$C$14, $D$10, 100%, $F$10)</f>
        <v>15.549899999999999</v>
      </c>
      <c r="E535" s="12">
        <f>15.5462 * CHOOSE( CONTROL!$C$14, $D$10, 100%, $F$10)</f>
        <v>15.546200000000001</v>
      </c>
      <c r="F535" s="4">
        <f>16.2187 * CHOOSE(CONTROL!$C$14, $D$10, 100%, $F$10)</f>
        <v>16.218699999999998</v>
      </c>
      <c r="G535" s="8">
        <f>15.2486 * CHOOSE( CONTROL!$C$14, $D$10, 100%, $F$10)</f>
        <v>15.2486</v>
      </c>
      <c r="H535" s="4">
        <f>16.1785 * CHOOSE(CONTROL!$C$14, $D$10, 100%, $F$10)</f>
        <v>16.1785</v>
      </c>
      <c r="I535" s="8">
        <f>15.0861 * CHOOSE(CONTROL!$C$14, $D$10, 100%, $F$10)</f>
        <v>15.0861</v>
      </c>
      <c r="J535" s="4">
        <f>14.9885 * CHOOSE(CONTROL!$C$14, $D$10, 100%, $F$10)</f>
        <v>14.9885</v>
      </c>
      <c r="K535" s="4"/>
      <c r="L535" s="9">
        <v>30.092199999999998</v>
      </c>
      <c r="M535" s="9">
        <v>11.6745</v>
      </c>
      <c r="N535" s="9">
        <v>4.7850000000000001</v>
      </c>
      <c r="O535" s="9">
        <v>0.36199999999999999</v>
      </c>
      <c r="P535" s="9">
        <v>1.1791</v>
      </c>
      <c r="Q535" s="9">
        <v>19.053000000000001</v>
      </c>
      <c r="R535" s="9"/>
      <c r="S535" s="11"/>
    </row>
    <row r="536" spans="1:19" ht="15.75">
      <c r="A536" s="13">
        <v>58226</v>
      </c>
      <c r="B536" s="8">
        <f>CHOOSE( CONTROL!$C$31, 15.9532, 15.9503) * CHOOSE(CONTROL!$C$14, $D$10, 100%, $F$10)</f>
        <v>15.953200000000001</v>
      </c>
      <c r="C536" s="8">
        <f>CHOOSE( CONTROL!$C$31, 15.9612, 15.9583) * CHOOSE(CONTROL!$C$14, $D$10, 100%, $F$10)</f>
        <v>15.9612</v>
      </c>
      <c r="D536" s="8">
        <f>CHOOSE( CONTROL!$C$31, 15.9659, 15.9629) * CHOOSE( CONTROL!$C$14, $D$10, 100%, $F$10)</f>
        <v>15.9659</v>
      </c>
      <c r="E536" s="12">
        <f>CHOOSE( CONTROL!$C$31, 15.963, 15.96) * CHOOSE( CONTROL!$C$14, $D$10, 100%, $F$10)</f>
        <v>15.962999999999999</v>
      </c>
      <c r="F536" s="4">
        <f>CHOOSE( CONTROL!$C$31, 16.6348, 16.6319) * CHOOSE(CONTROL!$C$14, $D$10, 100%, $F$10)</f>
        <v>16.634799999999998</v>
      </c>
      <c r="G536" s="8">
        <f>CHOOSE( CONTROL!$C$31, 15.6587, 15.6558) * CHOOSE( CONTROL!$C$14, $D$10, 100%, $F$10)</f>
        <v>15.6587</v>
      </c>
      <c r="H536" s="4">
        <f>CHOOSE( CONTROL!$C$31, 16.5877, 16.5848) * CHOOSE(CONTROL!$C$14, $D$10, 100%, $F$10)</f>
        <v>16.587700000000002</v>
      </c>
      <c r="I536" s="8">
        <f>CHOOSE( CONTROL!$C$31, 15.4896, 15.4868) * CHOOSE(CONTROL!$C$14, $D$10, 100%, $F$10)</f>
        <v>15.489599999999999</v>
      </c>
      <c r="J536" s="4">
        <f>CHOOSE( CONTROL!$C$31, 15.3908, 15.3879) * CHOOSE(CONTROL!$C$14, $D$10, 100%, $F$10)</f>
        <v>15.3908</v>
      </c>
      <c r="K536" s="4"/>
      <c r="L536" s="9">
        <v>30.7165</v>
      </c>
      <c r="M536" s="9">
        <v>12.063700000000001</v>
      </c>
      <c r="N536" s="9">
        <v>4.9444999999999997</v>
      </c>
      <c r="O536" s="9">
        <v>0.37409999999999999</v>
      </c>
      <c r="P536" s="9">
        <v>1.2183999999999999</v>
      </c>
      <c r="Q536" s="9">
        <v>19.688099999999999</v>
      </c>
      <c r="R536" s="9"/>
      <c r="S536" s="11"/>
    </row>
    <row r="537" spans="1:19" ht="15.75">
      <c r="A537" s="13">
        <v>58256</v>
      </c>
      <c r="B537" s="8">
        <f>CHOOSE( CONTROL!$C$31, 15.6973, 15.6944) * CHOOSE(CONTROL!$C$14, $D$10, 100%, $F$10)</f>
        <v>15.6973</v>
      </c>
      <c r="C537" s="8">
        <f>CHOOSE( CONTROL!$C$31, 15.7053, 15.7024) * CHOOSE(CONTROL!$C$14, $D$10, 100%, $F$10)</f>
        <v>15.705299999999999</v>
      </c>
      <c r="D537" s="8">
        <f>CHOOSE( CONTROL!$C$31, 15.7102, 15.7073) * CHOOSE( CONTROL!$C$14, $D$10, 100%, $F$10)</f>
        <v>15.7102</v>
      </c>
      <c r="E537" s="12">
        <f>CHOOSE( CONTROL!$C$31, 15.7072, 15.7043) * CHOOSE( CONTROL!$C$14, $D$10, 100%, $F$10)</f>
        <v>15.7072</v>
      </c>
      <c r="F537" s="4">
        <f>CHOOSE( CONTROL!$C$31, 16.3789, 16.3759) * CHOOSE(CONTROL!$C$14, $D$10, 100%, $F$10)</f>
        <v>16.378900000000002</v>
      </c>
      <c r="G537" s="8">
        <f>CHOOSE( CONTROL!$C$31, 15.4074, 15.4045) * CHOOSE( CONTROL!$C$14, $D$10, 100%, $F$10)</f>
        <v>15.407400000000001</v>
      </c>
      <c r="H537" s="4">
        <f>CHOOSE( CONTROL!$C$31, 16.336, 16.3331) * CHOOSE(CONTROL!$C$14, $D$10, 100%, $F$10)</f>
        <v>16.335999999999999</v>
      </c>
      <c r="I537" s="8">
        <f>CHOOSE( CONTROL!$C$31, 15.2433, 15.2405) * CHOOSE(CONTROL!$C$14, $D$10, 100%, $F$10)</f>
        <v>15.2433</v>
      </c>
      <c r="J537" s="4">
        <f>CHOOSE( CONTROL!$C$31, 15.1434, 15.1405) * CHOOSE(CONTROL!$C$14, $D$10, 100%, $F$10)</f>
        <v>15.1434</v>
      </c>
      <c r="K537" s="4"/>
      <c r="L537" s="9">
        <v>29.7257</v>
      </c>
      <c r="M537" s="9">
        <v>11.6745</v>
      </c>
      <c r="N537" s="9">
        <v>4.7850000000000001</v>
      </c>
      <c r="O537" s="9">
        <v>0.36199999999999999</v>
      </c>
      <c r="P537" s="9">
        <v>1.1791</v>
      </c>
      <c r="Q537" s="9">
        <v>19.053000000000001</v>
      </c>
      <c r="R537" s="9"/>
      <c r="S537" s="11"/>
    </row>
    <row r="538" spans="1:19" ht="15.75">
      <c r="A538" s="13">
        <v>58287</v>
      </c>
      <c r="B538" s="8">
        <f>CHOOSE( CONTROL!$C$31, 16.3712, 16.3683) * CHOOSE(CONTROL!$C$14, $D$10, 100%, $F$10)</f>
        <v>16.371200000000002</v>
      </c>
      <c r="C538" s="8">
        <f>CHOOSE( CONTROL!$C$31, 16.3793, 16.3763) * CHOOSE(CONTROL!$C$14, $D$10, 100%, $F$10)</f>
        <v>16.379300000000001</v>
      </c>
      <c r="D538" s="8">
        <f>CHOOSE( CONTROL!$C$31, 16.3844, 16.3815) * CHOOSE( CONTROL!$C$14, $D$10, 100%, $F$10)</f>
        <v>16.384399999999999</v>
      </c>
      <c r="E538" s="12">
        <f>CHOOSE( CONTROL!$C$31, 16.3813, 16.3784) * CHOOSE( CONTROL!$C$14, $D$10, 100%, $F$10)</f>
        <v>16.3813</v>
      </c>
      <c r="F538" s="4">
        <f>CHOOSE( CONTROL!$C$31, 17.0528, 17.0499) * CHOOSE(CONTROL!$C$14, $D$10, 100%, $F$10)</f>
        <v>17.052800000000001</v>
      </c>
      <c r="G538" s="8">
        <f>CHOOSE( CONTROL!$C$31, 16.0705, 16.0676) * CHOOSE( CONTROL!$C$14, $D$10, 100%, $F$10)</f>
        <v>16.070499999999999</v>
      </c>
      <c r="H538" s="4">
        <f>CHOOSE( CONTROL!$C$31, 16.9988, 16.9959) * CHOOSE(CONTROL!$C$14, $D$10, 100%, $F$10)</f>
        <v>16.998799999999999</v>
      </c>
      <c r="I538" s="8">
        <f>CHOOSE( CONTROL!$C$31, 15.8963, 15.8935) * CHOOSE(CONTROL!$C$14, $D$10, 100%, $F$10)</f>
        <v>15.8963</v>
      </c>
      <c r="J538" s="4">
        <f>CHOOSE( CONTROL!$C$31, 15.7949, 15.792) * CHOOSE(CONTROL!$C$14, $D$10, 100%, $F$10)</f>
        <v>15.7949</v>
      </c>
      <c r="K538" s="4"/>
      <c r="L538" s="9">
        <v>30.7165</v>
      </c>
      <c r="M538" s="9">
        <v>12.063700000000001</v>
      </c>
      <c r="N538" s="9">
        <v>4.9444999999999997</v>
      </c>
      <c r="O538" s="9">
        <v>0.37409999999999999</v>
      </c>
      <c r="P538" s="9">
        <v>1.2183999999999999</v>
      </c>
      <c r="Q538" s="9">
        <v>19.688099999999999</v>
      </c>
      <c r="R538" s="9"/>
      <c r="S538" s="11"/>
    </row>
    <row r="539" spans="1:19" ht="15.75">
      <c r="A539" s="13">
        <v>58318</v>
      </c>
      <c r="B539" s="8">
        <f>CHOOSE( CONTROL!$C$31, 15.1102, 15.1073) * CHOOSE(CONTROL!$C$14, $D$10, 100%, $F$10)</f>
        <v>15.110200000000001</v>
      </c>
      <c r="C539" s="8">
        <f>CHOOSE( CONTROL!$C$31, 15.1182, 15.1153) * CHOOSE(CONTROL!$C$14, $D$10, 100%, $F$10)</f>
        <v>15.1182</v>
      </c>
      <c r="D539" s="8">
        <f>CHOOSE( CONTROL!$C$31, 15.1234, 15.1205) * CHOOSE( CONTROL!$C$14, $D$10, 100%, $F$10)</f>
        <v>15.1234</v>
      </c>
      <c r="E539" s="12">
        <f>CHOOSE( CONTROL!$C$31, 15.1203, 15.1174) * CHOOSE( CONTROL!$C$14, $D$10, 100%, $F$10)</f>
        <v>15.1203</v>
      </c>
      <c r="F539" s="4">
        <f>CHOOSE( CONTROL!$C$31, 15.7918, 15.7888) * CHOOSE(CONTROL!$C$14, $D$10, 100%, $F$10)</f>
        <v>15.7918</v>
      </c>
      <c r="G539" s="8">
        <f>CHOOSE( CONTROL!$C$31, 14.8305, 14.8277) * CHOOSE( CONTROL!$C$14, $D$10, 100%, $F$10)</f>
        <v>14.830500000000001</v>
      </c>
      <c r="H539" s="4">
        <f>CHOOSE( CONTROL!$C$31, 15.7587, 15.7558) * CHOOSE(CONTROL!$C$14, $D$10, 100%, $F$10)</f>
        <v>15.758699999999999</v>
      </c>
      <c r="I539" s="8">
        <f>CHOOSE( CONTROL!$C$31, 14.6771, 14.6742) * CHOOSE(CONTROL!$C$14, $D$10, 100%, $F$10)</f>
        <v>14.677099999999999</v>
      </c>
      <c r="J539" s="4">
        <f>CHOOSE( CONTROL!$C$31, 14.5758, 14.573) * CHOOSE(CONTROL!$C$14, $D$10, 100%, $F$10)</f>
        <v>14.575799999999999</v>
      </c>
      <c r="K539" s="4"/>
      <c r="L539" s="9">
        <v>30.7165</v>
      </c>
      <c r="M539" s="9">
        <v>12.063700000000001</v>
      </c>
      <c r="N539" s="9">
        <v>4.9444999999999997</v>
      </c>
      <c r="O539" s="9">
        <v>0.37409999999999999</v>
      </c>
      <c r="P539" s="9">
        <v>1.2183999999999999</v>
      </c>
      <c r="Q539" s="9">
        <v>19.688099999999999</v>
      </c>
      <c r="R539" s="9"/>
      <c r="S539" s="11"/>
    </row>
    <row r="540" spans="1:19" ht="15.75">
      <c r="A540" s="13">
        <v>58348</v>
      </c>
      <c r="B540" s="8">
        <f>CHOOSE( CONTROL!$C$31, 14.7945, 14.7915) * CHOOSE(CONTROL!$C$14, $D$10, 100%, $F$10)</f>
        <v>14.794499999999999</v>
      </c>
      <c r="C540" s="8">
        <f>CHOOSE( CONTROL!$C$31, 14.8025, 14.7995) * CHOOSE(CONTROL!$C$14, $D$10, 100%, $F$10)</f>
        <v>14.8025</v>
      </c>
      <c r="D540" s="8">
        <f>CHOOSE( CONTROL!$C$31, 14.8077, 14.8047) * CHOOSE( CONTROL!$C$14, $D$10, 100%, $F$10)</f>
        <v>14.807700000000001</v>
      </c>
      <c r="E540" s="12">
        <f>CHOOSE( CONTROL!$C$31, 14.8046, 14.8016) * CHOOSE( CONTROL!$C$14, $D$10, 100%, $F$10)</f>
        <v>14.804600000000001</v>
      </c>
      <c r="F540" s="4">
        <f>CHOOSE( CONTROL!$C$31, 15.476, 15.4731) * CHOOSE(CONTROL!$C$14, $D$10, 100%, $F$10)</f>
        <v>15.476000000000001</v>
      </c>
      <c r="G540" s="8">
        <f>CHOOSE( CONTROL!$C$31, 14.52, 14.5171) * CHOOSE( CONTROL!$C$14, $D$10, 100%, $F$10)</f>
        <v>14.52</v>
      </c>
      <c r="H540" s="4">
        <f>CHOOSE( CONTROL!$C$31, 15.4481, 15.4453) * CHOOSE(CONTROL!$C$14, $D$10, 100%, $F$10)</f>
        <v>15.4481</v>
      </c>
      <c r="I540" s="8">
        <f>CHOOSE( CONTROL!$C$31, 14.3716, 14.3688) * CHOOSE(CONTROL!$C$14, $D$10, 100%, $F$10)</f>
        <v>14.371600000000001</v>
      </c>
      <c r="J540" s="4">
        <f>CHOOSE( CONTROL!$C$31, 14.2706, 14.2677) * CHOOSE(CONTROL!$C$14, $D$10, 100%, $F$10)</f>
        <v>14.2706</v>
      </c>
      <c r="K540" s="4"/>
      <c r="L540" s="9">
        <v>29.7257</v>
      </c>
      <c r="M540" s="9">
        <v>11.6745</v>
      </c>
      <c r="N540" s="9">
        <v>4.7850000000000001</v>
      </c>
      <c r="O540" s="9">
        <v>0.36199999999999999</v>
      </c>
      <c r="P540" s="9">
        <v>1.1791</v>
      </c>
      <c r="Q540" s="9">
        <v>19.053000000000001</v>
      </c>
      <c r="R540" s="9"/>
      <c r="S540" s="11"/>
    </row>
    <row r="541" spans="1:19" ht="15.75">
      <c r="A541" s="13">
        <v>58379</v>
      </c>
      <c r="B541" s="8">
        <f>15.4455 * CHOOSE(CONTROL!$C$14, $D$10, 100%, $F$10)</f>
        <v>15.445499999999999</v>
      </c>
      <c r="C541" s="8">
        <f>15.4508 * CHOOSE(CONTROL!$C$14, $D$10, 100%, $F$10)</f>
        <v>15.450799999999999</v>
      </c>
      <c r="D541" s="8">
        <f>15.4608 * CHOOSE( CONTROL!$C$14, $D$10, 100%, $F$10)</f>
        <v>15.460800000000001</v>
      </c>
      <c r="E541" s="12">
        <f>15.4569 * CHOOSE( CONTROL!$C$14, $D$10, 100%, $F$10)</f>
        <v>15.456899999999999</v>
      </c>
      <c r="F541" s="4">
        <f>16.1287 * CHOOSE(CONTROL!$C$14, $D$10, 100%, $F$10)</f>
        <v>16.128699999999998</v>
      </c>
      <c r="G541" s="8">
        <f>15.1615 * CHOOSE( CONTROL!$C$14, $D$10, 100%, $F$10)</f>
        <v>15.1615</v>
      </c>
      <c r="H541" s="4">
        <f>16.0901 * CHOOSE(CONTROL!$C$14, $D$10, 100%, $F$10)</f>
        <v>16.0901</v>
      </c>
      <c r="I541" s="8">
        <f>15.0037 * CHOOSE(CONTROL!$C$14, $D$10, 100%, $F$10)</f>
        <v>15.0037</v>
      </c>
      <c r="J541" s="4">
        <f>14.9016 * CHOOSE(CONTROL!$C$14, $D$10, 100%, $F$10)</f>
        <v>14.9016</v>
      </c>
      <c r="K541" s="4"/>
      <c r="L541" s="9">
        <v>31.095300000000002</v>
      </c>
      <c r="M541" s="9">
        <v>12.063700000000001</v>
      </c>
      <c r="N541" s="9">
        <v>4.9444999999999997</v>
      </c>
      <c r="O541" s="9">
        <v>0.37409999999999999</v>
      </c>
      <c r="P541" s="9">
        <v>1.2183999999999999</v>
      </c>
      <c r="Q541" s="9">
        <v>19.688099999999999</v>
      </c>
      <c r="R541" s="9"/>
      <c r="S541" s="11"/>
    </row>
    <row r="542" spans="1:19" ht="15.75">
      <c r="A542" s="13">
        <v>58409</v>
      </c>
      <c r="B542" s="8">
        <f>16.6553 * CHOOSE(CONTROL!$C$14, $D$10, 100%, $F$10)</f>
        <v>16.6553</v>
      </c>
      <c r="C542" s="8">
        <f>16.6604 * CHOOSE(CONTROL!$C$14, $D$10, 100%, $F$10)</f>
        <v>16.660399999999999</v>
      </c>
      <c r="D542" s="8">
        <f>16.6366 * CHOOSE( CONTROL!$C$14, $D$10, 100%, $F$10)</f>
        <v>16.636600000000001</v>
      </c>
      <c r="E542" s="12">
        <f>16.6448 * CHOOSE( CONTROL!$C$14, $D$10, 100%, $F$10)</f>
        <v>16.6448</v>
      </c>
      <c r="F542" s="4">
        <f>17.3027 * CHOOSE(CONTROL!$C$14, $D$10, 100%, $F$10)</f>
        <v>17.302700000000002</v>
      </c>
      <c r="G542" s="8">
        <f>16.3615 * CHOOSE( CONTROL!$C$14, $D$10, 100%, $F$10)</f>
        <v>16.361499999999999</v>
      </c>
      <c r="H542" s="4">
        <f>17.2446 * CHOOSE(CONTROL!$C$14, $D$10, 100%, $F$10)</f>
        <v>17.244599999999998</v>
      </c>
      <c r="I542" s="8">
        <f>16.2047 * CHOOSE(CONTROL!$C$14, $D$10, 100%, $F$10)</f>
        <v>16.204699999999999</v>
      </c>
      <c r="J542" s="4">
        <f>16.0715 * CHOOSE(CONTROL!$C$14, $D$10, 100%, $F$10)</f>
        <v>16.0715</v>
      </c>
      <c r="K542" s="4"/>
      <c r="L542" s="9">
        <v>28.360600000000002</v>
      </c>
      <c r="M542" s="9">
        <v>11.6745</v>
      </c>
      <c r="N542" s="9">
        <v>4.7850000000000001</v>
      </c>
      <c r="O542" s="9">
        <v>0.36199999999999999</v>
      </c>
      <c r="P542" s="9">
        <v>1.2509999999999999</v>
      </c>
      <c r="Q542" s="9">
        <v>19.053000000000001</v>
      </c>
      <c r="R542" s="9"/>
      <c r="S542" s="11"/>
    </row>
    <row r="543" spans="1:19" ht="15.75">
      <c r="A543" s="13">
        <v>58440</v>
      </c>
      <c r="B543" s="8">
        <f>16.625 * CHOOSE(CONTROL!$C$14, $D$10, 100%, $F$10)</f>
        <v>16.625</v>
      </c>
      <c r="C543" s="8">
        <f>16.6301 * CHOOSE(CONTROL!$C$14, $D$10, 100%, $F$10)</f>
        <v>16.630099999999999</v>
      </c>
      <c r="D543" s="8">
        <f>16.6077 * CHOOSE( CONTROL!$C$14, $D$10, 100%, $F$10)</f>
        <v>16.607700000000001</v>
      </c>
      <c r="E543" s="12">
        <f>16.6153 * CHOOSE( CONTROL!$C$14, $D$10, 100%, $F$10)</f>
        <v>16.615300000000001</v>
      </c>
      <c r="F543" s="4">
        <f>17.2725 * CHOOSE(CONTROL!$C$14, $D$10, 100%, $F$10)</f>
        <v>17.272500000000001</v>
      </c>
      <c r="G543" s="8">
        <f>16.3327 * CHOOSE( CONTROL!$C$14, $D$10, 100%, $F$10)</f>
        <v>16.332699999999999</v>
      </c>
      <c r="H543" s="4">
        <f>17.2149 * CHOOSE(CONTROL!$C$14, $D$10, 100%, $F$10)</f>
        <v>17.2149</v>
      </c>
      <c r="I543" s="8">
        <f>16.1798 * CHOOSE(CONTROL!$C$14, $D$10, 100%, $F$10)</f>
        <v>16.1798</v>
      </c>
      <c r="J543" s="4">
        <f>16.0422 * CHOOSE(CONTROL!$C$14, $D$10, 100%, $F$10)</f>
        <v>16.042200000000001</v>
      </c>
      <c r="K543" s="4"/>
      <c r="L543" s="9">
        <v>29.306000000000001</v>
      </c>
      <c r="M543" s="9">
        <v>12.063700000000001</v>
      </c>
      <c r="N543" s="9">
        <v>4.9444999999999997</v>
      </c>
      <c r="O543" s="9">
        <v>0.37409999999999999</v>
      </c>
      <c r="P543" s="9">
        <v>1.2927</v>
      </c>
      <c r="Q543" s="9">
        <v>19.688099999999999</v>
      </c>
      <c r="R543" s="9"/>
      <c r="S543" s="11"/>
    </row>
    <row r="544" spans="1:19" ht="15.75">
      <c r="A544" s="13">
        <v>58471</v>
      </c>
      <c r="B544" s="8">
        <f>17.2593 * CHOOSE(CONTROL!$C$14, $D$10, 100%, $F$10)</f>
        <v>17.2593</v>
      </c>
      <c r="C544" s="8">
        <f>17.2644 * CHOOSE(CONTROL!$C$14, $D$10, 100%, $F$10)</f>
        <v>17.264399999999998</v>
      </c>
      <c r="D544" s="8">
        <f>17.2602 * CHOOSE( CONTROL!$C$14, $D$10, 100%, $F$10)</f>
        <v>17.260200000000001</v>
      </c>
      <c r="E544" s="12">
        <f>17.2612 * CHOOSE( CONTROL!$C$14, $D$10, 100%, $F$10)</f>
        <v>17.261199999999999</v>
      </c>
      <c r="F544" s="4">
        <f>17.9378 * CHOOSE(CONTROL!$C$14, $D$10, 100%, $F$10)</f>
        <v>17.937799999999999</v>
      </c>
      <c r="G544" s="8">
        <f>16.9707 * CHOOSE( CONTROL!$C$14, $D$10, 100%, $F$10)</f>
        <v>16.970700000000001</v>
      </c>
      <c r="H544" s="4">
        <f>17.8691 * CHOOSE(CONTROL!$C$14, $D$10, 100%, $F$10)</f>
        <v>17.8691</v>
      </c>
      <c r="I544" s="8">
        <f>16.7723 * CHOOSE(CONTROL!$C$14, $D$10, 100%, $F$10)</f>
        <v>16.772300000000001</v>
      </c>
      <c r="J544" s="4">
        <f>16.6554 * CHOOSE(CONTROL!$C$14, $D$10, 100%, $F$10)</f>
        <v>16.6554</v>
      </c>
      <c r="K544" s="4"/>
      <c r="L544" s="9">
        <v>29.306000000000001</v>
      </c>
      <c r="M544" s="9">
        <v>12.063700000000001</v>
      </c>
      <c r="N544" s="9">
        <v>4.9444999999999997</v>
      </c>
      <c r="O544" s="9">
        <v>0.37409999999999999</v>
      </c>
      <c r="P544" s="9">
        <v>1.2927</v>
      </c>
      <c r="Q544" s="9">
        <v>19.688099999999999</v>
      </c>
      <c r="R544" s="9"/>
      <c r="S544" s="11"/>
    </row>
    <row r="545" spans="1:19" ht="15.75">
      <c r="A545" s="13">
        <v>58499</v>
      </c>
      <c r="B545" s="8">
        <f>16.1454 * CHOOSE(CONTROL!$C$14, $D$10, 100%, $F$10)</f>
        <v>16.145399999999999</v>
      </c>
      <c r="C545" s="8">
        <f>16.1506 * CHOOSE(CONTROL!$C$14, $D$10, 100%, $F$10)</f>
        <v>16.150600000000001</v>
      </c>
      <c r="D545" s="8">
        <f>16.1404 * CHOOSE( CONTROL!$C$14, $D$10, 100%, $F$10)</f>
        <v>16.1404</v>
      </c>
      <c r="E545" s="12">
        <f>16.1436 * CHOOSE( CONTROL!$C$14, $D$10, 100%, $F$10)</f>
        <v>16.143599999999999</v>
      </c>
      <c r="F545" s="4">
        <f>16.7981 * CHOOSE(CONTROL!$C$14, $D$10, 100%, $F$10)</f>
        <v>16.798100000000002</v>
      </c>
      <c r="G545" s="8">
        <f>15.8672 * CHOOSE( CONTROL!$C$14, $D$10, 100%, $F$10)</f>
        <v>15.8672</v>
      </c>
      <c r="H545" s="4">
        <f>16.7483 * CHOOSE(CONTROL!$C$14, $D$10, 100%, $F$10)</f>
        <v>16.7483</v>
      </c>
      <c r="I545" s="8">
        <f>15.6857 * CHOOSE(CONTROL!$C$14, $D$10, 100%, $F$10)</f>
        <v>15.685700000000001</v>
      </c>
      <c r="J545" s="4">
        <f>15.5786 * CHOOSE(CONTROL!$C$14, $D$10, 100%, $F$10)</f>
        <v>15.5786</v>
      </c>
      <c r="K545" s="4"/>
      <c r="L545" s="9">
        <v>27.415299999999998</v>
      </c>
      <c r="M545" s="9">
        <v>11.285299999999999</v>
      </c>
      <c r="N545" s="9">
        <v>4.6254999999999997</v>
      </c>
      <c r="O545" s="9">
        <v>0.34989999999999999</v>
      </c>
      <c r="P545" s="9">
        <v>1.2093</v>
      </c>
      <c r="Q545" s="9">
        <v>18.417899999999999</v>
      </c>
      <c r="R545" s="9"/>
      <c r="S545" s="11"/>
    </row>
    <row r="546" spans="1:19" ht="15.75">
      <c r="A546" s="13">
        <v>58531</v>
      </c>
      <c r="B546" s="8">
        <f>15.8024 * CHOOSE(CONTROL!$C$14, $D$10, 100%, $F$10)</f>
        <v>15.8024</v>
      </c>
      <c r="C546" s="8">
        <f>15.8075 * CHOOSE(CONTROL!$C$14, $D$10, 100%, $F$10)</f>
        <v>15.807499999999999</v>
      </c>
      <c r="D546" s="8">
        <f>15.7909 * CHOOSE( CONTROL!$C$14, $D$10, 100%, $F$10)</f>
        <v>15.790900000000001</v>
      </c>
      <c r="E546" s="12">
        <f>15.7964 * CHOOSE( CONTROL!$C$14, $D$10, 100%, $F$10)</f>
        <v>15.7964</v>
      </c>
      <c r="F546" s="4">
        <f>16.455 * CHOOSE(CONTROL!$C$14, $D$10, 100%, $F$10)</f>
        <v>16.454999999999998</v>
      </c>
      <c r="G546" s="8">
        <f>15.5216 * CHOOSE( CONTROL!$C$14, $D$10, 100%, $F$10)</f>
        <v>15.521599999999999</v>
      </c>
      <c r="H546" s="4">
        <f>16.4109 * CHOOSE(CONTROL!$C$14, $D$10, 100%, $F$10)</f>
        <v>16.410900000000002</v>
      </c>
      <c r="I546" s="8">
        <f>15.3337 * CHOOSE(CONTROL!$C$14, $D$10, 100%, $F$10)</f>
        <v>15.3337</v>
      </c>
      <c r="J546" s="4">
        <f>15.247 * CHOOSE(CONTROL!$C$14, $D$10, 100%, $F$10)</f>
        <v>15.247</v>
      </c>
      <c r="K546" s="4"/>
      <c r="L546" s="9">
        <v>29.306000000000001</v>
      </c>
      <c r="M546" s="9">
        <v>12.063700000000001</v>
      </c>
      <c r="N546" s="9">
        <v>4.9444999999999997</v>
      </c>
      <c r="O546" s="9">
        <v>0.37409999999999999</v>
      </c>
      <c r="P546" s="9">
        <v>1.2927</v>
      </c>
      <c r="Q546" s="9">
        <v>19.688099999999999</v>
      </c>
      <c r="R546" s="9"/>
      <c r="S546" s="11"/>
    </row>
    <row r="547" spans="1:19" ht="15.75">
      <c r="A547" s="13">
        <v>58561</v>
      </c>
      <c r="B547" s="8">
        <f>16.0429 * CHOOSE(CONTROL!$C$14, $D$10, 100%, $F$10)</f>
        <v>16.042899999999999</v>
      </c>
      <c r="C547" s="8">
        <f>16.0474 * CHOOSE(CONTROL!$C$14, $D$10, 100%, $F$10)</f>
        <v>16.0474</v>
      </c>
      <c r="D547" s="8">
        <f>16.0569 * CHOOSE( CONTROL!$C$14, $D$10, 100%, $F$10)</f>
        <v>16.056899999999999</v>
      </c>
      <c r="E547" s="12">
        <f>16.0532 * CHOOSE( CONTROL!$C$14, $D$10, 100%, $F$10)</f>
        <v>16.0532</v>
      </c>
      <c r="F547" s="4">
        <f>16.7258 * CHOOSE(CONTROL!$C$14, $D$10, 100%, $F$10)</f>
        <v>16.7258</v>
      </c>
      <c r="G547" s="8">
        <f>15.7472 * CHOOSE( CONTROL!$C$14, $D$10, 100%, $F$10)</f>
        <v>15.747199999999999</v>
      </c>
      <c r="H547" s="4">
        <f>16.6772 * CHOOSE(CONTROL!$C$14, $D$10, 100%, $F$10)</f>
        <v>16.677199999999999</v>
      </c>
      <c r="I547" s="8">
        <f>15.5766 * CHOOSE(CONTROL!$C$14, $D$10, 100%, $F$10)</f>
        <v>15.576599999999999</v>
      </c>
      <c r="J547" s="4">
        <f>15.4787 * CHOOSE(CONTROL!$C$14, $D$10, 100%, $F$10)</f>
        <v>15.4787</v>
      </c>
      <c r="K547" s="4"/>
      <c r="L547" s="9">
        <v>30.092199999999998</v>
      </c>
      <c r="M547" s="9">
        <v>11.6745</v>
      </c>
      <c r="N547" s="9">
        <v>4.7850000000000001</v>
      </c>
      <c r="O547" s="9">
        <v>0.36199999999999999</v>
      </c>
      <c r="P547" s="9">
        <v>1.1791</v>
      </c>
      <c r="Q547" s="9">
        <v>19.053000000000001</v>
      </c>
      <c r="R547" s="9"/>
      <c r="S547" s="11"/>
    </row>
    <row r="548" spans="1:19" ht="15.75">
      <c r="A548" s="13">
        <v>58592</v>
      </c>
      <c r="B548" s="8">
        <f>CHOOSE( CONTROL!$C$31, 16.4738, 16.4709) * CHOOSE(CONTROL!$C$14, $D$10, 100%, $F$10)</f>
        <v>16.473800000000001</v>
      </c>
      <c r="C548" s="8">
        <f>CHOOSE( CONTROL!$C$31, 16.4818, 16.4789) * CHOOSE(CONTROL!$C$14, $D$10, 100%, $F$10)</f>
        <v>16.4818</v>
      </c>
      <c r="D548" s="8">
        <f>CHOOSE( CONTROL!$C$31, 16.4864, 16.4835) * CHOOSE( CONTROL!$C$14, $D$10, 100%, $F$10)</f>
        <v>16.4864</v>
      </c>
      <c r="E548" s="12">
        <f>CHOOSE( CONTROL!$C$31, 16.4835, 16.4806) * CHOOSE( CONTROL!$C$14, $D$10, 100%, $F$10)</f>
        <v>16.483499999999999</v>
      </c>
      <c r="F548" s="4">
        <f>CHOOSE( CONTROL!$C$31, 17.1554, 17.1524) * CHOOSE(CONTROL!$C$14, $D$10, 100%, $F$10)</f>
        <v>17.1554</v>
      </c>
      <c r="G548" s="8">
        <f>CHOOSE( CONTROL!$C$31, 16.1706, 16.1678) * CHOOSE( CONTROL!$C$14, $D$10, 100%, $F$10)</f>
        <v>16.1706</v>
      </c>
      <c r="H548" s="4">
        <f>CHOOSE( CONTROL!$C$31, 17.0996, 17.0968) * CHOOSE(CONTROL!$C$14, $D$10, 100%, $F$10)</f>
        <v>17.099599999999999</v>
      </c>
      <c r="I548" s="8">
        <f>CHOOSE( CONTROL!$C$31, 15.9931, 15.9903) * CHOOSE(CONTROL!$C$14, $D$10, 100%, $F$10)</f>
        <v>15.9931</v>
      </c>
      <c r="J548" s="4">
        <f>CHOOSE( CONTROL!$C$31, 15.894, 15.8912) * CHOOSE(CONTROL!$C$14, $D$10, 100%, $F$10)</f>
        <v>15.894</v>
      </c>
      <c r="K548" s="4"/>
      <c r="L548" s="9">
        <v>30.7165</v>
      </c>
      <c r="M548" s="9">
        <v>12.063700000000001</v>
      </c>
      <c r="N548" s="9">
        <v>4.9444999999999997</v>
      </c>
      <c r="O548" s="9">
        <v>0.37409999999999999</v>
      </c>
      <c r="P548" s="9">
        <v>1.2183999999999999</v>
      </c>
      <c r="Q548" s="9">
        <v>19.688099999999999</v>
      </c>
      <c r="R548" s="9"/>
      <c r="S548" s="11"/>
    </row>
    <row r="549" spans="1:19" ht="15.75">
      <c r="A549" s="13">
        <v>58622</v>
      </c>
      <c r="B549" s="8">
        <f>CHOOSE( CONTROL!$C$31, 16.2095, 16.2066) * CHOOSE(CONTROL!$C$14, $D$10, 100%, $F$10)</f>
        <v>16.209499999999998</v>
      </c>
      <c r="C549" s="8">
        <f>CHOOSE( CONTROL!$C$31, 16.2175, 16.2146) * CHOOSE(CONTROL!$C$14, $D$10, 100%, $F$10)</f>
        <v>16.217500000000001</v>
      </c>
      <c r="D549" s="8">
        <f>CHOOSE( CONTROL!$C$31, 16.2224, 16.2195) * CHOOSE( CONTROL!$C$14, $D$10, 100%, $F$10)</f>
        <v>16.2224</v>
      </c>
      <c r="E549" s="12">
        <f>CHOOSE( CONTROL!$C$31, 16.2194, 16.2165) * CHOOSE( CONTROL!$C$14, $D$10, 100%, $F$10)</f>
        <v>16.2194</v>
      </c>
      <c r="F549" s="4">
        <f>CHOOSE( CONTROL!$C$31, 16.8911, 16.8881) * CHOOSE(CONTROL!$C$14, $D$10, 100%, $F$10)</f>
        <v>16.891100000000002</v>
      </c>
      <c r="G549" s="8">
        <f>CHOOSE( CONTROL!$C$31, 15.9111, 15.9082) * CHOOSE( CONTROL!$C$14, $D$10, 100%, $F$10)</f>
        <v>15.911099999999999</v>
      </c>
      <c r="H549" s="4">
        <f>CHOOSE( CONTROL!$C$31, 16.8397, 16.8369) * CHOOSE(CONTROL!$C$14, $D$10, 100%, $F$10)</f>
        <v>16.839700000000001</v>
      </c>
      <c r="I549" s="8">
        <f>CHOOSE( CONTROL!$C$31, 15.7387, 15.7359) * CHOOSE(CONTROL!$C$14, $D$10, 100%, $F$10)</f>
        <v>15.7387</v>
      </c>
      <c r="J549" s="4">
        <f>CHOOSE( CONTROL!$C$31, 15.6385, 15.6357) * CHOOSE(CONTROL!$C$14, $D$10, 100%, $F$10)</f>
        <v>15.638500000000001</v>
      </c>
      <c r="K549" s="4"/>
      <c r="L549" s="9">
        <v>29.7257</v>
      </c>
      <c r="M549" s="9">
        <v>11.6745</v>
      </c>
      <c r="N549" s="9">
        <v>4.7850000000000001</v>
      </c>
      <c r="O549" s="9">
        <v>0.36199999999999999</v>
      </c>
      <c r="P549" s="9">
        <v>1.1791</v>
      </c>
      <c r="Q549" s="9">
        <v>19.053000000000001</v>
      </c>
      <c r="R549" s="9"/>
      <c r="S549" s="11"/>
    </row>
    <row r="550" spans="1:19" ht="15.75">
      <c r="A550" s="13">
        <v>58653</v>
      </c>
      <c r="B550" s="8">
        <f>CHOOSE( CONTROL!$C$31, 16.9055, 16.9026) * CHOOSE(CONTROL!$C$14, $D$10, 100%, $F$10)</f>
        <v>16.9055</v>
      </c>
      <c r="C550" s="8">
        <f>CHOOSE( CONTROL!$C$31, 16.9135, 16.9106) * CHOOSE(CONTROL!$C$14, $D$10, 100%, $F$10)</f>
        <v>16.913499999999999</v>
      </c>
      <c r="D550" s="8">
        <f>CHOOSE( CONTROL!$C$31, 16.9186, 16.9157) * CHOOSE( CONTROL!$C$14, $D$10, 100%, $F$10)</f>
        <v>16.918600000000001</v>
      </c>
      <c r="E550" s="12">
        <f>CHOOSE( CONTROL!$C$31, 16.9155, 16.9126) * CHOOSE( CONTROL!$C$14, $D$10, 100%, $F$10)</f>
        <v>16.915500000000002</v>
      </c>
      <c r="F550" s="4">
        <f>CHOOSE( CONTROL!$C$31, 17.587, 17.5841) * CHOOSE(CONTROL!$C$14, $D$10, 100%, $F$10)</f>
        <v>17.587</v>
      </c>
      <c r="G550" s="8">
        <f>CHOOSE( CONTROL!$C$31, 16.5959, 16.593) * CHOOSE( CONTROL!$C$14, $D$10, 100%, $F$10)</f>
        <v>16.5959</v>
      </c>
      <c r="H550" s="4">
        <f>CHOOSE( CONTROL!$C$31, 17.5242, 17.5213) * CHOOSE(CONTROL!$C$14, $D$10, 100%, $F$10)</f>
        <v>17.5242</v>
      </c>
      <c r="I550" s="8">
        <f>CHOOSE( CONTROL!$C$31, 16.413, 16.4102) * CHOOSE(CONTROL!$C$14, $D$10, 100%, $F$10)</f>
        <v>16.413</v>
      </c>
      <c r="J550" s="4">
        <f>CHOOSE( CONTROL!$C$31, 16.3113, 16.3085) * CHOOSE(CONTROL!$C$14, $D$10, 100%, $F$10)</f>
        <v>16.311299999999999</v>
      </c>
      <c r="K550" s="4"/>
      <c r="L550" s="9">
        <v>30.7165</v>
      </c>
      <c r="M550" s="9">
        <v>12.063700000000001</v>
      </c>
      <c r="N550" s="9">
        <v>4.9444999999999997</v>
      </c>
      <c r="O550" s="9">
        <v>0.37409999999999999</v>
      </c>
      <c r="P550" s="9">
        <v>1.2183999999999999</v>
      </c>
      <c r="Q550" s="9">
        <v>19.688099999999999</v>
      </c>
      <c r="R550" s="9"/>
      <c r="S550" s="11"/>
    </row>
    <row r="551" spans="1:19" ht="15.75">
      <c r="A551" s="13">
        <v>58684</v>
      </c>
      <c r="B551" s="8">
        <f>CHOOSE( CONTROL!$C$31, 15.6032, 15.6003) * CHOOSE(CONTROL!$C$14, $D$10, 100%, $F$10)</f>
        <v>15.603199999999999</v>
      </c>
      <c r="C551" s="8">
        <f>CHOOSE( CONTROL!$C$31, 15.6113, 15.6083) * CHOOSE(CONTROL!$C$14, $D$10, 100%, $F$10)</f>
        <v>15.6113</v>
      </c>
      <c r="D551" s="8">
        <f>CHOOSE( CONTROL!$C$31, 15.6165, 15.6135) * CHOOSE( CONTROL!$C$14, $D$10, 100%, $F$10)</f>
        <v>15.6165</v>
      </c>
      <c r="E551" s="12">
        <f>CHOOSE( CONTROL!$C$31, 15.6134, 15.6104) * CHOOSE( CONTROL!$C$14, $D$10, 100%, $F$10)</f>
        <v>15.6134</v>
      </c>
      <c r="F551" s="4">
        <f>CHOOSE( CONTROL!$C$31, 16.2848, 16.2819) * CHOOSE(CONTROL!$C$14, $D$10, 100%, $F$10)</f>
        <v>16.284800000000001</v>
      </c>
      <c r="G551" s="8">
        <f>CHOOSE( CONTROL!$C$31, 15.3154, 15.3125) * CHOOSE( CONTROL!$C$14, $D$10, 100%, $F$10)</f>
        <v>15.3154</v>
      </c>
      <c r="H551" s="4">
        <f>CHOOSE( CONTROL!$C$31, 16.2435, 16.2406) * CHOOSE(CONTROL!$C$14, $D$10, 100%, $F$10)</f>
        <v>16.243500000000001</v>
      </c>
      <c r="I551" s="8">
        <f>CHOOSE( CONTROL!$C$31, 15.1539, 15.1511) * CHOOSE(CONTROL!$C$14, $D$10, 100%, $F$10)</f>
        <v>15.1539</v>
      </c>
      <c r="J551" s="4">
        <f>CHOOSE( CONTROL!$C$31, 15.0524, 15.0496) * CHOOSE(CONTROL!$C$14, $D$10, 100%, $F$10)</f>
        <v>15.0524</v>
      </c>
      <c r="K551" s="4"/>
      <c r="L551" s="9">
        <v>30.7165</v>
      </c>
      <c r="M551" s="9">
        <v>12.063700000000001</v>
      </c>
      <c r="N551" s="9">
        <v>4.9444999999999997</v>
      </c>
      <c r="O551" s="9">
        <v>0.37409999999999999</v>
      </c>
      <c r="P551" s="9">
        <v>1.2183999999999999</v>
      </c>
      <c r="Q551" s="9">
        <v>19.688099999999999</v>
      </c>
      <c r="R551" s="9"/>
      <c r="S551" s="11"/>
    </row>
    <row r="552" spans="1:19" ht="15.75">
      <c r="A552" s="13">
        <v>58714</v>
      </c>
      <c r="B552" s="8">
        <f>CHOOSE( CONTROL!$C$31, 15.2771, 15.2742) * CHOOSE(CONTROL!$C$14, $D$10, 100%, $F$10)</f>
        <v>15.277100000000001</v>
      </c>
      <c r="C552" s="8">
        <f>CHOOSE( CONTROL!$C$31, 15.2851, 15.2822) * CHOOSE(CONTROL!$C$14, $D$10, 100%, $F$10)</f>
        <v>15.2851</v>
      </c>
      <c r="D552" s="8">
        <f>CHOOSE( CONTROL!$C$31, 15.2903, 15.2874) * CHOOSE( CONTROL!$C$14, $D$10, 100%, $F$10)</f>
        <v>15.2903</v>
      </c>
      <c r="E552" s="12">
        <f>CHOOSE( CONTROL!$C$31, 15.2872, 15.2843) * CHOOSE( CONTROL!$C$14, $D$10, 100%, $F$10)</f>
        <v>15.2872</v>
      </c>
      <c r="F552" s="4">
        <f>CHOOSE( CONTROL!$C$31, 15.9587, 15.9558) * CHOOSE(CONTROL!$C$14, $D$10, 100%, $F$10)</f>
        <v>15.9587</v>
      </c>
      <c r="G552" s="8">
        <f>CHOOSE( CONTROL!$C$31, 14.9947, 14.9918) * CHOOSE( CONTROL!$C$14, $D$10, 100%, $F$10)</f>
        <v>14.9947</v>
      </c>
      <c r="H552" s="4">
        <f>CHOOSE( CONTROL!$C$31, 15.9228, 15.9199) * CHOOSE(CONTROL!$C$14, $D$10, 100%, $F$10)</f>
        <v>15.922800000000001</v>
      </c>
      <c r="I552" s="8">
        <f>CHOOSE( CONTROL!$C$31, 14.8384, 14.8356) * CHOOSE(CONTROL!$C$14, $D$10, 100%, $F$10)</f>
        <v>14.8384</v>
      </c>
      <c r="J552" s="4">
        <f>CHOOSE( CONTROL!$C$31, 14.7372, 14.7343) * CHOOSE(CONTROL!$C$14, $D$10, 100%, $F$10)</f>
        <v>14.7372</v>
      </c>
      <c r="K552" s="4"/>
      <c r="L552" s="9">
        <v>29.7257</v>
      </c>
      <c r="M552" s="9">
        <v>11.6745</v>
      </c>
      <c r="N552" s="9">
        <v>4.7850000000000001</v>
      </c>
      <c r="O552" s="9">
        <v>0.36199999999999999</v>
      </c>
      <c r="P552" s="9">
        <v>1.1791</v>
      </c>
      <c r="Q552" s="9">
        <v>19.053000000000001</v>
      </c>
      <c r="R552" s="9"/>
      <c r="S552" s="11"/>
    </row>
    <row r="553" spans="1:19" ht="15.75">
      <c r="A553" s="13">
        <v>58745</v>
      </c>
      <c r="B553" s="8">
        <f>15.9496 * CHOOSE(CONTROL!$C$14, $D$10, 100%, $F$10)</f>
        <v>15.9496</v>
      </c>
      <c r="C553" s="8">
        <f>15.955 * CHOOSE(CONTROL!$C$14, $D$10, 100%, $F$10)</f>
        <v>15.955</v>
      </c>
      <c r="D553" s="8">
        <f>15.9649 * CHOOSE( CONTROL!$C$14, $D$10, 100%, $F$10)</f>
        <v>15.9649</v>
      </c>
      <c r="E553" s="12">
        <f>15.9611 * CHOOSE( CONTROL!$C$14, $D$10, 100%, $F$10)</f>
        <v>15.9611</v>
      </c>
      <c r="F553" s="4">
        <f>16.6329 * CHOOSE(CONTROL!$C$14, $D$10, 100%, $F$10)</f>
        <v>16.632899999999999</v>
      </c>
      <c r="G553" s="8">
        <f>15.6573 * CHOOSE( CONTROL!$C$14, $D$10, 100%, $F$10)</f>
        <v>15.657299999999999</v>
      </c>
      <c r="H553" s="4">
        <f>16.5858 * CHOOSE(CONTROL!$C$14, $D$10, 100%, $F$10)</f>
        <v>16.585799999999999</v>
      </c>
      <c r="I553" s="8">
        <f>15.4913 * CHOOSE(CONTROL!$C$14, $D$10, 100%, $F$10)</f>
        <v>15.491300000000001</v>
      </c>
      <c r="J553" s="4">
        <f>15.3889 * CHOOSE(CONTROL!$C$14, $D$10, 100%, $F$10)</f>
        <v>15.3889</v>
      </c>
      <c r="K553" s="4"/>
      <c r="L553" s="9">
        <v>31.095300000000002</v>
      </c>
      <c r="M553" s="9">
        <v>12.063700000000001</v>
      </c>
      <c r="N553" s="9">
        <v>4.9444999999999997</v>
      </c>
      <c r="O553" s="9">
        <v>0.37409999999999999</v>
      </c>
      <c r="P553" s="9">
        <v>1.2183999999999999</v>
      </c>
      <c r="Q553" s="9">
        <v>19.688099999999999</v>
      </c>
      <c r="R553" s="9"/>
      <c r="S553" s="11"/>
    </row>
    <row r="554" spans="1:19" ht="15.75">
      <c r="A554" s="13">
        <v>58775</v>
      </c>
      <c r="B554" s="8">
        <f>17.199 * CHOOSE(CONTROL!$C$14, $D$10, 100%, $F$10)</f>
        <v>17.199000000000002</v>
      </c>
      <c r="C554" s="8">
        <f>17.2041 * CHOOSE(CONTROL!$C$14, $D$10, 100%, $F$10)</f>
        <v>17.2041</v>
      </c>
      <c r="D554" s="8">
        <f>17.1803 * CHOOSE( CONTROL!$C$14, $D$10, 100%, $F$10)</f>
        <v>17.180299999999999</v>
      </c>
      <c r="E554" s="12">
        <f>17.1885 * CHOOSE( CONTROL!$C$14, $D$10, 100%, $F$10)</f>
        <v>17.188500000000001</v>
      </c>
      <c r="F554" s="4">
        <f>17.8464 * CHOOSE(CONTROL!$C$14, $D$10, 100%, $F$10)</f>
        <v>17.846399999999999</v>
      </c>
      <c r="G554" s="8">
        <f>16.8961 * CHOOSE( CONTROL!$C$14, $D$10, 100%, $F$10)</f>
        <v>16.896100000000001</v>
      </c>
      <c r="H554" s="4">
        <f>17.7793 * CHOOSE(CONTROL!$C$14, $D$10, 100%, $F$10)</f>
        <v>17.779299999999999</v>
      </c>
      <c r="I554" s="8">
        <f>16.7305 * CHOOSE(CONTROL!$C$14, $D$10, 100%, $F$10)</f>
        <v>16.730499999999999</v>
      </c>
      <c r="J554" s="4">
        <f>16.5971 * CHOOSE(CONTROL!$C$14, $D$10, 100%, $F$10)</f>
        <v>16.597100000000001</v>
      </c>
      <c r="K554" s="4"/>
      <c r="L554" s="9">
        <v>28.360600000000002</v>
      </c>
      <c r="M554" s="9">
        <v>11.6745</v>
      </c>
      <c r="N554" s="9">
        <v>4.7850000000000001</v>
      </c>
      <c r="O554" s="9">
        <v>0.36199999999999999</v>
      </c>
      <c r="P554" s="9">
        <v>1.2509999999999999</v>
      </c>
      <c r="Q554" s="9">
        <v>19.053000000000001</v>
      </c>
      <c r="R554" s="9"/>
      <c r="S554" s="11"/>
    </row>
    <row r="555" spans="1:19" ht="15.75">
      <c r="A555" s="13">
        <v>58806</v>
      </c>
      <c r="B555" s="8">
        <f>17.1677 * CHOOSE(CONTROL!$C$14, $D$10, 100%, $F$10)</f>
        <v>17.1677</v>
      </c>
      <c r="C555" s="8">
        <f>17.1729 * CHOOSE(CONTROL!$C$14, $D$10, 100%, $F$10)</f>
        <v>17.172899999999998</v>
      </c>
      <c r="D555" s="8">
        <f>17.1504 * CHOOSE( CONTROL!$C$14, $D$10, 100%, $F$10)</f>
        <v>17.150400000000001</v>
      </c>
      <c r="E555" s="12">
        <f>17.1581 * CHOOSE( CONTROL!$C$14, $D$10, 100%, $F$10)</f>
        <v>17.158100000000001</v>
      </c>
      <c r="F555" s="4">
        <f>17.8152 * CHOOSE(CONTROL!$C$14, $D$10, 100%, $F$10)</f>
        <v>17.815200000000001</v>
      </c>
      <c r="G555" s="8">
        <f>16.8664 * CHOOSE( CONTROL!$C$14, $D$10, 100%, $F$10)</f>
        <v>16.866399999999999</v>
      </c>
      <c r="H555" s="4">
        <f>17.7486 * CHOOSE(CONTROL!$C$14, $D$10, 100%, $F$10)</f>
        <v>17.7486</v>
      </c>
      <c r="I555" s="8">
        <f>16.7047 * CHOOSE(CONTROL!$C$14, $D$10, 100%, $F$10)</f>
        <v>16.704699999999999</v>
      </c>
      <c r="J555" s="4">
        <f>16.5669 * CHOOSE(CONTROL!$C$14, $D$10, 100%, $F$10)</f>
        <v>16.5669</v>
      </c>
      <c r="K555" s="4"/>
      <c r="L555" s="9">
        <v>29.306000000000001</v>
      </c>
      <c r="M555" s="9">
        <v>12.063700000000001</v>
      </c>
      <c r="N555" s="9">
        <v>4.9444999999999997</v>
      </c>
      <c r="O555" s="9">
        <v>0.37409999999999999</v>
      </c>
      <c r="P555" s="9">
        <v>1.2927</v>
      </c>
      <c r="Q555" s="9">
        <v>19.688099999999999</v>
      </c>
      <c r="R555" s="9"/>
      <c r="S555" s="11"/>
    </row>
    <row r="556" spans="1:19" ht="15.75">
      <c r="A556" s="13">
        <v>58837</v>
      </c>
      <c r="B556" s="8">
        <f>17.8227 * CHOOSE(CONTROL!$C$14, $D$10, 100%, $F$10)</f>
        <v>17.822700000000001</v>
      </c>
      <c r="C556" s="8">
        <f>17.8278 * CHOOSE(CONTROL!$C$14, $D$10, 100%, $F$10)</f>
        <v>17.8278</v>
      </c>
      <c r="D556" s="8">
        <f>17.8236 * CHOOSE( CONTROL!$C$14, $D$10, 100%, $F$10)</f>
        <v>17.823599999999999</v>
      </c>
      <c r="E556" s="12">
        <f>17.8246 * CHOOSE( CONTROL!$C$14, $D$10, 100%, $F$10)</f>
        <v>17.8246</v>
      </c>
      <c r="F556" s="4">
        <f>18.5012 * CHOOSE(CONTROL!$C$14, $D$10, 100%, $F$10)</f>
        <v>18.501200000000001</v>
      </c>
      <c r="G556" s="8">
        <f>17.5248 * CHOOSE( CONTROL!$C$14, $D$10, 100%, $F$10)</f>
        <v>17.524799999999999</v>
      </c>
      <c r="H556" s="4">
        <f>18.4232 * CHOOSE(CONTROL!$C$14, $D$10, 100%, $F$10)</f>
        <v>18.423200000000001</v>
      </c>
      <c r="I556" s="8">
        <f>17.3172 * CHOOSE(CONTROL!$C$14, $D$10, 100%, $F$10)</f>
        <v>17.3172</v>
      </c>
      <c r="J556" s="4">
        <f>17.2001 * CHOOSE(CONTROL!$C$14, $D$10, 100%, $F$10)</f>
        <v>17.200099999999999</v>
      </c>
      <c r="K556" s="4"/>
      <c r="L556" s="9">
        <v>29.306000000000001</v>
      </c>
      <c r="M556" s="9">
        <v>12.063700000000001</v>
      </c>
      <c r="N556" s="9">
        <v>4.9444999999999997</v>
      </c>
      <c r="O556" s="9">
        <v>0.37409999999999999</v>
      </c>
      <c r="P556" s="9">
        <v>1.2927</v>
      </c>
      <c r="Q556" s="9">
        <v>19.688099999999999</v>
      </c>
      <c r="R556" s="9"/>
      <c r="S556" s="11"/>
    </row>
    <row r="557" spans="1:19" ht="15.75">
      <c r="A557" s="13">
        <v>58865</v>
      </c>
      <c r="B557" s="8">
        <f>16.6725 * CHOOSE(CONTROL!$C$14, $D$10, 100%, $F$10)</f>
        <v>16.672499999999999</v>
      </c>
      <c r="C557" s="8">
        <f>16.6776 * CHOOSE(CONTROL!$C$14, $D$10, 100%, $F$10)</f>
        <v>16.677600000000002</v>
      </c>
      <c r="D557" s="8">
        <f>16.6675 * CHOOSE( CONTROL!$C$14, $D$10, 100%, $F$10)</f>
        <v>16.6675</v>
      </c>
      <c r="E557" s="12">
        <f>16.6706 * CHOOSE( CONTROL!$C$14, $D$10, 100%, $F$10)</f>
        <v>16.6706</v>
      </c>
      <c r="F557" s="4">
        <f>17.3251 * CHOOSE(CONTROL!$C$14, $D$10, 100%, $F$10)</f>
        <v>17.325099999999999</v>
      </c>
      <c r="G557" s="8">
        <f>16.3855 * CHOOSE( CONTROL!$C$14, $D$10, 100%, $F$10)</f>
        <v>16.3855</v>
      </c>
      <c r="H557" s="4">
        <f>17.2666 * CHOOSE(CONTROL!$C$14, $D$10, 100%, $F$10)</f>
        <v>17.2666</v>
      </c>
      <c r="I557" s="8">
        <f>16.1954 * CHOOSE(CONTROL!$C$14, $D$10, 100%, $F$10)</f>
        <v>16.195399999999999</v>
      </c>
      <c r="J557" s="4">
        <f>16.0881 * CHOOSE(CONTROL!$C$14, $D$10, 100%, $F$10)</f>
        <v>16.088100000000001</v>
      </c>
      <c r="K557" s="4"/>
      <c r="L557" s="9">
        <v>26.469899999999999</v>
      </c>
      <c r="M557" s="9">
        <v>10.8962</v>
      </c>
      <c r="N557" s="9">
        <v>4.4660000000000002</v>
      </c>
      <c r="O557" s="9">
        <v>0.33789999999999998</v>
      </c>
      <c r="P557" s="9">
        <v>1.1676</v>
      </c>
      <c r="Q557" s="9">
        <v>17.782800000000002</v>
      </c>
      <c r="R557" s="9"/>
      <c r="S557" s="11"/>
    </row>
    <row r="558" spans="1:19" ht="15.75">
      <c r="A558" s="13">
        <v>58893</v>
      </c>
      <c r="B558" s="8">
        <f>16.3182 * CHOOSE(CONTROL!$C$14, $D$10, 100%, $F$10)</f>
        <v>16.318200000000001</v>
      </c>
      <c r="C558" s="8">
        <f>16.3233 * CHOOSE(CONTROL!$C$14, $D$10, 100%, $F$10)</f>
        <v>16.3233</v>
      </c>
      <c r="D558" s="8">
        <f>16.3067 * CHOOSE( CONTROL!$C$14, $D$10, 100%, $F$10)</f>
        <v>16.306699999999999</v>
      </c>
      <c r="E558" s="12">
        <f>16.3122 * CHOOSE( CONTROL!$C$14, $D$10, 100%, $F$10)</f>
        <v>16.312200000000001</v>
      </c>
      <c r="F558" s="4">
        <f>16.9708 * CHOOSE(CONTROL!$C$14, $D$10, 100%, $F$10)</f>
        <v>16.970800000000001</v>
      </c>
      <c r="G558" s="8">
        <f>16.0289 * CHOOSE( CONTROL!$C$14, $D$10, 100%, $F$10)</f>
        <v>16.0289</v>
      </c>
      <c r="H558" s="4">
        <f>16.9182 * CHOOSE(CONTROL!$C$14, $D$10, 100%, $F$10)</f>
        <v>16.918199999999999</v>
      </c>
      <c r="I558" s="8">
        <f>15.8326 * CHOOSE(CONTROL!$C$14, $D$10, 100%, $F$10)</f>
        <v>15.832599999999999</v>
      </c>
      <c r="J558" s="4">
        <f>15.7456 * CHOOSE(CONTROL!$C$14, $D$10, 100%, $F$10)</f>
        <v>15.7456</v>
      </c>
      <c r="K558" s="4"/>
      <c r="L558" s="9">
        <v>29.306000000000001</v>
      </c>
      <c r="M558" s="9">
        <v>12.063700000000001</v>
      </c>
      <c r="N558" s="9">
        <v>4.9444999999999997</v>
      </c>
      <c r="O558" s="9">
        <v>0.37409999999999999</v>
      </c>
      <c r="P558" s="9">
        <v>1.2927</v>
      </c>
      <c r="Q558" s="9">
        <v>19.688099999999999</v>
      </c>
      <c r="R558" s="9"/>
      <c r="S558" s="11"/>
    </row>
    <row r="559" spans="1:19" ht="15.75">
      <c r="A559" s="13">
        <v>58926</v>
      </c>
      <c r="B559" s="8">
        <f>16.5665 * CHOOSE(CONTROL!$C$14, $D$10, 100%, $F$10)</f>
        <v>16.566500000000001</v>
      </c>
      <c r="C559" s="8">
        <f>16.5711 * CHOOSE(CONTROL!$C$14, $D$10, 100%, $F$10)</f>
        <v>16.571100000000001</v>
      </c>
      <c r="D559" s="8">
        <f>16.5806 * CHOOSE( CONTROL!$C$14, $D$10, 100%, $F$10)</f>
        <v>16.5806</v>
      </c>
      <c r="E559" s="12">
        <f>16.5769 * CHOOSE( CONTROL!$C$14, $D$10, 100%, $F$10)</f>
        <v>16.576899999999998</v>
      </c>
      <c r="F559" s="4">
        <f>17.2494 * CHOOSE(CONTROL!$C$14, $D$10, 100%, $F$10)</f>
        <v>17.249400000000001</v>
      </c>
      <c r="G559" s="8">
        <f>16.2622 * CHOOSE( CONTROL!$C$14, $D$10, 100%, $F$10)</f>
        <v>16.2622</v>
      </c>
      <c r="H559" s="4">
        <f>17.1922 * CHOOSE(CONTROL!$C$14, $D$10, 100%, $F$10)</f>
        <v>17.1922</v>
      </c>
      <c r="I559" s="8">
        <f>16.083 * CHOOSE(CONTROL!$C$14, $D$10, 100%, $F$10)</f>
        <v>16.082999999999998</v>
      </c>
      <c r="J559" s="4">
        <f>15.9849 * CHOOSE(CONTROL!$C$14, $D$10, 100%, $F$10)</f>
        <v>15.9849</v>
      </c>
      <c r="K559" s="4"/>
      <c r="L559" s="9">
        <v>30.092199999999998</v>
      </c>
      <c r="M559" s="9">
        <v>11.6745</v>
      </c>
      <c r="N559" s="9">
        <v>4.7850000000000001</v>
      </c>
      <c r="O559" s="9">
        <v>0.36199999999999999</v>
      </c>
      <c r="P559" s="9">
        <v>1.1791</v>
      </c>
      <c r="Q559" s="9">
        <v>19.053000000000001</v>
      </c>
      <c r="R559" s="9"/>
      <c r="S559" s="11"/>
    </row>
    <row r="560" spans="1:19" ht="15.75">
      <c r="A560" s="13">
        <v>58957</v>
      </c>
      <c r="B560" s="8">
        <f>CHOOSE( CONTROL!$C$31, 17.0114, 17.0085) * CHOOSE(CONTROL!$C$14, $D$10, 100%, $F$10)</f>
        <v>17.011399999999998</v>
      </c>
      <c r="C560" s="8">
        <f>CHOOSE( CONTROL!$C$31, 17.0194, 17.0165) * CHOOSE(CONTROL!$C$14, $D$10, 100%, $F$10)</f>
        <v>17.019400000000001</v>
      </c>
      <c r="D560" s="8">
        <f>CHOOSE( CONTROL!$C$31, 17.024, 17.0211) * CHOOSE( CONTROL!$C$14, $D$10, 100%, $F$10)</f>
        <v>17.024000000000001</v>
      </c>
      <c r="E560" s="12">
        <f>CHOOSE( CONTROL!$C$31, 17.0211, 17.0182) * CHOOSE( CONTROL!$C$14, $D$10, 100%, $F$10)</f>
        <v>17.021100000000001</v>
      </c>
      <c r="F560" s="4">
        <f>CHOOSE( CONTROL!$C$31, 17.693, 17.69) * CHOOSE(CONTROL!$C$14, $D$10, 100%, $F$10)</f>
        <v>17.693000000000001</v>
      </c>
      <c r="G560" s="8">
        <f>CHOOSE( CONTROL!$C$31, 16.6993, 16.6964) * CHOOSE( CONTROL!$C$14, $D$10, 100%, $F$10)</f>
        <v>16.699300000000001</v>
      </c>
      <c r="H560" s="4">
        <f>CHOOSE( CONTROL!$C$31, 17.6283, 17.6255) * CHOOSE(CONTROL!$C$14, $D$10, 100%, $F$10)</f>
        <v>17.628299999999999</v>
      </c>
      <c r="I560" s="8">
        <f>CHOOSE( CONTROL!$C$31, 16.5131, 16.5102) * CHOOSE(CONTROL!$C$14, $D$10, 100%, $F$10)</f>
        <v>16.513100000000001</v>
      </c>
      <c r="J560" s="4">
        <f>CHOOSE( CONTROL!$C$31, 16.4137, 16.4109) * CHOOSE(CONTROL!$C$14, $D$10, 100%, $F$10)</f>
        <v>16.413699999999999</v>
      </c>
      <c r="K560" s="4"/>
      <c r="L560" s="9">
        <v>30.7165</v>
      </c>
      <c r="M560" s="9">
        <v>12.063700000000001</v>
      </c>
      <c r="N560" s="9">
        <v>4.9444999999999997</v>
      </c>
      <c r="O560" s="9">
        <v>0.37409999999999999</v>
      </c>
      <c r="P560" s="9">
        <v>1.2183999999999999</v>
      </c>
      <c r="Q560" s="9">
        <v>19.688099999999999</v>
      </c>
      <c r="R560" s="9"/>
      <c r="S560" s="11"/>
    </row>
    <row r="561" spans="1:19" ht="15.75">
      <c r="A561" s="13">
        <v>58987</v>
      </c>
      <c r="B561" s="8">
        <f>CHOOSE( CONTROL!$C$31, 16.7385, 16.7355) * CHOOSE(CONTROL!$C$14, $D$10, 100%, $F$10)</f>
        <v>16.738499999999998</v>
      </c>
      <c r="C561" s="8">
        <f>CHOOSE( CONTROL!$C$31, 16.7465, 16.7436) * CHOOSE(CONTROL!$C$14, $D$10, 100%, $F$10)</f>
        <v>16.746500000000001</v>
      </c>
      <c r="D561" s="8">
        <f>CHOOSE( CONTROL!$C$31, 16.7514, 16.7484) * CHOOSE( CONTROL!$C$14, $D$10, 100%, $F$10)</f>
        <v>16.7514</v>
      </c>
      <c r="E561" s="12">
        <f>CHOOSE( CONTROL!$C$31, 16.7484, 16.7454) * CHOOSE( CONTROL!$C$14, $D$10, 100%, $F$10)</f>
        <v>16.7484</v>
      </c>
      <c r="F561" s="4">
        <f>CHOOSE( CONTROL!$C$31, 17.42, 17.4171) * CHOOSE(CONTROL!$C$14, $D$10, 100%, $F$10)</f>
        <v>17.420000000000002</v>
      </c>
      <c r="G561" s="8">
        <f>CHOOSE( CONTROL!$C$31, 16.4313, 16.4284) * CHOOSE( CONTROL!$C$14, $D$10, 100%, $F$10)</f>
        <v>16.4313</v>
      </c>
      <c r="H561" s="4">
        <f>CHOOSE( CONTROL!$C$31, 17.3599, 17.357) * CHOOSE(CONTROL!$C$14, $D$10, 100%, $F$10)</f>
        <v>17.3599</v>
      </c>
      <c r="I561" s="8">
        <f>CHOOSE( CONTROL!$C$31, 16.2503, 16.2475) * CHOOSE(CONTROL!$C$14, $D$10, 100%, $F$10)</f>
        <v>16.250299999999999</v>
      </c>
      <c r="J561" s="4">
        <f>CHOOSE( CONTROL!$C$31, 16.1498, 16.147) * CHOOSE(CONTROL!$C$14, $D$10, 100%, $F$10)</f>
        <v>16.149799999999999</v>
      </c>
      <c r="K561" s="4"/>
      <c r="L561" s="9">
        <v>29.7257</v>
      </c>
      <c r="M561" s="9">
        <v>11.6745</v>
      </c>
      <c r="N561" s="9">
        <v>4.7850000000000001</v>
      </c>
      <c r="O561" s="9">
        <v>0.36199999999999999</v>
      </c>
      <c r="P561" s="9">
        <v>1.1791</v>
      </c>
      <c r="Q561" s="9">
        <v>19.053000000000001</v>
      </c>
      <c r="R561" s="9"/>
      <c r="S561" s="11"/>
    </row>
    <row r="562" spans="1:19" ht="15.75">
      <c r="A562" s="13">
        <v>59018</v>
      </c>
      <c r="B562" s="8">
        <f>CHOOSE( CONTROL!$C$31, 17.4572, 17.4543) * CHOOSE(CONTROL!$C$14, $D$10, 100%, $F$10)</f>
        <v>17.4572</v>
      </c>
      <c r="C562" s="8">
        <f>CHOOSE( CONTROL!$C$31, 17.4652, 17.4623) * CHOOSE(CONTROL!$C$14, $D$10, 100%, $F$10)</f>
        <v>17.465199999999999</v>
      </c>
      <c r="D562" s="8">
        <f>CHOOSE( CONTROL!$C$31, 17.4704, 17.4674) * CHOOSE( CONTROL!$C$14, $D$10, 100%, $F$10)</f>
        <v>17.470400000000001</v>
      </c>
      <c r="E562" s="12">
        <f>CHOOSE( CONTROL!$C$31, 17.4673, 17.4643) * CHOOSE( CONTROL!$C$14, $D$10, 100%, $F$10)</f>
        <v>17.467300000000002</v>
      </c>
      <c r="F562" s="4">
        <f>CHOOSE( CONTROL!$C$31, 18.1388, 18.1358) * CHOOSE(CONTROL!$C$14, $D$10, 100%, $F$10)</f>
        <v>18.1388</v>
      </c>
      <c r="G562" s="8">
        <f>CHOOSE( CONTROL!$C$31, 17.1385, 17.1356) * CHOOSE( CONTROL!$C$14, $D$10, 100%, $F$10)</f>
        <v>17.138500000000001</v>
      </c>
      <c r="H562" s="4">
        <f>CHOOSE( CONTROL!$C$31, 18.0668, 18.0639) * CHOOSE(CONTROL!$C$14, $D$10, 100%, $F$10)</f>
        <v>18.066800000000001</v>
      </c>
      <c r="I562" s="8">
        <f>CHOOSE( CONTROL!$C$31, 16.9466, 16.9438) * CHOOSE(CONTROL!$C$14, $D$10, 100%, $F$10)</f>
        <v>16.9466</v>
      </c>
      <c r="J562" s="4">
        <f>CHOOSE( CONTROL!$C$31, 16.8447, 16.8418) * CHOOSE(CONTROL!$C$14, $D$10, 100%, $F$10)</f>
        <v>16.8447</v>
      </c>
      <c r="K562" s="4"/>
      <c r="L562" s="9">
        <v>30.7165</v>
      </c>
      <c r="M562" s="9">
        <v>12.063700000000001</v>
      </c>
      <c r="N562" s="9">
        <v>4.9444999999999997</v>
      </c>
      <c r="O562" s="9">
        <v>0.37409999999999999</v>
      </c>
      <c r="P562" s="9">
        <v>1.2183999999999999</v>
      </c>
      <c r="Q562" s="9">
        <v>19.688099999999999</v>
      </c>
      <c r="R562" s="9"/>
      <c r="S562" s="11"/>
    </row>
    <row r="563" spans="1:19" ht="15.75">
      <c r="A563" s="13">
        <v>59049</v>
      </c>
      <c r="B563" s="8">
        <f>CHOOSE( CONTROL!$C$31, 16.1124, 16.1094) * CHOOSE(CONTROL!$C$14, $D$10, 100%, $F$10)</f>
        <v>16.112400000000001</v>
      </c>
      <c r="C563" s="8">
        <f>CHOOSE( CONTROL!$C$31, 16.1204, 16.1175) * CHOOSE(CONTROL!$C$14, $D$10, 100%, $F$10)</f>
        <v>16.1204</v>
      </c>
      <c r="D563" s="8">
        <f>CHOOSE( CONTROL!$C$31, 16.1256, 16.1227) * CHOOSE( CONTROL!$C$14, $D$10, 100%, $F$10)</f>
        <v>16.125599999999999</v>
      </c>
      <c r="E563" s="12">
        <f>CHOOSE( CONTROL!$C$31, 16.1225, 16.1196) * CHOOSE( CONTROL!$C$14, $D$10, 100%, $F$10)</f>
        <v>16.122499999999999</v>
      </c>
      <c r="F563" s="4">
        <f>CHOOSE( CONTROL!$C$31, 16.7939, 16.791) * CHOOSE(CONTROL!$C$14, $D$10, 100%, $F$10)</f>
        <v>16.793900000000001</v>
      </c>
      <c r="G563" s="8">
        <f>CHOOSE( CONTROL!$C$31, 15.8161, 15.8132) * CHOOSE( CONTROL!$C$14, $D$10, 100%, $F$10)</f>
        <v>15.8161</v>
      </c>
      <c r="H563" s="4">
        <f>CHOOSE( CONTROL!$C$31, 16.7442, 16.7413) * CHOOSE(CONTROL!$C$14, $D$10, 100%, $F$10)</f>
        <v>16.744199999999999</v>
      </c>
      <c r="I563" s="8">
        <f>CHOOSE( CONTROL!$C$31, 15.6463, 15.6435) * CHOOSE(CONTROL!$C$14, $D$10, 100%, $F$10)</f>
        <v>15.6463</v>
      </c>
      <c r="J563" s="4">
        <f>CHOOSE( CONTROL!$C$31, 15.5446, 15.5418) * CHOOSE(CONTROL!$C$14, $D$10, 100%, $F$10)</f>
        <v>15.544600000000001</v>
      </c>
      <c r="K563" s="4"/>
      <c r="L563" s="9">
        <v>30.7165</v>
      </c>
      <c r="M563" s="9">
        <v>12.063700000000001</v>
      </c>
      <c r="N563" s="9">
        <v>4.9444999999999997</v>
      </c>
      <c r="O563" s="9">
        <v>0.37409999999999999</v>
      </c>
      <c r="P563" s="9">
        <v>1.2183999999999999</v>
      </c>
      <c r="Q563" s="9">
        <v>19.688099999999999</v>
      </c>
      <c r="R563" s="9"/>
      <c r="S563" s="11"/>
    </row>
    <row r="564" spans="1:19" ht="15.75">
      <c r="A564" s="13">
        <v>59079</v>
      </c>
      <c r="B564" s="8">
        <f>CHOOSE( CONTROL!$C$31, 15.7756, 15.7727) * CHOOSE(CONTROL!$C$14, $D$10, 100%, $F$10)</f>
        <v>15.775600000000001</v>
      </c>
      <c r="C564" s="8">
        <f>CHOOSE( CONTROL!$C$31, 15.7836, 15.7807) * CHOOSE(CONTROL!$C$14, $D$10, 100%, $F$10)</f>
        <v>15.7836</v>
      </c>
      <c r="D564" s="8">
        <f>CHOOSE( CONTROL!$C$31, 15.7888, 15.7859) * CHOOSE( CONTROL!$C$14, $D$10, 100%, $F$10)</f>
        <v>15.7888</v>
      </c>
      <c r="E564" s="12">
        <f>CHOOSE( CONTROL!$C$31, 15.7857, 15.7828) * CHOOSE( CONTROL!$C$14, $D$10, 100%, $F$10)</f>
        <v>15.7857</v>
      </c>
      <c r="F564" s="4">
        <f>CHOOSE( CONTROL!$C$31, 16.4571, 16.4542) * CHOOSE(CONTROL!$C$14, $D$10, 100%, $F$10)</f>
        <v>16.457100000000001</v>
      </c>
      <c r="G564" s="8">
        <f>CHOOSE( CONTROL!$C$31, 15.4849, 15.482) * CHOOSE( CONTROL!$C$14, $D$10, 100%, $F$10)</f>
        <v>15.4849</v>
      </c>
      <c r="H564" s="4">
        <f>CHOOSE( CONTROL!$C$31, 16.413, 16.4101) * CHOOSE(CONTROL!$C$14, $D$10, 100%, $F$10)</f>
        <v>16.413</v>
      </c>
      <c r="I564" s="8">
        <f>CHOOSE( CONTROL!$C$31, 15.3205, 15.3177) * CHOOSE(CONTROL!$C$14, $D$10, 100%, $F$10)</f>
        <v>15.320499999999999</v>
      </c>
      <c r="J564" s="4">
        <f>CHOOSE( CONTROL!$C$31, 15.219, 15.2162) * CHOOSE(CONTROL!$C$14, $D$10, 100%, $F$10)</f>
        <v>15.218999999999999</v>
      </c>
      <c r="K564" s="4"/>
      <c r="L564" s="9">
        <v>29.7257</v>
      </c>
      <c r="M564" s="9">
        <v>11.6745</v>
      </c>
      <c r="N564" s="9">
        <v>4.7850000000000001</v>
      </c>
      <c r="O564" s="9">
        <v>0.36199999999999999</v>
      </c>
      <c r="P564" s="9">
        <v>1.1791</v>
      </c>
      <c r="Q564" s="9">
        <v>19.053000000000001</v>
      </c>
      <c r="R564" s="9"/>
      <c r="S564" s="11"/>
    </row>
    <row r="565" spans="1:19" ht="15.75">
      <c r="A565" s="13">
        <v>59110</v>
      </c>
      <c r="B565" s="8">
        <f>16.4702 * CHOOSE(CONTROL!$C$14, $D$10, 100%, $F$10)</f>
        <v>16.470199999999998</v>
      </c>
      <c r="C565" s="8">
        <f>16.4756 * CHOOSE(CONTROL!$C$14, $D$10, 100%, $F$10)</f>
        <v>16.4756</v>
      </c>
      <c r="D565" s="8">
        <f>16.4855 * CHOOSE( CONTROL!$C$14, $D$10, 100%, $F$10)</f>
        <v>16.485499999999998</v>
      </c>
      <c r="E565" s="12">
        <f>16.4817 * CHOOSE( CONTROL!$C$14, $D$10, 100%, $F$10)</f>
        <v>16.4817</v>
      </c>
      <c r="F565" s="4">
        <f>17.1535 * CHOOSE(CONTROL!$C$14, $D$10, 100%, $F$10)</f>
        <v>17.153500000000001</v>
      </c>
      <c r="G565" s="8">
        <f>16.1693 * CHOOSE( CONTROL!$C$14, $D$10, 100%, $F$10)</f>
        <v>16.1693</v>
      </c>
      <c r="H565" s="4">
        <f>17.0978 * CHOOSE(CONTROL!$C$14, $D$10, 100%, $F$10)</f>
        <v>17.097799999999999</v>
      </c>
      <c r="I565" s="8">
        <f>15.9948 * CHOOSE(CONTROL!$C$14, $D$10, 100%, $F$10)</f>
        <v>15.9948</v>
      </c>
      <c r="J565" s="4">
        <f>15.8922 * CHOOSE(CONTROL!$C$14, $D$10, 100%, $F$10)</f>
        <v>15.892200000000001</v>
      </c>
      <c r="K565" s="4"/>
      <c r="L565" s="9">
        <v>31.095300000000002</v>
      </c>
      <c r="M565" s="9">
        <v>12.063700000000001</v>
      </c>
      <c r="N565" s="9">
        <v>4.9444999999999997</v>
      </c>
      <c r="O565" s="9">
        <v>0.37409999999999999</v>
      </c>
      <c r="P565" s="9">
        <v>1.2183999999999999</v>
      </c>
      <c r="Q565" s="9">
        <v>19.688099999999999</v>
      </c>
      <c r="R565" s="9"/>
      <c r="S565" s="11"/>
    </row>
    <row r="566" spans="1:19" ht="15.75">
      <c r="A566" s="13">
        <v>59140</v>
      </c>
      <c r="B566" s="8">
        <f>17.7604 * CHOOSE(CONTROL!$C$14, $D$10, 100%, $F$10)</f>
        <v>17.760400000000001</v>
      </c>
      <c r="C566" s="8">
        <f>17.7656 * CHOOSE(CONTROL!$C$14, $D$10, 100%, $F$10)</f>
        <v>17.765599999999999</v>
      </c>
      <c r="D566" s="8">
        <f>17.7418 * CHOOSE( CONTROL!$C$14, $D$10, 100%, $F$10)</f>
        <v>17.741800000000001</v>
      </c>
      <c r="E566" s="12">
        <f>17.7499 * CHOOSE( CONTROL!$C$14, $D$10, 100%, $F$10)</f>
        <v>17.7499</v>
      </c>
      <c r="F566" s="4">
        <f>18.4079 * CHOOSE(CONTROL!$C$14, $D$10, 100%, $F$10)</f>
        <v>18.407900000000001</v>
      </c>
      <c r="G566" s="8">
        <f>17.4483 * CHOOSE( CONTROL!$C$14, $D$10, 100%, $F$10)</f>
        <v>17.4483</v>
      </c>
      <c r="H566" s="4">
        <f>18.3314 * CHOOSE(CONTROL!$C$14, $D$10, 100%, $F$10)</f>
        <v>18.331399999999999</v>
      </c>
      <c r="I566" s="8">
        <f>17.2736 * CHOOSE(CONTROL!$C$14, $D$10, 100%, $F$10)</f>
        <v>17.273599999999998</v>
      </c>
      <c r="J566" s="4">
        <f>17.1399 * CHOOSE(CONTROL!$C$14, $D$10, 100%, $F$10)</f>
        <v>17.139900000000001</v>
      </c>
      <c r="K566" s="4"/>
      <c r="L566" s="9">
        <v>28.360600000000002</v>
      </c>
      <c r="M566" s="9">
        <v>11.6745</v>
      </c>
      <c r="N566" s="9">
        <v>4.7850000000000001</v>
      </c>
      <c r="O566" s="9">
        <v>0.36199999999999999</v>
      </c>
      <c r="P566" s="9">
        <v>1.2509999999999999</v>
      </c>
      <c r="Q566" s="9">
        <v>19.053000000000001</v>
      </c>
      <c r="R566" s="9"/>
      <c r="S566" s="11"/>
    </row>
    <row r="567" spans="1:19" ht="15.75">
      <c r="A567" s="13">
        <v>59171</v>
      </c>
      <c r="B567" s="8">
        <f>17.7282 * CHOOSE(CONTROL!$C$14, $D$10, 100%, $F$10)</f>
        <v>17.728200000000001</v>
      </c>
      <c r="C567" s="8">
        <f>17.7333 * CHOOSE(CONTROL!$C$14, $D$10, 100%, $F$10)</f>
        <v>17.7333</v>
      </c>
      <c r="D567" s="8">
        <f>17.7109 * CHOOSE( CONTROL!$C$14, $D$10, 100%, $F$10)</f>
        <v>17.710899999999999</v>
      </c>
      <c r="E567" s="12">
        <f>17.7185 * CHOOSE( CONTROL!$C$14, $D$10, 100%, $F$10)</f>
        <v>17.718499999999999</v>
      </c>
      <c r="F567" s="4">
        <f>18.3757 * CHOOSE(CONTROL!$C$14, $D$10, 100%, $F$10)</f>
        <v>18.375699999999998</v>
      </c>
      <c r="G567" s="8">
        <f>17.4176 * CHOOSE( CONTROL!$C$14, $D$10, 100%, $F$10)</f>
        <v>17.4176</v>
      </c>
      <c r="H567" s="4">
        <f>18.2997 * CHOOSE(CONTROL!$C$14, $D$10, 100%, $F$10)</f>
        <v>18.299700000000001</v>
      </c>
      <c r="I567" s="8">
        <f>17.2468 * CHOOSE(CONTROL!$C$14, $D$10, 100%, $F$10)</f>
        <v>17.2468</v>
      </c>
      <c r="J567" s="4">
        <f>17.1087 * CHOOSE(CONTROL!$C$14, $D$10, 100%, $F$10)</f>
        <v>17.108699999999999</v>
      </c>
      <c r="K567" s="4"/>
      <c r="L567" s="9">
        <v>29.306000000000001</v>
      </c>
      <c r="M567" s="9">
        <v>12.063700000000001</v>
      </c>
      <c r="N567" s="9">
        <v>4.9444999999999997</v>
      </c>
      <c r="O567" s="9">
        <v>0.37409999999999999</v>
      </c>
      <c r="P567" s="9">
        <v>1.2927</v>
      </c>
      <c r="Q567" s="9">
        <v>19.688099999999999</v>
      </c>
      <c r="R567" s="9"/>
      <c r="S567" s="11"/>
    </row>
    <row r="568" spans="1:19" ht="15.75">
      <c r="A568" s="13">
        <v>59202</v>
      </c>
      <c r="B568" s="8">
        <f>18.4046 * CHOOSE(CONTROL!$C$14, $D$10, 100%, $F$10)</f>
        <v>18.404599999999999</v>
      </c>
      <c r="C568" s="8">
        <f>18.4097 * CHOOSE(CONTROL!$C$14, $D$10, 100%, $F$10)</f>
        <v>18.409700000000001</v>
      </c>
      <c r="D568" s="8">
        <f>18.4055 * CHOOSE( CONTROL!$C$14, $D$10, 100%, $F$10)</f>
        <v>18.4055</v>
      </c>
      <c r="E568" s="12">
        <f>18.4065 * CHOOSE( CONTROL!$C$14, $D$10, 100%, $F$10)</f>
        <v>18.406500000000001</v>
      </c>
      <c r="F568" s="4">
        <f>19.0831 * CHOOSE(CONTROL!$C$14, $D$10, 100%, $F$10)</f>
        <v>19.083100000000002</v>
      </c>
      <c r="G568" s="8">
        <f>18.097 * CHOOSE( CONTROL!$C$14, $D$10, 100%, $F$10)</f>
        <v>18.097000000000001</v>
      </c>
      <c r="H568" s="4">
        <f>18.9954 * CHOOSE(CONTROL!$C$14, $D$10, 100%, $F$10)</f>
        <v>18.9954</v>
      </c>
      <c r="I568" s="8">
        <f>17.88 * CHOOSE(CONTROL!$C$14, $D$10, 100%, $F$10)</f>
        <v>17.88</v>
      </c>
      <c r="J568" s="4">
        <f>17.7626 * CHOOSE(CONTROL!$C$14, $D$10, 100%, $F$10)</f>
        <v>17.762599999999999</v>
      </c>
      <c r="K568" s="4"/>
      <c r="L568" s="9">
        <v>29.306000000000001</v>
      </c>
      <c r="M568" s="9">
        <v>12.063700000000001</v>
      </c>
      <c r="N568" s="9">
        <v>4.9444999999999997</v>
      </c>
      <c r="O568" s="9">
        <v>0.37409999999999999</v>
      </c>
      <c r="P568" s="9">
        <v>1.2927</v>
      </c>
      <c r="Q568" s="9">
        <v>19.688099999999999</v>
      </c>
      <c r="R568" s="9"/>
      <c r="S568" s="11"/>
    </row>
    <row r="569" spans="1:19" ht="15.75">
      <c r="A569" s="13">
        <v>59230</v>
      </c>
      <c r="B569" s="8">
        <f>17.2167 * CHOOSE(CONTROL!$C$14, $D$10, 100%, $F$10)</f>
        <v>17.216699999999999</v>
      </c>
      <c r="C569" s="8">
        <f>17.2218 * CHOOSE(CONTROL!$C$14, $D$10, 100%, $F$10)</f>
        <v>17.221800000000002</v>
      </c>
      <c r="D569" s="8">
        <f>17.2117 * CHOOSE( CONTROL!$C$14, $D$10, 100%, $F$10)</f>
        <v>17.2117</v>
      </c>
      <c r="E569" s="12">
        <f>17.2148 * CHOOSE( CONTROL!$C$14, $D$10, 100%, $F$10)</f>
        <v>17.2148</v>
      </c>
      <c r="F569" s="4">
        <f>17.8694 * CHOOSE(CONTROL!$C$14, $D$10, 100%, $F$10)</f>
        <v>17.869399999999999</v>
      </c>
      <c r="G569" s="8">
        <f>16.9207 * CHOOSE( CONTROL!$C$14, $D$10, 100%, $F$10)</f>
        <v>16.9207</v>
      </c>
      <c r="H569" s="4">
        <f>17.8018 * CHOOSE(CONTROL!$C$14, $D$10, 100%, $F$10)</f>
        <v>17.8018</v>
      </c>
      <c r="I569" s="8">
        <f>16.7218 * CHOOSE(CONTROL!$C$14, $D$10, 100%, $F$10)</f>
        <v>16.721800000000002</v>
      </c>
      <c r="J569" s="4">
        <f>16.6142 * CHOOSE(CONTROL!$C$14, $D$10, 100%, $F$10)</f>
        <v>16.6142</v>
      </c>
      <c r="K569" s="4"/>
      <c r="L569" s="9">
        <v>26.469899999999999</v>
      </c>
      <c r="M569" s="9">
        <v>10.8962</v>
      </c>
      <c r="N569" s="9">
        <v>4.4660000000000002</v>
      </c>
      <c r="O569" s="9">
        <v>0.33789999999999998</v>
      </c>
      <c r="P569" s="9">
        <v>1.1676</v>
      </c>
      <c r="Q569" s="9">
        <v>17.782800000000002</v>
      </c>
      <c r="R569" s="9"/>
      <c r="S569" s="11"/>
    </row>
    <row r="570" spans="1:19" ht="15.75">
      <c r="A570" s="13">
        <v>59261</v>
      </c>
      <c r="B570" s="8">
        <f>16.8509 * CHOOSE(CONTROL!$C$14, $D$10, 100%, $F$10)</f>
        <v>16.850899999999999</v>
      </c>
      <c r="C570" s="8">
        <f>16.856 * CHOOSE(CONTROL!$C$14, $D$10, 100%, $F$10)</f>
        <v>16.856000000000002</v>
      </c>
      <c r="D570" s="8">
        <f>16.8394 * CHOOSE( CONTROL!$C$14, $D$10, 100%, $F$10)</f>
        <v>16.839400000000001</v>
      </c>
      <c r="E570" s="12">
        <f>16.8449 * CHOOSE( CONTROL!$C$14, $D$10, 100%, $F$10)</f>
        <v>16.844899999999999</v>
      </c>
      <c r="F570" s="4">
        <f>17.5035 * CHOOSE(CONTROL!$C$14, $D$10, 100%, $F$10)</f>
        <v>17.503499999999999</v>
      </c>
      <c r="G570" s="8">
        <f>16.5527 * CHOOSE( CONTROL!$C$14, $D$10, 100%, $F$10)</f>
        <v>16.552700000000002</v>
      </c>
      <c r="H570" s="4">
        <f>17.442 * CHOOSE(CONTROL!$C$14, $D$10, 100%, $F$10)</f>
        <v>17.442</v>
      </c>
      <c r="I570" s="8">
        <f>16.3478 * CHOOSE(CONTROL!$C$14, $D$10, 100%, $F$10)</f>
        <v>16.347799999999999</v>
      </c>
      <c r="J570" s="4">
        <f>16.2606 * CHOOSE(CONTROL!$C$14, $D$10, 100%, $F$10)</f>
        <v>16.2606</v>
      </c>
      <c r="K570" s="4"/>
      <c r="L570" s="9">
        <v>29.306000000000001</v>
      </c>
      <c r="M570" s="9">
        <v>12.063700000000001</v>
      </c>
      <c r="N570" s="9">
        <v>4.9444999999999997</v>
      </c>
      <c r="O570" s="9">
        <v>0.37409999999999999</v>
      </c>
      <c r="P570" s="9">
        <v>1.2927</v>
      </c>
      <c r="Q570" s="9">
        <v>19.688099999999999</v>
      </c>
      <c r="R570" s="9"/>
      <c r="S570" s="11"/>
    </row>
    <row r="571" spans="1:19" ht="15.75">
      <c r="A571" s="13">
        <v>59291</v>
      </c>
      <c r="B571" s="8">
        <f>17.1073 * CHOOSE(CONTROL!$C$14, $D$10, 100%, $F$10)</f>
        <v>17.107299999999999</v>
      </c>
      <c r="C571" s="8">
        <f>17.1118 * CHOOSE(CONTROL!$C$14, $D$10, 100%, $F$10)</f>
        <v>17.111799999999999</v>
      </c>
      <c r="D571" s="8">
        <f>17.1214 * CHOOSE( CONTROL!$C$14, $D$10, 100%, $F$10)</f>
        <v>17.121400000000001</v>
      </c>
      <c r="E571" s="12">
        <f>17.1177 * CHOOSE( CONTROL!$C$14, $D$10, 100%, $F$10)</f>
        <v>17.117699999999999</v>
      </c>
      <c r="F571" s="4">
        <f>17.7902 * CHOOSE(CONTROL!$C$14, $D$10, 100%, $F$10)</f>
        <v>17.790199999999999</v>
      </c>
      <c r="G571" s="8">
        <f>16.794 * CHOOSE( CONTROL!$C$14, $D$10, 100%, $F$10)</f>
        <v>16.794</v>
      </c>
      <c r="H571" s="4">
        <f>17.724 * CHOOSE(CONTROL!$C$14, $D$10, 100%, $F$10)</f>
        <v>17.724</v>
      </c>
      <c r="I571" s="8">
        <f>16.6061 * CHOOSE(CONTROL!$C$14, $D$10, 100%, $F$10)</f>
        <v>16.606100000000001</v>
      </c>
      <c r="J571" s="4">
        <f>16.5077 * CHOOSE(CONTROL!$C$14, $D$10, 100%, $F$10)</f>
        <v>16.5077</v>
      </c>
      <c r="K571" s="4"/>
      <c r="L571" s="9">
        <v>30.092199999999998</v>
      </c>
      <c r="M571" s="9">
        <v>11.6745</v>
      </c>
      <c r="N571" s="9">
        <v>4.7850000000000001</v>
      </c>
      <c r="O571" s="9">
        <v>0.36199999999999999</v>
      </c>
      <c r="P571" s="9">
        <v>1.1791</v>
      </c>
      <c r="Q571" s="9">
        <v>19.053000000000001</v>
      </c>
      <c r="R571" s="9"/>
      <c r="S571" s="11"/>
    </row>
    <row r="572" spans="1:19" ht="15.75">
      <c r="A572" s="13">
        <v>59322</v>
      </c>
      <c r="B572" s="8">
        <f>CHOOSE( CONTROL!$C$31, 17.5666, 17.5637) * CHOOSE(CONTROL!$C$14, $D$10, 100%, $F$10)</f>
        <v>17.566600000000001</v>
      </c>
      <c r="C572" s="8">
        <f>CHOOSE( CONTROL!$C$31, 17.5746, 17.5717) * CHOOSE(CONTROL!$C$14, $D$10, 100%, $F$10)</f>
        <v>17.5746</v>
      </c>
      <c r="D572" s="8">
        <f>CHOOSE( CONTROL!$C$31, 17.5792, 17.5763) * CHOOSE( CONTROL!$C$14, $D$10, 100%, $F$10)</f>
        <v>17.5792</v>
      </c>
      <c r="E572" s="12">
        <f>CHOOSE( CONTROL!$C$31, 17.5763, 17.5734) * CHOOSE( CONTROL!$C$14, $D$10, 100%, $F$10)</f>
        <v>17.5763</v>
      </c>
      <c r="F572" s="4">
        <f>CHOOSE( CONTROL!$C$31, 18.2481, 18.2452) * CHOOSE(CONTROL!$C$14, $D$10, 100%, $F$10)</f>
        <v>18.248100000000001</v>
      </c>
      <c r="G572" s="8">
        <f>CHOOSE( CONTROL!$C$31, 17.2453, 17.2424) * CHOOSE( CONTROL!$C$14, $D$10, 100%, $F$10)</f>
        <v>17.2453</v>
      </c>
      <c r="H572" s="4">
        <f>CHOOSE( CONTROL!$C$31, 18.1743, 18.1714) * CHOOSE(CONTROL!$C$14, $D$10, 100%, $F$10)</f>
        <v>18.174299999999999</v>
      </c>
      <c r="I572" s="8">
        <f>CHOOSE( CONTROL!$C$31, 17.05, 17.0472) * CHOOSE(CONTROL!$C$14, $D$10, 100%, $F$10)</f>
        <v>17.05</v>
      </c>
      <c r="J572" s="4">
        <f>CHOOSE( CONTROL!$C$31, 16.9504, 16.9476) * CHOOSE(CONTROL!$C$14, $D$10, 100%, $F$10)</f>
        <v>16.950399999999998</v>
      </c>
      <c r="K572" s="4"/>
      <c r="L572" s="9">
        <v>30.7165</v>
      </c>
      <c r="M572" s="9">
        <v>12.063700000000001</v>
      </c>
      <c r="N572" s="9">
        <v>4.9444999999999997</v>
      </c>
      <c r="O572" s="9">
        <v>0.37409999999999999</v>
      </c>
      <c r="P572" s="9">
        <v>1.2183999999999999</v>
      </c>
      <c r="Q572" s="9">
        <v>19.688099999999999</v>
      </c>
      <c r="R572" s="9"/>
      <c r="S572" s="11"/>
    </row>
    <row r="573" spans="1:19" ht="15.75">
      <c r="A573" s="13">
        <v>59352</v>
      </c>
      <c r="B573" s="8">
        <f>CHOOSE( CONTROL!$C$31, 17.2847, 17.2818) * CHOOSE(CONTROL!$C$14, $D$10, 100%, $F$10)</f>
        <v>17.284700000000001</v>
      </c>
      <c r="C573" s="8">
        <f>CHOOSE( CONTROL!$C$31, 17.2927, 17.2898) * CHOOSE(CONTROL!$C$14, $D$10, 100%, $F$10)</f>
        <v>17.2927</v>
      </c>
      <c r="D573" s="8">
        <f>CHOOSE( CONTROL!$C$31, 17.2976, 17.2947) * CHOOSE( CONTROL!$C$14, $D$10, 100%, $F$10)</f>
        <v>17.297599999999999</v>
      </c>
      <c r="E573" s="12">
        <f>CHOOSE( CONTROL!$C$31, 17.2946, 17.2917) * CHOOSE( CONTROL!$C$14, $D$10, 100%, $F$10)</f>
        <v>17.294599999999999</v>
      </c>
      <c r="F573" s="4">
        <f>CHOOSE( CONTROL!$C$31, 17.9663, 17.9634) * CHOOSE(CONTROL!$C$14, $D$10, 100%, $F$10)</f>
        <v>17.9663</v>
      </c>
      <c r="G573" s="8">
        <f>CHOOSE( CONTROL!$C$31, 16.9685, 16.9656) * CHOOSE( CONTROL!$C$14, $D$10, 100%, $F$10)</f>
        <v>16.968499999999999</v>
      </c>
      <c r="H573" s="4">
        <f>CHOOSE( CONTROL!$C$31, 17.8971, 17.8942) * CHOOSE(CONTROL!$C$14, $D$10, 100%, $F$10)</f>
        <v>17.897099999999998</v>
      </c>
      <c r="I573" s="8">
        <f>CHOOSE( CONTROL!$C$31, 16.7787, 16.7758) * CHOOSE(CONTROL!$C$14, $D$10, 100%, $F$10)</f>
        <v>16.778700000000001</v>
      </c>
      <c r="J573" s="4">
        <f>CHOOSE( CONTROL!$C$31, 16.6779, 16.6751) * CHOOSE(CONTROL!$C$14, $D$10, 100%, $F$10)</f>
        <v>16.677900000000001</v>
      </c>
      <c r="K573" s="4"/>
      <c r="L573" s="9">
        <v>29.7257</v>
      </c>
      <c r="M573" s="9">
        <v>11.6745</v>
      </c>
      <c r="N573" s="9">
        <v>4.7850000000000001</v>
      </c>
      <c r="O573" s="9">
        <v>0.36199999999999999</v>
      </c>
      <c r="P573" s="9">
        <v>1.1791</v>
      </c>
      <c r="Q573" s="9">
        <v>19.053000000000001</v>
      </c>
      <c r="R573" s="9"/>
      <c r="S573" s="11"/>
    </row>
    <row r="574" spans="1:19" ht="15.75">
      <c r="A574" s="13">
        <v>59383</v>
      </c>
      <c r="B574" s="8">
        <f>CHOOSE( CONTROL!$C$31, 18.027, 18.0241) * CHOOSE(CONTROL!$C$14, $D$10, 100%, $F$10)</f>
        <v>18.027000000000001</v>
      </c>
      <c r="C574" s="8">
        <f>CHOOSE( CONTROL!$C$31, 18.035, 18.0321) * CHOOSE(CONTROL!$C$14, $D$10, 100%, $F$10)</f>
        <v>18.035</v>
      </c>
      <c r="D574" s="8">
        <f>CHOOSE( CONTROL!$C$31, 18.0401, 18.0372) * CHOOSE( CONTROL!$C$14, $D$10, 100%, $F$10)</f>
        <v>18.040099999999999</v>
      </c>
      <c r="E574" s="12">
        <f>CHOOSE( CONTROL!$C$31, 18.037, 18.0341) * CHOOSE( CONTROL!$C$14, $D$10, 100%, $F$10)</f>
        <v>18.036999999999999</v>
      </c>
      <c r="F574" s="4">
        <f>CHOOSE( CONTROL!$C$31, 18.7085, 18.7056) * CHOOSE(CONTROL!$C$14, $D$10, 100%, $F$10)</f>
        <v>18.708500000000001</v>
      </c>
      <c r="G574" s="8">
        <f>CHOOSE( CONTROL!$C$31, 17.6988, 17.6959) * CHOOSE( CONTROL!$C$14, $D$10, 100%, $F$10)</f>
        <v>17.698799999999999</v>
      </c>
      <c r="H574" s="4">
        <f>CHOOSE( CONTROL!$C$31, 18.6271, 18.6242) * CHOOSE(CONTROL!$C$14, $D$10, 100%, $F$10)</f>
        <v>18.627099999999999</v>
      </c>
      <c r="I574" s="8">
        <f>CHOOSE( CONTROL!$C$31, 17.4977, 17.4949) * CHOOSE(CONTROL!$C$14, $D$10, 100%, $F$10)</f>
        <v>17.497699999999998</v>
      </c>
      <c r="J574" s="4">
        <f>CHOOSE( CONTROL!$C$31, 17.3954, 17.3926) * CHOOSE(CONTROL!$C$14, $D$10, 100%, $F$10)</f>
        <v>17.395399999999999</v>
      </c>
      <c r="K574" s="4"/>
      <c r="L574" s="9">
        <v>30.7165</v>
      </c>
      <c r="M574" s="9">
        <v>12.063700000000001</v>
      </c>
      <c r="N574" s="9">
        <v>4.9444999999999997</v>
      </c>
      <c r="O574" s="9">
        <v>0.37409999999999999</v>
      </c>
      <c r="P574" s="9">
        <v>1.2183999999999999</v>
      </c>
      <c r="Q574" s="9">
        <v>19.688099999999999</v>
      </c>
      <c r="R574" s="9"/>
      <c r="S574" s="11"/>
    </row>
    <row r="575" spans="1:19" ht="15.75">
      <c r="A575" s="13">
        <v>59414</v>
      </c>
      <c r="B575" s="8">
        <f>CHOOSE( CONTROL!$C$31, 16.6381, 16.6352) * CHOOSE(CONTROL!$C$14, $D$10, 100%, $F$10)</f>
        <v>16.638100000000001</v>
      </c>
      <c r="C575" s="8">
        <f>CHOOSE( CONTROL!$C$31, 16.6462, 16.6432) * CHOOSE(CONTROL!$C$14, $D$10, 100%, $F$10)</f>
        <v>16.6462</v>
      </c>
      <c r="D575" s="8">
        <f>CHOOSE( CONTROL!$C$31, 16.6514, 16.6484) * CHOOSE( CONTROL!$C$14, $D$10, 100%, $F$10)</f>
        <v>16.651399999999999</v>
      </c>
      <c r="E575" s="12">
        <f>CHOOSE( CONTROL!$C$31, 16.6483, 16.6453) * CHOOSE( CONTROL!$C$14, $D$10, 100%, $F$10)</f>
        <v>16.648299999999999</v>
      </c>
      <c r="F575" s="4">
        <f>CHOOSE( CONTROL!$C$31, 17.3197, 17.3168) * CHOOSE(CONTROL!$C$14, $D$10, 100%, $F$10)</f>
        <v>17.319700000000001</v>
      </c>
      <c r="G575" s="8">
        <f>CHOOSE( CONTROL!$C$31, 16.3331, 16.3302) * CHOOSE( CONTROL!$C$14, $D$10, 100%, $F$10)</f>
        <v>16.333100000000002</v>
      </c>
      <c r="H575" s="4">
        <f>CHOOSE( CONTROL!$C$31, 17.2613, 17.2584) * CHOOSE(CONTROL!$C$14, $D$10, 100%, $F$10)</f>
        <v>17.261299999999999</v>
      </c>
      <c r="I575" s="8">
        <f>CHOOSE( CONTROL!$C$31, 16.1548, 16.152) * CHOOSE(CONTROL!$C$14, $D$10, 100%, $F$10)</f>
        <v>16.154800000000002</v>
      </c>
      <c r="J575" s="4">
        <f>CHOOSE( CONTROL!$C$31, 16.0529, 16.05) * CHOOSE(CONTROL!$C$14, $D$10, 100%, $F$10)</f>
        <v>16.052900000000001</v>
      </c>
      <c r="K575" s="4"/>
      <c r="L575" s="9">
        <v>30.7165</v>
      </c>
      <c r="M575" s="9">
        <v>12.063700000000001</v>
      </c>
      <c r="N575" s="9">
        <v>4.9444999999999997</v>
      </c>
      <c r="O575" s="9">
        <v>0.37409999999999999</v>
      </c>
      <c r="P575" s="9">
        <v>1.2183999999999999</v>
      </c>
      <c r="Q575" s="9">
        <v>19.688099999999999</v>
      </c>
      <c r="R575" s="9"/>
      <c r="S575" s="11"/>
    </row>
    <row r="576" spans="1:19" ht="15.75">
      <c r="A576" s="13">
        <v>59444</v>
      </c>
      <c r="B576" s="8">
        <f>CHOOSE( CONTROL!$C$31, 16.2904, 16.2874) * CHOOSE(CONTROL!$C$14, $D$10, 100%, $F$10)</f>
        <v>16.290400000000002</v>
      </c>
      <c r="C576" s="8">
        <f>CHOOSE( CONTROL!$C$31, 16.2984, 16.2955) * CHOOSE(CONTROL!$C$14, $D$10, 100%, $F$10)</f>
        <v>16.298400000000001</v>
      </c>
      <c r="D576" s="8">
        <f>CHOOSE( CONTROL!$C$31, 16.3036, 16.3007) * CHOOSE( CONTROL!$C$14, $D$10, 100%, $F$10)</f>
        <v>16.303599999999999</v>
      </c>
      <c r="E576" s="12">
        <f>CHOOSE( CONTROL!$C$31, 16.3005, 16.2976) * CHOOSE( CONTROL!$C$14, $D$10, 100%, $F$10)</f>
        <v>16.3005</v>
      </c>
      <c r="F576" s="4">
        <f>CHOOSE( CONTROL!$C$31, 16.9719, 16.969) * CHOOSE(CONTROL!$C$14, $D$10, 100%, $F$10)</f>
        <v>16.971900000000002</v>
      </c>
      <c r="G576" s="8">
        <f>CHOOSE( CONTROL!$C$31, 15.9911, 15.9882) * CHOOSE( CONTROL!$C$14, $D$10, 100%, $F$10)</f>
        <v>15.991099999999999</v>
      </c>
      <c r="H576" s="4">
        <f>CHOOSE( CONTROL!$C$31, 16.9193, 16.9164) * CHOOSE(CONTROL!$C$14, $D$10, 100%, $F$10)</f>
        <v>16.9193</v>
      </c>
      <c r="I576" s="8">
        <f>CHOOSE( CONTROL!$C$31, 15.8184, 15.8156) * CHOOSE(CONTROL!$C$14, $D$10, 100%, $F$10)</f>
        <v>15.8184</v>
      </c>
      <c r="J576" s="4">
        <f>CHOOSE( CONTROL!$C$31, 15.7167, 15.7138) * CHOOSE(CONTROL!$C$14, $D$10, 100%, $F$10)</f>
        <v>15.716699999999999</v>
      </c>
      <c r="K576" s="4"/>
      <c r="L576" s="9">
        <v>29.7257</v>
      </c>
      <c r="M576" s="9">
        <v>11.6745</v>
      </c>
      <c r="N576" s="9">
        <v>4.7850000000000001</v>
      </c>
      <c r="O576" s="9">
        <v>0.36199999999999999</v>
      </c>
      <c r="P576" s="9">
        <v>1.1791</v>
      </c>
      <c r="Q576" s="9">
        <v>19.053000000000001</v>
      </c>
      <c r="R576" s="9"/>
      <c r="S576" s="11"/>
    </row>
    <row r="577" spans="1:19" ht="15.75">
      <c r="A577" s="13">
        <v>59475</v>
      </c>
      <c r="B577" s="8">
        <f>17.0078 * CHOOSE(CONTROL!$C$14, $D$10, 100%, $F$10)</f>
        <v>17.0078</v>
      </c>
      <c r="C577" s="8">
        <f>17.0132 * CHOOSE(CONTROL!$C$14, $D$10, 100%, $F$10)</f>
        <v>17.013200000000001</v>
      </c>
      <c r="D577" s="8">
        <f>17.0232 * CHOOSE( CONTROL!$C$14, $D$10, 100%, $F$10)</f>
        <v>17.023199999999999</v>
      </c>
      <c r="E577" s="12">
        <f>17.0193 * CHOOSE( CONTROL!$C$14, $D$10, 100%, $F$10)</f>
        <v>17.019300000000001</v>
      </c>
      <c r="F577" s="4">
        <f>17.6911 * CHOOSE(CONTROL!$C$14, $D$10, 100%, $F$10)</f>
        <v>17.691099999999999</v>
      </c>
      <c r="G577" s="8">
        <f>16.698 * CHOOSE( CONTROL!$C$14, $D$10, 100%, $F$10)</f>
        <v>16.698</v>
      </c>
      <c r="H577" s="4">
        <f>17.6265 * CHOOSE(CONTROL!$C$14, $D$10, 100%, $F$10)</f>
        <v>17.6265</v>
      </c>
      <c r="I577" s="8">
        <f>16.5148 * CHOOSE(CONTROL!$C$14, $D$10, 100%, $F$10)</f>
        <v>16.514800000000001</v>
      </c>
      <c r="J577" s="4">
        <f>16.4119 * CHOOSE(CONTROL!$C$14, $D$10, 100%, $F$10)</f>
        <v>16.411899999999999</v>
      </c>
      <c r="K577" s="4"/>
      <c r="L577" s="9">
        <v>31.095300000000002</v>
      </c>
      <c r="M577" s="9">
        <v>12.063700000000001</v>
      </c>
      <c r="N577" s="9">
        <v>4.9444999999999997</v>
      </c>
      <c r="O577" s="9">
        <v>0.37409999999999999</v>
      </c>
      <c r="P577" s="9">
        <v>1.2183999999999999</v>
      </c>
      <c r="Q577" s="9">
        <v>19.688099999999999</v>
      </c>
      <c r="R577" s="9"/>
      <c r="S577" s="11"/>
    </row>
    <row r="578" spans="1:19" ht="15.75">
      <c r="A578" s="13">
        <v>59505</v>
      </c>
      <c r="B578" s="8">
        <f>18.3403 * CHOOSE(CONTROL!$C$14, $D$10, 100%, $F$10)</f>
        <v>18.340299999999999</v>
      </c>
      <c r="C578" s="8">
        <f>18.3454 * CHOOSE(CONTROL!$C$14, $D$10, 100%, $F$10)</f>
        <v>18.345400000000001</v>
      </c>
      <c r="D578" s="8">
        <f>18.3216 * CHOOSE( CONTROL!$C$14, $D$10, 100%, $F$10)</f>
        <v>18.3216</v>
      </c>
      <c r="E578" s="12">
        <f>18.3298 * CHOOSE( CONTROL!$C$14, $D$10, 100%, $F$10)</f>
        <v>18.329799999999999</v>
      </c>
      <c r="F578" s="4">
        <f>18.9878 * CHOOSE(CONTROL!$C$14, $D$10, 100%, $F$10)</f>
        <v>18.9878</v>
      </c>
      <c r="G578" s="8">
        <f>18.0185 * CHOOSE( CONTROL!$C$14, $D$10, 100%, $F$10)</f>
        <v>18.0185</v>
      </c>
      <c r="H578" s="4">
        <f>18.9017 * CHOOSE(CONTROL!$C$14, $D$10, 100%, $F$10)</f>
        <v>18.901700000000002</v>
      </c>
      <c r="I578" s="8">
        <f>17.8344 * CHOOSE(CONTROL!$C$14, $D$10, 100%, $F$10)</f>
        <v>17.834399999999999</v>
      </c>
      <c r="J578" s="4">
        <f>17.7004 * CHOOSE(CONTROL!$C$14, $D$10, 100%, $F$10)</f>
        <v>17.700399999999998</v>
      </c>
      <c r="K578" s="4"/>
      <c r="L578" s="9">
        <v>28.360600000000002</v>
      </c>
      <c r="M578" s="9">
        <v>11.6745</v>
      </c>
      <c r="N578" s="9">
        <v>4.7850000000000001</v>
      </c>
      <c r="O578" s="9">
        <v>0.36199999999999999</v>
      </c>
      <c r="P578" s="9">
        <v>1.2509999999999999</v>
      </c>
      <c r="Q578" s="9">
        <v>19.053000000000001</v>
      </c>
      <c r="R578" s="9"/>
      <c r="S578" s="11"/>
    </row>
    <row r="579" spans="1:19" ht="15.75">
      <c r="A579" s="13">
        <v>59536</v>
      </c>
      <c r="B579" s="8">
        <f>18.307 * CHOOSE(CONTROL!$C$14, $D$10, 100%, $F$10)</f>
        <v>18.306999999999999</v>
      </c>
      <c r="C579" s="8">
        <f>18.3121 * CHOOSE(CONTROL!$C$14, $D$10, 100%, $F$10)</f>
        <v>18.312100000000001</v>
      </c>
      <c r="D579" s="8">
        <f>18.2897 * CHOOSE( CONTROL!$C$14, $D$10, 100%, $F$10)</f>
        <v>18.2897</v>
      </c>
      <c r="E579" s="12">
        <f>18.2973 * CHOOSE( CONTROL!$C$14, $D$10, 100%, $F$10)</f>
        <v>18.2973</v>
      </c>
      <c r="F579" s="4">
        <f>18.9545 * CHOOSE(CONTROL!$C$14, $D$10, 100%, $F$10)</f>
        <v>18.954499999999999</v>
      </c>
      <c r="G579" s="8">
        <f>17.9868 * CHOOSE( CONTROL!$C$14, $D$10, 100%, $F$10)</f>
        <v>17.986799999999999</v>
      </c>
      <c r="H579" s="4">
        <f>18.8689 * CHOOSE(CONTROL!$C$14, $D$10, 100%, $F$10)</f>
        <v>18.8689</v>
      </c>
      <c r="I579" s="8">
        <f>17.8066 * CHOOSE(CONTROL!$C$14, $D$10, 100%, $F$10)</f>
        <v>17.8066</v>
      </c>
      <c r="J579" s="4">
        <f>17.6682 * CHOOSE(CONTROL!$C$14, $D$10, 100%, $F$10)</f>
        <v>17.668199999999999</v>
      </c>
      <c r="K579" s="4"/>
      <c r="L579" s="9">
        <v>29.306000000000001</v>
      </c>
      <c r="M579" s="9">
        <v>12.063700000000001</v>
      </c>
      <c r="N579" s="9">
        <v>4.9444999999999997</v>
      </c>
      <c r="O579" s="9">
        <v>0.37409999999999999</v>
      </c>
      <c r="P579" s="9">
        <v>1.2927</v>
      </c>
      <c r="Q579" s="9">
        <v>19.688099999999999</v>
      </c>
      <c r="R579" s="9"/>
      <c r="S579" s="11"/>
    </row>
    <row r="580" spans="1:19" ht="15.75">
      <c r="A580" s="13">
        <v>59567</v>
      </c>
      <c r="B580" s="8">
        <f>19.0055 * CHOOSE(CONTROL!$C$14, $D$10, 100%, $F$10)</f>
        <v>19.005500000000001</v>
      </c>
      <c r="C580" s="8">
        <f>19.0106 * CHOOSE(CONTROL!$C$14, $D$10, 100%, $F$10)</f>
        <v>19.0106</v>
      </c>
      <c r="D580" s="8">
        <f>19.0064 * CHOOSE( CONTROL!$C$14, $D$10, 100%, $F$10)</f>
        <v>19.006399999999999</v>
      </c>
      <c r="E580" s="12">
        <f>19.0074 * CHOOSE( CONTROL!$C$14, $D$10, 100%, $F$10)</f>
        <v>19.007400000000001</v>
      </c>
      <c r="F580" s="4">
        <f>19.684 * CHOOSE(CONTROL!$C$14, $D$10, 100%, $F$10)</f>
        <v>19.684000000000001</v>
      </c>
      <c r="G580" s="8">
        <f>18.688 * CHOOSE( CONTROL!$C$14, $D$10, 100%, $F$10)</f>
        <v>18.687999999999999</v>
      </c>
      <c r="H580" s="4">
        <f>19.5864 * CHOOSE(CONTROL!$C$14, $D$10, 100%, $F$10)</f>
        <v>19.586400000000001</v>
      </c>
      <c r="I580" s="8">
        <f>18.4612 * CHOOSE(CONTROL!$C$14, $D$10, 100%, $F$10)</f>
        <v>18.461200000000002</v>
      </c>
      <c r="J580" s="4">
        <f>18.3435 * CHOOSE(CONTROL!$C$14, $D$10, 100%, $F$10)</f>
        <v>18.343499999999999</v>
      </c>
      <c r="K580" s="4"/>
      <c r="L580" s="9">
        <v>29.306000000000001</v>
      </c>
      <c r="M580" s="9">
        <v>12.063700000000001</v>
      </c>
      <c r="N580" s="9">
        <v>4.9444999999999997</v>
      </c>
      <c r="O580" s="9">
        <v>0.37409999999999999</v>
      </c>
      <c r="P580" s="9">
        <v>1.2927</v>
      </c>
      <c r="Q580" s="9">
        <v>19.688099999999999</v>
      </c>
      <c r="R580" s="9"/>
      <c r="S580" s="11"/>
    </row>
    <row r="581" spans="1:19" ht="15.75">
      <c r="A581" s="13">
        <v>59595</v>
      </c>
      <c r="B581" s="8">
        <f>17.7788 * CHOOSE(CONTROL!$C$14, $D$10, 100%, $F$10)</f>
        <v>17.7788</v>
      </c>
      <c r="C581" s="8">
        <f>17.7839 * CHOOSE(CONTROL!$C$14, $D$10, 100%, $F$10)</f>
        <v>17.783899999999999</v>
      </c>
      <c r="D581" s="8">
        <f>17.7738 * CHOOSE( CONTROL!$C$14, $D$10, 100%, $F$10)</f>
        <v>17.773800000000001</v>
      </c>
      <c r="E581" s="12">
        <f>17.7769 * CHOOSE( CONTROL!$C$14, $D$10, 100%, $F$10)</f>
        <v>17.776900000000001</v>
      </c>
      <c r="F581" s="4">
        <f>18.4314 * CHOOSE(CONTROL!$C$14, $D$10, 100%, $F$10)</f>
        <v>18.4314</v>
      </c>
      <c r="G581" s="8">
        <f>17.4735 * CHOOSE( CONTROL!$C$14, $D$10, 100%, $F$10)</f>
        <v>17.473500000000001</v>
      </c>
      <c r="H581" s="4">
        <f>18.3546 * CHOOSE(CONTROL!$C$14, $D$10, 100%, $F$10)</f>
        <v>18.354600000000001</v>
      </c>
      <c r="I581" s="8">
        <f>17.2654 * CHOOSE(CONTROL!$C$14, $D$10, 100%, $F$10)</f>
        <v>17.2654</v>
      </c>
      <c r="J581" s="4">
        <f>17.1576 * CHOOSE(CONTROL!$C$14, $D$10, 100%, $F$10)</f>
        <v>17.157599999999999</v>
      </c>
      <c r="K581" s="4"/>
      <c r="L581" s="9">
        <v>26.469899999999999</v>
      </c>
      <c r="M581" s="9">
        <v>10.8962</v>
      </c>
      <c r="N581" s="9">
        <v>4.4660000000000002</v>
      </c>
      <c r="O581" s="9">
        <v>0.33789999999999998</v>
      </c>
      <c r="P581" s="9">
        <v>1.1676</v>
      </c>
      <c r="Q581" s="9">
        <v>17.782800000000002</v>
      </c>
      <c r="R581" s="9"/>
      <c r="S581" s="11"/>
    </row>
    <row r="582" spans="1:19" ht="15.75">
      <c r="A582" s="13">
        <v>59626</v>
      </c>
      <c r="B582" s="8">
        <f>17.401 * CHOOSE(CONTROL!$C$14, $D$10, 100%, $F$10)</f>
        <v>17.401</v>
      </c>
      <c r="C582" s="8">
        <f>17.4061 * CHOOSE(CONTROL!$C$14, $D$10, 100%, $F$10)</f>
        <v>17.406099999999999</v>
      </c>
      <c r="D582" s="8">
        <f>17.3895 * CHOOSE( CONTROL!$C$14, $D$10, 100%, $F$10)</f>
        <v>17.389500000000002</v>
      </c>
      <c r="E582" s="12">
        <f>17.395 * CHOOSE( CONTROL!$C$14, $D$10, 100%, $F$10)</f>
        <v>17.395</v>
      </c>
      <c r="F582" s="4">
        <f>18.0536 * CHOOSE(CONTROL!$C$14, $D$10, 100%, $F$10)</f>
        <v>18.053599999999999</v>
      </c>
      <c r="G582" s="8">
        <f>17.0937 * CHOOSE( CONTROL!$C$14, $D$10, 100%, $F$10)</f>
        <v>17.093699999999998</v>
      </c>
      <c r="H582" s="4">
        <f>17.983 * CHOOSE(CONTROL!$C$14, $D$10, 100%, $F$10)</f>
        <v>17.983000000000001</v>
      </c>
      <c r="I582" s="8">
        <f>16.8799 * CHOOSE(CONTROL!$C$14, $D$10, 100%, $F$10)</f>
        <v>16.879899999999999</v>
      </c>
      <c r="J582" s="4">
        <f>16.7923 * CHOOSE(CONTROL!$C$14, $D$10, 100%, $F$10)</f>
        <v>16.792300000000001</v>
      </c>
      <c r="K582" s="4"/>
      <c r="L582" s="9">
        <v>29.306000000000001</v>
      </c>
      <c r="M582" s="9">
        <v>12.063700000000001</v>
      </c>
      <c r="N582" s="9">
        <v>4.9444999999999997</v>
      </c>
      <c r="O582" s="9">
        <v>0.37409999999999999</v>
      </c>
      <c r="P582" s="9">
        <v>1.2927</v>
      </c>
      <c r="Q582" s="9">
        <v>19.688099999999999</v>
      </c>
      <c r="R582" s="9"/>
      <c r="S582" s="11"/>
    </row>
    <row r="583" spans="1:19" ht="15.75">
      <c r="A583" s="13">
        <v>59656</v>
      </c>
      <c r="B583" s="8">
        <f>17.6658 * CHOOSE(CONTROL!$C$14, $D$10, 100%, $F$10)</f>
        <v>17.665800000000001</v>
      </c>
      <c r="C583" s="8">
        <f>17.6703 * CHOOSE(CONTROL!$C$14, $D$10, 100%, $F$10)</f>
        <v>17.670300000000001</v>
      </c>
      <c r="D583" s="8">
        <f>17.6798 * CHOOSE( CONTROL!$C$14, $D$10, 100%, $F$10)</f>
        <v>17.6798</v>
      </c>
      <c r="E583" s="12">
        <f>17.6761 * CHOOSE( CONTROL!$C$14, $D$10, 100%, $F$10)</f>
        <v>17.676100000000002</v>
      </c>
      <c r="F583" s="4">
        <f>18.3487 * CHOOSE(CONTROL!$C$14, $D$10, 100%, $F$10)</f>
        <v>18.348700000000001</v>
      </c>
      <c r="G583" s="8">
        <f>17.3432 * CHOOSE( CONTROL!$C$14, $D$10, 100%, $F$10)</f>
        <v>17.3432</v>
      </c>
      <c r="H583" s="4">
        <f>18.2732 * CHOOSE(CONTROL!$C$14, $D$10, 100%, $F$10)</f>
        <v>18.273199999999999</v>
      </c>
      <c r="I583" s="8">
        <f>17.1462 * CHOOSE(CONTROL!$C$14, $D$10, 100%, $F$10)</f>
        <v>17.1462</v>
      </c>
      <c r="J583" s="4">
        <f>17.0476 * CHOOSE(CONTROL!$C$14, $D$10, 100%, $F$10)</f>
        <v>17.047599999999999</v>
      </c>
      <c r="K583" s="4"/>
      <c r="L583" s="9">
        <v>30.092199999999998</v>
      </c>
      <c r="M583" s="9">
        <v>11.6745</v>
      </c>
      <c r="N583" s="9">
        <v>4.7850000000000001</v>
      </c>
      <c r="O583" s="9">
        <v>0.36199999999999999</v>
      </c>
      <c r="P583" s="9">
        <v>1.1791</v>
      </c>
      <c r="Q583" s="9">
        <v>19.053000000000001</v>
      </c>
      <c r="R583" s="9"/>
      <c r="S583" s="11"/>
    </row>
    <row r="584" spans="1:19" ht="15.75">
      <c r="A584" s="13">
        <v>59687</v>
      </c>
      <c r="B584" s="8">
        <f>CHOOSE( CONTROL!$C$31, 18.1399, 18.137) * CHOOSE(CONTROL!$C$14, $D$10, 100%, $F$10)</f>
        <v>18.139900000000001</v>
      </c>
      <c r="C584" s="8">
        <f>CHOOSE( CONTROL!$C$31, 18.1479, 18.145) * CHOOSE(CONTROL!$C$14, $D$10, 100%, $F$10)</f>
        <v>18.1479</v>
      </c>
      <c r="D584" s="8">
        <f>CHOOSE( CONTROL!$C$31, 18.1526, 18.1496) * CHOOSE( CONTROL!$C$14, $D$10, 100%, $F$10)</f>
        <v>18.1526</v>
      </c>
      <c r="E584" s="12">
        <f>CHOOSE( CONTROL!$C$31, 18.1497, 18.1467) * CHOOSE( CONTROL!$C$14, $D$10, 100%, $F$10)</f>
        <v>18.149699999999999</v>
      </c>
      <c r="F584" s="4">
        <f>CHOOSE( CONTROL!$C$31, 18.8215, 18.8186) * CHOOSE(CONTROL!$C$14, $D$10, 100%, $F$10)</f>
        <v>18.8215</v>
      </c>
      <c r="G584" s="8">
        <f>CHOOSE( CONTROL!$C$31, 17.8091, 17.8063) * CHOOSE( CONTROL!$C$14, $D$10, 100%, $F$10)</f>
        <v>17.809100000000001</v>
      </c>
      <c r="H584" s="4">
        <f>CHOOSE( CONTROL!$C$31, 18.7381, 18.7353) * CHOOSE(CONTROL!$C$14, $D$10, 100%, $F$10)</f>
        <v>18.738099999999999</v>
      </c>
      <c r="I584" s="8">
        <f>CHOOSE( CONTROL!$C$31, 17.6045, 17.6017) * CHOOSE(CONTROL!$C$14, $D$10, 100%, $F$10)</f>
        <v>17.604500000000002</v>
      </c>
      <c r="J584" s="4">
        <f>CHOOSE( CONTROL!$C$31, 17.5046, 17.5018) * CHOOSE(CONTROL!$C$14, $D$10, 100%, $F$10)</f>
        <v>17.5046</v>
      </c>
      <c r="K584" s="4"/>
      <c r="L584" s="9">
        <v>30.7165</v>
      </c>
      <c r="M584" s="9">
        <v>12.063700000000001</v>
      </c>
      <c r="N584" s="9">
        <v>4.9444999999999997</v>
      </c>
      <c r="O584" s="9">
        <v>0.37409999999999999</v>
      </c>
      <c r="P584" s="9">
        <v>1.2183999999999999</v>
      </c>
      <c r="Q584" s="9">
        <v>19.688099999999999</v>
      </c>
      <c r="R584" s="9"/>
      <c r="S584" s="11"/>
    </row>
    <row r="585" spans="1:19" ht="15.75">
      <c r="A585" s="13">
        <v>59717</v>
      </c>
      <c r="B585" s="8">
        <f>CHOOSE( CONTROL!$C$31, 17.8489, 17.8459) * CHOOSE(CONTROL!$C$14, $D$10, 100%, $F$10)</f>
        <v>17.8489</v>
      </c>
      <c r="C585" s="8">
        <f>CHOOSE( CONTROL!$C$31, 17.8569, 17.8539) * CHOOSE(CONTROL!$C$14, $D$10, 100%, $F$10)</f>
        <v>17.8569</v>
      </c>
      <c r="D585" s="8">
        <f>CHOOSE( CONTROL!$C$31, 17.8618, 17.8588) * CHOOSE( CONTROL!$C$14, $D$10, 100%, $F$10)</f>
        <v>17.861799999999999</v>
      </c>
      <c r="E585" s="12">
        <f>CHOOSE( CONTROL!$C$31, 17.8588, 17.8558) * CHOOSE( CONTROL!$C$14, $D$10, 100%, $F$10)</f>
        <v>17.858799999999999</v>
      </c>
      <c r="F585" s="4">
        <f>CHOOSE( CONTROL!$C$31, 18.5304, 18.5275) * CHOOSE(CONTROL!$C$14, $D$10, 100%, $F$10)</f>
        <v>18.5304</v>
      </c>
      <c r="G585" s="8">
        <f>CHOOSE( CONTROL!$C$31, 17.5233, 17.5204) * CHOOSE( CONTROL!$C$14, $D$10, 100%, $F$10)</f>
        <v>17.523299999999999</v>
      </c>
      <c r="H585" s="4">
        <f>CHOOSE( CONTROL!$C$31, 18.4519, 18.449) * CHOOSE(CONTROL!$C$14, $D$10, 100%, $F$10)</f>
        <v>18.451899999999998</v>
      </c>
      <c r="I585" s="8">
        <f>CHOOSE( CONTROL!$C$31, 17.3243, 17.3214) * CHOOSE(CONTROL!$C$14, $D$10, 100%, $F$10)</f>
        <v>17.324300000000001</v>
      </c>
      <c r="J585" s="4">
        <f>CHOOSE( CONTROL!$C$31, 17.2233, 17.2204) * CHOOSE(CONTROL!$C$14, $D$10, 100%, $F$10)</f>
        <v>17.223299999999998</v>
      </c>
      <c r="K585" s="4"/>
      <c r="L585" s="9">
        <v>29.7257</v>
      </c>
      <c r="M585" s="9">
        <v>11.6745</v>
      </c>
      <c r="N585" s="9">
        <v>4.7850000000000001</v>
      </c>
      <c r="O585" s="9">
        <v>0.36199999999999999</v>
      </c>
      <c r="P585" s="9">
        <v>1.1791</v>
      </c>
      <c r="Q585" s="9">
        <v>19.053000000000001</v>
      </c>
      <c r="R585" s="9"/>
      <c r="S585" s="11"/>
    </row>
    <row r="586" spans="1:19" ht="15.75">
      <c r="A586" s="13">
        <v>59748</v>
      </c>
      <c r="B586" s="8">
        <f>CHOOSE( CONTROL!$C$31, 18.6154, 18.6125) * CHOOSE(CONTROL!$C$14, $D$10, 100%, $F$10)</f>
        <v>18.615400000000001</v>
      </c>
      <c r="C586" s="8">
        <f>CHOOSE( CONTROL!$C$31, 18.6234, 18.6205) * CHOOSE(CONTROL!$C$14, $D$10, 100%, $F$10)</f>
        <v>18.6234</v>
      </c>
      <c r="D586" s="8">
        <f>CHOOSE( CONTROL!$C$31, 18.6285, 18.6256) * CHOOSE( CONTROL!$C$14, $D$10, 100%, $F$10)</f>
        <v>18.628499999999999</v>
      </c>
      <c r="E586" s="12">
        <f>CHOOSE( CONTROL!$C$31, 18.6254, 18.6225) * CHOOSE( CONTROL!$C$14, $D$10, 100%, $F$10)</f>
        <v>18.625399999999999</v>
      </c>
      <c r="F586" s="4">
        <f>CHOOSE( CONTROL!$C$31, 19.2969, 19.294) * CHOOSE(CONTROL!$C$14, $D$10, 100%, $F$10)</f>
        <v>19.296900000000001</v>
      </c>
      <c r="G586" s="8">
        <f>CHOOSE( CONTROL!$C$31, 18.2774, 18.2746) * CHOOSE( CONTROL!$C$14, $D$10, 100%, $F$10)</f>
        <v>18.2774</v>
      </c>
      <c r="H586" s="4">
        <f>CHOOSE( CONTROL!$C$31, 19.2057, 19.2028) * CHOOSE(CONTROL!$C$14, $D$10, 100%, $F$10)</f>
        <v>19.2057</v>
      </c>
      <c r="I586" s="8">
        <f>CHOOSE( CONTROL!$C$31, 18.0668, 18.064) * CHOOSE(CONTROL!$C$14, $D$10, 100%, $F$10)</f>
        <v>18.066800000000001</v>
      </c>
      <c r="J586" s="4">
        <f>CHOOSE( CONTROL!$C$31, 17.9643, 17.9614) * CHOOSE(CONTROL!$C$14, $D$10, 100%, $F$10)</f>
        <v>17.964300000000001</v>
      </c>
      <c r="K586" s="4"/>
      <c r="L586" s="9">
        <v>30.7165</v>
      </c>
      <c r="M586" s="9">
        <v>12.063700000000001</v>
      </c>
      <c r="N586" s="9">
        <v>4.9444999999999997</v>
      </c>
      <c r="O586" s="9">
        <v>0.37409999999999999</v>
      </c>
      <c r="P586" s="9">
        <v>1.2183999999999999</v>
      </c>
      <c r="Q586" s="9">
        <v>19.688099999999999</v>
      </c>
      <c r="R586" s="9"/>
      <c r="S586" s="11"/>
    </row>
    <row r="587" spans="1:19" ht="15.75">
      <c r="A587" s="13">
        <v>59779</v>
      </c>
      <c r="B587" s="8">
        <f>CHOOSE( CONTROL!$C$31, 17.1811, 17.1782) * CHOOSE(CONTROL!$C$14, $D$10, 100%, $F$10)</f>
        <v>17.181100000000001</v>
      </c>
      <c r="C587" s="8">
        <f>CHOOSE( CONTROL!$C$31, 17.1891, 17.1862) * CHOOSE(CONTROL!$C$14, $D$10, 100%, $F$10)</f>
        <v>17.1891</v>
      </c>
      <c r="D587" s="8">
        <f>CHOOSE( CONTROL!$C$31, 17.1943, 17.1914) * CHOOSE( CONTROL!$C$14, $D$10, 100%, $F$10)</f>
        <v>17.194299999999998</v>
      </c>
      <c r="E587" s="12">
        <f>CHOOSE( CONTROL!$C$31, 17.1912, 17.1883) * CHOOSE( CONTROL!$C$14, $D$10, 100%, $F$10)</f>
        <v>17.191199999999998</v>
      </c>
      <c r="F587" s="4">
        <f>CHOOSE( CONTROL!$C$31, 17.8627, 17.8597) * CHOOSE(CONTROL!$C$14, $D$10, 100%, $F$10)</f>
        <v>17.8627</v>
      </c>
      <c r="G587" s="8">
        <f>CHOOSE( CONTROL!$C$31, 16.8671, 16.8642) * CHOOSE( CONTROL!$C$14, $D$10, 100%, $F$10)</f>
        <v>16.867100000000001</v>
      </c>
      <c r="H587" s="4">
        <f>CHOOSE( CONTROL!$C$31, 17.7952, 17.7924) * CHOOSE(CONTROL!$C$14, $D$10, 100%, $F$10)</f>
        <v>17.795200000000001</v>
      </c>
      <c r="I587" s="8">
        <f>CHOOSE( CONTROL!$C$31, 16.68, 16.6772) * CHOOSE(CONTROL!$C$14, $D$10, 100%, $F$10)</f>
        <v>16.68</v>
      </c>
      <c r="J587" s="4">
        <f>CHOOSE( CONTROL!$C$31, 16.5778, 16.5749) * CHOOSE(CONTROL!$C$14, $D$10, 100%, $F$10)</f>
        <v>16.5778</v>
      </c>
      <c r="K587" s="4"/>
      <c r="L587" s="9">
        <v>30.7165</v>
      </c>
      <c r="M587" s="9">
        <v>12.063700000000001</v>
      </c>
      <c r="N587" s="9">
        <v>4.9444999999999997</v>
      </c>
      <c r="O587" s="9">
        <v>0.37409999999999999</v>
      </c>
      <c r="P587" s="9">
        <v>1.2183999999999999</v>
      </c>
      <c r="Q587" s="9">
        <v>19.688099999999999</v>
      </c>
      <c r="R587" s="9"/>
      <c r="S587" s="11"/>
    </row>
    <row r="588" spans="1:19" ht="15.75">
      <c r="A588" s="13">
        <v>59809</v>
      </c>
      <c r="B588" s="8">
        <f>CHOOSE( CONTROL!$C$31, 16.822, 16.819) * CHOOSE(CONTROL!$C$14, $D$10, 100%, $F$10)</f>
        <v>16.821999999999999</v>
      </c>
      <c r="C588" s="8">
        <f>CHOOSE( CONTROL!$C$31, 16.83, 16.8271) * CHOOSE(CONTROL!$C$14, $D$10, 100%, $F$10)</f>
        <v>16.829999999999998</v>
      </c>
      <c r="D588" s="8">
        <f>CHOOSE( CONTROL!$C$31, 16.8352, 16.8323) * CHOOSE( CONTROL!$C$14, $D$10, 100%, $F$10)</f>
        <v>16.8352</v>
      </c>
      <c r="E588" s="12">
        <f>CHOOSE( CONTROL!$C$31, 16.8321, 16.8292) * CHOOSE( CONTROL!$C$14, $D$10, 100%, $F$10)</f>
        <v>16.832100000000001</v>
      </c>
      <c r="F588" s="4">
        <f>CHOOSE( CONTROL!$C$31, 17.5035, 17.5006) * CHOOSE(CONTROL!$C$14, $D$10, 100%, $F$10)</f>
        <v>17.503499999999999</v>
      </c>
      <c r="G588" s="8">
        <f>CHOOSE( CONTROL!$C$31, 16.5139, 16.511) * CHOOSE( CONTROL!$C$14, $D$10, 100%, $F$10)</f>
        <v>16.5139</v>
      </c>
      <c r="H588" s="4">
        <f>CHOOSE( CONTROL!$C$31, 17.442, 17.4392) * CHOOSE(CONTROL!$C$14, $D$10, 100%, $F$10)</f>
        <v>17.442</v>
      </c>
      <c r="I588" s="8">
        <f>CHOOSE( CONTROL!$C$31, 16.3326, 16.3297) * CHOOSE(CONTROL!$C$14, $D$10, 100%, $F$10)</f>
        <v>16.332599999999999</v>
      </c>
      <c r="J588" s="4">
        <f>CHOOSE( CONTROL!$C$31, 16.2306, 16.2277) * CHOOSE(CONTROL!$C$14, $D$10, 100%, $F$10)</f>
        <v>16.230599999999999</v>
      </c>
      <c r="K588" s="4"/>
      <c r="L588" s="9">
        <v>29.7257</v>
      </c>
      <c r="M588" s="9">
        <v>11.6745</v>
      </c>
      <c r="N588" s="9">
        <v>4.7850000000000001</v>
      </c>
      <c r="O588" s="9">
        <v>0.36199999999999999</v>
      </c>
      <c r="P588" s="9">
        <v>1.1791</v>
      </c>
      <c r="Q588" s="9">
        <v>19.053000000000001</v>
      </c>
      <c r="R588" s="9"/>
      <c r="S588" s="11"/>
    </row>
    <row r="589" spans="1:19" ht="15.75">
      <c r="A589" s="13">
        <v>59840</v>
      </c>
      <c r="B589" s="8">
        <f>17.563 * CHOOSE(CONTROL!$C$14, $D$10, 100%, $F$10)</f>
        <v>17.562999999999999</v>
      </c>
      <c r="C589" s="8">
        <f>17.5684 * CHOOSE(CONTROL!$C$14, $D$10, 100%, $F$10)</f>
        <v>17.5684</v>
      </c>
      <c r="D589" s="8">
        <f>17.5784 * CHOOSE( CONTROL!$C$14, $D$10, 100%, $F$10)</f>
        <v>17.578399999999998</v>
      </c>
      <c r="E589" s="12">
        <f>17.5745 * CHOOSE( CONTROL!$C$14, $D$10, 100%, $F$10)</f>
        <v>17.5745</v>
      </c>
      <c r="F589" s="4">
        <f>18.2463 * CHOOSE(CONTROL!$C$14, $D$10, 100%, $F$10)</f>
        <v>18.246300000000002</v>
      </c>
      <c r="G589" s="8">
        <f>17.244 * CHOOSE( CONTROL!$C$14, $D$10, 100%, $F$10)</f>
        <v>17.244</v>
      </c>
      <c r="H589" s="4">
        <f>18.1725 * CHOOSE(CONTROL!$C$14, $D$10, 100%, $F$10)</f>
        <v>18.172499999999999</v>
      </c>
      <c r="I589" s="8">
        <f>17.0518 * CHOOSE(CONTROL!$C$14, $D$10, 100%, $F$10)</f>
        <v>17.0518</v>
      </c>
      <c r="J589" s="4">
        <f>16.9486 * CHOOSE(CONTROL!$C$14, $D$10, 100%, $F$10)</f>
        <v>16.948599999999999</v>
      </c>
      <c r="K589" s="4"/>
      <c r="L589" s="9">
        <v>31.095300000000002</v>
      </c>
      <c r="M589" s="9">
        <v>12.063700000000001</v>
      </c>
      <c r="N589" s="9">
        <v>4.9444999999999997</v>
      </c>
      <c r="O589" s="9">
        <v>0.37409999999999999</v>
      </c>
      <c r="P589" s="9">
        <v>1.2183999999999999</v>
      </c>
      <c r="Q589" s="9">
        <v>19.688099999999999</v>
      </c>
      <c r="R589" s="9"/>
      <c r="S589" s="11"/>
    </row>
    <row r="590" spans="1:19" ht="15.75">
      <c r="A590" s="13">
        <v>59870</v>
      </c>
      <c r="B590" s="8">
        <f>18.9391 * CHOOSE(CONTROL!$C$14, $D$10, 100%, $F$10)</f>
        <v>18.9391</v>
      </c>
      <c r="C590" s="8">
        <f>18.9442 * CHOOSE(CONTROL!$C$14, $D$10, 100%, $F$10)</f>
        <v>18.944199999999999</v>
      </c>
      <c r="D590" s="8">
        <f>18.9204 * CHOOSE( CONTROL!$C$14, $D$10, 100%, $F$10)</f>
        <v>18.920400000000001</v>
      </c>
      <c r="E590" s="12">
        <f>18.9286 * CHOOSE( CONTROL!$C$14, $D$10, 100%, $F$10)</f>
        <v>18.928599999999999</v>
      </c>
      <c r="F590" s="4">
        <f>19.5866 * CHOOSE(CONTROL!$C$14, $D$10, 100%, $F$10)</f>
        <v>19.586600000000001</v>
      </c>
      <c r="G590" s="8">
        <f>18.6074 * CHOOSE( CONTROL!$C$14, $D$10, 100%, $F$10)</f>
        <v>18.607399999999998</v>
      </c>
      <c r="H590" s="4">
        <f>19.4906 * CHOOSE(CONTROL!$C$14, $D$10, 100%, $F$10)</f>
        <v>19.490600000000001</v>
      </c>
      <c r="I590" s="8">
        <f>18.4136 * CHOOSE(CONTROL!$C$14, $D$10, 100%, $F$10)</f>
        <v>18.413599999999999</v>
      </c>
      <c r="J590" s="4">
        <f>18.2793 * CHOOSE(CONTROL!$C$14, $D$10, 100%, $F$10)</f>
        <v>18.279299999999999</v>
      </c>
      <c r="K590" s="4"/>
      <c r="L590" s="9">
        <v>28.360600000000002</v>
      </c>
      <c r="M590" s="9">
        <v>11.6745</v>
      </c>
      <c r="N590" s="9">
        <v>4.7850000000000001</v>
      </c>
      <c r="O590" s="9">
        <v>0.36199999999999999</v>
      </c>
      <c r="P590" s="9">
        <v>1.2509999999999999</v>
      </c>
      <c r="Q590" s="9">
        <v>19.053000000000001</v>
      </c>
      <c r="R590" s="9"/>
      <c r="S590" s="11"/>
    </row>
    <row r="591" spans="1:19" ht="15.75">
      <c r="A591" s="13">
        <v>59901</v>
      </c>
      <c r="B591" s="8">
        <f>18.9047 * CHOOSE(CONTROL!$C$14, $D$10, 100%, $F$10)</f>
        <v>18.904699999999998</v>
      </c>
      <c r="C591" s="8">
        <f>18.9098 * CHOOSE(CONTROL!$C$14, $D$10, 100%, $F$10)</f>
        <v>18.909800000000001</v>
      </c>
      <c r="D591" s="8">
        <f>18.8874 * CHOOSE( CONTROL!$C$14, $D$10, 100%, $F$10)</f>
        <v>18.8874</v>
      </c>
      <c r="E591" s="12">
        <f>18.895 * CHOOSE( CONTROL!$C$14, $D$10, 100%, $F$10)</f>
        <v>18.895</v>
      </c>
      <c r="F591" s="4">
        <f>19.5522 * CHOOSE(CONTROL!$C$14, $D$10, 100%, $F$10)</f>
        <v>19.552199999999999</v>
      </c>
      <c r="G591" s="8">
        <f>18.5746 * CHOOSE( CONTROL!$C$14, $D$10, 100%, $F$10)</f>
        <v>18.5746</v>
      </c>
      <c r="H591" s="4">
        <f>19.4567 * CHOOSE(CONTROL!$C$14, $D$10, 100%, $F$10)</f>
        <v>19.456700000000001</v>
      </c>
      <c r="I591" s="8">
        <f>18.3847 * CHOOSE(CONTROL!$C$14, $D$10, 100%, $F$10)</f>
        <v>18.384699999999999</v>
      </c>
      <c r="J591" s="4">
        <f>18.246 * CHOOSE(CONTROL!$C$14, $D$10, 100%, $F$10)</f>
        <v>18.245999999999999</v>
      </c>
      <c r="K591" s="4"/>
      <c r="L591" s="9">
        <v>29.306000000000001</v>
      </c>
      <c r="M591" s="9">
        <v>12.063700000000001</v>
      </c>
      <c r="N591" s="9">
        <v>4.9444999999999997</v>
      </c>
      <c r="O591" s="9">
        <v>0.37409999999999999</v>
      </c>
      <c r="P591" s="9">
        <v>1.2927</v>
      </c>
      <c r="Q591" s="9">
        <v>19.688099999999999</v>
      </c>
      <c r="R591" s="9"/>
      <c r="S591" s="11"/>
    </row>
    <row r="592" spans="1:19" ht="15.75">
      <c r="A592" s="13">
        <v>59932</v>
      </c>
      <c r="B592" s="8">
        <f>19.6261 * CHOOSE(CONTROL!$C$14, $D$10, 100%, $F$10)</f>
        <v>19.626100000000001</v>
      </c>
      <c r="C592" s="8">
        <f>19.6312 * CHOOSE(CONTROL!$C$14, $D$10, 100%, $F$10)</f>
        <v>19.6312</v>
      </c>
      <c r="D592" s="8">
        <f>19.627 * CHOOSE( CONTROL!$C$14, $D$10, 100%, $F$10)</f>
        <v>19.626999999999999</v>
      </c>
      <c r="E592" s="12">
        <f>19.628 * CHOOSE( CONTROL!$C$14, $D$10, 100%, $F$10)</f>
        <v>19.628</v>
      </c>
      <c r="F592" s="4">
        <f>20.3046 * CHOOSE(CONTROL!$C$14, $D$10, 100%, $F$10)</f>
        <v>20.304600000000001</v>
      </c>
      <c r="G592" s="8">
        <f>19.2982 * CHOOSE( CONTROL!$C$14, $D$10, 100%, $F$10)</f>
        <v>19.298200000000001</v>
      </c>
      <c r="H592" s="4">
        <f>20.1967 * CHOOSE(CONTROL!$C$14, $D$10, 100%, $F$10)</f>
        <v>20.1967</v>
      </c>
      <c r="I592" s="8">
        <f>19.0614 * CHOOSE(CONTROL!$C$14, $D$10, 100%, $F$10)</f>
        <v>19.061399999999999</v>
      </c>
      <c r="J592" s="4">
        <f>18.9434 * CHOOSE(CONTROL!$C$14, $D$10, 100%, $F$10)</f>
        <v>18.9434</v>
      </c>
      <c r="K592" s="4"/>
      <c r="L592" s="9">
        <v>29.306000000000001</v>
      </c>
      <c r="M592" s="9">
        <v>12.063700000000001</v>
      </c>
      <c r="N592" s="9">
        <v>4.9444999999999997</v>
      </c>
      <c r="O592" s="9">
        <v>0.37409999999999999</v>
      </c>
      <c r="P592" s="9">
        <v>1.2927</v>
      </c>
      <c r="Q592" s="9">
        <v>19.688099999999999</v>
      </c>
      <c r="R592" s="9"/>
      <c r="S592" s="11"/>
    </row>
    <row r="593" spans="1:19" ht="15.75">
      <c r="A593" s="13">
        <v>59961</v>
      </c>
      <c r="B593" s="8">
        <f>18.3592 * CHOOSE(CONTROL!$C$14, $D$10, 100%, $F$10)</f>
        <v>18.359200000000001</v>
      </c>
      <c r="C593" s="8">
        <f>18.3644 * CHOOSE(CONTROL!$C$14, $D$10, 100%, $F$10)</f>
        <v>18.3644</v>
      </c>
      <c r="D593" s="8">
        <f>18.3542 * CHOOSE( CONTROL!$C$14, $D$10, 100%, $F$10)</f>
        <v>18.354199999999999</v>
      </c>
      <c r="E593" s="12">
        <f>18.3574 * CHOOSE( CONTROL!$C$14, $D$10, 100%, $F$10)</f>
        <v>18.357399999999998</v>
      </c>
      <c r="F593" s="4">
        <f>19.0119 * CHOOSE(CONTROL!$C$14, $D$10, 100%, $F$10)</f>
        <v>19.011900000000001</v>
      </c>
      <c r="G593" s="8">
        <f>18.0443 * CHOOSE( CONTROL!$C$14, $D$10, 100%, $F$10)</f>
        <v>18.0443</v>
      </c>
      <c r="H593" s="4">
        <f>18.9254 * CHOOSE(CONTROL!$C$14, $D$10, 100%, $F$10)</f>
        <v>18.9254</v>
      </c>
      <c r="I593" s="8">
        <f>17.8268 * CHOOSE(CONTROL!$C$14, $D$10, 100%, $F$10)</f>
        <v>17.826799999999999</v>
      </c>
      <c r="J593" s="4">
        <f>17.7187 * CHOOSE(CONTROL!$C$14, $D$10, 100%, $F$10)</f>
        <v>17.718699999999998</v>
      </c>
      <c r="K593" s="4"/>
      <c r="L593" s="9">
        <v>27.415299999999998</v>
      </c>
      <c r="M593" s="9">
        <v>11.285299999999999</v>
      </c>
      <c r="N593" s="9">
        <v>4.6254999999999997</v>
      </c>
      <c r="O593" s="9">
        <v>0.34989999999999999</v>
      </c>
      <c r="P593" s="9">
        <v>1.2093</v>
      </c>
      <c r="Q593" s="9">
        <v>18.417899999999999</v>
      </c>
      <c r="R593" s="9"/>
      <c r="S593" s="11"/>
    </row>
    <row r="594" spans="1:19" ht="15.75">
      <c r="A594" s="13">
        <v>59992</v>
      </c>
      <c r="B594" s="8">
        <f>17.9691 * CHOOSE(CONTROL!$C$14, $D$10, 100%, $F$10)</f>
        <v>17.969100000000001</v>
      </c>
      <c r="C594" s="8">
        <f>17.9742 * CHOOSE(CONTROL!$C$14, $D$10, 100%, $F$10)</f>
        <v>17.9742</v>
      </c>
      <c r="D594" s="8">
        <f>17.9576 * CHOOSE( CONTROL!$C$14, $D$10, 100%, $F$10)</f>
        <v>17.957599999999999</v>
      </c>
      <c r="E594" s="12">
        <f>17.9631 * CHOOSE( CONTROL!$C$14, $D$10, 100%, $F$10)</f>
        <v>17.963100000000001</v>
      </c>
      <c r="F594" s="4">
        <f>18.6217 * CHOOSE(CONTROL!$C$14, $D$10, 100%, $F$10)</f>
        <v>18.621700000000001</v>
      </c>
      <c r="G594" s="8">
        <f>17.6524 * CHOOSE( CONTROL!$C$14, $D$10, 100%, $F$10)</f>
        <v>17.6524</v>
      </c>
      <c r="H594" s="4">
        <f>18.5417 * CHOOSE(CONTROL!$C$14, $D$10, 100%, $F$10)</f>
        <v>18.541699999999999</v>
      </c>
      <c r="I594" s="8">
        <f>17.4293 * CHOOSE(CONTROL!$C$14, $D$10, 100%, $F$10)</f>
        <v>17.429300000000001</v>
      </c>
      <c r="J594" s="4">
        <f>17.3415 * CHOOSE(CONTROL!$C$14, $D$10, 100%, $F$10)</f>
        <v>17.3415</v>
      </c>
      <c r="K594" s="4"/>
      <c r="L594" s="9">
        <v>29.306000000000001</v>
      </c>
      <c r="M594" s="9">
        <v>12.063700000000001</v>
      </c>
      <c r="N594" s="9">
        <v>4.9444999999999997</v>
      </c>
      <c r="O594" s="9">
        <v>0.37409999999999999</v>
      </c>
      <c r="P594" s="9">
        <v>1.2927</v>
      </c>
      <c r="Q594" s="9">
        <v>19.688099999999999</v>
      </c>
      <c r="R594" s="9"/>
      <c r="S594" s="11"/>
    </row>
    <row r="595" spans="1:19" ht="15.75">
      <c r="A595" s="13">
        <v>60022</v>
      </c>
      <c r="B595" s="8">
        <f>18.2425 * CHOOSE(CONTROL!$C$14, $D$10, 100%, $F$10)</f>
        <v>18.2425</v>
      </c>
      <c r="C595" s="8">
        <f>18.247 * CHOOSE(CONTROL!$C$14, $D$10, 100%, $F$10)</f>
        <v>18.247</v>
      </c>
      <c r="D595" s="8">
        <f>18.2566 * CHOOSE( CONTROL!$C$14, $D$10, 100%, $F$10)</f>
        <v>18.256599999999999</v>
      </c>
      <c r="E595" s="12">
        <f>18.2529 * CHOOSE( CONTROL!$C$14, $D$10, 100%, $F$10)</f>
        <v>18.2529</v>
      </c>
      <c r="F595" s="4">
        <f>18.9254 * CHOOSE(CONTROL!$C$14, $D$10, 100%, $F$10)</f>
        <v>18.9254</v>
      </c>
      <c r="G595" s="8">
        <f>17.9104 * CHOOSE( CONTROL!$C$14, $D$10, 100%, $F$10)</f>
        <v>17.910399999999999</v>
      </c>
      <c r="H595" s="4">
        <f>18.8403 * CHOOSE(CONTROL!$C$14, $D$10, 100%, $F$10)</f>
        <v>18.840299999999999</v>
      </c>
      <c r="I595" s="8">
        <f>17.704 * CHOOSE(CONTROL!$C$14, $D$10, 100%, $F$10)</f>
        <v>17.704000000000001</v>
      </c>
      <c r="J595" s="4">
        <f>17.6051 * CHOOSE(CONTROL!$C$14, $D$10, 100%, $F$10)</f>
        <v>17.6051</v>
      </c>
      <c r="K595" s="4"/>
      <c r="L595" s="9">
        <v>30.092199999999998</v>
      </c>
      <c r="M595" s="9">
        <v>11.6745</v>
      </c>
      <c r="N595" s="9">
        <v>4.7850000000000001</v>
      </c>
      <c r="O595" s="9">
        <v>0.36199999999999999</v>
      </c>
      <c r="P595" s="9">
        <v>1.1791</v>
      </c>
      <c r="Q595" s="9">
        <v>19.053000000000001</v>
      </c>
      <c r="R595" s="9"/>
      <c r="S595" s="11"/>
    </row>
    <row r="596" spans="1:19" ht="15.75">
      <c r="A596" s="13">
        <v>60053</v>
      </c>
      <c r="B596" s="8">
        <f>CHOOSE( CONTROL!$C$31, 18.732, 18.7291) * CHOOSE(CONTROL!$C$14, $D$10, 100%, $F$10)</f>
        <v>18.731999999999999</v>
      </c>
      <c r="C596" s="8">
        <f>CHOOSE( CONTROL!$C$31, 18.74, 18.7371) * CHOOSE(CONTROL!$C$14, $D$10, 100%, $F$10)</f>
        <v>18.739999999999998</v>
      </c>
      <c r="D596" s="8">
        <f>CHOOSE( CONTROL!$C$31, 18.7447, 18.7417) * CHOOSE( CONTROL!$C$14, $D$10, 100%, $F$10)</f>
        <v>18.744700000000002</v>
      </c>
      <c r="E596" s="12">
        <f>CHOOSE( CONTROL!$C$31, 18.7418, 18.7388) * CHOOSE( CONTROL!$C$14, $D$10, 100%, $F$10)</f>
        <v>18.741800000000001</v>
      </c>
      <c r="F596" s="4">
        <f>CHOOSE( CONTROL!$C$31, 19.4136, 19.4106) * CHOOSE(CONTROL!$C$14, $D$10, 100%, $F$10)</f>
        <v>19.413599999999999</v>
      </c>
      <c r="G596" s="8">
        <f>CHOOSE( CONTROL!$C$31, 18.3914, 18.3885) * CHOOSE( CONTROL!$C$14, $D$10, 100%, $F$10)</f>
        <v>18.391400000000001</v>
      </c>
      <c r="H596" s="4">
        <f>CHOOSE( CONTROL!$C$31, 19.3204, 19.3175) * CHOOSE(CONTROL!$C$14, $D$10, 100%, $F$10)</f>
        <v>19.320399999999999</v>
      </c>
      <c r="I596" s="8">
        <f>CHOOSE( CONTROL!$C$31, 18.1772, 18.1744) * CHOOSE(CONTROL!$C$14, $D$10, 100%, $F$10)</f>
        <v>18.177199999999999</v>
      </c>
      <c r="J596" s="4">
        <f>CHOOSE( CONTROL!$C$31, 18.077, 18.0742) * CHOOSE(CONTROL!$C$14, $D$10, 100%, $F$10)</f>
        <v>18.077000000000002</v>
      </c>
      <c r="K596" s="4"/>
      <c r="L596" s="9">
        <v>30.7165</v>
      </c>
      <c r="M596" s="9">
        <v>12.063700000000001</v>
      </c>
      <c r="N596" s="9">
        <v>4.9444999999999997</v>
      </c>
      <c r="O596" s="9">
        <v>0.37409999999999999</v>
      </c>
      <c r="P596" s="9">
        <v>1.2183999999999999</v>
      </c>
      <c r="Q596" s="9">
        <v>19.688099999999999</v>
      </c>
      <c r="R596" s="9"/>
      <c r="S596" s="11"/>
    </row>
    <row r="597" spans="1:19" ht="15.75">
      <c r="A597" s="13">
        <v>60083</v>
      </c>
      <c r="B597" s="8">
        <f>CHOOSE( CONTROL!$C$31, 18.4314, 18.4285) * CHOOSE(CONTROL!$C$14, $D$10, 100%, $F$10)</f>
        <v>18.4314</v>
      </c>
      <c r="C597" s="8">
        <f>CHOOSE( CONTROL!$C$31, 18.4394, 18.4365) * CHOOSE(CONTROL!$C$14, $D$10, 100%, $F$10)</f>
        <v>18.439399999999999</v>
      </c>
      <c r="D597" s="8">
        <f>CHOOSE( CONTROL!$C$31, 18.4443, 18.4414) * CHOOSE( CONTROL!$C$14, $D$10, 100%, $F$10)</f>
        <v>18.444299999999998</v>
      </c>
      <c r="E597" s="12">
        <f>CHOOSE( CONTROL!$C$31, 18.4413, 18.4384) * CHOOSE( CONTROL!$C$14, $D$10, 100%, $F$10)</f>
        <v>18.441299999999998</v>
      </c>
      <c r="F597" s="4">
        <f>CHOOSE( CONTROL!$C$31, 19.113, 19.11) * CHOOSE(CONTROL!$C$14, $D$10, 100%, $F$10)</f>
        <v>19.113</v>
      </c>
      <c r="G597" s="8">
        <f>CHOOSE( CONTROL!$C$31, 18.0962, 18.0933) * CHOOSE( CONTROL!$C$14, $D$10, 100%, $F$10)</f>
        <v>18.0962</v>
      </c>
      <c r="H597" s="4">
        <f>CHOOSE( CONTROL!$C$31, 19.0248, 19.0219) * CHOOSE(CONTROL!$C$14, $D$10, 100%, $F$10)</f>
        <v>19.024799999999999</v>
      </c>
      <c r="I597" s="8">
        <f>CHOOSE( CONTROL!$C$31, 17.8877, 17.8849) * CHOOSE(CONTROL!$C$14, $D$10, 100%, $F$10)</f>
        <v>17.887699999999999</v>
      </c>
      <c r="J597" s="4">
        <f>CHOOSE( CONTROL!$C$31, 17.7864, 17.7836) * CHOOSE(CONTROL!$C$14, $D$10, 100%, $F$10)</f>
        <v>17.7864</v>
      </c>
      <c r="K597" s="4"/>
      <c r="L597" s="9">
        <v>29.7257</v>
      </c>
      <c r="M597" s="9">
        <v>11.6745</v>
      </c>
      <c r="N597" s="9">
        <v>4.7850000000000001</v>
      </c>
      <c r="O597" s="9">
        <v>0.36199999999999999</v>
      </c>
      <c r="P597" s="9">
        <v>1.1791</v>
      </c>
      <c r="Q597" s="9">
        <v>19.053000000000001</v>
      </c>
      <c r="R597" s="9"/>
      <c r="S597" s="11"/>
    </row>
    <row r="598" spans="1:19" ht="15.75">
      <c r="A598" s="13">
        <v>60114</v>
      </c>
      <c r="B598" s="8">
        <f>CHOOSE( CONTROL!$C$31, 19.223, 19.2201) * CHOOSE(CONTROL!$C$14, $D$10, 100%, $F$10)</f>
        <v>19.222999999999999</v>
      </c>
      <c r="C598" s="8">
        <f>CHOOSE( CONTROL!$C$31, 19.231, 19.2281) * CHOOSE(CONTROL!$C$14, $D$10, 100%, $F$10)</f>
        <v>19.231000000000002</v>
      </c>
      <c r="D598" s="8">
        <f>CHOOSE( CONTROL!$C$31, 19.2362, 19.2332) * CHOOSE( CONTROL!$C$14, $D$10, 100%, $F$10)</f>
        <v>19.2362</v>
      </c>
      <c r="E598" s="12">
        <f>CHOOSE( CONTROL!$C$31, 19.2331, 19.2301) * CHOOSE( CONTROL!$C$14, $D$10, 100%, $F$10)</f>
        <v>19.2331</v>
      </c>
      <c r="F598" s="4">
        <f>CHOOSE( CONTROL!$C$31, 19.9046, 19.9016) * CHOOSE(CONTROL!$C$14, $D$10, 100%, $F$10)</f>
        <v>19.904599999999999</v>
      </c>
      <c r="G598" s="8">
        <f>CHOOSE( CONTROL!$C$31, 18.875, 18.8721) * CHOOSE( CONTROL!$C$14, $D$10, 100%, $F$10)</f>
        <v>18.875</v>
      </c>
      <c r="H598" s="4">
        <f>CHOOSE( CONTROL!$C$31, 19.8033, 19.8004) * CHOOSE(CONTROL!$C$14, $D$10, 100%, $F$10)</f>
        <v>19.8033</v>
      </c>
      <c r="I598" s="8">
        <f>CHOOSE( CONTROL!$C$31, 18.6545, 18.6517) * CHOOSE(CONTROL!$C$14, $D$10, 100%, $F$10)</f>
        <v>18.654499999999999</v>
      </c>
      <c r="J598" s="4">
        <f>CHOOSE( CONTROL!$C$31, 18.5517, 18.5488) * CHOOSE(CONTROL!$C$14, $D$10, 100%, $F$10)</f>
        <v>18.5517</v>
      </c>
      <c r="K598" s="4"/>
      <c r="L598" s="9">
        <v>30.7165</v>
      </c>
      <c r="M598" s="9">
        <v>12.063700000000001</v>
      </c>
      <c r="N598" s="9">
        <v>4.9444999999999997</v>
      </c>
      <c r="O598" s="9">
        <v>0.37409999999999999</v>
      </c>
      <c r="P598" s="9">
        <v>1.2183999999999999</v>
      </c>
      <c r="Q598" s="9">
        <v>19.688099999999999</v>
      </c>
      <c r="R598" s="9"/>
      <c r="S598" s="11"/>
    </row>
    <row r="599" spans="1:19" ht="15.75">
      <c r="A599" s="13">
        <v>60145</v>
      </c>
      <c r="B599" s="8">
        <f>CHOOSE( CONTROL!$C$31, 17.7419, 17.7389) * CHOOSE(CONTROL!$C$14, $D$10, 100%, $F$10)</f>
        <v>17.741900000000001</v>
      </c>
      <c r="C599" s="8">
        <f>CHOOSE( CONTROL!$C$31, 17.7499, 17.747) * CHOOSE(CONTROL!$C$14, $D$10, 100%, $F$10)</f>
        <v>17.7499</v>
      </c>
      <c r="D599" s="8">
        <f>CHOOSE( CONTROL!$C$31, 17.7551, 17.7522) * CHOOSE( CONTROL!$C$14, $D$10, 100%, $F$10)</f>
        <v>17.755099999999999</v>
      </c>
      <c r="E599" s="12">
        <f>CHOOSE( CONTROL!$C$31, 17.752, 17.7491) * CHOOSE( CONTROL!$C$14, $D$10, 100%, $F$10)</f>
        <v>17.751999999999999</v>
      </c>
      <c r="F599" s="4">
        <f>CHOOSE( CONTROL!$C$31, 18.4234, 18.4205) * CHOOSE(CONTROL!$C$14, $D$10, 100%, $F$10)</f>
        <v>18.423400000000001</v>
      </c>
      <c r="G599" s="8">
        <f>CHOOSE( CONTROL!$C$31, 17.4185, 17.4157) * CHOOSE( CONTROL!$C$14, $D$10, 100%, $F$10)</f>
        <v>17.418500000000002</v>
      </c>
      <c r="H599" s="4">
        <f>CHOOSE( CONTROL!$C$31, 18.3467, 18.3438) * CHOOSE(CONTROL!$C$14, $D$10, 100%, $F$10)</f>
        <v>18.346699999999998</v>
      </c>
      <c r="I599" s="8">
        <f>CHOOSE( CONTROL!$C$31, 17.2223, 17.2195) * CHOOSE(CONTROL!$C$14, $D$10, 100%, $F$10)</f>
        <v>17.222300000000001</v>
      </c>
      <c r="J599" s="4">
        <f>CHOOSE( CONTROL!$C$31, 17.1198, 17.117) * CHOOSE(CONTROL!$C$14, $D$10, 100%, $F$10)</f>
        <v>17.119800000000001</v>
      </c>
      <c r="K599" s="4"/>
      <c r="L599" s="9">
        <v>30.7165</v>
      </c>
      <c r="M599" s="9">
        <v>12.063700000000001</v>
      </c>
      <c r="N599" s="9">
        <v>4.9444999999999997</v>
      </c>
      <c r="O599" s="9">
        <v>0.37409999999999999</v>
      </c>
      <c r="P599" s="9">
        <v>1.2183999999999999</v>
      </c>
      <c r="Q599" s="9">
        <v>19.688099999999999</v>
      </c>
      <c r="R599" s="9"/>
      <c r="S599" s="11"/>
    </row>
    <row r="600" spans="1:19" ht="15.75">
      <c r="A600" s="13">
        <v>60175</v>
      </c>
      <c r="B600" s="8">
        <f>CHOOSE( CONTROL!$C$31, 17.371, 17.368) * CHOOSE(CONTROL!$C$14, $D$10, 100%, $F$10)</f>
        <v>17.370999999999999</v>
      </c>
      <c r="C600" s="8">
        <f>CHOOSE( CONTROL!$C$31, 17.379, 17.3761) * CHOOSE(CONTROL!$C$14, $D$10, 100%, $F$10)</f>
        <v>17.379000000000001</v>
      </c>
      <c r="D600" s="8">
        <f>CHOOSE( CONTROL!$C$31, 17.3842, 17.3812) * CHOOSE( CONTROL!$C$14, $D$10, 100%, $F$10)</f>
        <v>17.3842</v>
      </c>
      <c r="E600" s="12">
        <f>CHOOSE( CONTROL!$C$31, 17.3811, 17.3781) * CHOOSE( CONTROL!$C$14, $D$10, 100%, $F$10)</f>
        <v>17.3811</v>
      </c>
      <c r="F600" s="4">
        <f>CHOOSE( CONTROL!$C$31, 18.0525, 18.0496) * CHOOSE(CONTROL!$C$14, $D$10, 100%, $F$10)</f>
        <v>18.052499999999998</v>
      </c>
      <c r="G600" s="8">
        <f>CHOOSE( CONTROL!$C$31, 17.0538, 17.0509) * CHOOSE( CONTROL!$C$14, $D$10, 100%, $F$10)</f>
        <v>17.053799999999999</v>
      </c>
      <c r="H600" s="4">
        <f>CHOOSE( CONTROL!$C$31, 17.9819, 17.9791) * CHOOSE(CONTROL!$C$14, $D$10, 100%, $F$10)</f>
        <v>17.9819</v>
      </c>
      <c r="I600" s="8">
        <f>CHOOSE( CONTROL!$C$31, 16.8636, 16.8607) * CHOOSE(CONTROL!$C$14, $D$10, 100%, $F$10)</f>
        <v>16.863600000000002</v>
      </c>
      <c r="J600" s="4">
        <f>CHOOSE( CONTROL!$C$31, 16.7613, 16.7584) * CHOOSE(CONTROL!$C$14, $D$10, 100%, $F$10)</f>
        <v>16.761299999999999</v>
      </c>
      <c r="K600" s="4"/>
      <c r="L600" s="9">
        <v>29.7257</v>
      </c>
      <c r="M600" s="9">
        <v>11.6745</v>
      </c>
      <c r="N600" s="9">
        <v>4.7850000000000001</v>
      </c>
      <c r="O600" s="9">
        <v>0.36199999999999999</v>
      </c>
      <c r="P600" s="9">
        <v>1.1791</v>
      </c>
      <c r="Q600" s="9">
        <v>19.053000000000001</v>
      </c>
      <c r="R600" s="9"/>
      <c r="S600" s="11"/>
    </row>
    <row r="601" spans="1:19" ht="15.75">
      <c r="A601" s="13">
        <v>60206</v>
      </c>
      <c r="B601" s="8">
        <f>18.1364 * CHOOSE(CONTROL!$C$14, $D$10, 100%, $F$10)</f>
        <v>18.136399999999998</v>
      </c>
      <c r="C601" s="8">
        <f>18.1418 * CHOOSE(CONTROL!$C$14, $D$10, 100%, $F$10)</f>
        <v>18.1418</v>
      </c>
      <c r="D601" s="8">
        <f>18.1518 * CHOOSE( CONTROL!$C$14, $D$10, 100%, $F$10)</f>
        <v>18.151800000000001</v>
      </c>
      <c r="E601" s="12">
        <f>18.1479 * CHOOSE( CONTROL!$C$14, $D$10, 100%, $F$10)</f>
        <v>18.1479</v>
      </c>
      <c r="F601" s="4">
        <f>18.8197 * CHOOSE(CONTROL!$C$14, $D$10, 100%, $F$10)</f>
        <v>18.819700000000001</v>
      </c>
      <c r="G601" s="8">
        <f>17.8079 * CHOOSE( CONTROL!$C$14, $D$10, 100%, $F$10)</f>
        <v>17.8079</v>
      </c>
      <c r="H601" s="4">
        <f>18.7364 * CHOOSE(CONTROL!$C$14, $D$10, 100%, $F$10)</f>
        <v>18.7364</v>
      </c>
      <c r="I601" s="8">
        <f>17.6064 * CHOOSE(CONTROL!$C$14, $D$10, 100%, $F$10)</f>
        <v>17.606400000000001</v>
      </c>
      <c r="J601" s="4">
        <f>17.5029 * CHOOSE(CONTROL!$C$14, $D$10, 100%, $F$10)</f>
        <v>17.5029</v>
      </c>
      <c r="K601" s="4"/>
      <c r="L601" s="9">
        <v>31.095300000000002</v>
      </c>
      <c r="M601" s="9">
        <v>12.063700000000001</v>
      </c>
      <c r="N601" s="9">
        <v>4.9444999999999997</v>
      </c>
      <c r="O601" s="9">
        <v>0.37409999999999999</v>
      </c>
      <c r="P601" s="9">
        <v>1.2183999999999999</v>
      </c>
      <c r="Q601" s="9">
        <v>19.688099999999999</v>
      </c>
      <c r="R601" s="9"/>
      <c r="S601" s="11"/>
    </row>
    <row r="602" spans="1:19" ht="15.75">
      <c r="A602" s="13">
        <v>60236</v>
      </c>
      <c r="B602" s="8">
        <f>19.5575 * CHOOSE(CONTROL!$C$14, $D$10, 100%, $F$10)</f>
        <v>19.557500000000001</v>
      </c>
      <c r="C602" s="8">
        <f>19.5626 * CHOOSE(CONTROL!$C$14, $D$10, 100%, $F$10)</f>
        <v>19.5626</v>
      </c>
      <c r="D602" s="8">
        <f>19.5388 * CHOOSE( CONTROL!$C$14, $D$10, 100%, $F$10)</f>
        <v>19.538799999999998</v>
      </c>
      <c r="E602" s="12">
        <f>19.547 * CHOOSE( CONTROL!$C$14, $D$10, 100%, $F$10)</f>
        <v>19.547000000000001</v>
      </c>
      <c r="F602" s="4">
        <f>20.205 * CHOOSE(CONTROL!$C$14, $D$10, 100%, $F$10)</f>
        <v>20.204999999999998</v>
      </c>
      <c r="G602" s="8">
        <f>19.2156 * CHOOSE( CONTROL!$C$14, $D$10, 100%, $F$10)</f>
        <v>19.215599999999998</v>
      </c>
      <c r="H602" s="4">
        <f>20.0987 * CHOOSE(CONTROL!$C$14, $D$10, 100%, $F$10)</f>
        <v>20.098700000000001</v>
      </c>
      <c r="I602" s="8">
        <f>19.0117 * CHOOSE(CONTROL!$C$14, $D$10, 100%, $F$10)</f>
        <v>19.011700000000001</v>
      </c>
      <c r="J602" s="4">
        <f>18.8771 * CHOOSE(CONTROL!$C$14, $D$10, 100%, $F$10)</f>
        <v>18.877099999999999</v>
      </c>
      <c r="K602" s="4"/>
      <c r="L602" s="9">
        <v>28.360600000000002</v>
      </c>
      <c r="M602" s="9">
        <v>11.6745</v>
      </c>
      <c r="N602" s="9">
        <v>4.7850000000000001</v>
      </c>
      <c r="O602" s="9">
        <v>0.36199999999999999</v>
      </c>
      <c r="P602" s="9">
        <v>1.2509999999999999</v>
      </c>
      <c r="Q602" s="9">
        <v>19.053000000000001</v>
      </c>
      <c r="R602" s="9"/>
      <c r="S602" s="11"/>
    </row>
    <row r="603" spans="1:19" ht="15.75">
      <c r="A603" s="13">
        <v>60267</v>
      </c>
      <c r="B603" s="8">
        <f>19.522 * CHOOSE(CONTROL!$C$14, $D$10, 100%, $F$10)</f>
        <v>19.521999999999998</v>
      </c>
      <c r="C603" s="8">
        <f>19.5271 * CHOOSE(CONTROL!$C$14, $D$10, 100%, $F$10)</f>
        <v>19.527100000000001</v>
      </c>
      <c r="D603" s="8">
        <f>19.5047 * CHOOSE( CONTROL!$C$14, $D$10, 100%, $F$10)</f>
        <v>19.5047</v>
      </c>
      <c r="E603" s="12">
        <f>19.5123 * CHOOSE( CONTROL!$C$14, $D$10, 100%, $F$10)</f>
        <v>19.5123</v>
      </c>
      <c r="F603" s="4">
        <f>20.1695 * CHOOSE(CONTROL!$C$14, $D$10, 100%, $F$10)</f>
        <v>20.169499999999999</v>
      </c>
      <c r="G603" s="8">
        <f>19.1816 * CHOOSE( CONTROL!$C$14, $D$10, 100%, $F$10)</f>
        <v>19.1816</v>
      </c>
      <c r="H603" s="4">
        <f>20.0638 * CHOOSE(CONTROL!$C$14, $D$10, 100%, $F$10)</f>
        <v>20.063800000000001</v>
      </c>
      <c r="I603" s="8">
        <f>18.9817 * CHOOSE(CONTROL!$C$14, $D$10, 100%, $F$10)</f>
        <v>18.9817</v>
      </c>
      <c r="J603" s="4">
        <f>18.8427 * CHOOSE(CONTROL!$C$14, $D$10, 100%, $F$10)</f>
        <v>18.842700000000001</v>
      </c>
      <c r="K603" s="4"/>
      <c r="L603" s="9">
        <v>29.306000000000001</v>
      </c>
      <c r="M603" s="9">
        <v>12.063700000000001</v>
      </c>
      <c r="N603" s="9">
        <v>4.9444999999999997</v>
      </c>
      <c r="O603" s="9">
        <v>0.37409999999999999</v>
      </c>
      <c r="P603" s="9">
        <v>1.2927</v>
      </c>
      <c r="Q603" s="9">
        <v>19.688099999999999</v>
      </c>
      <c r="R603" s="9"/>
      <c r="S603" s="11"/>
    </row>
    <row r="604" spans="1:19" ht="15.75">
      <c r="A604" s="13">
        <v>60298</v>
      </c>
      <c r="B604" s="8">
        <f>20.2669 * CHOOSE(CONTROL!$C$14, $D$10, 100%, $F$10)</f>
        <v>20.2669</v>
      </c>
      <c r="C604" s="8">
        <f>20.2721 * CHOOSE(CONTROL!$C$14, $D$10, 100%, $F$10)</f>
        <v>20.272099999999998</v>
      </c>
      <c r="D604" s="8">
        <f>20.2679 * CHOOSE( CONTROL!$C$14, $D$10, 100%, $F$10)</f>
        <v>20.267900000000001</v>
      </c>
      <c r="E604" s="12">
        <f>20.2689 * CHOOSE( CONTROL!$C$14, $D$10, 100%, $F$10)</f>
        <v>20.268899999999999</v>
      </c>
      <c r="F604" s="4">
        <f>20.9454 * CHOOSE(CONTROL!$C$14, $D$10, 100%, $F$10)</f>
        <v>20.945399999999999</v>
      </c>
      <c r="G604" s="8">
        <f>19.9285 * CHOOSE( CONTROL!$C$14, $D$10, 100%, $F$10)</f>
        <v>19.9285</v>
      </c>
      <c r="H604" s="4">
        <f>20.8269 * CHOOSE(CONTROL!$C$14, $D$10, 100%, $F$10)</f>
        <v>20.826899999999998</v>
      </c>
      <c r="I604" s="8">
        <f>19.6813 * CHOOSE(CONTROL!$C$14, $D$10, 100%, $F$10)</f>
        <v>19.6813</v>
      </c>
      <c r="J604" s="4">
        <f>19.5629 * CHOOSE(CONTROL!$C$14, $D$10, 100%, $F$10)</f>
        <v>19.562899999999999</v>
      </c>
      <c r="K604" s="4"/>
      <c r="L604" s="9">
        <v>29.306000000000001</v>
      </c>
      <c r="M604" s="9">
        <v>12.063700000000001</v>
      </c>
      <c r="N604" s="9">
        <v>4.9444999999999997</v>
      </c>
      <c r="O604" s="9">
        <v>0.37409999999999999</v>
      </c>
      <c r="P604" s="9">
        <v>1.2927</v>
      </c>
      <c r="Q604" s="9">
        <v>19.688099999999999</v>
      </c>
      <c r="R604" s="9"/>
      <c r="S604" s="11"/>
    </row>
    <row r="605" spans="1:19" ht="15.75">
      <c r="A605" s="13">
        <v>60326</v>
      </c>
      <c r="B605" s="8">
        <f>18.9587 * CHOOSE(CONTROL!$C$14, $D$10, 100%, $F$10)</f>
        <v>18.9587</v>
      </c>
      <c r="C605" s="8">
        <f>18.9638 * CHOOSE(CONTROL!$C$14, $D$10, 100%, $F$10)</f>
        <v>18.963799999999999</v>
      </c>
      <c r="D605" s="8">
        <f>18.9537 * CHOOSE( CONTROL!$C$14, $D$10, 100%, $F$10)</f>
        <v>18.953700000000001</v>
      </c>
      <c r="E605" s="12">
        <f>18.9568 * CHOOSE( CONTROL!$C$14, $D$10, 100%, $F$10)</f>
        <v>18.956800000000001</v>
      </c>
      <c r="F605" s="4">
        <f>19.6113 * CHOOSE(CONTROL!$C$14, $D$10, 100%, $F$10)</f>
        <v>19.6113</v>
      </c>
      <c r="G605" s="8">
        <f>18.6338 * CHOOSE( CONTROL!$C$14, $D$10, 100%, $F$10)</f>
        <v>18.633800000000001</v>
      </c>
      <c r="H605" s="4">
        <f>19.5149 * CHOOSE(CONTROL!$C$14, $D$10, 100%, $F$10)</f>
        <v>19.514900000000001</v>
      </c>
      <c r="I605" s="8">
        <f>18.4066 * CHOOSE(CONTROL!$C$14, $D$10, 100%, $F$10)</f>
        <v>18.406600000000001</v>
      </c>
      <c r="J605" s="4">
        <f>18.2982 * CHOOSE(CONTROL!$C$14, $D$10, 100%, $F$10)</f>
        <v>18.298200000000001</v>
      </c>
      <c r="K605" s="4"/>
      <c r="L605" s="9">
        <v>26.469899999999999</v>
      </c>
      <c r="M605" s="9">
        <v>10.8962</v>
      </c>
      <c r="N605" s="9">
        <v>4.4660000000000002</v>
      </c>
      <c r="O605" s="9">
        <v>0.33789999999999998</v>
      </c>
      <c r="P605" s="9">
        <v>1.1676</v>
      </c>
      <c r="Q605" s="9">
        <v>17.782800000000002</v>
      </c>
      <c r="R605" s="9"/>
      <c r="S605" s="11"/>
    </row>
    <row r="606" spans="1:19" ht="15.75">
      <c r="A606" s="13">
        <v>60357</v>
      </c>
      <c r="B606" s="8">
        <f>18.5557 * CHOOSE(CONTROL!$C$14, $D$10, 100%, $F$10)</f>
        <v>18.555700000000002</v>
      </c>
      <c r="C606" s="8">
        <f>18.5608 * CHOOSE(CONTROL!$C$14, $D$10, 100%, $F$10)</f>
        <v>18.5608</v>
      </c>
      <c r="D606" s="8">
        <f>18.5443 * CHOOSE( CONTROL!$C$14, $D$10, 100%, $F$10)</f>
        <v>18.5443</v>
      </c>
      <c r="E606" s="12">
        <f>18.5498 * CHOOSE( CONTROL!$C$14, $D$10, 100%, $F$10)</f>
        <v>18.549800000000001</v>
      </c>
      <c r="F606" s="4">
        <f>19.2084 * CHOOSE(CONTROL!$C$14, $D$10, 100%, $F$10)</f>
        <v>19.208400000000001</v>
      </c>
      <c r="G606" s="8">
        <f>18.2293 * CHOOSE( CONTROL!$C$14, $D$10, 100%, $F$10)</f>
        <v>18.229299999999999</v>
      </c>
      <c r="H606" s="4">
        <f>19.1186 * CHOOSE(CONTROL!$C$14, $D$10, 100%, $F$10)</f>
        <v>19.118600000000001</v>
      </c>
      <c r="I606" s="8">
        <f>17.9967 * CHOOSE(CONTROL!$C$14, $D$10, 100%, $F$10)</f>
        <v>17.996700000000001</v>
      </c>
      <c r="J606" s="4">
        <f>17.9086 * CHOOSE(CONTROL!$C$14, $D$10, 100%, $F$10)</f>
        <v>17.9086</v>
      </c>
      <c r="K606" s="4"/>
      <c r="L606" s="9">
        <v>29.306000000000001</v>
      </c>
      <c r="M606" s="9">
        <v>12.063700000000001</v>
      </c>
      <c r="N606" s="9">
        <v>4.9444999999999997</v>
      </c>
      <c r="O606" s="9">
        <v>0.37409999999999999</v>
      </c>
      <c r="P606" s="9">
        <v>1.2927</v>
      </c>
      <c r="Q606" s="9">
        <v>19.688099999999999</v>
      </c>
      <c r="R606" s="9"/>
      <c r="S606" s="11"/>
    </row>
    <row r="607" spans="1:19" ht="15.75">
      <c r="A607" s="13">
        <v>60387</v>
      </c>
      <c r="B607" s="8">
        <f>18.8381 * CHOOSE(CONTROL!$C$14, $D$10, 100%, $F$10)</f>
        <v>18.838100000000001</v>
      </c>
      <c r="C607" s="8">
        <f>18.8426 * CHOOSE(CONTROL!$C$14, $D$10, 100%, $F$10)</f>
        <v>18.842600000000001</v>
      </c>
      <c r="D607" s="8">
        <f>18.8521 * CHOOSE( CONTROL!$C$14, $D$10, 100%, $F$10)</f>
        <v>18.8521</v>
      </c>
      <c r="E607" s="12">
        <f>18.8484 * CHOOSE( CONTROL!$C$14, $D$10, 100%, $F$10)</f>
        <v>18.848400000000002</v>
      </c>
      <c r="F607" s="4">
        <f>19.521 * CHOOSE(CONTROL!$C$14, $D$10, 100%, $F$10)</f>
        <v>19.521000000000001</v>
      </c>
      <c r="G607" s="8">
        <f>18.4961 * CHOOSE( CONTROL!$C$14, $D$10, 100%, $F$10)</f>
        <v>18.496099999999998</v>
      </c>
      <c r="H607" s="4">
        <f>19.426 * CHOOSE(CONTROL!$C$14, $D$10, 100%, $F$10)</f>
        <v>19.425999999999998</v>
      </c>
      <c r="I607" s="8">
        <f>18.28 * CHOOSE(CONTROL!$C$14, $D$10, 100%, $F$10)</f>
        <v>18.28</v>
      </c>
      <c r="J607" s="4">
        <f>18.1808 * CHOOSE(CONTROL!$C$14, $D$10, 100%, $F$10)</f>
        <v>18.180800000000001</v>
      </c>
      <c r="K607" s="4"/>
      <c r="L607" s="9">
        <v>30.092199999999998</v>
      </c>
      <c r="M607" s="9">
        <v>11.6745</v>
      </c>
      <c r="N607" s="9">
        <v>4.7850000000000001</v>
      </c>
      <c r="O607" s="9">
        <v>0.36199999999999999</v>
      </c>
      <c r="P607" s="9">
        <v>1.1791</v>
      </c>
      <c r="Q607" s="9">
        <v>19.053000000000001</v>
      </c>
      <c r="R607" s="9"/>
      <c r="S607" s="11"/>
    </row>
    <row r="608" spans="1:19" ht="15.75">
      <c r="A608" s="13">
        <v>60418</v>
      </c>
      <c r="B608" s="8">
        <f>CHOOSE( CONTROL!$C$31, 19.3435, 19.3406) * CHOOSE(CONTROL!$C$14, $D$10, 100%, $F$10)</f>
        <v>19.343499999999999</v>
      </c>
      <c r="C608" s="8">
        <f>CHOOSE( CONTROL!$C$31, 19.3515, 19.3486) * CHOOSE(CONTROL!$C$14, $D$10, 100%, $F$10)</f>
        <v>19.351500000000001</v>
      </c>
      <c r="D608" s="8">
        <f>CHOOSE( CONTROL!$C$31, 19.3561, 19.3532) * CHOOSE( CONTROL!$C$14, $D$10, 100%, $F$10)</f>
        <v>19.356100000000001</v>
      </c>
      <c r="E608" s="12">
        <f>CHOOSE( CONTROL!$C$31, 19.3532, 19.3503) * CHOOSE( CONTROL!$C$14, $D$10, 100%, $F$10)</f>
        <v>19.353200000000001</v>
      </c>
      <c r="F608" s="4">
        <f>CHOOSE( CONTROL!$C$31, 20.025, 20.0221) * CHOOSE(CONTROL!$C$14, $D$10, 100%, $F$10)</f>
        <v>20.024999999999999</v>
      </c>
      <c r="G608" s="8">
        <f>CHOOSE( CONTROL!$C$31, 18.9927, 18.9898) * CHOOSE( CONTROL!$C$14, $D$10, 100%, $F$10)</f>
        <v>18.992699999999999</v>
      </c>
      <c r="H608" s="4">
        <f>CHOOSE( CONTROL!$C$31, 19.9217, 19.9189) * CHOOSE(CONTROL!$C$14, $D$10, 100%, $F$10)</f>
        <v>19.921700000000001</v>
      </c>
      <c r="I608" s="8">
        <f>CHOOSE( CONTROL!$C$31, 18.7686, 18.7658) * CHOOSE(CONTROL!$C$14, $D$10, 100%, $F$10)</f>
        <v>18.768599999999999</v>
      </c>
      <c r="J608" s="4">
        <f>CHOOSE( CONTROL!$C$31, 18.6681, 18.6653) * CHOOSE(CONTROL!$C$14, $D$10, 100%, $F$10)</f>
        <v>18.668099999999999</v>
      </c>
      <c r="K608" s="4"/>
      <c r="L608" s="9">
        <v>30.7165</v>
      </c>
      <c r="M608" s="9">
        <v>12.063700000000001</v>
      </c>
      <c r="N608" s="9">
        <v>4.9444999999999997</v>
      </c>
      <c r="O608" s="9">
        <v>0.37409999999999999</v>
      </c>
      <c r="P608" s="9">
        <v>1.2183999999999999</v>
      </c>
      <c r="Q608" s="9">
        <v>19.688099999999999</v>
      </c>
      <c r="R608" s="9"/>
      <c r="S608" s="11"/>
    </row>
    <row r="609" spans="1:19" ht="15.75">
      <c r="A609" s="13">
        <v>60448</v>
      </c>
      <c r="B609" s="8">
        <f>CHOOSE( CONTROL!$C$31, 19.033, 19.0301) * CHOOSE(CONTROL!$C$14, $D$10, 100%, $F$10)</f>
        <v>19.033000000000001</v>
      </c>
      <c r="C609" s="8">
        <f>CHOOSE( CONTROL!$C$31, 19.0411, 19.0381) * CHOOSE(CONTROL!$C$14, $D$10, 100%, $F$10)</f>
        <v>19.0411</v>
      </c>
      <c r="D609" s="8">
        <f>CHOOSE( CONTROL!$C$31, 19.0459, 19.043) * CHOOSE( CONTROL!$C$14, $D$10, 100%, $F$10)</f>
        <v>19.0459</v>
      </c>
      <c r="E609" s="12">
        <f>CHOOSE( CONTROL!$C$31, 19.0429, 19.04) * CHOOSE( CONTROL!$C$14, $D$10, 100%, $F$10)</f>
        <v>19.042899999999999</v>
      </c>
      <c r="F609" s="4">
        <f>CHOOSE( CONTROL!$C$31, 19.7146, 19.7117) * CHOOSE(CONTROL!$C$14, $D$10, 100%, $F$10)</f>
        <v>19.714600000000001</v>
      </c>
      <c r="G609" s="8">
        <f>CHOOSE( CONTROL!$C$31, 18.6878, 18.6849) * CHOOSE( CONTROL!$C$14, $D$10, 100%, $F$10)</f>
        <v>18.687799999999999</v>
      </c>
      <c r="H609" s="4">
        <f>CHOOSE( CONTROL!$C$31, 19.6165, 19.6136) * CHOOSE(CONTROL!$C$14, $D$10, 100%, $F$10)</f>
        <v>19.616499999999998</v>
      </c>
      <c r="I609" s="8">
        <f>CHOOSE( CONTROL!$C$31, 18.4696, 18.4668) * CHOOSE(CONTROL!$C$14, $D$10, 100%, $F$10)</f>
        <v>18.4696</v>
      </c>
      <c r="J609" s="4">
        <f>CHOOSE( CONTROL!$C$31, 18.368, 18.3652) * CHOOSE(CONTROL!$C$14, $D$10, 100%, $F$10)</f>
        <v>18.367999999999999</v>
      </c>
      <c r="K609" s="4"/>
      <c r="L609" s="9">
        <v>29.7257</v>
      </c>
      <c r="M609" s="9">
        <v>11.6745</v>
      </c>
      <c r="N609" s="9">
        <v>4.7850000000000001</v>
      </c>
      <c r="O609" s="9">
        <v>0.36199999999999999</v>
      </c>
      <c r="P609" s="9">
        <v>1.1791</v>
      </c>
      <c r="Q609" s="9">
        <v>19.053000000000001</v>
      </c>
      <c r="R609" s="9"/>
      <c r="S609" s="11"/>
    </row>
    <row r="610" spans="1:19" ht="15.75">
      <c r="A610" s="13">
        <v>60479</v>
      </c>
      <c r="B610" s="8">
        <f>CHOOSE( CONTROL!$C$31, 19.8505, 19.8476) * CHOOSE(CONTROL!$C$14, $D$10, 100%, $F$10)</f>
        <v>19.8505</v>
      </c>
      <c r="C610" s="8">
        <f>CHOOSE( CONTROL!$C$31, 19.8585, 19.8556) * CHOOSE(CONTROL!$C$14, $D$10, 100%, $F$10)</f>
        <v>19.858499999999999</v>
      </c>
      <c r="D610" s="8">
        <f>CHOOSE( CONTROL!$C$31, 19.8637, 19.8607) * CHOOSE( CONTROL!$C$14, $D$10, 100%, $F$10)</f>
        <v>19.863700000000001</v>
      </c>
      <c r="E610" s="12">
        <f>CHOOSE( CONTROL!$C$31, 19.8606, 19.8576) * CHOOSE( CONTROL!$C$14, $D$10, 100%, $F$10)</f>
        <v>19.860600000000002</v>
      </c>
      <c r="F610" s="4">
        <f>CHOOSE( CONTROL!$C$31, 20.5321, 20.5292) * CHOOSE(CONTROL!$C$14, $D$10, 100%, $F$10)</f>
        <v>20.5321</v>
      </c>
      <c r="G610" s="8">
        <f>CHOOSE( CONTROL!$C$31, 19.4921, 19.4892) * CHOOSE( CONTROL!$C$14, $D$10, 100%, $F$10)</f>
        <v>19.492100000000001</v>
      </c>
      <c r="H610" s="4">
        <f>CHOOSE( CONTROL!$C$31, 20.4204, 20.4175) * CHOOSE(CONTROL!$C$14, $D$10, 100%, $F$10)</f>
        <v>20.420400000000001</v>
      </c>
      <c r="I610" s="8">
        <f>CHOOSE( CONTROL!$C$31, 19.2614, 19.2586) * CHOOSE(CONTROL!$C$14, $D$10, 100%, $F$10)</f>
        <v>19.261399999999998</v>
      </c>
      <c r="J610" s="4">
        <f>CHOOSE( CONTROL!$C$31, 19.1583, 19.1554) * CHOOSE(CONTROL!$C$14, $D$10, 100%, $F$10)</f>
        <v>19.158300000000001</v>
      </c>
      <c r="K610" s="4"/>
      <c r="L610" s="9">
        <v>30.7165</v>
      </c>
      <c r="M610" s="9">
        <v>12.063700000000001</v>
      </c>
      <c r="N610" s="9">
        <v>4.9444999999999997</v>
      </c>
      <c r="O610" s="9">
        <v>0.37409999999999999</v>
      </c>
      <c r="P610" s="9">
        <v>1.2183999999999999</v>
      </c>
      <c r="Q610" s="9">
        <v>19.688099999999999</v>
      </c>
      <c r="R610" s="9"/>
      <c r="S610" s="11"/>
    </row>
    <row r="611" spans="1:19" ht="15.75">
      <c r="A611" s="13">
        <v>60510</v>
      </c>
      <c r="B611" s="8">
        <f>CHOOSE( CONTROL!$C$31, 18.3209, 18.318) * CHOOSE(CONTROL!$C$14, $D$10, 100%, $F$10)</f>
        <v>18.320900000000002</v>
      </c>
      <c r="C611" s="8">
        <f>CHOOSE( CONTROL!$C$31, 18.3289, 18.326) * CHOOSE(CONTROL!$C$14, $D$10, 100%, $F$10)</f>
        <v>18.328900000000001</v>
      </c>
      <c r="D611" s="8">
        <f>CHOOSE( CONTROL!$C$31, 18.3342, 18.3312) * CHOOSE( CONTROL!$C$14, $D$10, 100%, $F$10)</f>
        <v>18.334199999999999</v>
      </c>
      <c r="E611" s="12">
        <f>CHOOSE( CONTROL!$C$31, 18.3311, 18.3281) * CHOOSE( CONTROL!$C$14, $D$10, 100%, $F$10)</f>
        <v>18.331099999999999</v>
      </c>
      <c r="F611" s="4">
        <f>CHOOSE( CONTROL!$C$31, 19.0025, 18.9996) * CHOOSE(CONTROL!$C$14, $D$10, 100%, $F$10)</f>
        <v>19.002500000000001</v>
      </c>
      <c r="G611" s="8">
        <f>CHOOSE( CONTROL!$C$31, 17.988, 17.9851) * CHOOSE( CONTROL!$C$14, $D$10, 100%, $F$10)</f>
        <v>17.988</v>
      </c>
      <c r="H611" s="4">
        <f>CHOOSE( CONTROL!$C$31, 18.9161, 18.9133) * CHOOSE(CONTROL!$C$14, $D$10, 100%, $F$10)</f>
        <v>18.9161</v>
      </c>
      <c r="I611" s="8">
        <f>CHOOSE( CONTROL!$C$31, 17.7824, 17.7796) * CHOOSE(CONTROL!$C$14, $D$10, 100%, $F$10)</f>
        <v>17.782399999999999</v>
      </c>
      <c r="J611" s="4">
        <f>CHOOSE( CONTROL!$C$31, 17.6796, 17.6768) * CHOOSE(CONTROL!$C$14, $D$10, 100%, $F$10)</f>
        <v>17.679600000000001</v>
      </c>
      <c r="K611" s="4"/>
      <c r="L611" s="9">
        <v>30.7165</v>
      </c>
      <c r="M611" s="9">
        <v>12.063700000000001</v>
      </c>
      <c r="N611" s="9">
        <v>4.9444999999999997</v>
      </c>
      <c r="O611" s="9">
        <v>0.37409999999999999</v>
      </c>
      <c r="P611" s="9">
        <v>1.2183999999999999</v>
      </c>
      <c r="Q611" s="9">
        <v>19.688099999999999</v>
      </c>
      <c r="R611" s="9"/>
      <c r="S611" s="11"/>
    </row>
    <row r="612" spans="1:19" ht="15.75">
      <c r="A612" s="13">
        <v>60540</v>
      </c>
      <c r="B612" s="8">
        <f>CHOOSE( CONTROL!$C$31, 17.9379, 17.935) * CHOOSE(CONTROL!$C$14, $D$10, 100%, $F$10)</f>
        <v>17.937899999999999</v>
      </c>
      <c r="C612" s="8">
        <f>CHOOSE( CONTROL!$C$31, 17.9459, 17.943) * CHOOSE(CONTROL!$C$14, $D$10, 100%, $F$10)</f>
        <v>17.945900000000002</v>
      </c>
      <c r="D612" s="8">
        <f>CHOOSE( CONTROL!$C$31, 17.9511, 17.9482) * CHOOSE( CONTROL!$C$14, $D$10, 100%, $F$10)</f>
        <v>17.9511</v>
      </c>
      <c r="E612" s="12">
        <f>CHOOSE( CONTROL!$C$31, 17.948, 17.9451) * CHOOSE( CONTROL!$C$14, $D$10, 100%, $F$10)</f>
        <v>17.948</v>
      </c>
      <c r="F612" s="4">
        <f>CHOOSE( CONTROL!$C$31, 18.6195, 18.6165) * CHOOSE(CONTROL!$C$14, $D$10, 100%, $F$10)</f>
        <v>18.619499999999999</v>
      </c>
      <c r="G612" s="8">
        <f>CHOOSE( CONTROL!$C$31, 17.6113, 17.6084) * CHOOSE( CONTROL!$C$14, $D$10, 100%, $F$10)</f>
        <v>17.6113</v>
      </c>
      <c r="H612" s="4">
        <f>CHOOSE( CONTROL!$C$31, 18.5395, 18.5366) * CHOOSE(CONTROL!$C$14, $D$10, 100%, $F$10)</f>
        <v>18.5395</v>
      </c>
      <c r="I612" s="8">
        <f>CHOOSE( CONTROL!$C$31, 17.4119, 17.4091) * CHOOSE(CONTROL!$C$14, $D$10, 100%, $F$10)</f>
        <v>17.411899999999999</v>
      </c>
      <c r="J612" s="4">
        <f>CHOOSE( CONTROL!$C$31, 17.3093, 17.3065) * CHOOSE(CONTROL!$C$14, $D$10, 100%, $F$10)</f>
        <v>17.3093</v>
      </c>
      <c r="K612" s="4"/>
      <c r="L612" s="9">
        <v>29.7257</v>
      </c>
      <c r="M612" s="9">
        <v>11.6745</v>
      </c>
      <c r="N612" s="9">
        <v>4.7850000000000001</v>
      </c>
      <c r="O612" s="9">
        <v>0.36199999999999999</v>
      </c>
      <c r="P612" s="9">
        <v>1.1791</v>
      </c>
      <c r="Q612" s="9">
        <v>19.053000000000001</v>
      </c>
      <c r="R612" s="9"/>
      <c r="S612" s="11"/>
    </row>
    <row r="613" spans="1:19" ht="15.75">
      <c r="A613" s="13">
        <v>60571</v>
      </c>
      <c r="B613" s="8">
        <f>18.7286 * CHOOSE(CONTROL!$C$14, $D$10, 100%, $F$10)</f>
        <v>18.7286</v>
      </c>
      <c r="C613" s="8">
        <f>18.7339 * CHOOSE(CONTROL!$C$14, $D$10, 100%, $F$10)</f>
        <v>18.733899999999998</v>
      </c>
      <c r="D613" s="8">
        <f>18.7439 * CHOOSE( CONTROL!$C$14, $D$10, 100%, $F$10)</f>
        <v>18.7439</v>
      </c>
      <c r="E613" s="12">
        <f>18.74 * CHOOSE( CONTROL!$C$14, $D$10, 100%, $F$10)</f>
        <v>18.739999999999998</v>
      </c>
      <c r="F613" s="4">
        <f>19.4118 * CHOOSE(CONTROL!$C$14, $D$10, 100%, $F$10)</f>
        <v>19.411799999999999</v>
      </c>
      <c r="G613" s="8">
        <f>18.3902 * CHOOSE( CONTROL!$C$14, $D$10, 100%, $F$10)</f>
        <v>18.3902</v>
      </c>
      <c r="H613" s="4">
        <f>19.3187 * CHOOSE(CONTROL!$C$14, $D$10, 100%, $F$10)</f>
        <v>19.3187</v>
      </c>
      <c r="I613" s="8">
        <f>18.1791 * CHOOSE(CONTROL!$C$14, $D$10, 100%, $F$10)</f>
        <v>18.179099999999998</v>
      </c>
      <c r="J613" s="4">
        <f>18.0753 * CHOOSE(CONTROL!$C$14, $D$10, 100%, $F$10)</f>
        <v>18.075299999999999</v>
      </c>
      <c r="K613" s="4"/>
      <c r="L613" s="9">
        <v>31.095300000000002</v>
      </c>
      <c r="M613" s="9">
        <v>12.063700000000001</v>
      </c>
      <c r="N613" s="9">
        <v>4.9444999999999997</v>
      </c>
      <c r="O613" s="9">
        <v>0.37409999999999999</v>
      </c>
      <c r="P613" s="9">
        <v>1.2183999999999999</v>
      </c>
      <c r="Q613" s="9">
        <v>19.688099999999999</v>
      </c>
      <c r="R613" s="9"/>
      <c r="S613" s="11"/>
    </row>
    <row r="614" spans="1:19" ht="15.75">
      <c r="A614" s="13">
        <v>60601</v>
      </c>
      <c r="B614" s="8">
        <f>20.1961 * CHOOSE(CONTROL!$C$14, $D$10, 100%, $F$10)</f>
        <v>20.196100000000001</v>
      </c>
      <c r="C614" s="8">
        <f>20.2012 * CHOOSE(CONTROL!$C$14, $D$10, 100%, $F$10)</f>
        <v>20.2012</v>
      </c>
      <c r="D614" s="8">
        <f>20.1774 * CHOOSE( CONTROL!$C$14, $D$10, 100%, $F$10)</f>
        <v>20.177399999999999</v>
      </c>
      <c r="E614" s="12">
        <f>20.1856 * CHOOSE( CONTROL!$C$14, $D$10, 100%, $F$10)</f>
        <v>20.185600000000001</v>
      </c>
      <c r="F614" s="4">
        <f>20.8436 * CHOOSE(CONTROL!$C$14, $D$10, 100%, $F$10)</f>
        <v>20.843599999999999</v>
      </c>
      <c r="G614" s="8">
        <f>19.8436 * CHOOSE( CONTROL!$C$14, $D$10, 100%, $F$10)</f>
        <v>19.843599999999999</v>
      </c>
      <c r="H614" s="4">
        <f>20.7267 * CHOOSE(CONTROL!$C$14, $D$10, 100%, $F$10)</f>
        <v>20.726700000000001</v>
      </c>
      <c r="I614" s="8">
        <f>19.6293 * CHOOSE(CONTROL!$C$14, $D$10, 100%, $F$10)</f>
        <v>19.629300000000001</v>
      </c>
      <c r="J614" s="4">
        <f>19.4944 * CHOOSE(CONTROL!$C$14, $D$10, 100%, $F$10)</f>
        <v>19.494399999999999</v>
      </c>
      <c r="K614" s="4"/>
      <c r="L614" s="9">
        <v>28.360600000000002</v>
      </c>
      <c r="M614" s="9">
        <v>11.6745</v>
      </c>
      <c r="N614" s="9">
        <v>4.7850000000000001</v>
      </c>
      <c r="O614" s="9">
        <v>0.36199999999999999</v>
      </c>
      <c r="P614" s="9">
        <v>1.2509999999999999</v>
      </c>
      <c r="Q614" s="9">
        <v>19.053000000000001</v>
      </c>
      <c r="R614" s="9"/>
      <c r="S614" s="11"/>
    </row>
    <row r="615" spans="1:19" ht="15.75">
      <c r="A615" s="13">
        <v>60632</v>
      </c>
      <c r="B615" s="8">
        <f>20.1594 * CHOOSE(CONTROL!$C$14, $D$10, 100%, $F$10)</f>
        <v>20.159400000000002</v>
      </c>
      <c r="C615" s="8">
        <f>20.1645 * CHOOSE(CONTROL!$C$14, $D$10, 100%, $F$10)</f>
        <v>20.1645</v>
      </c>
      <c r="D615" s="8">
        <f>20.1421 * CHOOSE( CONTROL!$C$14, $D$10, 100%, $F$10)</f>
        <v>20.142099999999999</v>
      </c>
      <c r="E615" s="12">
        <f>20.1497 * CHOOSE( CONTROL!$C$14, $D$10, 100%, $F$10)</f>
        <v>20.149699999999999</v>
      </c>
      <c r="F615" s="4">
        <f>20.8069 * CHOOSE(CONTROL!$C$14, $D$10, 100%, $F$10)</f>
        <v>20.806899999999999</v>
      </c>
      <c r="G615" s="8">
        <f>19.8085 * CHOOSE( CONTROL!$C$14, $D$10, 100%, $F$10)</f>
        <v>19.808499999999999</v>
      </c>
      <c r="H615" s="4">
        <f>20.6907 * CHOOSE(CONTROL!$C$14, $D$10, 100%, $F$10)</f>
        <v>20.6907</v>
      </c>
      <c r="I615" s="8">
        <f>19.5983 * CHOOSE(CONTROL!$C$14, $D$10, 100%, $F$10)</f>
        <v>19.598299999999998</v>
      </c>
      <c r="J615" s="4">
        <f>19.459 * CHOOSE(CONTROL!$C$14, $D$10, 100%, $F$10)</f>
        <v>19.459</v>
      </c>
      <c r="K615" s="4"/>
      <c r="L615" s="9">
        <v>29.306000000000001</v>
      </c>
      <c r="M615" s="9">
        <v>12.063700000000001</v>
      </c>
      <c r="N615" s="9">
        <v>4.9444999999999997</v>
      </c>
      <c r="O615" s="9">
        <v>0.37409999999999999</v>
      </c>
      <c r="P615" s="9">
        <v>1.2927</v>
      </c>
      <c r="Q615" s="9">
        <v>19.688099999999999</v>
      </c>
      <c r="R615" s="9"/>
      <c r="S615" s="11"/>
    </row>
    <row r="616" spans="1:19" ht="15.75">
      <c r="A616" s="13">
        <v>60663</v>
      </c>
      <c r="B616" s="8">
        <f>20.9288 * CHOOSE(CONTROL!$C$14, $D$10, 100%, $F$10)</f>
        <v>20.928799999999999</v>
      </c>
      <c r="C616" s="8">
        <f>20.9339 * CHOOSE(CONTROL!$C$14, $D$10, 100%, $F$10)</f>
        <v>20.933900000000001</v>
      </c>
      <c r="D616" s="8">
        <f>20.9297 * CHOOSE( CONTROL!$C$14, $D$10, 100%, $F$10)</f>
        <v>20.9297</v>
      </c>
      <c r="E616" s="12">
        <f>20.9307 * CHOOSE( CONTROL!$C$14, $D$10, 100%, $F$10)</f>
        <v>20.930700000000002</v>
      </c>
      <c r="F616" s="4">
        <f>21.6073 * CHOOSE(CONTROL!$C$14, $D$10, 100%, $F$10)</f>
        <v>21.607299999999999</v>
      </c>
      <c r="G616" s="8">
        <f>20.5793 * CHOOSE( CONTROL!$C$14, $D$10, 100%, $F$10)</f>
        <v>20.5793</v>
      </c>
      <c r="H616" s="4">
        <f>21.4777 * CHOOSE(CONTROL!$C$14, $D$10, 100%, $F$10)</f>
        <v>21.477699999999999</v>
      </c>
      <c r="I616" s="8">
        <f>20.3214 * CHOOSE(CONTROL!$C$14, $D$10, 100%, $F$10)</f>
        <v>20.321400000000001</v>
      </c>
      <c r="J616" s="4">
        <f>20.2027 * CHOOSE(CONTROL!$C$14, $D$10, 100%, $F$10)</f>
        <v>20.2027</v>
      </c>
      <c r="K616" s="4"/>
      <c r="L616" s="9">
        <v>29.306000000000001</v>
      </c>
      <c r="M616" s="9">
        <v>12.063700000000001</v>
      </c>
      <c r="N616" s="9">
        <v>4.9444999999999997</v>
      </c>
      <c r="O616" s="9">
        <v>0.37409999999999999</v>
      </c>
      <c r="P616" s="9">
        <v>1.2927</v>
      </c>
      <c r="Q616" s="9">
        <v>19.688099999999999</v>
      </c>
      <c r="R616" s="9"/>
      <c r="S616" s="11"/>
    </row>
    <row r="617" spans="1:19" ht="15.75">
      <c r="A617" s="13">
        <v>60691</v>
      </c>
      <c r="B617" s="8">
        <f>19.5777 * CHOOSE(CONTROL!$C$14, $D$10, 100%, $F$10)</f>
        <v>19.5777</v>
      </c>
      <c r="C617" s="8">
        <f>19.5828 * CHOOSE(CONTROL!$C$14, $D$10, 100%, $F$10)</f>
        <v>19.582799999999999</v>
      </c>
      <c r="D617" s="8">
        <f>19.5727 * CHOOSE( CONTROL!$C$14, $D$10, 100%, $F$10)</f>
        <v>19.572700000000001</v>
      </c>
      <c r="E617" s="12">
        <f>19.5758 * CHOOSE( CONTROL!$C$14, $D$10, 100%, $F$10)</f>
        <v>19.575800000000001</v>
      </c>
      <c r="F617" s="4">
        <f>20.2303 * CHOOSE(CONTROL!$C$14, $D$10, 100%, $F$10)</f>
        <v>20.2303</v>
      </c>
      <c r="G617" s="8">
        <f>19.2426 * CHOOSE( CONTROL!$C$14, $D$10, 100%, $F$10)</f>
        <v>19.242599999999999</v>
      </c>
      <c r="H617" s="4">
        <f>20.1237 * CHOOSE(CONTROL!$C$14, $D$10, 100%, $F$10)</f>
        <v>20.123699999999999</v>
      </c>
      <c r="I617" s="8">
        <f>19.0053 * CHOOSE(CONTROL!$C$14, $D$10, 100%, $F$10)</f>
        <v>19.005299999999998</v>
      </c>
      <c r="J617" s="4">
        <f>18.8966 * CHOOSE(CONTROL!$C$14, $D$10, 100%, $F$10)</f>
        <v>18.896599999999999</v>
      </c>
      <c r="K617" s="4"/>
      <c r="L617" s="9">
        <v>26.469899999999999</v>
      </c>
      <c r="M617" s="9">
        <v>10.8962</v>
      </c>
      <c r="N617" s="9">
        <v>4.4660000000000002</v>
      </c>
      <c r="O617" s="9">
        <v>0.33789999999999998</v>
      </c>
      <c r="P617" s="9">
        <v>1.1676</v>
      </c>
      <c r="Q617" s="9">
        <v>17.782800000000002</v>
      </c>
      <c r="R617" s="9"/>
      <c r="S617" s="11"/>
    </row>
    <row r="618" spans="1:19" ht="15.75">
      <c r="A618" s="13">
        <v>60722</v>
      </c>
      <c r="B618" s="8">
        <f>19.1616 * CHOOSE(CONTROL!$C$14, $D$10, 100%, $F$10)</f>
        <v>19.1616</v>
      </c>
      <c r="C618" s="8">
        <f>19.1667 * CHOOSE(CONTROL!$C$14, $D$10, 100%, $F$10)</f>
        <v>19.166699999999999</v>
      </c>
      <c r="D618" s="8">
        <f>19.1501 * CHOOSE( CONTROL!$C$14, $D$10, 100%, $F$10)</f>
        <v>19.150099999999998</v>
      </c>
      <c r="E618" s="12">
        <f>19.1556 * CHOOSE( CONTROL!$C$14, $D$10, 100%, $F$10)</f>
        <v>19.1556</v>
      </c>
      <c r="F618" s="4">
        <f>19.8142 * CHOOSE(CONTROL!$C$14, $D$10, 100%, $F$10)</f>
        <v>19.8142</v>
      </c>
      <c r="G618" s="8">
        <f>18.8251 * CHOOSE( CONTROL!$C$14, $D$10, 100%, $F$10)</f>
        <v>18.825099999999999</v>
      </c>
      <c r="H618" s="4">
        <f>19.7144 * CHOOSE(CONTROL!$C$14, $D$10, 100%, $F$10)</f>
        <v>19.714400000000001</v>
      </c>
      <c r="I618" s="8">
        <f>18.5827 * CHOOSE(CONTROL!$C$14, $D$10, 100%, $F$10)</f>
        <v>18.582699999999999</v>
      </c>
      <c r="J618" s="4">
        <f>18.4943 * CHOOSE(CONTROL!$C$14, $D$10, 100%, $F$10)</f>
        <v>18.494299999999999</v>
      </c>
      <c r="K618" s="4"/>
      <c r="L618" s="9">
        <v>29.306000000000001</v>
      </c>
      <c r="M618" s="9">
        <v>12.063700000000001</v>
      </c>
      <c r="N618" s="9">
        <v>4.9444999999999997</v>
      </c>
      <c r="O618" s="9">
        <v>0.37409999999999999</v>
      </c>
      <c r="P618" s="9">
        <v>1.2927</v>
      </c>
      <c r="Q618" s="9">
        <v>19.688099999999999</v>
      </c>
      <c r="R618" s="9"/>
      <c r="S618" s="11"/>
    </row>
    <row r="619" spans="1:19" ht="15.75">
      <c r="A619" s="13">
        <v>60752</v>
      </c>
      <c r="B619" s="8">
        <f>19.4531 * CHOOSE(CONTROL!$C$14, $D$10, 100%, $F$10)</f>
        <v>19.453099999999999</v>
      </c>
      <c r="C619" s="8">
        <f>19.4577 * CHOOSE(CONTROL!$C$14, $D$10, 100%, $F$10)</f>
        <v>19.457699999999999</v>
      </c>
      <c r="D619" s="8">
        <f>19.4672 * CHOOSE( CONTROL!$C$14, $D$10, 100%, $F$10)</f>
        <v>19.467199999999998</v>
      </c>
      <c r="E619" s="12">
        <f>19.4635 * CHOOSE( CONTROL!$C$14, $D$10, 100%, $F$10)</f>
        <v>19.4635</v>
      </c>
      <c r="F619" s="4">
        <f>20.136 * CHOOSE(CONTROL!$C$14, $D$10, 100%, $F$10)</f>
        <v>20.135999999999999</v>
      </c>
      <c r="G619" s="8">
        <f>19.101 * CHOOSE( CONTROL!$C$14, $D$10, 100%, $F$10)</f>
        <v>19.100999999999999</v>
      </c>
      <c r="H619" s="4">
        <f>20.0309 * CHOOSE(CONTROL!$C$14, $D$10, 100%, $F$10)</f>
        <v>20.030899999999999</v>
      </c>
      <c r="I619" s="8">
        <f>18.8749 * CHOOSE(CONTROL!$C$14, $D$10, 100%, $F$10)</f>
        <v>18.8749</v>
      </c>
      <c r="J619" s="4">
        <f>18.7754 * CHOOSE(CONTROL!$C$14, $D$10, 100%, $F$10)</f>
        <v>18.775400000000001</v>
      </c>
      <c r="K619" s="4"/>
      <c r="L619" s="9">
        <v>30.092199999999998</v>
      </c>
      <c r="M619" s="9">
        <v>11.6745</v>
      </c>
      <c r="N619" s="9">
        <v>4.7850000000000001</v>
      </c>
      <c r="O619" s="9">
        <v>0.36199999999999999</v>
      </c>
      <c r="P619" s="9">
        <v>1.1791</v>
      </c>
      <c r="Q619" s="9">
        <v>19.053000000000001</v>
      </c>
      <c r="R619" s="9"/>
      <c r="S619" s="11"/>
    </row>
    <row r="620" spans="1:19" ht="15.75">
      <c r="A620" s="13">
        <v>60783</v>
      </c>
      <c r="B620" s="8">
        <f>CHOOSE( CONTROL!$C$31, 19.9749, 19.972) * CHOOSE(CONTROL!$C$14, $D$10, 100%, $F$10)</f>
        <v>19.974900000000002</v>
      </c>
      <c r="C620" s="8">
        <f>CHOOSE( CONTROL!$C$31, 19.9829, 19.98) * CHOOSE(CONTROL!$C$14, $D$10, 100%, $F$10)</f>
        <v>19.982900000000001</v>
      </c>
      <c r="D620" s="8">
        <f>CHOOSE( CONTROL!$C$31, 19.9876, 19.9846) * CHOOSE( CONTROL!$C$14, $D$10, 100%, $F$10)</f>
        <v>19.9876</v>
      </c>
      <c r="E620" s="12">
        <f>CHOOSE( CONTROL!$C$31, 19.9847, 19.9817) * CHOOSE( CONTROL!$C$14, $D$10, 100%, $F$10)</f>
        <v>19.9847</v>
      </c>
      <c r="F620" s="4">
        <f>CHOOSE( CONTROL!$C$31, 20.6565, 20.6536) * CHOOSE(CONTROL!$C$14, $D$10, 100%, $F$10)</f>
        <v>20.656500000000001</v>
      </c>
      <c r="G620" s="8">
        <f>CHOOSE( CONTROL!$C$31, 19.6137, 19.6108) * CHOOSE( CONTROL!$C$14, $D$10, 100%, $F$10)</f>
        <v>19.613700000000001</v>
      </c>
      <c r="H620" s="4">
        <f>CHOOSE( CONTROL!$C$31, 20.5427, 20.5398) * CHOOSE(CONTROL!$C$14, $D$10, 100%, $F$10)</f>
        <v>20.5427</v>
      </c>
      <c r="I620" s="8">
        <f>CHOOSE( CONTROL!$C$31, 19.3793, 19.3765) * CHOOSE(CONTROL!$C$14, $D$10, 100%, $F$10)</f>
        <v>19.379300000000001</v>
      </c>
      <c r="J620" s="4">
        <f>CHOOSE( CONTROL!$C$31, 19.2785, 19.2757) * CHOOSE(CONTROL!$C$14, $D$10, 100%, $F$10)</f>
        <v>19.278500000000001</v>
      </c>
      <c r="K620" s="4"/>
      <c r="L620" s="9">
        <v>30.7165</v>
      </c>
      <c r="M620" s="9">
        <v>12.063700000000001</v>
      </c>
      <c r="N620" s="9">
        <v>4.9444999999999997</v>
      </c>
      <c r="O620" s="9">
        <v>0.37409999999999999</v>
      </c>
      <c r="P620" s="9">
        <v>1.2183999999999999</v>
      </c>
      <c r="Q620" s="9">
        <v>19.688099999999999</v>
      </c>
      <c r="R620" s="9"/>
      <c r="S620" s="11"/>
    </row>
    <row r="621" spans="1:19" ht="15.75">
      <c r="A621" s="13">
        <v>60813</v>
      </c>
      <c r="B621" s="8">
        <f>CHOOSE( CONTROL!$C$31, 19.6543, 19.6514) * CHOOSE(CONTROL!$C$14, $D$10, 100%, $F$10)</f>
        <v>19.654299999999999</v>
      </c>
      <c r="C621" s="8">
        <f>CHOOSE( CONTROL!$C$31, 19.6624, 19.6594) * CHOOSE(CONTROL!$C$14, $D$10, 100%, $F$10)</f>
        <v>19.662400000000002</v>
      </c>
      <c r="D621" s="8">
        <f>CHOOSE( CONTROL!$C$31, 19.6672, 19.6643) * CHOOSE( CONTROL!$C$14, $D$10, 100%, $F$10)</f>
        <v>19.667200000000001</v>
      </c>
      <c r="E621" s="12">
        <f>CHOOSE( CONTROL!$C$31, 19.6642, 19.6613) * CHOOSE( CONTROL!$C$14, $D$10, 100%, $F$10)</f>
        <v>19.664200000000001</v>
      </c>
      <c r="F621" s="4">
        <f>CHOOSE( CONTROL!$C$31, 20.3359, 20.333) * CHOOSE(CONTROL!$C$14, $D$10, 100%, $F$10)</f>
        <v>20.335899999999999</v>
      </c>
      <c r="G621" s="8">
        <f>CHOOSE( CONTROL!$C$31, 19.2988, 19.2959) * CHOOSE( CONTROL!$C$14, $D$10, 100%, $F$10)</f>
        <v>19.2988</v>
      </c>
      <c r="H621" s="4">
        <f>CHOOSE( CONTROL!$C$31, 20.2275, 20.2246) * CHOOSE(CONTROL!$C$14, $D$10, 100%, $F$10)</f>
        <v>20.227499999999999</v>
      </c>
      <c r="I621" s="8">
        <f>CHOOSE( CONTROL!$C$31, 19.0705, 19.0677) * CHOOSE(CONTROL!$C$14, $D$10, 100%, $F$10)</f>
        <v>19.070499999999999</v>
      </c>
      <c r="J621" s="4">
        <f>CHOOSE( CONTROL!$C$31, 18.9686, 18.9658) * CHOOSE(CONTROL!$C$14, $D$10, 100%, $F$10)</f>
        <v>18.968599999999999</v>
      </c>
      <c r="K621" s="4"/>
      <c r="L621" s="9">
        <v>29.7257</v>
      </c>
      <c r="M621" s="9">
        <v>11.6745</v>
      </c>
      <c r="N621" s="9">
        <v>4.7850000000000001</v>
      </c>
      <c r="O621" s="9">
        <v>0.36199999999999999</v>
      </c>
      <c r="P621" s="9">
        <v>1.1791</v>
      </c>
      <c r="Q621" s="9">
        <v>19.053000000000001</v>
      </c>
      <c r="R621" s="9"/>
      <c r="S621" s="11"/>
    </row>
    <row r="622" spans="1:19" ht="15.75">
      <c r="A622" s="13">
        <v>60844</v>
      </c>
      <c r="B622" s="8">
        <f>CHOOSE( CONTROL!$C$31, 20.4986, 20.4956) * CHOOSE(CONTROL!$C$14, $D$10, 100%, $F$10)</f>
        <v>20.4986</v>
      </c>
      <c r="C622" s="8">
        <f>CHOOSE( CONTROL!$C$31, 20.5066, 20.5037) * CHOOSE(CONTROL!$C$14, $D$10, 100%, $F$10)</f>
        <v>20.506599999999999</v>
      </c>
      <c r="D622" s="8">
        <f>CHOOSE( CONTROL!$C$31, 20.5117, 20.5088) * CHOOSE( CONTROL!$C$14, $D$10, 100%, $F$10)</f>
        <v>20.511700000000001</v>
      </c>
      <c r="E622" s="12">
        <f>CHOOSE( CONTROL!$C$31, 20.5086, 20.5057) * CHOOSE( CONTROL!$C$14, $D$10, 100%, $F$10)</f>
        <v>20.508600000000001</v>
      </c>
      <c r="F622" s="4">
        <f>CHOOSE( CONTROL!$C$31, 21.1801, 21.1772) * CHOOSE(CONTROL!$C$14, $D$10, 100%, $F$10)</f>
        <v>21.180099999999999</v>
      </c>
      <c r="G622" s="8">
        <f>CHOOSE( CONTROL!$C$31, 20.1294, 20.1265) * CHOOSE( CONTROL!$C$14, $D$10, 100%, $F$10)</f>
        <v>20.1294</v>
      </c>
      <c r="H622" s="4">
        <f>CHOOSE( CONTROL!$C$31, 21.0577, 21.0548) * CHOOSE(CONTROL!$C$14, $D$10, 100%, $F$10)</f>
        <v>21.057700000000001</v>
      </c>
      <c r="I622" s="8">
        <f>CHOOSE( CONTROL!$C$31, 19.8882, 19.8853) * CHOOSE(CONTROL!$C$14, $D$10, 100%, $F$10)</f>
        <v>19.888200000000001</v>
      </c>
      <c r="J622" s="4">
        <f>CHOOSE( CONTROL!$C$31, 19.7847, 19.7819) * CHOOSE(CONTROL!$C$14, $D$10, 100%, $F$10)</f>
        <v>19.784700000000001</v>
      </c>
      <c r="K622" s="4"/>
      <c r="L622" s="9">
        <v>30.7165</v>
      </c>
      <c r="M622" s="9">
        <v>12.063700000000001</v>
      </c>
      <c r="N622" s="9">
        <v>4.9444999999999997</v>
      </c>
      <c r="O622" s="9">
        <v>0.37409999999999999</v>
      </c>
      <c r="P622" s="9">
        <v>1.2183999999999999</v>
      </c>
      <c r="Q622" s="9">
        <v>19.688099999999999</v>
      </c>
      <c r="R622" s="9"/>
      <c r="S622" s="11"/>
    </row>
    <row r="623" spans="1:19" ht="15.75">
      <c r="A623" s="13">
        <v>60875</v>
      </c>
      <c r="B623" s="8">
        <f>CHOOSE( CONTROL!$C$31, 18.9189, 18.916) * CHOOSE(CONTROL!$C$14, $D$10, 100%, $F$10)</f>
        <v>18.918900000000001</v>
      </c>
      <c r="C623" s="8">
        <f>CHOOSE( CONTROL!$C$31, 18.927, 18.924) * CHOOSE(CONTROL!$C$14, $D$10, 100%, $F$10)</f>
        <v>18.927</v>
      </c>
      <c r="D623" s="8">
        <f>CHOOSE( CONTROL!$C$31, 18.9322, 18.9292) * CHOOSE( CONTROL!$C$14, $D$10, 100%, $F$10)</f>
        <v>18.932200000000002</v>
      </c>
      <c r="E623" s="12">
        <f>CHOOSE( CONTROL!$C$31, 18.9291, 18.9261) * CHOOSE( CONTROL!$C$14, $D$10, 100%, $F$10)</f>
        <v>18.929099999999998</v>
      </c>
      <c r="F623" s="4">
        <f>CHOOSE( CONTROL!$C$31, 19.6005, 19.5976) * CHOOSE(CONTROL!$C$14, $D$10, 100%, $F$10)</f>
        <v>19.6005</v>
      </c>
      <c r="G623" s="8">
        <f>CHOOSE( CONTROL!$C$31, 18.5761, 18.5732) * CHOOSE( CONTROL!$C$14, $D$10, 100%, $F$10)</f>
        <v>18.5761</v>
      </c>
      <c r="H623" s="4">
        <f>CHOOSE( CONTROL!$C$31, 19.5042, 19.5014) * CHOOSE(CONTROL!$C$14, $D$10, 100%, $F$10)</f>
        <v>19.504200000000001</v>
      </c>
      <c r="I623" s="8">
        <f>CHOOSE( CONTROL!$C$31, 18.3608, 18.358) * CHOOSE(CONTROL!$C$14, $D$10, 100%, $F$10)</f>
        <v>18.360800000000001</v>
      </c>
      <c r="J623" s="4">
        <f>CHOOSE( CONTROL!$C$31, 18.2577, 18.2549) * CHOOSE(CONTROL!$C$14, $D$10, 100%, $F$10)</f>
        <v>18.2577</v>
      </c>
      <c r="K623" s="4"/>
      <c r="L623" s="9">
        <v>30.7165</v>
      </c>
      <c r="M623" s="9">
        <v>12.063700000000001</v>
      </c>
      <c r="N623" s="9">
        <v>4.9444999999999997</v>
      </c>
      <c r="O623" s="9">
        <v>0.37409999999999999</v>
      </c>
      <c r="P623" s="9">
        <v>1.2183999999999999</v>
      </c>
      <c r="Q623" s="9">
        <v>19.688099999999999</v>
      </c>
      <c r="R623" s="9"/>
      <c r="S623" s="11"/>
    </row>
    <row r="624" spans="1:19" ht="15.75">
      <c r="A624" s="13">
        <v>60905</v>
      </c>
      <c r="B624" s="8">
        <f>CHOOSE( CONTROL!$C$31, 18.5234, 18.5205) * CHOOSE(CONTROL!$C$14, $D$10, 100%, $F$10)</f>
        <v>18.523399999999999</v>
      </c>
      <c r="C624" s="8">
        <f>CHOOSE( CONTROL!$C$31, 18.5314, 18.5285) * CHOOSE(CONTROL!$C$14, $D$10, 100%, $F$10)</f>
        <v>18.531400000000001</v>
      </c>
      <c r="D624" s="8">
        <f>CHOOSE( CONTROL!$C$31, 18.5366, 18.5337) * CHOOSE( CONTROL!$C$14, $D$10, 100%, $F$10)</f>
        <v>18.5366</v>
      </c>
      <c r="E624" s="12">
        <f>CHOOSE( CONTROL!$C$31, 18.5335, 18.5306) * CHOOSE( CONTROL!$C$14, $D$10, 100%, $F$10)</f>
        <v>18.5335</v>
      </c>
      <c r="F624" s="4">
        <f>CHOOSE( CONTROL!$C$31, 19.2049, 19.202) * CHOOSE(CONTROL!$C$14, $D$10, 100%, $F$10)</f>
        <v>19.204899999999999</v>
      </c>
      <c r="G624" s="8">
        <f>CHOOSE( CONTROL!$C$31, 18.1871, 18.1842) * CHOOSE( CONTROL!$C$14, $D$10, 100%, $F$10)</f>
        <v>18.187100000000001</v>
      </c>
      <c r="H624" s="4">
        <f>CHOOSE( CONTROL!$C$31, 19.1152, 19.1124) * CHOOSE(CONTROL!$C$14, $D$10, 100%, $F$10)</f>
        <v>19.115200000000002</v>
      </c>
      <c r="I624" s="8">
        <f>CHOOSE( CONTROL!$C$31, 17.9782, 17.9753) * CHOOSE(CONTROL!$C$14, $D$10, 100%, $F$10)</f>
        <v>17.978200000000001</v>
      </c>
      <c r="J624" s="4">
        <f>CHOOSE( CONTROL!$C$31, 17.8753, 17.8725) * CHOOSE(CONTROL!$C$14, $D$10, 100%, $F$10)</f>
        <v>17.875299999999999</v>
      </c>
      <c r="K624" s="4"/>
      <c r="L624" s="9">
        <v>29.7257</v>
      </c>
      <c r="M624" s="9">
        <v>11.6745</v>
      </c>
      <c r="N624" s="9">
        <v>4.7850000000000001</v>
      </c>
      <c r="O624" s="9">
        <v>0.36199999999999999</v>
      </c>
      <c r="P624" s="9">
        <v>1.1791</v>
      </c>
      <c r="Q624" s="9">
        <v>19.053000000000001</v>
      </c>
      <c r="R624" s="9"/>
      <c r="S624" s="11"/>
    </row>
    <row r="625" spans="1:19" ht="15.75">
      <c r="A625" s="13">
        <v>60936</v>
      </c>
      <c r="B625" s="8">
        <f>19.34 * CHOOSE(CONTROL!$C$14, $D$10, 100%, $F$10)</f>
        <v>19.34</v>
      </c>
      <c r="C625" s="8">
        <f>19.3454 * CHOOSE(CONTROL!$C$14, $D$10, 100%, $F$10)</f>
        <v>19.345400000000001</v>
      </c>
      <c r="D625" s="8">
        <f>19.3554 * CHOOSE( CONTROL!$C$14, $D$10, 100%, $F$10)</f>
        <v>19.355399999999999</v>
      </c>
      <c r="E625" s="12">
        <f>19.3515 * CHOOSE( CONTROL!$C$14, $D$10, 100%, $F$10)</f>
        <v>19.351500000000001</v>
      </c>
      <c r="F625" s="4">
        <f>20.0233 * CHOOSE(CONTROL!$C$14, $D$10, 100%, $F$10)</f>
        <v>20.023299999999999</v>
      </c>
      <c r="G625" s="8">
        <f>18.9915 * CHOOSE( CONTROL!$C$14, $D$10, 100%, $F$10)</f>
        <v>18.991499999999998</v>
      </c>
      <c r="H625" s="4">
        <f>19.9201 * CHOOSE(CONTROL!$C$14, $D$10, 100%, $F$10)</f>
        <v>19.920100000000001</v>
      </c>
      <c r="I625" s="8">
        <f>18.7705 * CHOOSE(CONTROL!$C$14, $D$10, 100%, $F$10)</f>
        <v>18.770499999999998</v>
      </c>
      <c r="J625" s="4">
        <f>18.6665 * CHOOSE(CONTROL!$C$14, $D$10, 100%, $F$10)</f>
        <v>18.666499999999999</v>
      </c>
      <c r="K625" s="4"/>
      <c r="L625" s="9">
        <v>31.095300000000002</v>
      </c>
      <c r="M625" s="9">
        <v>12.063700000000001</v>
      </c>
      <c r="N625" s="9">
        <v>4.9444999999999997</v>
      </c>
      <c r="O625" s="9">
        <v>0.37409999999999999</v>
      </c>
      <c r="P625" s="9">
        <v>1.2183999999999999</v>
      </c>
      <c r="Q625" s="9">
        <v>19.688099999999999</v>
      </c>
      <c r="R625" s="9"/>
      <c r="S625" s="11"/>
    </row>
    <row r="626" spans="1:19" ht="15.75">
      <c r="A626" s="13">
        <v>60966</v>
      </c>
      <c r="B626" s="8">
        <f>20.8556 * CHOOSE(CONTROL!$C$14, $D$10, 100%, $F$10)</f>
        <v>20.855599999999999</v>
      </c>
      <c r="C626" s="8">
        <f>20.8607 * CHOOSE(CONTROL!$C$14, $D$10, 100%, $F$10)</f>
        <v>20.860700000000001</v>
      </c>
      <c r="D626" s="8">
        <f>20.8369 * CHOOSE( CONTROL!$C$14, $D$10, 100%, $F$10)</f>
        <v>20.8369</v>
      </c>
      <c r="E626" s="12">
        <f>20.8451 * CHOOSE( CONTROL!$C$14, $D$10, 100%, $F$10)</f>
        <v>20.845099999999999</v>
      </c>
      <c r="F626" s="4">
        <f>21.5031 * CHOOSE(CONTROL!$C$14, $D$10, 100%, $F$10)</f>
        <v>21.5031</v>
      </c>
      <c r="G626" s="8">
        <f>20.4922 * CHOOSE( CONTROL!$C$14, $D$10, 100%, $F$10)</f>
        <v>20.4922</v>
      </c>
      <c r="H626" s="4">
        <f>21.3753 * CHOOSE(CONTROL!$C$14, $D$10, 100%, $F$10)</f>
        <v>21.375299999999999</v>
      </c>
      <c r="I626" s="8">
        <f>20.2672 * CHOOSE(CONTROL!$C$14, $D$10, 100%, $F$10)</f>
        <v>20.267199999999999</v>
      </c>
      <c r="J626" s="4">
        <f>20.1319 * CHOOSE(CONTROL!$C$14, $D$10, 100%, $F$10)</f>
        <v>20.131900000000002</v>
      </c>
      <c r="K626" s="4"/>
      <c r="L626" s="9">
        <v>28.360600000000002</v>
      </c>
      <c r="M626" s="9">
        <v>11.6745</v>
      </c>
      <c r="N626" s="9">
        <v>4.7850000000000001</v>
      </c>
      <c r="O626" s="9">
        <v>0.36199999999999999</v>
      </c>
      <c r="P626" s="9">
        <v>1.2509999999999999</v>
      </c>
      <c r="Q626" s="9">
        <v>19.053000000000001</v>
      </c>
      <c r="R626" s="9"/>
      <c r="S626" s="11"/>
    </row>
    <row r="627" spans="1:19" ht="15.75">
      <c r="A627" s="13">
        <v>60997</v>
      </c>
      <c r="B627" s="8">
        <f>20.8177 * CHOOSE(CONTROL!$C$14, $D$10, 100%, $F$10)</f>
        <v>20.817699999999999</v>
      </c>
      <c r="C627" s="8">
        <f>20.8229 * CHOOSE(CONTROL!$C$14, $D$10, 100%, $F$10)</f>
        <v>20.822900000000001</v>
      </c>
      <c r="D627" s="8">
        <f>20.8004 * CHOOSE( CONTROL!$C$14, $D$10, 100%, $F$10)</f>
        <v>20.8004</v>
      </c>
      <c r="E627" s="12">
        <f>20.8081 * CHOOSE( CONTROL!$C$14, $D$10, 100%, $F$10)</f>
        <v>20.8081</v>
      </c>
      <c r="F627" s="4">
        <f>21.4652 * CHOOSE(CONTROL!$C$14, $D$10, 100%, $F$10)</f>
        <v>21.465199999999999</v>
      </c>
      <c r="G627" s="8">
        <f>20.4559 * CHOOSE( CONTROL!$C$14, $D$10, 100%, $F$10)</f>
        <v>20.4559</v>
      </c>
      <c r="H627" s="4">
        <f>21.338 * CHOOSE(CONTROL!$C$14, $D$10, 100%, $F$10)</f>
        <v>21.338000000000001</v>
      </c>
      <c r="I627" s="8">
        <f>20.235 * CHOOSE(CONTROL!$C$14, $D$10, 100%, $F$10)</f>
        <v>20.234999999999999</v>
      </c>
      <c r="J627" s="4">
        <f>20.0953 * CHOOSE(CONTROL!$C$14, $D$10, 100%, $F$10)</f>
        <v>20.095300000000002</v>
      </c>
      <c r="K627" s="4"/>
      <c r="L627" s="9">
        <v>29.306000000000001</v>
      </c>
      <c r="M627" s="9">
        <v>12.063700000000001</v>
      </c>
      <c r="N627" s="9">
        <v>4.9444999999999997</v>
      </c>
      <c r="O627" s="9">
        <v>0.37409999999999999</v>
      </c>
      <c r="P627" s="9">
        <v>1.2927</v>
      </c>
      <c r="Q627" s="9">
        <v>19.688099999999999</v>
      </c>
      <c r="R627" s="9"/>
      <c r="S627" s="11"/>
    </row>
    <row r="628" spans="1:19" ht="15.75">
      <c r="A628" s="13">
        <v>61028</v>
      </c>
      <c r="B628" s="8">
        <f>21.6122 * CHOOSE(CONTROL!$C$14, $D$10, 100%, $F$10)</f>
        <v>21.612200000000001</v>
      </c>
      <c r="C628" s="8">
        <f>21.6173 * CHOOSE(CONTROL!$C$14, $D$10, 100%, $F$10)</f>
        <v>21.6173</v>
      </c>
      <c r="D628" s="8">
        <f>21.6131 * CHOOSE( CONTROL!$C$14, $D$10, 100%, $F$10)</f>
        <v>21.613099999999999</v>
      </c>
      <c r="E628" s="12">
        <f>21.6141 * CHOOSE( CONTROL!$C$14, $D$10, 100%, $F$10)</f>
        <v>21.614100000000001</v>
      </c>
      <c r="F628" s="4">
        <f>22.2907 * CHOOSE(CONTROL!$C$14, $D$10, 100%, $F$10)</f>
        <v>22.290700000000001</v>
      </c>
      <c r="G628" s="8">
        <f>21.2514 * CHOOSE( CONTROL!$C$14, $D$10, 100%, $F$10)</f>
        <v>21.2514</v>
      </c>
      <c r="H628" s="4">
        <f>22.1499 * CHOOSE(CONTROL!$C$14, $D$10, 100%, $F$10)</f>
        <v>22.149899999999999</v>
      </c>
      <c r="I628" s="8">
        <f>20.9824 * CHOOSE(CONTROL!$C$14, $D$10, 100%, $F$10)</f>
        <v>20.982399999999998</v>
      </c>
      <c r="J628" s="4">
        <f>20.8634 * CHOOSE(CONTROL!$C$14, $D$10, 100%, $F$10)</f>
        <v>20.863399999999999</v>
      </c>
      <c r="K628" s="4"/>
      <c r="L628" s="9">
        <v>29.306000000000001</v>
      </c>
      <c r="M628" s="9">
        <v>12.063700000000001</v>
      </c>
      <c r="N628" s="9">
        <v>4.9444999999999997</v>
      </c>
      <c r="O628" s="9">
        <v>0.37409999999999999</v>
      </c>
      <c r="P628" s="9">
        <v>1.2927</v>
      </c>
      <c r="Q628" s="9">
        <v>19.688099999999999</v>
      </c>
      <c r="R628" s="9"/>
      <c r="S628" s="11"/>
    </row>
    <row r="629" spans="1:19" ht="15.75">
      <c r="A629" s="13">
        <v>61056</v>
      </c>
      <c r="B629" s="8">
        <f>20.217 * CHOOSE(CONTROL!$C$14, $D$10, 100%, $F$10)</f>
        <v>20.216999999999999</v>
      </c>
      <c r="C629" s="8">
        <f>20.2221 * CHOOSE(CONTROL!$C$14, $D$10, 100%, $F$10)</f>
        <v>20.222100000000001</v>
      </c>
      <c r="D629" s="8">
        <f>20.212 * CHOOSE( CONTROL!$C$14, $D$10, 100%, $F$10)</f>
        <v>20.212</v>
      </c>
      <c r="E629" s="12">
        <f>20.2151 * CHOOSE( CONTROL!$C$14, $D$10, 100%, $F$10)</f>
        <v>20.2151</v>
      </c>
      <c r="F629" s="4">
        <f>20.8696 * CHOOSE(CONTROL!$C$14, $D$10, 100%, $F$10)</f>
        <v>20.869599999999998</v>
      </c>
      <c r="G629" s="8">
        <f>19.8712 * CHOOSE( CONTROL!$C$14, $D$10, 100%, $F$10)</f>
        <v>19.871200000000002</v>
      </c>
      <c r="H629" s="4">
        <f>20.7523 * CHOOSE(CONTROL!$C$14, $D$10, 100%, $F$10)</f>
        <v>20.752300000000002</v>
      </c>
      <c r="I629" s="8">
        <f>19.6236 * CHOOSE(CONTROL!$C$14, $D$10, 100%, $F$10)</f>
        <v>19.6236</v>
      </c>
      <c r="J629" s="4">
        <f>19.5146 * CHOOSE(CONTROL!$C$14, $D$10, 100%, $F$10)</f>
        <v>19.514600000000002</v>
      </c>
      <c r="K629" s="4"/>
      <c r="L629" s="9">
        <v>26.469899999999999</v>
      </c>
      <c r="M629" s="9">
        <v>10.8962</v>
      </c>
      <c r="N629" s="9">
        <v>4.4660000000000002</v>
      </c>
      <c r="O629" s="9">
        <v>0.33789999999999998</v>
      </c>
      <c r="P629" s="9">
        <v>1.1676</v>
      </c>
      <c r="Q629" s="9">
        <v>17.782800000000002</v>
      </c>
      <c r="R629" s="9"/>
      <c r="S629" s="11"/>
    </row>
    <row r="630" spans="1:19" ht="15.75">
      <c r="A630" s="13">
        <v>61087</v>
      </c>
      <c r="B630" s="8">
        <f>19.7872 * CHOOSE(CONTROL!$C$14, $D$10, 100%, $F$10)</f>
        <v>19.787199999999999</v>
      </c>
      <c r="C630" s="8">
        <f>19.7924 * CHOOSE(CONTROL!$C$14, $D$10, 100%, $F$10)</f>
        <v>19.792400000000001</v>
      </c>
      <c r="D630" s="8">
        <f>19.7758 * CHOOSE( CONTROL!$C$14, $D$10, 100%, $F$10)</f>
        <v>19.7758</v>
      </c>
      <c r="E630" s="12">
        <f>19.7813 * CHOOSE( CONTROL!$C$14, $D$10, 100%, $F$10)</f>
        <v>19.781300000000002</v>
      </c>
      <c r="F630" s="4">
        <f>20.4399 * CHOOSE(CONTROL!$C$14, $D$10, 100%, $F$10)</f>
        <v>20.439900000000002</v>
      </c>
      <c r="G630" s="8">
        <f>19.4404 * CHOOSE( CONTROL!$C$14, $D$10, 100%, $F$10)</f>
        <v>19.4404</v>
      </c>
      <c r="H630" s="4">
        <f>20.3297 * CHOOSE(CONTROL!$C$14, $D$10, 100%, $F$10)</f>
        <v>20.329699999999999</v>
      </c>
      <c r="I630" s="8">
        <f>19.1878 * CHOOSE(CONTROL!$C$14, $D$10, 100%, $F$10)</f>
        <v>19.187799999999999</v>
      </c>
      <c r="J630" s="4">
        <f>19.0992 * CHOOSE(CONTROL!$C$14, $D$10, 100%, $F$10)</f>
        <v>19.0992</v>
      </c>
      <c r="K630" s="4"/>
      <c r="L630" s="9">
        <v>29.306000000000001</v>
      </c>
      <c r="M630" s="9">
        <v>12.063700000000001</v>
      </c>
      <c r="N630" s="9">
        <v>4.9444999999999997</v>
      </c>
      <c r="O630" s="9">
        <v>0.37409999999999999</v>
      </c>
      <c r="P630" s="9">
        <v>1.2927</v>
      </c>
      <c r="Q630" s="9">
        <v>19.688099999999999</v>
      </c>
      <c r="R630" s="9"/>
      <c r="S630" s="11"/>
    </row>
    <row r="631" spans="1:19" ht="15.75">
      <c r="A631" s="13">
        <v>61117</v>
      </c>
      <c r="B631" s="8">
        <f>20.0883 * CHOOSE(CONTROL!$C$14, $D$10, 100%, $F$10)</f>
        <v>20.0883</v>
      </c>
      <c r="C631" s="8">
        <f>20.0928 * CHOOSE(CONTROL!$C$14, $D$10, 100%, $F$10)</f>
        <v>20.0928</v>
      </c>
      <c r="D631" s="8">
        <f>20.1024 * CHOOSE( CONTROL!$C$14, $D$10, 100%, $F$10)</f>
        <v>20.102399999999999</v>
      </c>
      <c r="E631" s="12">
        <f>20.0987 * CHOOSE( CONTROL!$C$14, $D$10, 100%, $F$10)</f>
        <v>20.098700000000001</v>
      </c>
      <c r="F631" s="4">
        <f>20.7712 * CHOOSE(CONTROL!$C$14, $D$10, 100%, $F$10)</f>
        <v>20.7712</v>
      </c>
      <c r="G631" s="8">
        <f>19.7256 * CHOOSE( CONTROL!$C$14, $D$10, 100%, $F$10)</f>
        <v>19.7256</v>
      </c>
      <c r="H631" s="4">
        <f>20.6556 * CHOOSE(CONTROL!$C$14, $D$10, 100%, $F$10)</f>
        <v>20.6556</v>
      </c>
      <c r="I631" s="8">
        <f>19.4892 * CHOOSE(CONTROL!$C$14, $D$10, 100%, $F$10)</f>
        <v>19.4892</v>
      </c>
      <c r="J631" s="4">
        <f>19.3894 * CHOOSE(CONTROL!$C$14, $D$10, 100%, $F$10)</f>
        <v>19.389399999999998</v>
      </c>
      <c r="K631" s="4"/>
      <c r="L631" s="9">
        <v>30.092199999999998</v>
      </c>
      <c r="M631" s="9">
        <v>11.6745</v>
      </c>
      <c r="N631" s="9">
        <v>4.7850000000000001</v>
      </c>
      <c r="O631" s="9">
        <v>0.36199999999999999</v>
      </c>
      <c r="P631" s="9">
        <v>1.1791</v>
      </c>
      <c r="Q631" s="9">
        <v>19.053000000000001</v>
      </c>
      <c r="R631" s="9"/>
      <c r="S631" s="11"/>
    </row>
    <row r="632" spans="1:19" ht="15.75">
      <c r="A632" s="13">
        <v>61148</v>
      </c>
      <c r="B632" s="8">
        <f>CHOOSE( CONTROL!$C$31, 20.627, 20.6241) * CHOOSE(CONTROL!$C$14, $D$10, 100%, $F$10)</f>
        <v>20.626999999999999</v>
      </c>
      <c r="C632" s="8">
        <f>CHOOSE( CONTROL!$C$31, 20.635, 20.6321) * CHOOSE(CONTROL!$C$14, $D$10, 100%, $F$10)</f>
        <v>20.635000000000002</v>
      </c>
      <c r="D632" s="8">
        <f>CHOOSE( CONTROL!$C$31, 20.6397, 20.6367) * CHOOSE( CONTROL!$C$14, $D$10, 100%, $F$10)</f>
        <v>20.639700000000001</v>
      </c>
      <c r="E632" s="12">
        <f>CHOOSE( CONTROL!$C$31, 20.6368, 20.6338) * CHOOSE( CONTROL!$C$14, $D$10, 100%, $F$10)</f>
        <v>20.636800000000001</v>
      </c>
      <c r="F632" s="4">
        <f>CHOOSE( CONTROL!$C$31, 21.3086, 21.3057) * CHOOSE(CONTROL!$C$14, $D$10, 100%, $F$10)</f>
        <v>21.308599999999998</v>
      </c>
      <c r="G632" s="8">
        <f>CHOOSE( CONTROL!$C$31, 20.255, 20.2521) * CHOOSE( CONTROL!$C$14, $D$10, 100%, $F$10)</f>
        <v>20.254999999999999</v>
      </c>
      <c r="H632" s="4">
        <f>CHOOSE( CONTROL!$C$31, 21.184, 21.1811) * CHOOSE(CONTROL!$C$14, $D$10, 100%, $F$10)</f>
        <v>21.184000000000001</v>
      </c>
      <c r="I632" s="8">
        <f>CHOOSE( CONTROL!$C$31, 20.01, 20.0072) * CHOOSE(CONTROL!$C$14, $D$10, 100%, $F$10)</f>
        <v>20.010000000000002</v>
      </c>
      <c r="J632" s="4">
        <f>CHOOSE( CONTROL!$C$31, 19.9089, 19.9061) * CHOOSE(CONTROL!$C$14, $D$10, 100%, $F$10)</f>
        <v>19.908899999999999</v>
      </c>
      <c r="K632" s="4"/>
      <c r="L632" s="9">
        <v>30.7165</v>
      </c>
      <c r="M632" s="9">
        <v>12.063700000000001</v>
      </c>
      <c r="N632" s="9">
        <v>4.9444999999999997</v>
      </c>
      <c r="O632" s="9">
        <v>0.37409999999999999</v>
      </c>
      <c r="P632" s="9">
        <v>1.2183999999999999</v>
      </c>
      <c r="Q632" s="9">
        <v>19.688099999999999</v>
      </c>
      <c r="R632" s="9"/>
      <c r="S632" s="11"/>
    </row>
    <row r="633" spans="1:19" ht="15.75">
      <c r="A633" s="13">
        <v>61178</v>
      </c>
      <c r="B633" s="8">
        <f>CHOOSE( CONTROL!$C$31, 20.296, 20.293) * CHOOSE(CONTROL!$C$14, $D$10, 100%, $F$10)</f>
        <v>20.295999999999999</v>
      </c>
      <c r="C633" s="8">
        <f>CHOOSE( CONTROL!$C$31, 20.304, 20.3011) * CHOOSE(CONTROL!$C$14, $D$10, 100%, $F$10)</f>
        <v>20.303999999999998</v>
      </c>
      <c r="D633" s="8">
        <f>CHOOSE( CONTROL!$C$31, 20.3089, 20.3059) * CHOOSE( CONTROL!$C$14, $D$10, 100%, $F$10)</f>
        <v>20.308900000000001</v>
      </c>
      <c r="E633" s="12">
        <f>CHOOSE( CONTROL!$C$31, 20.3059, 20.3029) * CHOOSE( CONTROL!$C$14, $D$10, 100%, $F$10)</f>
        <v>20.305900000000001</v>
      </c>
      <c r="F633" s="4">
        <f>CHOOSE( CONTROL!$C$31, 20.9775, 20.9746) * CHOOSE(CONTROL!$C$14, $D$10, 100%, $F$10)</f>
        <v>20.977499999999999</v>
      </c>
      <c r="G633" s="8">
        <f>CHOOSE( CONTROL!$C$31, 19.9298, 19.9269) * CHOOSE( CONTROL!$C$14, $D$10, 100%, $F$10)</f>
        <v>19.9298</v>
      </c>
      <c r="H633" s="4">
        <f>CHOOSE( CONTROL!$C$31, 20.8584, 20.8556) * CHOOSE(CONTROL!$C$14, $D$10, 100%, $F$10)</f>
        <v>20.8584</v>
      </c>
      <c r="I633" s="8">
        <f>CHOOSE( CONTROL!$C$31, 19.6911, 19.6882) * CHOOSE(CONTROL!$C$14, $D$10, 100%, $F$10)</f>
        <v>19.691099999999999</v>
      </c>
      <c r="J633" s="4">
        <f>CHOOSE( CONTROL!$C$31, 19.5889, 19.586) * CHOOSE(CONTROL!$C$14, $D$10, 100%, $F$10)</f>
        <v>19.588899999999999</v>
      </c>
      <c r="K633" s="4"/>
      <c r="L633" s="9">
        <v>29.7257</v>
      </c>
      <c r="M633" s="9">
        <v>11.6745</v>
      </c>
      <c r="N633" s="9">
        <v>4.7850000000000001</v>
      </c>
      <c r="O633" s="9">
        <v>0.36199999999999999</v>
      </c>
      <c r="P633" s="9">
        <v>1.1791</v>
      </c>
      <c r="Q633" s="9">
        <v>19.053000000000001</v>
      </c>
      <c r="R633" s="9"/>
      <c r="S633" s="11"/>
    </row>
    <row r="634" spans="1:19" ht="15.75">
      <c r="A634" s="13">
        <v>61209</v>
      </c>
      <c r="B634" s="8">
        <f>CHOOSE( CONTROL!$C$31, 21.1678, 21.1649) * CHOOSE(CONTROL!$C$14, $D$10, 100%, $F$10)</f>
        <v>21.1678</v>
      </c>
      <c r="C634" s="8">
        <f>CHOOSE( CONTROL!$C$31, 21.1758, 21.1729) * CHOOSE(CONTROL!$C$14, $D$10, 100%, $F$10)</f>
        <v>21.175799999999999</v>
      </c>
      <c r="D634" s="8">
        <f>CHOOSE( CONTROL!$C$31, 21.1809, 21.178) * CHOOSE( CONTROL!$C$14, $D$10, 100%, $F$10)</f>
        <v>21.180900000000001</v>
      </c>
      <c r="E634" s="12">
        <f>CHOOSE( CONTROL!$C$31, 21.1778, 21.1749) * CHOOSE( CONTROL!$C$14, $D$10, 100%, $F$10)</f>
        <v>21.177800000000001</v>
      </c>
      <c r="F634" s="4">
        <f>CHOOSE( CONTROL!$C$31, 21.8493, 21.8464) * CHOOSE(CONTROL!$C$14, $D$10, 100%, $F$10)</f>
        <v>21.849299999999999</v>
      </c>
      <c r="G634" s="8">
        <f>CHOOSE( CONTROL!$C$31, 20.7875, 20.7846) * CHOOSE( CONTROL!$C$14, $D$10, 100%, $F$10)</f>
        <v>20.787500000000001</v>
      </c>
      <c r="H634" s="4">
        <f>CHOOSE( CONTROL!$C$31, 21.7158, 21.7129) * CHOOSE(CONTROL!$C$14, $D$10, 100%, $F$10)</f>
        <v>21.715800000000002</v>
      </c>
      <c r="I634" s="8">
        <f>CHOOSE( CONTROL!$C$31, 20.5354, 20.5326) * CHOOSE(CONTROL!$C$14, $D$10, 100%, $F$10)</f>
        <v>20.535399999999999</v>
      </c>
      <c r="J634" s="4">
        <f>CHOOSE( CONTROL!$C$31, 20.4317, 20.4288) * CHOOSE(CONTROL!$C$14, $D$10, 100%, $F$10)</f>
        <v>20.431699999999999</v>
      </c>
      <c r="K634" s="4"/>
      <c r="L634" s="9">
        <v>30.7165</v>
      </c>
      <c r="M634" s="9">
        <v>12.063700000000001</v>
      </c>
      <c r="N634" s="9">
        <v>4.9444999999999997</v>
      </c>
      <c r="O634" s="9">
        <v>0.37409999999999999</v>
      </c>
      <c r="P634" s="9">
        <v>1.2183999999999999</v>
      </c>
      <c r="Q634" s="9">
        <v>19.688099999999999</v>
      </c>
      <c r="R634" s="9"/>
      <c r="S634" s="11"/>
    </row>
    <row r="635" spans="1:19" ht="15.75">
      <c r="A635" s="13">
        <v>61240</v>
      </c>
      <c r="B635" s="8">
        <f>CHOOSE( CONTROL!$C$31, 19.5365, 19.5336) * CHOOSE(CONTROL!$C$14, $D$10, 100%, $F$10)</f>
        <v>19.5365</v>
      </c>
      <c r="C635" s="8">
        <f>CHOOSE( CONTROL!$C$31, 19.5445, 19.5416) * CHOOSE(CONTROL!$C$14, $D$10, 100%, $F$10)</f>
        <v>19.544499999999999</v>
      </c>
      <c r="D635" s="8">
        <f>CHOOSE( CONTROL!$C$31, 19.5497, 19.5468) * CHOOSE( CONTROL!$C$14, $D$10, 100%, $F$10)</f>
        <v>19.549700000000001</v>
      </c>
      <c r="E635" s="12">
        <f>CHOOSE( CONTROL!$C$31, 19.5466, 19.5437) * CHOOSE( CONTROL!$C$14, $D$10, 100%, $F$10)</f>
        <v>19.546600000000002</v>
      </c>
      <c r="F635" s="4">
        <f>CHOOSE( CONTROL!$C$31, 20.2181, 20.2151) * CHOOSE(CONTROL!$C$14, $D$10, 100%, $F$10)</f>
        <v>20.2181</v>
      </c>
      <c r="G635" s="8">
        <f>CHOOSE( CONTROL!$C$31, 19.1834, 19.1805) * CHOOSE( CONTROL!$C$14, $D$10, 100%, $F$10)</f>
        <v>19.183399999999999</v>
      </c>
      <c r="H635" s="4">
        <f>CHOOSE( CONTROL!$C$31, 20.1116, 20.1087) * CHOOSE(CONTROL!$C$14, $D$10, 100%, $F$10)</f>
        <v>20.111599999999999</v>
      </c>
      <c r="I635" s="8">
        <f>CHOOSE( CONTROL!$C$31, 18.9581, 18.9553) * CHOOSE(CONTROL!$C$14, $D$10, 100%, $F$10)</f>
        <v>18.958100000000002</v>
      </c>
      <c r="J635" s="4">
        <f>CHOOSE( CONTROL!$C$31, 18.8547, 18.8519) * CHOOSE(CONTROL!$C$14, $D$10, 100%, $F$10)</f>
        <v>18.854700000000001</v>
      </c>
      <c r="K635" s="4"/>
      <c r="L635" s="9">
        <v>30.7165</v>
      </c>
      <c r="M635" s="9">
        <v>12.063700000000001</v>
      </c>
      <c r="N635" s="9">
        <v>4.9444999999999997</v>
      </c>
      <c r="O635" s="9">
        <v>0.37409999999999999</v>
      </c>
      <c r="P635" s="9">
        <v>1.2183999999999999</v>
      </c>
      <c r="Q635" s="9">
        <v>19.688099999999999</v>
      </c>
      <c r="R635" s="9"/>
      <c r="S635" s="11"/>
    </row>
    <row r="636" spans="1:19" ht="15.75">
      <c r="A636" s="13">
        <v>61270</v>
      </c>
      <c r="B636" s="8">
        <f>CHOOSE( CONTROL!$C$31, 19.128, 19.1251) * CHOOSE(CONTROL!$C$14, $D$10, 100%, $F$10)</f>
        <v>19.128</v>
      </c>
      <c r="C636" s="8">
        <f>CHOOSE( CONTROL!$C$31, 19.136, 19.1331) * CHOOSE(CONTROL!$C$14, $D$10, 100%, $F$10)</f>
        <v>19.135999999999999</v>
      </c>
      <c r="D636" s="8">
        <f>CHOOSE( CONTROL!$C$31, 19.1412, 19.1383) * CHOOSE( CONTROL!$C$14, $D$10, 100%, $F$10)</f>
        <v>19.141200000000001</v>
      </c>
      <c r="E636" s="12">
        <f>CHOOSE( CONTROL!$C$31, 19.1381, 19.1352) * CHOOSE( CONTROL!$C$14, $D$10, 100%, $F$10)</f>
        <v>19.138100000000001</v>
      </c>
      <c r="F636" s="4">
        <f>CHOOSE( CONTROL!$C$31, 19.8096, 19.8066) * CHOOSE(CONTROL!$C$14, $D$10, 100%, $F$10)</f>
        <v>19.8096</v>
      </c>
      <c r="G636" s="8">
        <f>CHOOSE( CONTROL!$C$31, 18.7817, 18.7788) * CHOOSE( CONTROL!$C$14, $D$10, 100%, $F$10)</f>
        <v>18.781700000000001</v>
      </c>
      <c r="H636" s="4">
        <f>CHOOSE( CONTROL!$C$31, 19.7099, 19.707) * CHOOSE(CONTROL!$C$14, $D$10, 100%, $F$10)</f>
        <v>19.709900000000001</v>
      </c>
      <c r="I636" s="8">
        <f>CHOOSE( CONTROL!$C$31, 18.5629, 18.5601) * CHOOSE(CONTROL!$C$14, $D$10, 100%, $F$10)</f>
        <v>18.562899999999999</v>
      </c>
      <c r="J636" s="4">
        <f>CHOOSE( CONTROL!$C$31, 18.4598, 18.457) * CHOOSE(CONTROL!$C$14, $D$10, 100%, $F$10)</f>
        <v>18.459800000000001</v>
      </c>
      <c r="K636" s="4"/>
      <c r="L636" s="9">
        <v>29.7257</v>
      </c>
      <c r="M636" s="9">
        <v>11.6745</v>
      </c>
      <c r="N636" s="9">
        <v>4.7850000000000001</v>
      </c>
      <c r="O636" s="9">
        <v>0.36199999999999999</v>
      </c>
      <c r="P636" s="9">
        <v>1.1791</v>
      </c>
      <c r="Q636" s="9">
        <v>19.053000000000001</v>
      </c>
      <c r="R636" s="9"/>
      <c r="S636" s="11"/>
    </row>
    <row r="637" spans="1:19" ht="15.75">
      <c r="A637" s="13">
        <v>61301</v>
      </c>
      <c r="B637" s="8">
        <f>19.9715 * CHOOSE(CONTROL!$C$14, $D$10, 100%, $F$10)</f>
        <v>19.971499999999999</v>
      </c>
      <c r="C637" s="8">
        <f>19.9769 * CHOOSE(CONTROL!$C$14, $D$10, 100%, $F$10)</f>
        <v>19.976900000000001</v>
      </c>
      <c r="D637" s="8">
        <f>19.9869 * CHOOSE( CONTROL!$C$14, $D$10, 100%, $F$10)</f>
        <v>19.986899999999999</v>
      </c>
      <c r="E637" s="12">
        <f>19.983 * CHOOSE( CONTROL!$C$14, $D$10, 100%, $F$10)</f>
        <v>19.983000000000001</v>
      </c>
      <c r="F637" s="4">
        <f>20.6548 * CHOOSE(CONTROL!$C$14, $D$10, 100%, $F$10)</f>
        <v>20.654800000000002</v>
      </c>
      <c r="G637" s="8">
        <f>19.6126 * CHOOSE( CONTROL!$C$14, $D$10, 100%, $F$10)</f>
        <v>19.6126</v>
      </c>
      <c r="H637" s="4">
        <f>20.5411 * CHOOSE(CONTROL!$C$14, $D$10, 100%, $F$10)</f>
        <v>20.5411</v>
      </c>
      <c r="I637" s="8">
        <f>19.3813 * CHOOSE(CONTROL!$C$14, $D$10, 100%, $F$10)</f>
        <v>19.3813</v>
      </c>
      <c r="J637" s="4">
        <f>19.2769 * CHOOSE(CONTROL!$C$14, $D$10, 100%, $F$10)</f>
        <v>19.276900000000001</v>
      </c>
      <c r="K637" s="4"/>
      <c r="L637" s="9">
        <v>31.095300000000002</v>
      </c>
      <c r="M637" s="9">
        <v>12.063700000000001</v>
      </c>
      <c r="N637" s="9">
        <v>4.9444999999999997</v>
      </c>
      <c r="O637" s="9">
        <v>0.37409999999999999</v>
      </c>
      <c r="P637" s="9">
        <v>1.2183999999999999</v>
      </c>
      <c r="Q637" s="9">
        <v>19.688099999999999</v>
      </c>
      <c r="R637" s="9"/>
      <c r="S637" s="11"/>
    </row>
    <row r="638" spans="1:19" ht="15.75">
      <c r="A638" s="13">
        <v>61331</v>
      </c>
      <c r="B638" s="8">
        <f>21.5367 * CHOOSE(CONTROL!$C$14, $D$10, 100%, $F$10)</f>
        <v>21.5367</v>
      </c>
      <c r="C638" s="8">
        <f>21.5418 * CHOOSE(CONTROL!$C$14, $D$10, 100%, $F$10)</f>
        <v>21.541799999999999</v>
      </c>
      <c r="D638" s="8">
        <f>21.518 * CHOOSE( CONTROL!$C$14, $D$10, 100%, $F$10)</f>
        <v>21.518000000000001</v>
      </c>
      <c r="E638" s="12">
        <f>21.5262 * CHOOSE( CONTROL!$C$14, $D$10, 100%, $F$10)</f>
        <v>21.526199999999999</v>
      </c>
      <c r="F638" s="4">
        <f>22.1842 * CHOOSE(CONTROL!$C$14, $D$10, 100%, $F$10)</f>
        <v>22.184200000000001</v>
      </c>
      <c r="G638" s="8">
        <f>21.1619 * CHOOSE( CONTROL!$C$14, $D$10, 100%, $F$10)</f>
        <v>21.161899999999999</v>
      </c>
      <c r="H638" s="4">
        <f>22.0451 * CHOOSE(CONTROL!$C$14, $D$10, 100%, $F$10)</f>
        <v>22.045100000000001</v>
      </c>
      <c r="I638" s="8">
        <f>20.9259 * CHOOSE(CONTROL!$C$14, $D$10, 100%, $F$10)</f>
        <v>20.925899999999999</v>
      </c>
      <c r="J638" s="4">
        <f>20.7903 * CHOOSE(CONTROL!$C$14, $D$10, 100%, $F$10)</f>
        <v>20.790299999999998</v>
      </c>
      <c r="K638" s="4"/>
      <c r="L638" s="9">
        <v>28.360600000000002</v>
      </c>
      <c r="M638" s="9">
        <v>11.6745</v>
      </c>
      <c r="N638" s="9">
        <v>4.7850000000000001</v>
      </c>
      <c r="O638" s="9">
        <v>0.36199999999999999</v>
      </c>
      <c r="P638" s="9">
        <v>1.2509999999999999</v>
      </c>
      <c r="Q638" s="9">
        <v>19.053000000000001</v>
      </c>
      <c r="R638" s="9"/>
      <c r="S638" s="11"/>
    </row>
    <row r="639" spans="1:19" ht="15.75">
      <c r="A639" s="13">
        <v>61362</v>
      </c>
      <c r="B639" s="8">
        <f>21.4976 * CHOOSE(CONTROL!$C$14, $D$10, 100%, $F$10)</f>
        <v>21.497599999999998</v>
      </c>
      <c r="C639" s="8">
        <f>21.5027 * CHOOSE(CONTROL!$C$14, $D$10, 100%, $F$10)</f>
        <v>21.502700000000001</v>
      </c>
      <c r="D639" s="8">
        <f>21.4803 * CHOOSE( CONTROL!$C$14, $D$10, 100%, $F$10)</f>
        <v>21.4803</v>
      </c>
      <c r="E639" s="12">
        <f>21.4879 * CHOOSE( CONTROL!$C$14, $D$10, 100%, $F$10)</f>
        <v>21.4879</v>
      </c>
      <c r="F639" s="4">
        <f>22.145 * CHOOSE(CONTROL!$C$14, $D$10, 100%, $F$10)</f>
        <v>22.145</v>
      </c>
      <c r="G639" s="8">
        <f>21.1245 * CHOOSE( CONTROL!$C$14, $D$10, 100%, $F$10)</f>
        <v>21.124500000000001</v>
      </c>
      <c r="H639" s="4">
        <f>22.0066 * CHOOSE(CONTROL!$C$14, $D$10, 100%, $F$10)</f>
        <v>22.006599999999999</v>
      </c>
      <c r="I639" s="8">
        <f>20.8925 * CHOOSE(CONTROL!$C$14, $D$10, 100%, $F$10)</f>
        <v>20.892499999999998</v>
      </c>
      <c r="J639" s="4">
        <f>20.7525 * CHOOSE(CONTROL!$C$14, $D$10, 100%, $F$10)</f>
        <v>20.752500000000001</v>
      </c>
      <c r="K639" s="4"/>
      <c r="L639" s="9">
        <v>29.306000000000001</v>
      </c>
      <c r="M639" s="9">
        <v>12.063700000000001</v>
      </c>
      <c r="N639" s="9">
        <v>4.9444999999999997</v>
      </c>
      <c r="O639" s="9">
        <v>0.37409999999999999</v>
      </c>
      <c r="P639" s="9">
        <v>1.2927</v>
      </c>
      <c r="Q639" s="9">
        <v>19.688099999999999</v>
      </c>
      <c r="R639" s="9"/>
      <c r="S639" s="11"/>
    </row>
    <row r="640" spans="1:19" ht="15.75">
      <c r="A640" s="13">
        <v>61393</v>
      </c>
      <c r="B640" s="8">
        <f>22.318 * CHOOSE(CONTROL!$C$14, $D$10, 100%, $F$10)</f>
        <v>22.318000000000001</v>
      </c>
      <c r="C640" s="8">
        <f>22.3232 * CHOOSE(CONTROL!$C$14, $D$10, 100%, $F$10)</f>
        <v>22.3232</v>
      </c>
      <c r="D640" s="8">
        <f>22.319 * CHOOSE( CONTROL!$C$14, $D$10, 100%, $F$10)</f>
        <v>22.318999999999999</v>
      </c>
      <c r="E640" s="12">
        <f>22.32 * CHOOSE( CONTROL!$C$14, $D$10, 100%, $F$10)</f>
        <v>22.32</v>
      </c>
      <c r="F640" s="4">
        <f>22.9965 * CHOOSE(CONTROL!$C$14, $D$10, 100%, $F$10)</f>
        <v>22.996500000000001</v>
      </c>
      <c r="G640" s="8">
        <f>21.9456 * CHOOSE( CONTROL!$C$14, $D$10, 100%, $F$10)</f>
        <v>21.945599999999999</v>
      </c>
      <c r="H640" s="4">
        <f>22.844 * CHOOSE(CONTROL!$C$14, $D$10, 100%, $F$10)</f>
        <v>22.844000000000001</v>
      </c>
      <c r="I640" s="8">
        <f>21.665 * CHOOSE(CONTROL!$C$14, $D$10, 100%, $F$10)</f>
        <v>21.664999999999999</v>
      </c>
      <c r="J640" s="4">
        <f>21.5457 * CHOOSE(CONTROL!$C$14, $D$10, 100%, $F$10)</f>
        <v>21.5457</v>
      </c>
      <c r="K640" s="4"/>
      <c r="L640" s="9">
        <v>29.306000000000001</v>
      </c>
      <c r="M640" s="9">
        <v>12.063700000000001</v>
      </c>
      <c r="N640" s="9">
        <v>4.9444999999999997</v>
      </c>
      <c r="O640" s="9">
        <v>0.37409999999999999</v>
      </c>
      <c r="P640" s="9">
        <v>1.2927</v>
      </c>
      <c r="Q640" s="9">
        <v>19.688099999999999</v>
      </c>
      <c r="R640" s="9"/>
      <c r="S640" s="11"/>
    </row>
    <row r="641" spans="1:19" ht="15.75">
      <c r="A641" s="13">
        <v>61422</v>
      </c>
      <c r="B641" s="8">
        <f>20.8772 * CHOOSE(CONTROL!$C$14, $D$10, 100%, $F$10)</f>
        <v>20.877199999999998</v>
      </c>
      <c r="C641" s="8">
        <f>20.8823 * CHOOSE(CONTROL!$C$14, $D$10, 100%, $F$10)</f>
        <v>20.882300000000001</v>
      </c>
      <c r="D641" s="8">
        <f>20.8722 * CHOOSE( CONTROL!$C$14, $D$10, 100%, $F$10)</f>
        <v>20.872199999999999</v>
      </c>
      <c r="E641" s="12">
        <f>20.8753 * CHOOSE( CONTROL!$C$14, $D$10, 100%, $F$10)</f>
        <v>20.875299999999999</v>
      </c>
      <c r="F641" s="4">
        <f>21.5298 * CHOOSE(CONTROL!$C$14, $D$10, 100%, $F$10)</f>
        <v>21.529800000000002</v>
      </c>
      <c r="G641" s="8">
        <f>20.5205 * CHOOSE( CONTROL!$C$14, $D$10, 100%, $F$10)</f>
        <v>20.520499999999998</v>
      </c>
      <c r="H641" s="4">
        <f>21.4016 * CHOOSE(CONTROL!$C$14, $D$10, 100%, $F$10)</f>
        <v>21.401599999999998</v>
      </c>
      <c r="I641" s="8">
        <f>20.2621 * CHOOSE(CONTROL!$C$14, $D$10, 100%, $F$10)</f>
        <v>20.2621</v>
      </c>
      <c r="J641" s="4">
        <f>20.1528 * CHOOSE(CONTROL!$C$14, $D$10, 100%, $F$10)</f>
        <v>20.152799999999999</v>
      </c>
      <c r="K641" s="4"/>
      <c r="L641" s="9">
        <v>27.415299999999998</v>
      </c>
      <c r="M641" s="9">
        <v>11.285299999999999</v>
      </c>
      <c r="N641" s="9">
        <v>4.6254999999999997</v>
      </c>
      <c r="O641" s="9">
        <v>0.34989999999999999</v>
      </c>
      <c r="P641" s="9">
        <v>1.2093</v>
      </c>
      <c r="Q641" s="9">
        <v>18.417899999999999</v>
      </c>
      <c r="R641" s="9"/>
      <c r="S641" s="11"/>
    </row>
    <row r="642" spans="1:19" ht="15.75">
      <c r="A642" s="13">
        <v>61453</v>
      </c>
      <c r="B642" s="8">
        <f>20.4334 * CHOOSE(CONTROL!$C$14, $D$10, 100%, $F$10)</f>
        <v>20.433399999999999</v>
      </c>
      <c r="C642" s="8">
        <f>20.4385 * CHOOSE(CONTROL!$C$14, $D$10, 100%, $F$10)</f>
        <v>20.438500000000001</v>
      </c>
      <c r="D642" s="8">
        <f>20.4219 * CHOOSE( CONTROL!$C$14, $D$10, 100%, $F$10)</f>
        <v>20.421900000000001</v>
      </c>
      <c r="E642" s="12">
        <f>20.4274 * CHOOSE( CONTROL!$C$14, $D$10, 100%, $F$10)</f>
        <v>20.427399999999999</v>
      </c>
      <c r="F642" s="4">
        <f>21.086 * CHOOSE(CONTROL!$C$14, $D$10, 100%, $F$10)</f>
        <v>21.085999999999999</v>
      </c>
      <c r="G642" s="8">
        <f>20.0758 * CHOOSE( CONTROL!$C$14, $D$10, 100%, $F$10)</f>
        <v>20.075800000000001</v>
      </c>
      <c r="H642" s="4">
        <f>20.9651 * CHOOSE(CONTROL!$C$14, $D$10, 100%, $F$10)</f>
        <v>20.9651</v>
      </c>
      <c r="I642" s="8">
        <f>19.8128 * CHOOSE(CONTROL!$C$14, $D$10, 100%, $F$10)</f>
        <v>19.812799999999999</v>
      </c>
      <c r="J642" s="4">
        <f>19.7238 * CHOOSE(CONTROL!$C$14, $D$10, 100%, $F$10)</f>
        <v>19.723800000000001</v>
      </c>
      <c r="K642" s="4"/>
      <c r="L642" s="9">
        <v>29.306000000000001</v>
      </c>
      <c r="M642" s="9">
        <v>12.063700000000001</v>
      </c>
      <c r="N642" s="9">
        <v>4.9444999999999997</v>
      </c>
      <c r="O642" s="9">
        <v>0.37409999999999999</v>
      </c>
      <c r="P642" s="9">
        <v>1.2927</v>
      </c>
      <c r="Q642" s="9">
        <v>19.688099999999999</v>
      </c>
      <c r="R642" s="9"/>
      <c r="S642" s="11"/>
    </row>
    <row r="643" spans="1:19" ht="15.75">
      <c r="A643" s="13">
        <v>61483</v>
      </c>
      <c r="B643" s="8">
        <f>20.7443 * CHOOSE(CONTROL!$C$14, $D$10, 100%, $F$10)</f>
        <v>20.744299999999999</v>
      </c>
      <c r="C643" s="8">
        <f>20.7488 * CHOOSE(CONTROL!$C$14, $D$10, 100%, $F$10)</f>
        <v>20.748799999999999</v>
      </c>
      <c r="D643" s="8">
        <f>20.7583 * CHOOSE( CONTROL!$C$14, $D$10, 100%, $F$10)</f>
        <v>20.758299999999998</v>
      </c>
      <c r="E643" s="12">
        <f>20.7546 * CHOOSE( CONTROL!$C$14, $D$10, 100%, $F$10)</f>
        <v>20.7546</v>
      </c>
      <c r="F643" s="4">
        <f>21.4272 * CHOOSE(CONTROL!$C$14, $D$10, 100%, $F$10)</f>
        <v>21.427199999999999</v>
      </c>
      <c r="G643" s="8">
        <f>20.3707 * CHOOSE( CONTROL!$C$14, $D$10, 100%, $F$10)</f>
        <v>20.370699999999999</v>
      </c>
      <c r="H643" s="4">
        <f>21.3006 * CHOOSE(CONTROL!$C$14, $D$10, 100%, $F$10)</f>
        <v>21.300599999999999</v>
      </c>
      <c r="I643" s="8">
        <f>20.1237 * CHOOSE(CONTROL!$C$14, $D$10, 100%, $F$10)</f>
        <v>20.123699999999999</v>
      </c>
      <c r="J643" s="4">
        <f>20.0236 * CHOOSE(CONTROL!$C$14, $D$10, 100%, $F$10)</f>
        <v>20.023599999999998</v>
      </c>
      <c r="K643" s="4"/>
      <c r="L643" s="9">
        <v>30.092199999999998</v>
      </c>
      <c r="M643" s="9">
        <v>11.6745</v>
      </c>
      <c r="N643" s="9">
        <v>4.7850000000000001</v>
      </c>
      <c r="O643" s="9">
        <v>0.36199999999999999</v>
      </c>
      <c r="P643" s="9">
        <v>1.1791</v>
      </c>
      <c r="Q643" s="9">
        <v>19.053000000000001</v>
      </c>
      <c r="R643" s="9"/>
      <c r="S643" s="11"/>
    </row>
    <row r="644" spans="1:19" ht="15.75">
      <c r="A644" s="13">
        <v>61514</v>
      </c>
      <c r="B644" s="8">
        <f>CHOOSE( CONTROL!$C$31, 21.3005, 21.2975) * CHOOSE(CONTROL!$C$14, $D$10, 100%, $F$10)</f>
        <v>21.3005</v>
      </c>
      <c r="C644" s="8">
        <f>CHOOSE( CONTROL!$C$31, 21.3085, 21.3055) * CHOOSE(CONTROL!$C$14, $D$10, 100%, $F$10)</f>
        <v>21.308499999999999</v>
      </c>
      <c r="D644" s="8">
        <f>CHOOSE( CONTROL!$C$31, 21.3131, 21.3102) * CHOOSE( CONTROL!$C$14, $D$10, 100%, $F$10)</f>
        <v>21.313099999999999</v>
      </c>
      <c r="E644" s="12">
        <f>CHOOSE( CONTROL!$C$31, 21.3102, 21.3073) * CHOOSE( CONTROL!$C$14, $D$10, 100%, $F$10)</f>
        <v>21.310199999999998</v>
      </c>
      <c r="F644" s="4">
        <f>CHOOSE( CONTROL!$C$31, 21.982, 21.9791) * CHOOSE(CONTROL!$C$14, $D$10, 100%, $F$10)</f>
        <v>21.981999999999999</v>
      </c>
      <c r="G644" s="8">
        <f>CHOOSE( CONTROL!$C$31, 20.9173, 20.9144) * CHOOSE( CONTROL!$C$14, $D$10, 100%, $F$10)</f>
        <v>20.917300000000001</v>
      </c>
      <c r="H644" s="4">
        <f>CHOOSE( CONTROL!$C$31, 21.8463, 21.8434) * CHOOSE(CONTROL!$C$14, $D$10, 100%, $F$10)</f>
        <v>21.846299999999999</v>
      </c>
      <c r="I644" s="8">
        <f>CHOOSE( CONTROL!$C$31, 20.6614, 20.6585) * CHOOSE(CONTROL!$C$14, $D$10, 100%, $F$10)</f>
        <v>20.6614</v>
      </c>
      <c r="J644" s="4">
        <f>CHOOSE( CONTROL!$C$31, 20.5599, 20.5571) * CHOOSE(CONTROL!$C$14, $D$10, 100%, $F$10)</f>
        <v>20.559899999999999</v>
      </c>
      <c r="K644" s="4"/>
      <c r="L644" s="9">
        <v>30.7165</v>
      </c>
      <c r="M644" s="9">
        <v>12.063700000000001</v>
      </c>
      <c r="N644" s="9">
        <v>4.9444999999999997</v>
      </c>
      <c r="O644" s="9">
        <v>0.37409999999999999</v>
      </c>
      <c r="P644" s="9">
        <v>1.2183999999999999</v>
      </c>
      <c r="Q644" s="9">
        <v>19.688099999999999</v>
      </c>
      <c r="R644" s="9"/>
      <c r="S644" s="11"/>
    </row>
    <row r="645" spans="1:19" ht="15.75">
      <c r="A645" s="13">
        <v>61544</v>
      </c>
      <c r="B645" s="8">
        <f>CHOOSE( CONTROL!$C$31, 20.9586, 20.9556) * CHOOSE(CONTROL!$C$14, $D$10, 100%, $F$10)</f>
        <v>20.958600000000001</v>
      </c>
      <c r="C645" s="8">
        <f>CHOOSE( CONTROL!$C$31, 20.9666, 20.9637) * CHOOSE(CONTROL!$C$14, $D$10, 100%, $F$10)</f>
        <v>20.9666</v>
      </c>
      <c r="D645" s="8">
        <f>CHOOSE( CONTROL!$C$31, 20.9715, 20.9685) * CHOOSE( CONTROL!$C$14, $D$10, 100%, $F$10)</f>
        <v>20.971499999999999</v>
      </c>
      <c r="E645" s="12">
        <f>CHOOSE( CONTROL!$C$31, 20.9685, 20.9655) * CHOOSE( CONTROL!$C$14, $D$10, 100%, $F$10)</f>
        <v>20.968499999999999</v>
      </c>
      <c r="F645" s="4">
        <f>CHOOSE( CONTROL!$C$31, 21.6401, 21.6372) * CHOOSE(CONTROL!$C$14, $D$10, 100%, $F$10)</f>
        <v>21.6401</v>
      </c>
      <c r="G645" s="8">
        <f>CHOOSE( CONTROL!$C$31, 20.5814, 20.5785) * CHOOSE( CONTROL!$C$14, $D$10, 100%, $F$10)</f>
        <v>20.581399999999999</v>
      </c>
      <c r="H645" s="4">
        <f>CHOOSE( CONTROL!$C$31, 21.51, 21.5072) * CHOOSE(CONTROL!$C$14, $D$10, 100%, $F$10)</f>
        <v>21.51</v>
      </c>
      <c r="I645" s="8">
        <f>CHOOSE( CONTROL!$C$31, 20.3319, 20.3291) * CHOOSE(CONTROL!$C$14, $D$10, 100%, $F$10)</f>
        <v>20.331900000000001</v>
      </c>
      <c r="J645" s="4">
        <f>CHOOSE( CONTROL!$C$31, 20.2294, 20.2266) * CHOOSE(CONTROL!$C$14, $D$10, 100%, $F$10)</f>
        <v>20.229399999999998</v>
      </c>
      <c r="K645" s="4"/>
      <c r="L645" s="9">
        <v>29.7257</v>
      </c>
      <c r="M645" s="9">
        <v>11.6745</v>
      </c>
      <c r="N645" s="9">
        <v>4.7850000000000001</v>
      </c>
      <c r="O645" s="9">
        <v>0.36199999999999999</v>
      </c>
      <c r="P645" s="9">
        <v>1.1791</v>
      </c>
      <c r="Q645" s="9">
        <v>19.053000000000001</v>
      </c>
      <c r="R645" s="9"/>
      <c r="S645" s="11"/>
    </row>
    <row r="646" spans="1:19" ht="15.75">
      <c r="A646" s="13">
        <v>61575</v>
      </c>
      <c r="B646" s="8">
        <f>CHOOSE( CONTROL!$C$31, 21.8589, 21.856) * CHOOSE(CONTROL!$C$14, $D$10, 100%, $F$10)</f>
        <v>21.858899999999998</v>
      </c>
      <c r="C646" s="8">
        <f>CHOOSE( CONTROL!$C$31, 21.8669, 21.864) * CHOOSE(CONTROL!$C$14, $D$10, 100%, $F$10)</f>
        <v>21.866900000000001</v>
      </c>
      <c r="D646" s="8">
        <f>CHOOSE( CONTROL!$C$31, 21.872, 21.8691) * CHOOSE( CONTROL!$C$14, $D$10, 100%, $F$10)</f>
        <v>21.872</v>
      </c>
      <c r="E646" s="12">
        <f>CHOOSE( CONTROL!$C$31, 21.8689, 21.866) * CHOOSE( CONTROL!$C$14, $D$10, 100%, $F$10)</f>
        <v>21.8689</v>
      </c>
      <c r="F646" s="4">
        <f>CHOOSE( CONTROL!$C$31, 22.5404, 22.5375) * CHOOSE(CONTROL!$C$14, $D$10, 100%, $F$10)</f>
        <v>22.540400000000002</v>
      </c>
      <c r="G646" s="8">
        <f>CHOOSE( CONTROL!$C$31, 21.4672, 21.4643) * CHOOSE( CONTROL!$C$14, $D$10, 100%, $F$10)</f>
        <v>21.467199999999998</v>
      </c>
      <c r="H646" s="4">
        <f>CHOOSE( CONTROL!$C$31, 22.3955, 22.3926) * CHOOSE(CONTROL!$C$14, $D$10, 100%, $F$10)</f>
        <v>22.395499999999998</v>
      </c>
      <c r="I646" s="8">
        <f>CHOOSE( CONTROL!$C$31, 21.2039, 21.201) * CHOOSE(CONTROL!$C$14, $D$10, 100%, $F$10)</f>
        <v>21.203900000000001</v>
      </c>
      <c r="J646" s="4">
        <f>CHOOSE( CONTROL!$C$31, 21.0998, 21.0969) * CHOOSE(CONTROL!$C$14, $D$10, 100%, $F$10)</f>
        <v>21.099799999999998</v>
      </c>
      <c r="K646" s="4"/>
      <c r="L646" s="9">
        <v>30.7165</v>
      </c>
      <c r="M646" s="9">
        <v>12.063700000000001</v>
      </c>
      <c r="N646" s="9">
        <v>4.9444999999999997</v>
      </c>
      <c r="O646" s="9">
        <v>0.37409999999999999</v>
      </c>
      <c r="P646" s="9">
        <v>1.2183999999999999</v>
      </c>
      <c r="Q646" s="9">
        <v>19.688099999999999</v>
      </c>
      <c r="R646" s="9"/>
      <c r="S646" s="11"/>
    </row>
    <row r="647" spans="1:19" ht="15.75">
      <c r="A647" s="13">
        <v>61606</v>
      </c>
      <c r="B647" s="8">
        <f>CHOOSE( CONTROL!$C$31, 20.1743, 20.1714) * CHOOSE(CONTROL!$C$14, $D$10, 100%, $F$10)</f>
        <v>20.174299999999999</v>
      </c>
      <c r="C647" s="8">
        <f>CHOOSE( CONTROL!$C$31, 20.1823, 20.1794) * CHOOSE(CONTROL!$C$14, $D$10, 100%, $F$10)</f>
        <v>20.182300000000001</v>
      </c>
      <c r="D647" s="8">
        <f>CHOOSE( CONTROL!$C$31, 20.1875, 20.1846) * CHOOSE( CONTROL!$C$14, $D$10, 100%, $F$10)</f>
        <v>20.1875</v>
      </c>
      <c r="E647" s="12">
        <f>CHOOSE( CONTROL!$C$31, 20.1844, 20.1815) * CHOOSE( CONTROL!$C$14, $D$10, 100%, $F$10)</f>
        <v>20.1844</v>
      </c>
      <c r="F647" s="4">
        <f>CHOOSE( CONTROL!$C$31, 20.8558, 20.8529) * CHOOSE(CONTROL!$C$14, $D$10, 100%, $F$10)</f>
        <v>20.855799999999999</v>
      </c>
      <c r="G647" s="8">
        <f>CHOOSE( CONTROL!$C$31, 19.8106, 19.8077) * CHOOSE( CONTROL!$C$14, $D$10, 100%, $F$10)</f>
        <v>19.810600000000001</v>
      </c>
      <c r="H647" s="4">
        <f>CHOOSE( CONTROL!$C$31, 20.7388, 20.7359) * CHOOSE(CONTROL!$C$14, $D$10, 100%, $F$10)</f>
        <v>20.738800000000001</v>
      </c>
      <c r="I647" s="8">
        <f>CHOOSE( CONTROL!$C$31, 19.5749, 19.5721) * CHOOSE(CONTROL!$C$14, $D$10, 100%, $F$10)</f>
        <v>19.5749</v>
      </c>
      <c r="J647" s="4">
        <f>CHOOSE( CONTROL!$C$31, 19.4712, 19.4684) * CHOOSE(CONTROL!$C$14, $D$10, 100%, $F$10)</f>
        <v>19.4712</v>
      </c>
      <c r="K647" s="4"/>
      <c r="L647" s="9">
        <v>30.7165</v>
      </c>
      <c r="M647" s="9">
        <v>12.063700000000001</v>
      </c>
      <c r="N647" s="9">
        <v>4.9444999999999997</v>
      </c>
      <c r="O647" s="9">
        <v>0.37409999999999999</v>
      </c>
      <c r="P647" s="9">
        <v>1.2183999999999999</v>
      </c>
      <c r="Q647" s="9">
        <v>19.688099999999999</v>
      </c>
      <c r="R647" s="9"/>
      <c r="S647" s="11"/>
    </row>
    <row r="648" spans="1:19" ht="15.75">
      <c r="A648" s="13">
        <v>61636</v>
      </c>
      <c r="B648" s="8">
        <f>CHOOSE( CONTROL!$C$31, 19.7524, 19.7495) * CHOOSE(CONTROL!$C$14, $D$10, 100%, $F$10)</f>
        <v>19.752400000000002</v>
      </c>
      <c r="C648" s="8">
        <f>CHOOSE( CONTROL!$C$31, 19.7604, 19.7575) * CHOOSE(CONTROL!$C$14, $D$10, 100%, $F$10)</f>
        <v>19.760400000000001</v>
      </c>
      <c r="D648" s="8">
        <f>CHOOSE( CONTROL!$C$31, 19.7656, 19.7627) * CHOOSE( CONTROL!$C$14, $D$10, 100%, $F$10)</f>
        <v>19.765599999999999</v>
      </c>
      <c r="E648" s="12">
        <f>CHOOSE( CONTROL!$C$31, 19.7625, 19.7596) * CHOOSE( CONTROL!$C$14, $D$10, 100%, $F$10)</f>
        <v>19.762499999999999</v>
      </c>
      <c r="F648" s="4">
        <f>CHOOSE( CONTROL!$C$31, 20.434, 20.431) * CHOOSE(CONTROL!$C$14, $D$10, 100%, $F$10)</f>
        <v>20.434000000000001</v>
      </c>
      <c r="G648" s="8">
        <f>CHOOSE( CONTROL!$C$31, 19.3957, 19.3929) * CHOOSE( CONTROL!$C$14, $D$10, 100%, $F$10)</f>
        <v>19.395700000000001</v>
      </c>
      <c r="H648" s="4">
        <f>CHOOSE( CONTROL!$C$31, 20.3239, 20.321) * CHOOSE(CONTROL!$C$14, $D$10, 100%, $F$10)</f>
        <v>20.323899999999998</v>
      </c>
      <c r="I648" s="8">
        <f>CHOOSE( CONTROL!$C$31, 19.1669, 19.164) * CHOOSE(CONTROL!$C$14, $D$10, 100%, $F$10)</f>
        <v>19.166899999999998</v>
      </c>
      <c r="J648" s="4">
        <f>CHOOSE( CONTROL!$C$31, 19.0634, 19.0606) * CHOOSE(CONTROL!$C$14, $D$10, 100%, $F$10)</f>
        <v>19.063400000000001</v>
      </c>
      <c r="K648" s="4"/>
      <c r="L648" s="9">
        <v>29.7257</v>
      </c>
      <c r="M648" s="9">
        <v>11.6745</v>
      </c>
      <c r="N648" s="9">
        <v>4.7850000000000001</v>
      </c>
      <c r="O648" s="9">
        <v>0.36199999999999999</v>
      </c>
      <c r="P648" s="9">
        <v>1.1791</v>
      </c>
      <c r="Q648" s="9">
        <v>19.053000000000001</v>
      </c>
      <c r="R648" s="9"/>
      <c r="S648" s="11"/>
    </row>
    <row r="649" spans="1:19" ht="15.75">
      <c r="A649" s="13">
        <v>61667</v>
      </c>
      <c r="B649" s="8">
        <f>20.6237 * CHOOSE(CONTROL!$C$14, $D$10, 100%, $F$10)</f>
        <v>20.623699999999999</v>
      </c>
      <c r="C649" s="8">
        <f>20.6291 * CHOOSE(CONTROL!$C$14, $D$10, 100%, $F$10)</f>
        <v>20.629100000000001</v>
      </c>
      <c r="D649" s="8">
        <f>20.639 * CHOOSE( CONTROL!$C$14, $D$10, 100%, $F$10)</f>
        <v>20.638999999999999</v>
      </c>
      <c r="E649" s="12">
        <f>20.6352 * CHOOSE( CONTROL!$C$14, $D$10, 100%, $F$10)</f>
        <v>20.635200000000001</v>
      </c>
      <c r="F649" s="4">
        <f>21.307 * CHOOSE(CONTROL!$C$14, $D$10, 100%, $F$10)</f>
        <v>21.306999999999999</v>
      </c>
      <c r="G649" s="8">
        <f>20.2539 * CHOOSE( CONTROL!$C$14, $D$10, 100%, $F$10)</f>
        <v>20.253900000000002</v>
      </c>
      <c r="H649" s="4">
        <f>21.1824 * CHOOSE(CONTROL!$C$14, $D$10, 100%, $F$10)</f>
        <v>21.182400000000001</v>
      </c>
      <c r="I649" s="8">
        <f>20.012 * CHOOSE(CONTROL!$C$14, $D$10, 100%, $F$10)</f>
        <v>20.012</v>
      </c>
      <c r="J649" s="4">
        <f>19.9073 * CHOOSE(CONTROL!$C$14, $D$10, 100%, $F$10)</f>
        <v>19.907299999999999</v>
      </c>
      <c r="K649" s="4"/>
      <c r="L649" s="9">
        <v>31.095300000000002</v>
      </c>
      <c r="M649" s="9">
        <v>12.063700000000001</v>
      </c>
      <c r="N649" s="9">
        <v>4.9444999999999997</v>
      </c>
      <c r="O649" s="9">
        <v>0.37409999999999999</v>
      </c>
      <c r="P649" s="9">
        <v>1.2183999999999999</v>
      </c>
      <c r="Q649" s="9">
        <v>19.688099999999999</v>
      </c>
      <c r="R649" s="9"/>
      <c r="S649" s="11"/>
    </row>
    <row r="650" spans="1:19" ht="15.75">
      <c r="A650" s="13">
        <v>61697</v>
      </c>
      <c r="B650" s="8">
        <f>22.24 * CHOOSE(CONTROL!$C$14, $D$10, 100%, $F$10)</f>
        <v>22.24</v>
      </c>
      <c r="C650" s="8">
        <f>22.2451 * CHOOSE(CONTROL!$C$14, $D$10, 100%, $F$10)</f>
        <v>22.245100000000001</v>
      </c>
      <c r="D650" s="8">
        <f>22.2213 * CHOOSE( CONTROL!$C$14, $D$10, 100%, $F$10)</f>
        <v>22.221299999999999</v>
      </c>
      <c r="E650" s="12">
        <f>22.2295 * CHOOSE( CONTROL!$C$14, $D$10, 100%, $F$10)</f>
        <v>22.229500000000002</v>
      </c>
      <c r="F650" s="4">
        <f>22.8875 * CHOOSE(CONTROL!$C$14, $D$10, 100%, $F$10)</f>
        <v>22.887499999999999</v>
      </c>
      <c r="G650" s="8">
        <f>21.8536 * CHOOSE( CONTROL!$C$14, $D$10, 100%, $F$10)</f>
        <v>21.8536</v>
      </c>
      <c r="H650" s="4">
        <f>22.7367 * CHOOSE(CONTROL!$C$14, $D$10, 100%, $F$10)</f>
        <v>22.736699999999999</v>
      </c>
      <c r="I650" s="8">
        <f>21.6062 * CHOOSE(CONTROL!$C$14, $D$10, 100%, $F$10)</f>
        <v>21.606200000000001</v>
      </c>
      <c r="J650" s="4">
        <f>21.4703 * CHOOSE(CONTROL!$C$14, $D$10, 100%, $F$10)</f>
        <v>21.470300000000002</v>
      </c>
      <c r="K650" s="4"/>
      <c r="L650" s="9">
        <v>28.360600000000002</v>
      </c>
      <c r="M650" s="9">
        <v>11.6745</v>
      </c>
      <c r="N650" s="9">
        <v>4.7850000000000001</v>
      </c>
      <c r="O650" s="9">
        <v>0.36199999999999999</v>
      </c>
      <c r="P650" s="9">
        <v>1.2509999999999999</v>
      </c>
      <c r="Q650" s="9">
        <v>19.053000000000001</v>
      </c>
      <c r="R650" s="9"/>
      <c r="S650" s="11"/>
    </row>
    <row r="651" spans="1:19" ht="15.75">
      <c r="A651" s="13">
        <v>61728</v>
      </c>
      <c r="B651" s="8">
        <f>22.1996 * CHOOSE(CONTROL!$C$14, $D$10, 100%, $F$10)</f>
        <v>22.1996</v>
      </c>
      <c r="C651" s="8">
        <f>22.2047 * CHOOSE(CONTROL!$C$14, $D$10, 100%, $F$10)</f>
        <v>22.204699999999999</v>
      </c>
      <c r="D651" s="8">
        <f>22.1823 * CHOOSE( CONTROL!$C$14, $D$10, 100%, $F$10)</f>
        <v>22.182300000000001</v>
      </c>
      <c r="E651" s="12">
        <f>22.1899 * CHOOSE( CONTROL!$C$14, $D$10, 100%, $F$10)</f>
        <v>22.189900000000002</v>
      </c>
      <c r="F651" s="4">
        <f>22.8471 * CHOOSE(CONTROL!$C$14, $D$10, 100%, $F$10)</f>
        <v>22.847100000000001</v>
      </c>
      <c r="G651" s="8">
        <f>21.8149 * CHOOSE( CONTROL!$C$14, $D$10, 100%, $F$10)</f>
        <v>21.814900000000002</v>
      </c>
      <c r="H651" s="4">
        <f>22.697 * CHOOSE(CONTROL!$C$14, $D$10, 100%, $F$10)</f>
        <v>22.696999999999999</v>
      </c>
      <c r="I651" s="8">
        <f>21.5715 * CHOOSE(CONTROL!$C$14, $D$10, 100%, $F$10)</f>
        <v>21.5715</v>
      </c>
      <c r="J651" s="4">
        <f>21.4312 * CHOOSE(CONTROL!$C$14, $D$10, 100%, $F$10)</f>
        <v>21.4312</v>
      </c>
      <c r="K651" s="4"/>
      <c r="L651" s="9">
        <v>29.306000000000001</v>
      </c>
      <c r="M651" s="9">
        <v>12.063700000000001</v>
      </c>
      <c r="N651" s="9">
        <v>4.9444999999999997</v>
      </c>
      <c r="O651" s="9">
        <v>0.37409999999999999</v>
      </c>
      <c r="P651" s="9">
        <v>1.2927</v>
      </c>
      <c r="Q651" s="9">
        <v>19.688099999999999</v>
      </c>
      <c r="R651" s="9"/>
      <c r="S651" s="11"/>
    </row>
    <row r="652" spans="1:19" ht="15.75">
      <c r="A652" s="13">
        <v>61759</v>
      </c>
      <c r="B652" s="8">
        <f>23.0469 * CHOOSE(CONTROL!$C$14, $D$10, 100%, $F$10)</f>
        <v>23.046900000000001</v>
      </c>
      <c r="C652" s="8">
        <f>23.052 * CHOOSE(CONTROL!$C$14, $D$10, 100%, $F$10)</f>
        <v>23.052</v>
      </c>
      <c r="D652" s="8">
        <f>23.0479 * CHOOSE( CONTROL!$C$14, $D$10, 100%, $F$10)</f>
        <v>23.047899999999998</v>
      </c>
      <c r="E652" s="12">
        <f>23.0489 * CHOOSE( CONTROL!$C$14, $D$10, 100%, $F$10)</f>
        <v>23.0489</v>
      </c>
      <c r="F652" s="4">
        <f>23.7254 * CHOOSE(CONTROL!$C$14, $D$10, 100%, $F$10)</f>
        <v>23.7254</v>
      </c>
      <c r="G652" s="8">
        <f>22.6624 * CHOOSE( CONTROL!$C$14, $D$10, 100%, $F$10)</f>
        <v>22.662400000000002</v>
      </c>
      <c r="H652" s="4">
        <f>23.5608 * CHOOSE(CONTROL!$C$14, $D$10, 100%, $F$10)</f>
        <v>23.5608</v>
      </c>
      <c r="I652" s="8">
        <f>22.37 * CHOOSE(CONTROL!$C$14, $D$10, 100%, $F$10)</f>
        <v>22.37</v>
      </c>
      <c r="J652" s="4">
        <f>22.2503 * CHOOSE(CONTROL!$C$14, $D$10, 100%, $F$10)</f>
        <v>22.250299999999999</v>
      </c>
      <c r="K652" s="4"/>
      <c r="L652" s="9">
        <v>29.306000000000001</v>
      </c>
      <c r="M652" s="9">
        <v>12.063700000000001</v>
      </c>
      <c r="N652" s="9">
        <v>4.9444999999999997</v>
      </c>
      <c r="O652" s="9">
        <v>0.37409999999999999</v>
      </c>
      <c r="P652" s="9">
        <v>1.2927</v>
      </c>
      <c r="Q652" s="9">
        <v>19.688099999999999</v>
      </c>
      <c r="R652" s="9"/>
      <c r="S652" s="11"/>
    </row>
    <row r="653" spans="1:19" ht="15.75">
      <c r="A653" s="13">
        <v>61787</v>
      </c>
      <c r="B653" s="8">
        <f>21.5589 * CHOOSE(CONTROL!$C$14, $D$10, 100%, $F$10)</f>
        <v>21.558900000000001</v>
      </c>
      <c r="C653" s="8">
        <f>21.5641 * CHOOSE(CONTROL!$C$14, $D$10, 100%, $F$10)</f>
        <v>21.5641</v>
      </c>
      <c r="D653" s="8">
        <f>21.5539 * CHOOSE( CONTROL!$C$14, $D$10, 100%, $F$10)</f>
        <v>21.553899999999999</v>
      </c>
      <c r="E653" s="12">
        <f>21.5571 * CHOOSE( CONTROL!$C$14, $D$10, 100%, $F$10)</f>
        <v>21.557099999999998</v>
      </c>
      <c r="F653" s="4">
        <f>22.2116 * CHOOSE(CONTROL!$C$14, $D$10, 100%, $F$10)</f>
        <v>22.211600000000001</v>
      </c>
      <c r="G653" s="8">
        <f>21.1909 * CHOOSE( CONTROL!$C$14, $D$10, 100%, $F$10)</f>
        <v>21.190899999999999</v>
      </c>
      <c r="H653" s="4">
        <f>22.072 * CHOOSE(CONTROL!$C$14, $D$10, 100%, $F$10)</f>
        <v>22.071999999999999</v>
      </c>
      <c r="I653" s="8">
        <f>20.9215 * CHOOSE(CONTROL!$C$14, $D$10, 100%, $F$10)</f>
        <v>20.921500000000002</v>
      </c>
      <c r="J653" s="4">
        <f>20.8119 * CHOOSE(CONTROL!$C$14, $D$10, 100%, $F$10)</f>
        <v>20.811900000000001</v>
      </c>
      <c r="K653" s="4"/>
      <c r="L653" s="9">
        <v>26.469899999999999</v>
      </c>
      <c r="M653" s="9">
        <v>10.8962</v>
      </c>
      <c r="N653" s="9">
        <v>4.4660000000000002</v>
      </c>
      <c r="O653" s="9">
        <v>0.33789999999999998</v>
      </c>
      <c r="P653" s="9">
        <v>1.1676</v>
      </c>
      <c r="Q653" s="9">
        <v>17.782800000000002</v>
      </c>
      <c r="R653" s="9"/>
      <c r="S653" s="11"/>
    </row>
    <row r="654" spans="1:19" ht="15.75">
      <c r="A654" s="13">
        <v>61818</v>
      </c>
      <c r="B654" s="8">
        <f>21.1006 * CHOOSE(CONTROL!$C$14, $D$10, 100%, $F$10)</f>
        <v>21.1006</v>
      </c>
      <c r="C654" s="8">
        <f>21.1058 * CHOOSE(CONTROL!$C$14, $D$10, 100%, $F$10)</f>
        <v>21.105799999999999</v>
      </c>
      <c r="D654" s="8">
        <f>21.0892 * CHOOSE( CONTROL!$C$14, $D$10, 100%, $F$10)</f>
        <v>21.089200000000002</v>
      </c>
      <c r="E654" s="12">
        <f>21.0947 * CHOOSE( CONTROL!$C$14, $D$10, 100%, $F$10)</f>
        <v>21.0947</v>
      </c>
      <c r="F654" s="4">
        <f>21.7533 * CHOOSE(CONTROL!$C$14, $D$10, 100%, $F$10)</f>
        <v>21.753299999999999</v>
      </c>
      <c r="G654" s="8">
        <f>20.732 * CHOOSE( CONTROL!$C$14, $D$10, 100%, $F$10)</f>
        <v>20.731999999999999</v>
      </c>
      <c r="H654" s="4">
        <f>21.6213 * CHOOSE(CONTROL!$C$14, $D$10, 100%, $F$10)</f>
        <v>21.621300000000002</v>
      </c>
      <c r="I654" s="8">
        <f>20.4581 * CHOOSE(CONTROL!$C$14, $D$10, 100%, $F$10)</f>
        <v>20.458100000000002</v>
      </c>
      <c r="J654" s="4">
        <f>20.3688 * CHOOSE(CONTROL!$C$14, $D$10, 100%, $F$10)</f>
        <v>20.3688</v>
      </c>
      <c r="K654" s="4"/>
      <c r="L654" s="9">
        <v>29.306000000000001</v>
      </c>
      <c r="M654" s="9">
        <v>12.063700000000001</v>
      </c>
      <c r="N654" s="9">
        <v>4.9444999999999997</v>
      </c>
      <c r="O654" s="9">
        <v>0.37409999999999999</v>
      </c>
      <c r="P654" s="9">
        <v>1.2927</v>
      </c>
      <c r="Q654" s="9">
        <v>19.688099999999999</v>
      </c>
      <c r="R654" s="9"/>
      <c r="S654" s="11"/>
    </row>
    <row r="655" spans="1:19" ht="15.75">
      <c r="A655" s="13">
        <v>61848</v>
      </c>
      <c r="B655" s="8">
        <f>21.4217 * CHOOSE(CONTROL!$C$14, $D$10, 100%, $F$10)</f>
        <v>21.421700000000001</v>
      </c>
      <c r="C655" s="8">
        <f>21.4262 * CHOOSE(CONTROL!$C$14, $D$10, 100%, $F$10)</f>
        <v>21.426200000000001</v>
      </c>
      <c r="D655" s="8">
        <f>21.4357 * CHOOSE( CONTROL!$C$14, $D$10, 100%, $F$10)</f>
        <v>21.435700000000001</v>
      </c>
      <c r="E655" s="12">
        <f>21.432 * CHOOSE( CONTROL!$C$14, $D$10, 100%, $F$10)</f>
        <v>21.431999999999999</v>
      </c>
      <c r="F655" s="4">
        <f>22.1046 * CHOOSE(CONTROL!$C$14, $D$10, 100%, $F$10)</f>
        <v>22.104600000000001</v>
      </c>
      <c r="G655" s="8">
        <f>21.0368 * CHOOSE( CONTROL!$C$14, $D$10, 100%, $F$10)</f>
        <v>21.036799999999999</v>
      </c>
      <c r="H655" s="4">
        <f>21.9668 * CHOOSE(CONTROL!$C$14, $D$10, 100%, $F$10)</f>
        <v>21.966799999999999</v>
      </c>
      <c r="I655" s="8">
        <f>20.7788 * CHOOSE(CONTROL!$C$14, $D$10, 100%, $F$10)</f>
        <v>20.7788</v>
      </c>
      <c r="J655" s="4">
        <f>20.6784 * CHOOSE(CONTROL!$C$14, $D$10, 100%, $F$10)</f>
        <v>20.6784</v>
      </c>
      <c r="K655" s="4"/>
      <c r="L655" s="9">
        <v>30.092199999999998</v>
      </c>
      <c r="M655" s="9">
        <v>11.6745</v>
      </c>
      <c r="N655" s="9">
        <v>4.7850000000000001</v>
      </c>
      <c r="O655" s="9">
        <v>0.36199999999999999</v>
      </c>
      <c r="P655" s="9">
        <v>1.1791</v>
      </c>
      <c r="Q655" s="9">
        <v>19.053000000000001</v>
      </c>
      <c r="R655" s="9"/>
      <c r="S655" s="11"/>
    </row>
    <row r="656" spans="1:19" ht="15.75">
      <c r="A656" s="13">
        <v>61879</v>
      </c>
      <c r="B656" s="8">
        <f>CHOOSE( CONTROL!$C$31, 21.9959, 21.993) * CHOOSE(CONTROL!$C$14, $D$10, 100%, $F$10)</f>
        <v>21.995899999999999</v>
      </c>
      <c r="C656" s="8">
        <f>CHOOSE( CONTROL!$C$31, 22.0039, 22.001) * CHOOSE(CONTROL!$C$14, $D$10, 100%, $F$10)</f>
        <v>22.003900000000002</v>
      </c>
      <c r="D656" s="8">
        <f>CHOOSE( CONTROL!$C$31, 22.0086, 22.0056) * CHOOSE( CONTROL!$C$14, $D$10, 100%, $F$10)</f>
        <v>22.008600000000001</v>
      </c>
      <c r="E656" s="12">
        <f>CHOOSE( CONTROL!$C$31, 22.0057, 22.0027) * CHOOSE( CONTROL!$C$14, $D$10, 100%, $F$10)</f>
        <v>22.005700000000001</v>
      </c>
      <c r="F656" s="4">
        <f>CHOOSE( CONTROL!$C$31, 22.6775, 22.6745) * CHOOSE(CONTROL!$C$14, $D$10, 100%, $F$10)</f>
        <v>22.677499999999998</v>
      </c>
      <c r="G656" s="8">
        <f>CHOOSE( CONTROL!$C$31, 21.6012, 21.5983) * CHOOSE( CONTROL!$C$14, $D$10, 100%, $F$10)</f>
        <v>21.601199999999999</v>
      </c>
      <c r="H656" s="4">
        <f>CHOOSE( CONTROL!$C$31, 22.5302, 22.5273) * CHOOSE(CONTROL!$C$14, $D$10, 100%, $F$10)</f>
        <v>22.530200000000001</v>
      </c>
      <c r="I656" s="8">
        <f>CHOOSE( CONTROL!$C$31, 21.334, 21.3312) * CHOOSE(CONTROL!$C$14, $D$10, 100%, $F$10)</f>
        <v>21.334</v>
      </c>
      <c r="J656" s="4">
        <f>CHOOSE( CONTROL!$C$31, 21.2322, 21.2294) * CHOOSE(CONTROL!$C$14, $D$10, 100%, $F$10)</f>
        <v>21.232199999999999</v>
      </c>
      <c r="K656" s="4"/>
      <c r="L656" s="9">
        <v>30.7165</v>
      </c>
      <c r="M656" s="9">
        <v>12.063700000000001</v>
      </c>
      <c r="N656" s="9">
        <v>4.9444999999999997</v>
      </c>
      <c r="O656" s="9">
        <v>0.37409999999999999</v>
      </c>
      <c r="P656" s="9">
        <v>1.2183999999999999</v>
      </c>
      <c r="Q656" s="9">
        <v>19.688099999999999</v>
      </c>
      <c r="R656" s="9"/>
      <c r="S656" s="11"/>
    </row>
    <row r="657" spans="1:19" ht="15.75">
      <c r="A657" s="13">
        <v>61909</v>
      </c>
      <c r="B657" s="8">
        <f>CHOOSE( CONTROL!$C$31, 21.6428, 21.6399) * CHOOSE(CONTROL!$C$14, $D$10, 100%, $F$10)</f>
        <v>21.642800000000001</v>
      </c>
      <c r="C657" s="8">
        <f>CHOOSE( CONTROL!$C$31, 21.6509, 21.6479) * CHOOSE(CONTROL!$C$14, $D$10, 100%, $F$10)</f>
        <v>21.6509</v>
      </c>
      <c r="D657" s="8">
        <f>CHOOSE( CONTROL!$C$31, 21.6557, 21.6528) * CHOOSE( CONTROL!$C$14, $D$10, 100%, $F$10)</f>
        <v>21.6557</v>
      </c>
      <c r="E657" s="12">
        <f>CHOOSE( CONTROL!$C$31, 21.6527, 21.6498) * CHOOSE( CONTROL!$C$14, $D$10, 100%, $F$10)</f>
        <v>21.652699999999999</v>
      </c>
      <c r="F657" s="4">
        <f>CHOOSE( CONTROL!$C$31, 22.3244, 22.3215) * CHOOSE(CONTROL!$C$14, $D$10, 100%, $F$10)</f>
        <v>22.324400000000001</v>
      </c>
      <c r="G657" s="8">
        <f>CHOOSE( CONTROL!$C$31, 21.2543, 21.2515) * CHOOSE( CONTROL!$C$14, $D$10, 100%, $F$10)</f>
        <v>21.254300000000001</v>
      </c>
      <c r="H657" s="4">
        <f>CHOOSE( CONTROL!$C$31, 22.183, 22.1801) * CHOOSE(CONTROL!$C$14, $D$10, 100%, $F$10)</f>
        <v>22.183</v>
      </c>
      <c r="I657" s="8">
        <f>CHOOSE( CONTROL!$C$31, 20.9937, 20.9909) * CHOOSE(CONTROL!$C$14, $D$10, 100%, $F$10)</f>
        <v>20.9937</v>
      </c>
      <c r="J657" s="4">
        <f>CHOOSE( CONTROL!$C$31, 20.8909, 20.8881) * CHOOSE(CONTROL!$C$14, $D$10, 100%, $F$10)</f>
        <v>20.890899999999998</v>
      </c>
      <c r="K657" s="4"/>
      <c r="L657" s="9">
        <v>29.7257</v>
      </c>
      <c r="M657" s="9">
        <v>11.6745</v>
      </c>
      <c r="N657" s="9">
        <v>4.7850000000000001</v>
      </c>
      <c r="O657" s="9">
        <v>0.36199999999999999</v>
      </c>
      <c r="P657" s="9">
        <v>1.1791</v>
      </c>
      <c r="Q657" s="9">
        <v>19.053000000000001</v>
      </c>
      <c r="R657" s="9"/>
      <c r="S657" s="11"/>
    </row>
    <row r="658" spans="1:19" ht="15.75">
      <c r="A658" s="13">
        <v>61940</v>
      </c>
      <c r="B658" s="8">
        <f>CHOOSE( CONTROL!$C$31, 22.5726, 22.5697) * CHOOSE(CONTROL!$C$14, $D$10, 100%, $F$10)</f>
        <v>22.572600000000001</v>
      </c>
      <c r="C658" s="8">
        <f>CHOOSE( CONTROL!$C$31, 22.5806, 22.5777) * CHOOSE(CONTROL!$C$14, $D$10, 100%, $F$10)</f>
        <v>22.5806</v>
      </c>
      <c r="D658" s="8">
        <f>CHOOSE( CONTROL!$C$31, 22.5858, 22.5828) * CHOOSE( CONTROL!$C$14, $D$10, 100%, $F$10)</f>
        <v>22.585799999999999</v>
      </c>
      <c r="E658" s="12">
        <f>CHOOSE( CONTROL!$C$31, 22.5827, 22.5797) * CHOOSE( CONTROL!$C$14, $D$10, 100%, $F$10)</f>
        <v>22.582699999999999</v>
      </c>
      <c r="F658" s="4">
        <f>CHOOSE( CONTROL!$C$31, 23.2542, 23.2512) * CHOOSE(CONTROL!$C$14, $D$10, 100%, $F$10)</f>
        <v>23.254200000000001</v>
      </c>
      <c r="G658" s="8">
        <f>CHOOSE( CONTROL!$C$31, 22.1691, 22.1662) * CHOOSE( CONTROL!$C$14, $D$10, 100%, $F$10)</f>
        <v>22.1691</v>
      </c>
      <c r="H658" s="4">
        <f>CHOOSE( CONTROL!$C$31, 23.0973, 23.0945) * CHOOSE(CONTROL!$C$14, $D$10, 100%, $F$10)</f>
        <v>23.097300000000001</v>
      </c>
      <c r="I658" s="8">
        <f>CHOOSE( CONTROL!$C$31, 21.8942, 21.8913) * CHOOSE(CONTROL!$C$14, $D$10, 100%, $F$10)</f>
        <v>21.894200000000001</v>
      </c>
      <c r="J658" s="4">
        <f>CHOOSE( CONTROL!$C$31, 21.7897, 21.7869) * CHOOSE(CONTROL!$C$14, $D$10, 100%, $F$10)</f>
        <v>21.7897</v>
      </c>
      <c r="K658" s="4"/>
      <c r="L658" s="9">
        <v>30.7165</v>
      </c>
      <c r="M658" s="9">
        <v>12.063700000000001</v>
      </c>
      <c r="N658" s="9">
        <v>4.9444999999999997</v>
      </c>
      <c r="O658" s="9">
        <v>0.37409999999999999</v>
      </c>
      <c r="P658" s="9">
        <v>1.2183999999999999</v>
      </c>
      <c r="Q658" s="9">
        <v>19.688099999999999</v>
      </c>
      <c r="R658" s="9"/>
      <c r="S658" s="11"/>
    </row>
    <row r="659" spans="1:19" ht="15.75">
      <c r="A659" s="13">
        <v>61971</v>
      </c>
      <c r="B659" s="8">
        <f>CHOOSE( CONTROL!$C$31, 20.8329, 20.83) * CHOOSE(CONTROL!$C$14, $D$10, 100%, $F$10)</f>
        <v>20.832899999999999</v>
      </c>
      <c r="C659" s="8">
        <f>CHOOSE( CONTROL!$C$31, 20.8409, 20.838) * CHOOSE(CONTROL!$C$14, $D$10, 100%, $F$10)</f>
        <v>20.840900000000001</v>
      </c>
      <c r="D659" s="8">
        <f>CHOOSE( CONTROL!$C$31, 20.8461, 20.8432) * CHOOSE( CONTROL!$C$14, $D$10, 100%, $F$10)</f>
        <v>20.8461</v>
      </c>
      <c r="E659" s="12">
        <f>CHOOSE( CONTROL!$C$31, 20.843, 20.8401) * CHOOSE( CONTROL!$C$14, $D$10, 100%, $F$10)</f>
        <v>20.843</v>
      </c>
      <c r="F659" s="4">
        <f>CHOOSE( CONTROL!$C$31, 21.5144, 21.5115) * CHOOSE(CONTROL!$C$14, $D$10, 100%, $F$10)</f>
        <v>21.514399999999998</v>
      </c>
      <c r="G659" s="8">
        <f>CHOOSE( CONTROL!$C$31, 20.4583, 20.4554) * CHOOSE( CONTROL!$C$14, $D$10, 100%, $F$10)</f>
        <v>20.458300000000001</v>
      </c>
      <c r="H659" s="4">
        <f>CHOOSE( CONTROL!$C$31, 21.3865, 21.3836) * CHOOSE(CONTROL!$C$14, $D$10, 100%, $F$10)</f>
        <v>21.386500000000002</v>
      </c>
      <c r="I659" s="8">
        <f>CHOOSE( CONTROL!$C$31, 20.2119, 20.2091) * CHOOSE(CONTROL!$C$14, $D$10, 100%, $F$10)</f>
        <v>20.2119</v>
      </c>
      <c r="J659" s="4">
        <f>CHOOSE( CONTROL!$C$31, 20.1079, 20.1051) * CHOOSE(CONTROL!$C$14, $D$10, 100%, $F$10)</f>
        <v>20.107900000000001</v>
      </c>
      <c r="K659" s="4"/>
      <c r="L659" s="9">
        <v>30.7165</v>
      </c>
      <c r="M659" s="9">
        <v>12.063700000000001</v>
      </c>
      <c r="N659" s="9">
        <v>4.9444999999999997</v>
      </c>
      <c r="O659" s="9">
        <v>0.37409999999999999</v>
      </c>
      <c r="P659" s="9">
        <v>1.2183999999999999</v>
      </c>
      <c r="Q659" s="9">
        <v>19.688099999999999</v>
      </c>
      <c r="R659" s="9"/>
      <c r="S659" s="11"/>
    </row>
    <row r="660" spans="1:19" ht="15.75">
      <c r="A660" s="13">
        <v>62001</v>
      </c>
      <c r="B660" s="8">
        <f>CHOOSE( CONTROL!$C$31, 20.3972, 20.3943) * CHOOSE(CONTROL!$C$14, $D$10, 100%, $F$10)</f>
        <v>20.397200000000002</v>
      </c>
      <c r="C660" s="8">
        <f>CHOOSE( CONTROL!$C$31, 20.4053, 20.4023) * CHOOSE(CONTROL!$C$14, $D$10, 100%, $F$10)</f>
        <v>20.4053</v>
      </c>
      <c r="D660" s="8">
        <f>CHOOSE( CONTROL!$C$31, 20.4105, 20.4075) * CHOOSE( CONTROL!$C$14, $D$10, 100%, $F$10)</f>
        <v>20.410499999999999</v>
      </c>
      <c r="E660" s="12">
        <f>CHOOSE( CONTROL!$C$31, 20.4074, 20.4044) * CHOOSE( CONTROL!$C$14, $D$10, 100%, $F$10)</f>
        <v>20.407399999999999</v>
      </c>
      <c r="F660" s="4">
        <f>CHOOSE( CONTROL!$C$31, 21.0788, 21.0759) * CHOOSE(CONTROL!$C$14, $D$10, 100%, $F$10)</f>
        <v>21.078800000000001</v>
      </c>
      <c r="G660" s="8">
        <f>CHOOSE( CONTROL!$C$31, 20.0299, 20.027) * CHOOSE( CONTROL!$C$14, $D$10, 100%, $F$10)</f>
        <v>20.029900000000001</v>
      </c>
      <c r="H660" s="4">
        <f>CHOOSE( CONTROL!$C$31, 20.958, 20.9552) * CHOOSE(CONTROL!$C$14, $D$10, 100%, $F$10)</f>
        <v>20.957999999999998</v>
      </c>
      <c r="I660" s="8">
        <f>CHOOSE( CONTROL!$C$31, 19.7905, 19.7877) * CHOOSE(CONTROL!$C$14, $D$10, 100%, $F$10)</f>
        <v>19.790500000000002</v>
      </c>
      <c r="J660" s="4">
        <f>CHOOSE( CONTROL!$C$31, 19.6868, 19.684) * CHOOSE(CONTROL!$C$14, $D$10, 100%, $F$10)</f>
        <v>19.686800000000002</v>
      </c>
      <c r="K660" s="4"/>
      <c r="L660" s="9">
        <v>29.7257</v>
      </c>
      <c r="M660" s="9">
        <v>11.6745</v>
      </c>
      <c r="N660" s="9">
        <v>4.7850000000000001</v>
      </c>
      <c r="O660" s="9">
        <v>0.36199999999999999</v>
      </c>
      <c r="P660" s="9">
        <v>1.1791</v>
      </c>
      <c r="Q660" s="9">
        <v>19.053000000000001</v>
      </c>
      <c r="R660" s="9"/>
      <c r="S660" s="11"/>
    </row>
    <row r="661" spans="1:19" ht="15.75">
      <c r="A661" s="13">
        <v>62032</v>
      </c>
      <c r="B661" s="8">
        <f>21.2972 * CHOOSE(CONTROL!$C$14, $D$10, 100%, $F$10)</f>
        <v>21.2972</v>
      </c>
      <c r="C661" s="8">
        <f>21.3025 * CHOOSE(CONTROL!$C$14, $D$10, 100%, $F$10)</f>
        <v>21.302499999999998</v>
      </c>
      <c r="D661" s="8">
        <f>21.3125 * CHOOSE( CONTROL!$C$14, $D$10, 100%, $F$10)</f>
        <v>21.3125</v>
      </c>
      <c r="E661" s="12">
        <f>21.3086 * CHOOSE( CONTROL!$C$14, $D$10, 100%, $F$10)</f>
        <v>21.308599999999998</v>
      </c>
      <c r="F661" s="4">
        <f>21.9804 * CHOOSE(CONTROL!$C$14, $D$10, 100%, $F$10)</f>
        <v>21.980399999999999</v>
      </c>
      <c r="G661" s="8">
        <f>20.9162 * CHOOSE( CONTROL!$C$14, $D$10, 100%, $F$10)</f>
        <v>20.9162</v>
      </c>
      <c r="H661" s="4">
        <f>21.8447 * CHOOSE(CONTROL!$C$14, $D$10, 100%, $F$10)</f>
        <v>21.8447</v>
      </c>
      <c r="I661" s="8">
        <f>20.6634 * CHOOSE(CONTROL!$C$14, $D$10, 100%, $F$10)</f>
        <v>20.663399999999999</v>
      </c>
      <c r="J661" s="4">
        <f>20.5584 * CHOOSE(CONTROL!$C$14, $D$10, 100%, $F$10)</f>
        <v>20.558399999999999</v>
      </c>
      <c r="K661" s="4"/>
      <c r="L661" s="9">
        <v>31.095300000000002</v>
      </c>
      <c r="M661" s="9">
        <v>12.063700000000001</v>
      </c>
      <c r="N661" s="9">
        <v>4.9444999999999997</v>
      </c>
      <c r="O661" s="9">
        <v>0.37409999999999999</v>
      </c>
      <c r="P661" s="9">
        <v>1.2183999999999999</v>
      </c>
      <c r="Q661" s="9">
        <v>19.688099999999999</v>
      </c>
      <c r="R661" s="9"/>
      <c r="S661" s="11"/>
    </row>
    <row r="662" spans="1:19" ht="15.75">
      <c r="A662" s="13">
        <v>62062</v>
      </c>
      <c r="B662" s="8">
        <f>22.9664 * CHOOSE(CONTROL!$C$14, $D$10, 100%, $F$10)</f>
        <v>22.9664</v>
      </c>
      <c r="C662" s="8">
        <f>22.9715 * CHOOSE(CONTROL!$C$14, $D$10, 100%, $F$10)</f>
        <v>22.971499999999999</v>
      </c>
      <c r="D662" s="8">
        <f>22.9477 * CHOOSE( CONTROL!$C$14, $D$10, 100%, $F$10)</f>
        <v>22.947700000000001</v>
      </c>
      <c r="E662" s="12">
        <f>22.9559 * CHOOSE( CONTROL!$C$14, $D$10, 100%, $F$10)</f>
        <v>22.9559</v>
      </c>
      <c r="F662" s="4">
        <f>23.6138 * CHOOSE(CONTROL!$C$14, $D$10, 100%, $F$10)</f>
        <v>23.613800000000001</v>
      </c>
      <c r="G662" s="8">
        <f>22.5679 * CHOOSE( CONTROL!$C$14, $D$10, 100%, $F$10)</f>
        <v>22.567900000000002</v>
      </c>
      <c r="H662" s="4">
        <f>23.451 * CHOOSE(CONTROL!$C$14, $D$10, 100%, $F$10)</f>
        <v>23.451000000000001</v>
      </c>
      <c r="I662" s="8">
        <f>22.3087 * CHOOSE(CONTROL!$C$14, $D$10, 100%, $F$10)</f>
        <v>22.308700000000002</v>
      </c>
      <c r="J662" s="4">
        <f>22.1724 * CHOOSE(CONTROL!$C$14, $D$10, 100%, $F$10)</f>
        <v>22.1724</v>
      </c>
      <c r="K662" s="4"/>
      <c r="L662" s="9">
        <v>28.360600000000002</v>
      </c>
      <c r="M662" s="9">
        <v>11.6745</v>
      </c>
      <c r="N662" s="9">
        <v>4.7850000000000001</v>
      </c>
      <c r="O662" s="9">
        <v>0.36199999999999999</v>
      </c>
      <c r="P662" s="9">
        <v>1.2509999999999999</v>
      </c>
      <c r="Q662" s="9">
        <v>19.053000000000001</v>
      </c>
      <c r="R662" s="9"/>
      <c r="S662" s="11"/>
    </row>
    <row r="663" spans="1:19" ht="15.75">
      <c r="A663" s="13">
        <v>62093</v>
      </c>
      <c r="B663" s="8">
        <f>22.9247 * CHOOSE(CONTROL!$C$14, $D$10, 100%, $F$10)</f>
        <v>22.924700000000001</v>
      </c>
      <c r="C663" s="8">
        <f>22.9298 * CHOOSE(CONTROL!$C$14, $D$10, 100%, $F$10)</f>
        <v>22.9298</v>
      </c>
      <c r="D663" s="8">
        <f>22.9073 * CHOOSE( CONTROL!$C$14, $D$10, 100%, $F$10)</f>
        <v>22.907299999999999</v>
      </c>
      <c r="E663" s="12">
        <f>22.915 * CHOOSE( CONTROL!$C$14, $D$10, 100%, $F$10)</f>
        <v>22.914999999999999</v>
      </c>
      <c r="F663" s="4">
        <f>23.5721 * CHOOSE(CONTROL!$C$14, $D$10, 100%, $F$10)</f>
        <v>23.572099999999999</v>
      </c>
      <c r="G663" s="8">
        <f>22.5279 * CHOOSE( CONTROL!$C$14, $D$10, 100%, $F$10)</f>
        <v>22.527899999999999</v>
      </c>
      <c r="H663" s="4">
        <f>23.41 * CHOOSE(CONTROL!$C$14, $D$10, 100%, $F$10)</f>
        <v>23.41</v>
      </c>
      <c r="I663" s="8">
        <f>22.2727 * CHOOSE(CONTROL!$C$14, $D$10, 100%, $F$10)</f>
        <v>22.2727</v>
      </c>
      <c r="J663" s="4">
        <f>22.1321 * CHOOSE(CONTROL!$C$14, $D$10, 100%, $F$10)</f>
        <v>22.132100000000001</v>
      </c>
      <c r="K663" s="4"/>
      <c r="L663" s="9">
        <v>29.306000000000001</v>
      </c>
      <c r="M663" s="9">
        <v>12.063700000000001</v>
      </c>
      <c r="N663" s="9">
        <v>4.9444999999999997</v>
      </c>
      <c r="O663" s="9">
        <v>0.37409999999999999</v>
      </c>
      <c r="P663" s="9">
        <v>1.2927</v>
      </c>
      <c r="Q663" s="9">
        <v>19.688099999999999</v>
      </c>
      <c r="R663" s="9"/>
      <c r="S663" s="11"/>
    </row>
    <row r="664" spans="1:19" ht="15.75">
      <c r="A664" s="13">
        <v>62124</v>
      </c>
      <c r="B664" s="8">
        <f>23.7997 * CHOOSE(CONTROL!$C$14, $D$10, 100%, $F$10)</f>
        <v>23.799700000000001</v>
      </c>
      <c r="C664" s="8">
        <f>23.8048 * CHOOSE(CONTROL!$C$14, $D$10, 100%, $F$10)</f>
        <v>23.8048</v>
      </c>
      <c r="D664" s="8">
        <f>23.8006 * CHOOSE( CONTROL!$C$14, $D$10, 100%, $F$10)</f>
        <v>23.800599999999999</v>
      </c>
      <c r="E664" s="12">
        <f>23.8016 * CHOOSE( CONTROL!$C$14, $D$10, 100%, $F$10)</f>
        <v>23.801600000000001</v>
      </c>
      <c r="F664" s="4">
        <f>24.4782 * CHOOSE(CONTROL!$C$14, $D$10, 100%, $F$10)</f>
        <v>24.478200000000001</v>
      </c>
      <c r="G664" s="8">
        <f>23.4026 * CHOOSE( CONTROL!$C$14, $D$10, 100%, $F$10)</f>
        <v>23.4026</v>
      </c>
      <c r="H664" s="4">
        <f>24.301 * CHOOSE(CONTROL!$C$14, $D$10, 100%, $F$10)</f>
        <v>24.300999999999998</v>
      </c>
      <c r="I664" s="8">
        <f>23.098 * CHOOSE(CONTROL!$C$14, $D$10, 100%, $F$10)</f>
        <v>23.097999999999999</v>
      </c>
      <c r="J664" s="4">
        <f>22.978 * CHOOSE(CONTROL!$C$14, $D$10, 100%, $F$10)</f>
        <v>22.978000000000002</v>
      </c>
      <c r="K664" s="4"/>
      <c r="L664" s="9">
        <v>29.306000000000001</v>
      </c>
      <c r="M664" s="9">
        <v>12.063700000000001</v>
      </c>
      <c r="N664" s="9">
        <v>4.9444999999999997</v>
      </c>
      <c r="O664" s="9">
        <v>0.37409999999999999</v>
      </c>
      <c r="P664" s="9">
        <v>1.2927</v>
      </c>
      <c r="Q664" s="9">
        <v>19.688099999999999</v>
      </c>
      <c r="R664" s="9"/>
      <c r="S664" s="11"/>
    </row>
    <row r="665" spans="1:19" ht="15.75">
      <c r="A665" s="13">
        <v>62152</v>
      </c>
      <c r="B665" s="8">
        <f>22.263 * CHOOSE(CONTROL!$C$14, $D$10, 100%, $F$10)</f>
        <v>22.263000000000002</v>
      </c>
      <c r="C665" s="8">
        <f>22.2681 * CHOOSE(CONTROL!$C$14, $D$10, 100%, $F$10)</f>
        <v>22.2681</v>
      </c>
      <c r="D665" s="8">
        <f>22.258 * CHOOSE( CONTROL!$C$14, $D$10, 100%, $F$10)</f>
        <v>22.257999999999999</v>
      </c>
      <c r="E665" s="12">
        <f>22.2611 * CHOOSE( CONTROL!$C$14, $D$10, 100%, $F$10)</f>
        <v>22.261099999999999</v>
      </c>
      <c r="F665" s="4">
        <f>22.9157 * CHOOSE(CONTROL!$C$14, $D$10, 100%, $F$10)</f>
        <v>22.915700000000001</v>
      </c>
      <c r="G665" s="8">
        <f>21.8833 * CHOOSE( CONTROL!$C$14, $D$10, 100%, $F$10)</f>
        <v>21.883299999999998</v>
      </c>
      <c r="H665" s="4">
        <f>22.7644 * CHOOSE(CONTROL!$C$14, $D$10, 100%, $F$10)</f>
        <v>22.764399999999998</v>
      </c>
      <c r="I665" s="8">
        <f>21.6025 * CHOOSE(CONTROL!$C$14, $D$10, 100%, $F$10)</f>
        <v>21.602499999999999</v>
      </c>
      <c r="J665" s="4">
        <f>21.4925 * CHOOSE(CONTROL!$C$14, $D$10, 100%, $F$10)</f>
        <v>21.4925</v>
      </c>
      <c r="K665" s="4"/>
      <c r="L665" s="9">
        <v>26.469899999999999</v>
      </c>
      <c r="M665" s="9">
        <v>10.8962</v>
      </c>
      <c r="N665" s="9">
        <v>4.4660000000000002</v>
      </c>
      <c r="O665" s="9">
        <v>0.33789999999999998</v>
      </c>
      <c r="P665" s="9">
        <v>1.1676</v>
      </c>
      <c r="Q665" s="9">
        <v>17.782800000000002</v>
      </c>
      <c r="R665" s="9"/>
      <c r="S665" s="11"/>
    </row>
    <row r="666" spans="1:19" ht="15.75">
      <c r="A666" s="13">
        <v>62183</v>
      </c>
      <c r="B666" s="8">
        <f>21.7897 * CHOOSE(CONTROL!$C$14, $D$10, 100%, $F$10)</f>
        <v>21.7897</v>
      </c>
      <c r="C666" s="8">
        <f>21.7948 * CHOOSE(CONTROL!$C$14, $D$10, 100%, $F$10)</f>
        <v>21.794799999999999</v>
      </c>
      <c r="D666" s="8">
        <f>21.7782 * CHOOSE( CONTROL!$C$14, $D$10, 100%, $F$10)</f>
        <v>21.778199999999998</v>
      </c>
      <c r="E666" s="12">
        <f>21.7837 * CHOOSE( CONTROL!$C$14, $D$10, 100%, $F$10)</f>
        <v>21.7837</v>
      </c>
      <c r="F666" s="4">
        <f>22.4424 * CHOOSE(CONTROL!$C$14, $D$10, 100%, $F$10)</f>
        <v>22.442399999999999</v>
      </c>
      <c r="G666" s="8">
        <f>21.4097 * CHOOSE( CONTROL!$C$14, $D$10, 100%, $F$10)</f>
        <v>21.409700000000001</v>
      </c>
      <c r="H666" s="4">
        <f>22.299 * CHOOSE(CONTROL!$C$14, $D$10, 100%, $F$10)</f>
        <v>22.298999999999999</v>
      </c>
      <c r="I666" s="8">
        <f>21.1246 * CHOOSE(CONTROL!$C$14, $D$10, 100%, $F$10)</f>
        <v>21.124600000000001</v>
      </c>
      <c r="J666" s="4">
        <f>21.035 * CHOOSE(CONTROL!$C$14, $D$10, 100%, $F$10)</f>
        <v>21.035</v>
      </c>
      <c r="K666" s="4"/>
      <c r="L666" s="9">
        <v>29.306000000000001</v>
      </c>
      <c r="M666" s="9">
        <v>12.063700000000001</v>
      </c>
      <c r="N666" s="9">
        <v>4.9444999999999997</v>
      </c>
      <c r="O666" s="9">
        <v>0.37409999999999999</v>
      </c>
      <c r="P666" s="9">
        <v>1.2927</v>
      </c>
      <c r="Q666" s="9">
        <v>19.688099999999999</v>
      </c>
      <c r="R666" s="9"/>
      <c r="S666" s="11"/>
    </row>
    <row r="667" spans="1:19" ht="15.75">
      <c r="A667" s="13">
        <v>62213</v>
      </c>
      <c r="B667" s="8">
        <f>22.1212 * CHOOSE(CONTROL!$C$14, $D$10, 100%, $F$10)</f>
        <v>22.121200000000002</v>
      </c>
      <c r="C667" s="8">
        <f>22.1258 * CHOOSE(CONTROL!$C$14, $D$10, 100%, $F$10)</f>
        <v>22.125800000000002</v>
      </c>
      <c r="D667" s="8">
        <f>22.1353 * CHOOSE( CONTROL!$C$14, $D$10, 100%, $F$10)</f>
        <v>22.135300000000001</v>
      </c>
      <c r="E667" s="12">
        <f>22.1316 * CHOOSE( CONTROL!$C$14, $D$10, 100%, $F$10)</f>
        <v>22.131599999999999</v>
      </c>
      <c r="F667" s="4">
        <f>22.8041 * CHOOSE(CONTROL!$C$14, $D$10, 100%, $F$10)</f>
        <v>22.804099999999998</v>
      </c>
      <c r="G667" s="8">
        <f>21.7248 * CHOOSE( CONTROL!$C$14, $D$10, 100%, $F$10)</f>
        <v>21.724799999999998</v>
      </c>
      <c r="H667" s="4">
        <f>22.6548 * CHOOSE(CONTROL!$C$14, $D$10, 100%, $F$10)</f>
        <v>22.654800000000002</v>
      </c>
      <c r="I667" s="8">
        <f>21.4554 * CHOOSE(CONTROL!$C$14, $D$10, 100%, $F$10)</f>
        <v>21.455400000000001</v>
      </c>
      <c r="J667" s="4">
        <f>21.3547 * CHOOSE(CONTROL!$C$14, $D$10, 100%, $F$10)</f>
        <v>21.354700000000001</v>
      </c>
      <c r="K667" s="4"/>
      <c r="L667" s="9">
        <v>30.092199999999998</v>
      </c>
      <c r="M667" s="9">
        <v>11.6745</v>
      </c>
      <c r="N667" s="9">
        <v>4.7850000000000001</v>
      </c>
      <c r="O667" s="9">
        <v>0.36199999999999999</v>
      </c>
      <c r="P667" s="9">
        <v>1.1791</v>
      </c>
      <c r="Q667" s="9">
        <v>19.053000000000001</v>
      </c>
      <c r="R667" s="9"/>
      <c r="S667" s="11"/>
    </row>
    <row r="668" spans="1:19" ht="15.75">
      <c r="A668" s="13">
        <v>62244</v>
      </c>
      <c r="B668" s="8">
        <f>CHOOSE( CONTROL!$C$31, 22.7141, 22.7112) * CHOOSE(CONTROL!$C$14, $D$10, 100%, $F$10)</f>
        <v>22.714099999999998</v>
      </c>
      <c r="C668" s="8">
        <f>CHOOSE( CONTROL!$C$31, 22.7221, 22.7192) * CHOOSE(CONTROL!$C$14, $D$10, 100%, $F$10)</f>
        <v>22.722100000000001</v>
      </c>
      <c r="D668" s="8">
        <f>CHOOSE( CONTROL!$C$31, 22.7267, 22.7238) * CHOOSE( CONTROL!$C$14, $D$10, 100%, $F$10)</f>
        <v>22.726700000000001</v>
      </c>
      <c r="E668" s="12">
        <f>CHOOSE( CONTROL!$C$31, 22.7238, 22.7209) * CHOOSE( CONTROL!$C$14, $D$10, 100%, $F$10)</f>
        <v>22.723800000000001</v>
      </c>
      <c r="F668" s="4">
        <f>CHOOSE( CONTROL!$C$31, 23.3957, 23.3927) * CHOOSE(CONTROL!$C$14, $D$10, 100%, $F$10)</f>
        <v>23.395700000000001</v>
      </c>
      <c r="G668" s="8">
        <f>CHOOSE( CONTROL!$C$31, 22.3075, 22.3046) * CHOOSE( CONTROL!$C$14, $D$10, 100%, $F$10)</f>
        <v>22.307500000000001</v>
      </c>
      <c r="H668" s="4">
        <f>CHOOSE( CONTROL!$C$31, 23.2365, 23.2336) * CHOOSE(CONTROL!$C$14, $D$10, 100%, $F$10)</f>
        <v>23.236499999999999</v>
      </c>
      <c r="I668" s="8">
        <f>CHOOSE( CONTROL!$C$31, 22.0286, 22.0258) * CHOOSE(CONTROL!$C$14, $D$10, 100%, $F$10)</f>
        <v>22.028600000000001</v>
      </c>
      <c r="J668" s="4">
        <f>CHOOSE( CONTROL!$C$31, 21.9265, 21.9237) * CHOOSE(CONTROL!$C$14, $D$10, 100%, $F$10)</f>
        <v>21.926500000000001</v>
      </c>
      <c r="K668" s="4"/>
      <c r="L668" s="9">
        <v>30.7165</v>
      </c>
      <c r="M668" s="9">
        <v>12.063700000000001</v>
      </c>
      <c r="N668" s="9">
        <v>4.9444999999999997</v>
      </c>
      <c r="O668" s="9">
        <v>0.37409999999999999</v>
      </c>
      <c r="P668" s="9">
        <v>1.2183999999999999</v>
      </c>
      <c r="Q668" s="9">
        <v>19.688099999999999</v>
      </c>
      <c r="R668" s="9"/>
      <c r="S668" s="11"/>
    </row>
    <row r="669" spans="1:19" ht="15.75">
      <c r="A669" s="13">
        <v>62274</v>
      </c>
      <c r="B669" s="8">
        <f>CHOOSE( CONTROL!$C$31, 22.3495, 22.3466) * CHOOSE(CONTROL!$C$14, $D$10, 100%, $F$10)</f>
        <v>22.349499999999999</v>
      </c>
      <c r="C669" s="8">
        <f>CHOOSE( CONTROL!$C$31, 22.3575, 22.3546) * CHOOSE(CONTROL!$C$14, $D$10, 100%, $F$10)</f>
        <v>22.357500000000002</v>
      </c>
      <c r="D669" s="8">
        <f>CHOOSE( CONTROL!$C$31, 22.3624, 22.3595) * CHOOSE( CONTROL!$C$14, $D$10, 100%, $F$10)</f>
        <v>22.362400000000001</v>
      </c>
      <c r="E669" s="12">
        <f>CHOOSE( CONTROL!$C$31, 22.3594, 22.3565) * CHOOSE( CONTROL!$C$14, $D$10, 100%, $F$10)</f>
        <v>22.359400000000001</v>
      </c>
      <c r="F669" s="4">
        <f>CHOOSE( CONTROL!$C$31, 23.031, 23.0281) * CHOOSE(CONTROL!$C$14, $D$10, 100%, $F$10)</f>
        <v>23.030999999999999</v>
      </c>
      <c r="G669" s="8">
        <f>CHOOSE( CONTROL!$C$31, 21.9493, 21.9464) * CHOOSE( CONTROL!$C$14, $D$10, 100%, $F$10)</f>
        <v>21.949300000000001</v>
      </c>
      <c r="H669" s="4">
        <f>CHOOSE( CONTROL!$C$31, 22.8779, 22.875) * CHOOSE(CONTROL!$C$14, $D$10, 100%, $F$10)</f>
        <v>22.8779</v>
      </c>
      <c r="I669" s="8">
        <f>CHOOSE( CONTROL!$C$31, 21.6772, 21.6744) * CHOOSE(CONTROL!$C$14, $D$10, 100%, $F$10)</f>
        <v>21.677199999999999</v>
      </c>
      <c r="J669" s="4">
        <f>CHOOSE( CONTROL!$C$31, 21.574, 21.5712) * CHOOSE(CONTROL!$C$14, $D$10, 100%, $F$10)</f>
        <v>21.574000000000002</v>
      </c>
      <c r="K669" s="4"/>
      <c r="L669" s="9">
        <v>29.7257</v>
      </c>
      <c r="M669" s="9">
        <v>11.6745</v>
      </c>
      <c r="N669" s="9">
        <v>4.7850000000000001</v>
      </c>
      <c r="O669" s="9">
        <v>0.36199999999999999</v>
      </c>
      <c r="P669" s="9">
        <v>1.1791</v>
      </c>
      <c r="Q669" s="9">
        <v>19.053000000000001</v>
      </c>
      <c r="R669" s="9"/>
      <c r="S669" s="11"/>
    </row>
    <row r="670" spans="1:19" ht="15.75">
      <c r="A670" s="13">
        <v>62305</v>
      </c>
      <c r="B670" s="8">
        <f>CHOOSE( CONTROL!$C$31, 23.3097, 23.3067) * CHOOSE(CONTROL!$C$14, $D$10, 100%, $F$10)</f>
        <v>23.309699999999999</v>
      </c>
      <c r="C670" s="8">
        <f>CHOOSE( CONTROL!$C$31, 23.3177, 23.3148) * CHOOSE(CONTROL!$C$14, $D$10, 100%, $F$10)</f>
        <v>23.317699999999999</v>
      </c>
      <c r="D670" s="8">
        <f>CHOOSE( CONTROL!$C$31, 23.3228, 23.3199) * CHOOSE( CONTROL!$C$14, $D$10, 100%, $F$10)</f>
        <v>23.322800000000001</v>
      </c>
      <c r="E670" s="12">
        <f>CHOOSE( CONTROL!$C$31, 23.3197, 23.3168) * CHOOSE( CONTROL!$C$14, $D$10, 100%, $F$10)</f>
        <v>23.319700000000001</v>
      </c>
      <c r="F670" s="4">
        <f>CHOOSE( CONTROL!$C$31, 23.9912, 23.9883) * CHOOSE(CONTROL!$C$14, $D$10, 100%, $F$10)</f>
        <v>23.991199999999999</v>
      </c>
      <c r="G670" s="8">
        <f>CHOOSE( CONTROL!$C$31, 22.8939, 22.891) * CHOOSE( CONTROL!$C$14, $D$10, 100%, $F$10)</f>
        <v>22.893899999999999</v>
      </c>
      <c r="H670" s="4">
        <f>CHOOSE( CONTROL!$C$31, 23.8222, 23.8193) * CHOOSE(CONTROL!$C$14, $D$10, 100%, $F$10)</f>
        <v>23.822199999999999</v>
      </c>
      <c r="I670" s="8">
        <f>CHOOSE( CONTROL!$C$31, 22.607, 22.6042) * CHOOSE(CONTROL!$C$14, $D$10, 100%, $F$10)</f>
        <v>22.606999999999999</v>
      </c>
      <c r="J670" s="4">
        <f>CHOOSE( CONTROL!$C$31, 22.5022, 22.4994) * CHOOSE(CONTROL!$C$14, $D$10, 100%, $F$10)</f>
        <v>22.502199999999998</v>
      </c>
      <c r="K670" s="4"/>
      <c r="L670" s="9">
        <v>30.7165</v>
      </c>
      <c r="M670" s="9">
        <v>12.063700000000001</v>
      </c>
      <c r="N670" s="9">
        <v>4.9444999999999997</v>
      </c>
      <c r="O670" s="9">
        <v>0.37409999999999999</v>
      </c>
      <c r="P670" s="9">
        <v>1.2183999999999999</v>
      </c>
      <c r="Q670" s="9">
        <v>19.688099999999999</v>
      </c>
      <c r="R670" s="9"/>
      <c r="S670" s="11"/>
    </row>
    <row r="671" spans="1:19" ht="15.75">
      <c r="A671" s="13">
        <v>62336</v>
      </c>
      <c r="B671" s="8">
        <f>CHOOSE( CONTROL!$C$31, 21.5131, 21.5101) * CHOOSE(CONTROL!$C$14, $D$10, 100%, $F$10)</f>
        <v>21.513100000000001</v>
      </c>
      <c r="C671" s="8">
        <f>CHOOSE( CONTROL!$C$31, 21.5211, 21.5181) * CHOOSE(CONTROL!$C$14, $D$10, 100%, $F$10)</f>
        <v>21.521100000000001</v>
      </c>
      <c r="D671" s="8">
        <f>CHOOSE( CONTROL!$C$31, 21.5263, 21.5234) * CHOOSE( CONTROL!$C$14, $D$10, 100%, $F$10)</f>
        <v>21.526299999999999</v>
      </c>
      <c r="E671" s="12">
        <f>CHOOSE( CONTROL!$C$31, 21.5232, 21.5203) * CHOOSE( CONTROL!$C$14, $D$10, 100%, $F$10)</f>
        <v>21.523199999999999</v>
      </c>
      <c r="F671" s="4">
        <f>CHOOSE( CONTROL!$C$31, 22.1946, 22.1917) * CHOOSE(CONTROL!$C$14, $D$10, 100%, $F$10)</f>
        <v>22.194600000000001</v>
      </c>
      <c r="G671" s="8">
        <f>CHOOSE( CONTROL!$C$31, 21.1272, 21.1243) * CHOOSE( CONTROL!$C$14, $D$10, 100%, $F$10)</f>
        <v>21.127199999999998</v>
      </c>
      <c r="H671" s="4">
        <f>CHOOSE( CONTROL!$C$31, 22.0553, 22.0525) * CHOOSE(CONTROL!$C$14, $D$10, 100%, $F$10)</f>
        <v>22.055299999999999</v>
      </c>
      <c r="I671" s="8">
        <f>CHOOSE( CONTROL!$C$31, 20.8698, 20.8669) * CHOOSE(CONTROL!$C$14, $D$10, 100%, $F$10)</f>
        <v>20.869800000000001</v>
      </c>
      <c r="J671" s="4">
        <f>CHOOSE( CONTROL!$C$31, 20.7654, 20.7626) * CHOOSE(CONTROL!$C$14, $D$10, 100%, $F$10)</f>
        <v>20.7654</v>
      </c>
      <c r="K671" s="4"/>
      <c r="L671" s="9">
        <v>30.7165</v>
      </c>
      <c r="M671" s="9">
        <v>12.063700000000001</v>
      </c>
      <c r="N671" s="9">
        <v>4.9444999999999997</v>
      </c>
      <c r="O671" s="9">
        <v>0.37409999999999999</v>
      </c>
      <c r="P671" s="9">
        <v>1.2183999999999999</v>
      </c>
      <c r="Q671" s="9">
        <v>19.688099999999999</v>
      </c>
      <c r="R671" s="9"/>
      <c r="S671" s="11"/>
    </row>
    <row r="672" spans="1:19" ht="15.75">
      <c r="A672" s="13">
        <v>62366</v>
      </c>
      <c r="B672" s="8">
        <f>CHOOSE( CONTROL!$C$31, 21.0632, 21.0602) * CHOOSE(CONTROL!$C$14, $D$10, 100%, $F$10)</f>
        <v>21.063199999999998</v>
      </c>
      <c r="C672" s="8">
        <f>CHOOSE( CONTROL!$C$31, 21.0712, 21.0683) * CHOOSE(CONTROL!$C$14, $D$10, 100%, $F$10)</f>
        <v>21.071200000000001</v>
      </c>
      <c r="D672" s="8">
        <f>CHOOSE( CONTROL!$C$31, 21.0764, 21.0734) * CHOOSE( CONTROL!$C$14, $D$10, 100%, $F$10)</f>
        <v>21.0764</v>
      </c>
      <c r="E672" s="12">
        <f>CHOOSE( CONTROL!$C$31, 21.0733, 21.0703) * CHOOSE( CONTROL!$C$14, $D$10, 100%, $F$10)</f>
        <v>21.0733</v>
      </c>
      <c r="F672" s="4">
        <f>CHOOSE( CONTROL!$C$31, 21.7447, 21.7418) * CHOOSE(CONTROL!$C$14, $D$10, 100%, $F$10)</f>
        <v>21.744700000000002</v>
      </c>
      <c r="G672" s="8">
        <f>CHOOSE( CONTROL!$C$31, 20.6847, 20.6819) * CHOOSE( CONTROL!$C$14, $D$10, 100%, $F$10)</f>
        <v>20.684699999999999</v>
      </c>
      <c r="H672" s="4">
        <f>CHOOSE( CONTROL!$C$31, 21.6129, 21.61) * CHOOSE(CONTROL!$C$14, $D$10, 100%, $F$10)</f>
        <v>21.6129</v>
      </c>
      <c r="I672" s="8">
        <f>CHOOSE( CONTROL!$C$31, 20.4346, 20.4318) * CHOOSE(CONTROL!$C$14, $D$10, 100%, $F$10)</f>
        <v>20.4346</v>
      </c>
      <c r="J672" s="4">
        <f>CHOOSE( CONTROL!$C$31, 20.3305, 20.3277) * CHOOSE(CONTROL!$C$14, $D$10, 100%, $F$10)</f>
        <v>20.330500000000001</v>
      </c>
      <c r="K672" s="4"/>
      <c r="L672" s="9">
        <v>29.7257</v>
      </c>
      <c r="M672" s="9">
        <v>11.6745</v>
      </c>
      <c r="N672" s="9">
        <v>4.7850000000000001</v>
      </c>
      <c r="O672" s="9">
        <v>0.36199999999999999</v>
      </c>
      <c r="P672" s="9">
        <v>1.1791</v>
      </c>
      <c r="Q672" s="9">
        <v>19.053000000000001</v>
      </c>
      <c r="R672" s="9"/>
      <c r="S672" s="11"/>
    </row>
    <row r="673" spans="1:19" ht="15.75">
      <c r="A673" s="13">
        <v>62397</v>
      </c>
      <c r="B673" s="8">
        <f>21.9926 * CHOOSE(CONTROL!$C$14, $D$10, 100%, $F$10)</f>
        <v>21.992599999999999</v>
      </c>
      <c r="C673" s="8">
        <f>21.998 * CHOOSE(CONTROL!$C$14, $D$10, 100%, $F$10)</f>
        <v>21.998000000000001</v>
      </c>
      <c r="D673" s="8">
        <f>22.008 * CHOOSE( CONTROL!$C$14, $D$10, 100%, $F$10)</f>
        <v>22.007999999999999</v>
      </c>
      <c r="E673" s="12">
        <f>22.0041 * CHOOSE( CONTROL!$C$14, $D$10, 100%, $F$10)</f>
        <v>22.004100000000001</v>
      </c>
      <c r="F673" s="4">
        <f>22.6759 * CHOOSE(CONTROL!$C$14, $D$10, 100%, $F$10)</f>
        <v>22.675899999999999</v>
      </c>
      <c r="G673" s="8">
        <f>21.6002 * CHOOSE( CONTROL!$C$14, $D$10, 100%, $F$10)</f>
        <v>21.600200000000001</v>
      </c>
      <c r="H673" s="4">
        <f>22.5287 * CHOOSE(CONTROL!$C$14, $D$10, 100%, $F$10)</f>
        <v>22.528700000000001</v>
      </c>
      <c r="I673" s="8">
        <f>21.336 * CHOOSE(CONTROL!$C$14, $D$10, 100%, $F$10)</f>
        <v>21.335999999999999</v>
      </c>
      <c r="J673" s="4">
        <f>21.2307 * CHOOSE(CONTROL!$C$14, $D$10, 100%, $F$10)</f>
        <v>21.230699999999999</v>
      </c>
      <c r="K673" s="4"/>
      <c r="L673" s="9">
        <v>31.095300000000002</v>
      </c>
      <c r="M673" s="9">
        <v>12.063700000000001</v>
      </c>
      <c r="N673" s="9">
        <v>4.9444999999999997</v>
      </c>
      <c r="O673" s="9">
        <v>0.37409999999999999</v>
      </c>
      <c r="P673" s="9">
        <v>1.2183999999999999</v>
      </c>
      <c r="Q673" s="9">
        <v>19.688099999999999</v>
      </c>
      <c r="R673" s="9"/>
      <c r="S673" s="11"/>
    </row>
    <row r="674" spans="1:19" ht="15.75">
      <c r="A674" s="13">
        <v>62427</v>
      </c>
      <c r="B674" s="8">
        <f>23.7165 * CHOOSE(CONTROL!$C$14, $D$10, 100%, $F$10)</f>
        <v>23.7165</v>
      </c>
      <c r="C674" s="8">
        <f>23.7216 * CHOOSE(CONTROL!$C$14, $D$10, 100%, $F$10)</f>
        <v>23.721599999999999</v>
      </c>
      <c r="D674" s="8">
        <f>23.6978 * CHOOSE( CONTROL!$C$14, $D$10, 100%, $F$10)</f>
        <v>23.697800000000001</v>
      </c>
      <c r="E674" s="12">
        <f>23.706 * CHOOSE( CONTROL!$C$14, $D$10, 100%, $F$10)</f>
        <v>23.706</v>
      </c>
      <c r="F674" s="4">
        <f>24.3639 * CHOOSE(CONTROL!$C$14, $D$10, 100%, $F$10)</f>
        <v>24.363900000000001</v>
      </c>
      <c r="G674" s="8">
        <f>23.3056 * CHOOSE( CONTROL!$C$14, $D$10, 100%, $F$10)</f>
        <v>23.305599999999998</v>
      </c>
      <c r="H674" s="4">
        <f>24.1887 * CHOOSE(CONTROL!$C$14, $D$10, 100%, $F$10)</f>
        <v>24.188700000000001</v>
      </c>
      <c r="I674" s="8">
        <f>23.0342 * CHOOSE(CONTROL!$C$14, $D$10, 100%, $F$10)</f>
        <v>23.034199999999998</v>
      </c>
      <c r="J674" s="4">
        <f>22.8975 * CHOOSE(CONTROL!$C$14, $D$10, 100%, $F$10)</f>
        <v>22.897500000000001</v>
      </c>
      <c r="K674" s="4"/>
      <c r="L674" s="9">
        <v>28.360600000000002</v>
      </c>
      <c r="M674" s="9">
        <v>11.6745</v>
      </c>
      <c r="N674" s="9">
        <v>4.7850000000000001</v>
      </c>
      <c r="O674" s="9">
        <v>0.36199999999999999</v>
      </c>
      <c r="P674" s="9">
        <v>1.2509999999999999</v>
      </c>
      <c r="Q674" s="9">
        <v>19.053000000000001</v>
      </c>
      <c r="R674" s="9"/>
      <c r="S674" s="11"/>
    </row>
    <row r="675" spans="1:19" ht="15.75">
      <c r="A675" s="13">
        <v>62458</v>
      </c>
      <c r="B675" s="8">
        <f>23.6734 * CHOOSE(CONTROL!$C$14, $D$10, 100%, $F$10)</f>
        <v>23.673400000000001</v>
      </c>
      <c r="C675" s="8">
        <f>23.6785 * CHOOSE(CONTROL!$C$14, $D$10, 100%, $F$10)</f>
        <v>23.6785</v>
      </c>
      <c r="D675" s="8">
        <f>23.6561 * CHOOSE( CONTROL!$C$14, $D$10, 100%, $F$10)</f>
        <v>23.656099999999999</v>
      </c>
      <c r="E675" s="12">
        <f>23.6637 * CHOOSE( CONTROL!$C$14, $D$10, 100%, $F$10)</f>
        <v>23.663699999999999</v>
      </c>
      <c r="F675" s="4">
        <f>24.3209 * CHOOSE(CONTROL!$C$14, $D$10, 100%, $F$10)</f>
        <v>24.320900000000002</v>
      </c>
      <c r="G675" s="8">
        <f>23.2642 * CHOOSE( CONTROL!$C$14, $D$10, 100%, $F$10)</f>
        <v>23.264199999999999</v>
      </c>
      <c r="H675" s="4">
        <f>24.1463 * CHOOSE(CONTROL!$C$14, $D$10, 100%, $F$10)</f>
        <v>24.1463</v>
      </c>
      <c r="I675" s="8">
        <f>22.9969 * CHOOSE(CONTROL!$C$14, $D$10, 100%, $F$10)</f>
        <v>22.9969</v>
      </c>
      <c r="J675" s="4">
        <f>22.8559 * CHOOSE(CONTROL!$C$14, $D$10, 100%, $F$10)</f>
        <v>22.855899999999998</v>
      </c>
      <c r="K675" s="4"/>
      <c r="L675" s="9">
        <v>29.306000000000001</v>
      </c>
      <c r="M675" s="9">
        <v>12.063700000000001</v>
      </c>
      <c r="N675" s="9">
        <v>4.9444999999999997</v>
      </c>
      <c r="O675" s="9">
        <v>0.37409999999999999</v>
      </c>
      <c r="P675" s="9">
        <v>1.2927</v>
      </c>
      <c r="Q675" s="9">
        <v>19.688099999999999</v>
      </c>
      <c r="R675" s="9"/>
      <c r="S675" s="11"/>
    </row>
    <row r="676" spans="1:19" ht="15.75">
      <c r="A676" s="13">
        <v>62489</v>
      </c>
      <c r="B676" s="8">
        <f>24.577 * CHOOSE(CONTROL!$C$14, $D$10, 100%, $F$10)</f>
        <v>24.577000000000002</v>
      </c>
      <c r="C676" s="8">
        <f>24.5821 * CHOOSE(CONTROL!$C$14, $D$10, 100%, $F$10)</f>
        <v>24.582100000000001</v>
      </c>
      <c r="D676" s="8">
        <f>24.5779 * CHOOSE( CONTROL!$C$14, $D$10, 100%, $F$10)</f>
        <v>24.5779</v>
      </c>
      <c r="E676" s="12">
        <f>24.5789 * CHOOSE( CONTROL!$C$14, $D$10, 100%, $F$10)</f>
        <v>24.578900000000001</v>
      </c>
      <c r="F676" s="4">
        <f>25.2555 * CHOOSE(CONTROL!$C$14, $D$10, 100%, $F$10)</f>
        <v>25.255500000000001</v>
      </c>
      <c r="G676" s="8">
        <f>24.1671 * CHOOSE( CONTROL!$C$14, $D$10, 100%, $F$10)</f>
        <v>24.167100000000001</v>
      </c>
      <c r="H676" s="4">
        <f>25.0655 * CHOOSE(CONTROL!$C$14, $D$10, 100%, $F$10)</f>
        <v>25.0655</v>
      </c>
      <c r="I676" s="8">
        <f>23.8499 * CHOOSE(CONTROL!$C$14, $D$10, 100%, $F$10)</f>
        <v>23.849900000000002</v>
      </c>
      <c r="J676" s="4">
        <f>23.7294 * CHOOSE(CONTROL!$C$14, $D$10, 100%, $F$10)</f>
        <v>23.729399999999998</v>
      </c>
      <c r="K676" s="4"/>
      <c r="L676" s="9">
        <v>29.306000000000001</v>
      </c>
      <c r="M676" s="9">
        <v>12.063700000000001</v>
      </c>
      <c r="N676" s="9">
        <v>4.9444999999999997</v>
      </c>
      <c r="O676" s="9">
        <v>0.37409999999999999</v>
      </c>
      <c r="P676" s="9">
        <v>1.2927</v>
      </c>
      <c r="Q676" s="9">
        <v>19.688099999999999</v>
      </c>
      <c r="R676" s="9"/>
      <c r="S676" s="11"/>
    </row>
    <row r="677" spans="1:19" ht="15.75">
      <c r="A677" s="13">
        <v>62517</v>
      </c>
      <c r="B677" s="8">
        <f>22.9901 * CHOOSE(CONTROL!$C$14, $D$10, 100%, $F$10)</f>
        <v>22.990100000000002</v>
      </c>
      <c r="C677" s="8">
        <f>22.9952 * CHOOSE(CONTROL!$C$14, $D$10, 100%, $F$10)</f>
        <v>22.995200000000001</v>
      </c>
      <c r="D677" s="8">
        <f>22.9851 * CHOOSE( CONTROL!$C$14, $D$10, 100%, $F$10)</f>
        <v>22.985099999999999</v>
      </c>
      <c r="E677" s="12">
        <f>22.9882 * CHOOSE( CONTROL!$C$14, $D$10, 100%, $F$10)</f>
        <v>22.988199999999999</v>
      </c>
      <c r="F677" s="4">
        <f>23.6427 * CHOOSE(CONTROL!$C$14, $D$10, 100%, $F$10)</f>
        <v>23.642700000000001</v>
      </c>
      <c r="G677" s="8">
        <f>22.5984 * CHOOSE( CONTROL!$C$14, $D$10, 100%, $F$10)</f>
        <v>22.598400000000002</v>
      </c>
      <c r="H677" s="4">
        <f>23.4795 * CHOOSE(CONTROL!$C$14, $D$10, 100%, $F$10)</f>
        <v>23.479500000000002</v>
      </c>
      <c r="I677" s="8">
        <f>22.3057 * CHOOSE(CONTROL!$C$14, $D$10, 100%, $F$10)</f>
        <v>22.305700000000002</v>
      </c>
      <c r="J677" s="4">
        <f>22.1954 * CHOOSE(CONTROL!$C$14, $D$10, 100%, $F$10)</f>
        <v>22.195399999999999</v>
      </c>
      <c r="K677" s="4"/>
      <c r="L677" s="9">
        <v>26.469899999999999</v>
      </c>
      <c r="M677" s="9">
        <v>10.8962</v>
      </c>
      <c r="N677" s="9">
        <v>4.4660000000000002</v>
      </c>
      <c r="O677" s="9">
        <v>0.33789999999999998</v>
      </c>
      <c r="P677" s="9">
        <v>1.1676</v>
      </c>
      <c r="Q677" s="9">
        <v>17.782800000000002</v>
      </c>
      <c r="R677" s="9"/>
      <c r="S677" s="11"/>
    </row>
    <row r="678" spans="1:19" ht="15.75">
      <c r="A678" s="13">
        <v>62548</v>
      </c>
      <c r="B678" s="8">
        <f>22.5013 * CHOOSE(CONTROL!$C$14, $D$10, 100%, $F$10)</f>
        <v>22.501300000000001</v>
      </c>
      <c r="C678" s="8">
        <f>22.5065 * CHOOSE(CONTROL!$C$14, $D$10, 100%, $F$10)</f>
        <v>22.506499999999999</v>
      </c>
      <c r="D678" s="8">
        <f>22.4899 * CHOOSE( CONTROL!$C$14, $D$10, 100%, $F$10)</f>
        <v>22.489899999999999</v>
      </c>
      <c r="E678" s="12">
        <f>22.4954 * CHOOSE( CONTROL!$C$14, $D$10, 100%, $F$10)</f>
        <v>22.4954</v>
      </c>
      <c r="F678" s="4">
        <f>23.154 * CHOOSE(CONTROL!$C$14, $D$10, 100%, $F$10)</f>
        <v>23.154</v>
      </c>
      <c r="G678" s="8">
        <f>22.1095 * CHOOSE( CONTROL!$C$14, $D$10, 100%, $F$10)</f>
        <v>22.109500000000001</v>
      </c>
      <c r="H678" s="4">
        <f>22.9988 * CHOOSE(CONTROL!$C$14, $D$10, 100%, $F$10)</f>
        <v>22.998799999999999</v>
      </c>
      <c r="I678" s="8">
        <f>21.8129 * CHOOSE(CONTROL!$C$14, $D$10, 100%, $F$10)</f>
        <v>21.812899999999999</v>
      </c>
      <c r="J678" s="4">
        <f>21.7229 * CHOOSE(CONTROL!$C$14, $D$10, 100%, $F$10)</f>
        <v>21.722899999999999</v>
      </c>
      <c r="K678" s="4"/>
      <c r="L678" s="9">
        <v>29.306000000000001</v>
      </c>
      <c r="M678" s="9">
        <v>12.063700000000001</v>
      </c>
      <c r="N678" s="9">
        <v>4.9444999999999997</v>
      </c>
      <c r="O678" s="9">
        <v>0.37409999999999999</v>
      </c>
      <c r="P678" s="9">
        <v>1.2927</v>
      </c>
      <c r="Q678" s="9">
        <v>19.688099999999999</v>
      </c>
      <c r="R678" s="9"/>
      <c r="S678" s="11"/>
    </row>
    <row r="679" spans="1:19" ht="15.75">
      <c r="A679" s="13">
        <v>62578</v>
      </c>
      <c r="B679" s="8">
        <f>22.8436 * CHOOSE(CONTROL!$C$14, $D$10, 100%, $F$10)</f>
        <v>22.843599999999999</v>
      </c>
      <c r="C679" s="8">
        <f>22.8482 * CHOOSE(CONTROL!$C$14, $D$10, 100%, $F$10)</f>
        <v>22.848199999999999</v>
      </c>
      <c r="D679" s="8">
        <f>22.8577 * CHOOSE( CONTROL!$C$14, $D$10, 100%, $F$10)</f>
        <v>22.857700000000001</v>
      </c>
      <c r="E679" s="12">
        <f>22.854 * CHOOSE( CONTROL!$C$14, $D$10, 100%, $F$10)</f>
        <v>22.853999999999999</v>
      </c>
      <c r="F679" s="4">
        <f>23.5266 * CHOOSE(CONTROL!$C$14, $D$10, 100%, $F$10)</f>
        <v>23.526599999999998</v>
      </c>
      <c r="G679" s="8">
        <f>22.4353 * CHOOSE( CONTROL!$C$14, $D$10, 100%, $F$10)</f>
        <v>22.435300000000002</v>
      </c>
      <c r="H679" s="4">
        <f>23.3652 * CHOOSE(CONTROL!$C$14, $D$10, 100%, $F$10)</f>
        <v>23.365200000000002</v>
      </c>
      <c r="I679" s="8">
        <f>22.1542 * CHOOSE(CONTROL!$C$14, $D$10, 100%, $F$10)</f>
        <v>22.154199999999999</v>
      </c>
      <c r="J679" s="4">
        <f>22.053 * CHOOSE(CONTROL!$C$14, $D$10, 100%, $F$10)</f>
        <v>22.053000000000001</v>
      </c>
      <c r="K679" s="4"/>
      <c r="L679" s="9">
        <v>30.092199999999998</v>
      </c>
      <c r="M679" s="9">
        <v>11.6745</v>
      </c>
      <c r="N679" s="9">
        <v>4.7850000000000001</v>
      </c>
      <c r="O679" s="9">
        <v>0.36199999999999999</v>
      </c>
      <c r="P679" s="9">
        <v>1.1791</v>
      </c>
      <c r="Q679" s="9">
        <v>19.053000000000001</v>
      </c>
      <c r="R679" s="9"/>
      <c r="S679" s="11"/>
    </row>
    <row r="680" spans="1:19" ht="15.75">
      <c r="A680" s="13">
        <v>62609</v>
      </c>
      <c r="B680" s="8">
        <f>CHOOSE( CONTROL!$C$31, 23.4558, 23.4529) * CHOOSE(CONTROL!$C$14, $D$10, 100%, $F$10)</f>
        <v>23.4558</v>
      </c>
      <c r="C680" s="8">
        <f>CHOOSE( CONTROL!$C$31, 23.4638, 23.4609) * CHOOSE(CONTROL!$C$14, $D$10, 100%, $F$10)</f>
        <v>23.463799999999999</v>
      </c>
      <c r="D680" s="8">
        <f>CHOOSE( CONTROL!$C$31, 23.4684, 23.4655) * CHOOSE( CONTROL!$C$14, $D$10, 100%, $F$10)</f>
        <v>23.468399999999999</v>
      </c>
      <c r="E680" s="12">
        <f>CHOOSE( CONTROL!$C$31, 23.4655, 23.4626) * CHOOSE( CONTROL!$C$14, $D$10, 100%, $F$10)</f>
        <v>23.465499999999999</v>
      </c>
      <c r="F680" s="4">
        <f>CHOOSE( CONTROL!$C$31, 24.1373, 24.1344) * CHOOSE(CONTROL!$C$14, $D$10, 100%, $F$10)</f>
        <v>24.1373</v>
      </c>
      <c r="G680" s="8">
        <f>CHOOSE( CONTROL!$C$31, 23.0368, 23.034) * CHOOSE( CONTROL!$C$14, $D$10, 100%, $F$10)</f>
        <v>23.036799999999999</v>
      </c>
      <c r="H680" s="4">
        <f>CHOOSE( CONTROL!$C$31, 23.9659, 23.963) * CHOOSE(CONTROL!$C$14, $D$10, 100%, $F$10)</f>
        <v>23.965900000000001</v>
      </c>
      <c r="I680" s="8">
        <f>CHOOSE( CONTROL!$C$31, 22.746, 22.7431) * CHOOSE(CONTROL!$C$14, $D$10, 100%, $F$10)</f>
        <v>22.745999999999999</v>
      </c>
      <c r="J680" s="4">
        <f>CHOOSE( CONTROL!$C$31, 22.6435, 22.6407) * CHOOSE(CONTROL!$C$14, $D$10, 100%, $F$10)</f>
        <v>22.6435</v>
      </c>
      <c r="K680" s="4"/>
      <c r="L680" s="9">
        <v>30.7165</v>
      </c>
      <c r="M680" s="9">
        <v>12.063700000000001</v>
      </c>
      <c r="N680" s="9">
        <v>4.9444999999999997</v>
      </c>
      <c r="O680" s="9">
        <v>0.37409999999999999</v>
      </c>
      <c r="P680" s="9">
        <v>1.2183999999999999</v>
      </c>
      <c r="Q680" s="9">
        <v>19.688099999999999</v>
      </c>
      <c r="R680" s="9"/>
      <c r="S680" s="11"/>
    </row>
    <row r="681" spans="1:19" ht="15.75">
      <c r="A681" s="13">
        <v>62639</v>
      </c>
      <c r="B681" s="8">
        <f>CHOOSE( CONTROL!$C$31, 23.0792, 23.0763) * CHOOSE(CONTROL!$C$14, $D$10, 100%, $F$10)</f>
        <v>23.0792</v>
      </c>
      <c r="C681" s="8">
        <f>CHOOSE( CONTROL!$C$31, 23.0873, 23.0843) * CHOOSE(CONTROL!$C$14, $D$10, 100%, $F$10)</f>
        <v>23.087299999999999</v>
      </c>
      <c r="D681" s="8">
        <f>CHOOSE( CONTROL!$C$31, 23.0921, 23.0892) * CHOOSE( CONTROL!$C$14, $D$10, 100%, $F$10)</f>
        <v>23.092099999999999</v>
      </c>
      <c r="E681" s="12">
        <f>CHOOSE( CONTROL!$C$31, 23.0891, 23.0862) * CHOOSE( CONTROL!$C$14, $D$10, 100%, $F$10)</f>
        <v>23.089099999999998</v>
      </c>
      <c r="F681" s="4">
        <f>CHOOSE( CONTROL!$C$31, 23.7608, 23.7579) * CHOOSE(CONTROL!$C$14, $D$10, 100%, $F$10)</f>
        <v>23.7608</v>
      </c>
      <c r="G681" s="8">
        <f>CHOOSE( CONTROL!$C$31, 22.6669, 22.664) * CHOOSE( CONTROL!$C$14, $D$10, 100%, $F$10)</f>
        <v>22.666899999999998</v>
      </c>
      <c r="H681" s="4">
        <f>CHOOSE( CONTROL!$C$31, 23.5956, 23.5927) * CHOOSE(CONTROL!$C$14, $D$10, 100%, $F$10)</f>
        <v>23.595600000000001</v>
      </c>
      <c r="I681" s="8">
        <f>CHOOSE( CONTROL!$C$31, 22.383, 22.3802) * CHOOSE(CONTROL!$C$14, $D$10, 100%, $F$10)</f>
        <v>22.382999999999999</v>
      </c>
      <c r="J681" s="4">
        <f>CHOOSE( CONTROL!$C$31, 22.2795, 22.2766) * CHOOSE(CONTROL!$C$14, $D$10, 100%, $F$10)</f>
        <v>22.279499999999999</v>
      </c>
      <c r="K681" s="4"/>
      <c r="L681" s="9">
        <v>29.7257</v>
      </c>
      <c r="M681" s="9">
        <v>11.6745</v>
      </c>
      <c r="N681" s="9">
        <v>4.7850000000000001</v>
      </c>
      <c r="O681" s="9">
        <v>0.36199999999999999</v>
      </c>
      <c r="P681" s="9">
        <v>1.1791</v>
      </c>
      <c r="Q681" s="9">
        <v>19.053000000000001</v>
      </c>
      <c r="R681" s="9"/>
      <c r="S681" s="11"/>
    </row>
    <row r="682" spans="1:19" ht="15.75">
      <c r="A682" s="13">
        <v>62670</v>
      </c>
      <c r="B682" s="8">
        <f>CHOOSE( CONTROL!$C$31, 24.0708, 24.0679) * CHOOSE(CONTROL!$C$14, $D$10, 100%, $F$10)</f>
        <v>24.070799999999998</v>
      </c>
      <c r="C682" s="8">
        <f>CHOOSE( CONTROL!$C$31, 24.0788, 24.0759) * CHOOSE(CONTROL!$C$14, $D$10, 100%, $F$10)</f>
        <v>24.078800000000001</v>
      </c>
      <c r="D682" s="8">
        <f>CHOOSE( CONTROL!$C$31, 24.084, 24.081) * CHOOSE( CONTROL!$C$14, $D$10, 100%, $F$10)</f>
        <v>24.084</v>
      </c>
      <c r="E682" s="12">
        <f>CHOOSE( CONTROL!$C$31, 24.0809, 24.0779) * CHOOSE( CONTROL!$C$14, $D$10, 100%, $F$10)</f>
        <v>24.0809</v>
      </c>
      <c r="F682" s="4">
        <f>CHOOSE( CONTROL!$C$31, 24.7524, 24.7495) * CHOOSE(CONTROL!$C$14, $D$10, 100%, $F$10)</f>
        <v>24.752400000000002</v>
      </c>
      <c r="G682" s="8">
        <f>CHOOSE( CONTROL!$C$31, 23.6424, 23.6396) * CHOOSE( CONTROL!$C$14, $D$10, 100%, $F$10)</f>
        <v>23.642399999999999</v>
      </c>
      <c r="H682" s="4">
        <f>CHOOSE( CONTROL!$C$31, 24.5707, 24.5678) * CHOOSE(CONTROL!$C$14, $D$10, 100%, $F$10)</f>
        <v>24.570699999999999</v>
      </c>
      <c r="I682" s="8">
        <f>CHOOSE( CONTROL!$C$31, 23.3432, 23.3404) * CHOOSE(CONTROL!$C$14, $D$10, 100%, $F$10)</f>
        <v>23.3432</v>
      </c>
      <c r="J682" s="4">
        <f>CHOOSE( CONTROL!$C$31, 23.238, 23.2352) * CHOOSE(CONTROL!$C$14, $D$10, 100%, $F$10)</f>
        <v>23.238</v>
      </c>
      <c r="K682" s="4"/>
      <c r="L682" s="9">
        <v>30.7165</v>
      </c>
      <c r="M682" s="9">
        <v>12.063700000000001</v>
      </c>
      <c r="N682" s="9">
        <v>4.9444999999999997</v>
      </c>
      <c r="O682" s="9">
        <v>0.37409999999999999</v>
      </c>
      <c r="P682" s="9">
        <v>1.2183999999999999</v>
      </c>
      <c r="Q682" s="9">
        <v>19.688099999999999</v>
      </c>
      <c r="R682" s="9"/>
      <c r="S682" s="11"/>
    </row>
    <row r="683" spans="1:19" ht="15.75">
      <c r="A683" s="13">
        <v>62701</v>
      </c>
      <c r="B683" s="8">
        <f>CHOOSE( CONTROL!$C$31, 22.2155, 22.2125) * CHOOSE(CONTROL!$C$14, $D$10, 100%, $F$10)</f>
        <v>22.215499999999999</v>
      </c>
      <c r="C683" s="8">
        <f>CHOOSE( CONTROL!$C$31, 22.2235, 22.2206) * CHOOSE(CONTROL!$C$14, $D$10, 100%, $F$10)</f>
        <v>22.223500000000001</v>
      </c>
      <c r="D683" s="8">
        <f>CHOOSE( CONTROL!$C$31, 22.2287, 22.2258) * CHOOSE( CONTROL!$C$14, $D$10, 100%, $F$10)</f>
        <v>22.2287</v>
      </c>
      <c r="E683" s="12">
        <f>CHOOSE( CONTROL!$C$31, 22.2256, 22.2227) * CHOOSE( CONTROL!$C$14, $D$10, 100%, $F$10)</f>
        <v>22.2256</v>
      </c>
      <c r="F683" s="4">
        <f>CHOOSE( CONTROL!$C$31, 22.897, 22.8941) * CHOOSE(CONTROL!$C$14, $D$10, 100%, $F$10)</f>
        <v>22.896999999999998</v>
      </c>
      <c r="G683" s="8">
        <f>CHOOSE( CONTROL!$C$31, 21.818, 21.8151) * CHOOSE( CONTROL!$C$14, $D$10, 100%, $F$10)</f>
        <v>21.818000000000001</v>
      </c>
      <c r="H683" s="4">
        <f>CHOOSE( CONTROL!$C$31, 22.7461, 22.7432) * CHOOSE(CONTROL!$C$14, $D$10, 100%, $F$10)</f>
        <v>22.746099999999998</v>
      </c>
      <c r="I683" s="8">
        <f>CHOOSE( CONTROL!$C$31, 21.5491, 21.5463) * CHOOSE(CONTROL!$C$14, $D$10, 100%, $F$10)</f>
        <v>21.549099999999999</v>
      </c>
      <c r="J683" s="4">
        <f>CHOOSE( CONTROL!$C$31, 21.4445, 21.4416) * CHOOSE(CONTROL!$C$14, $D$10, 100%, $F$10)</f>
        <v>21.444500000000001</v>
      </c>
      <c r="K683" s="4"/>
      <c r="L683" s="9">
        <v>30.7165</v>
      </c>
      <c r="M683" s="9">
        <v>12.063700000000001</v>
      </c>
      <c r="N683" s="9">
        <v>4.9444999999999997</v>
      </c>
      <c r="O683" s="9">
        <v>0.37409999999999999</v>
      </c>
      <c r="P683" s="9">
        <v>1.2183999999999999</v>
      </c>
      <c r="Q683" s="9">
        <v>19.688099999999999</v>
      </c>
      <c r="R683" s="9"/>
      <c r="S683" s="11"/>
    </row>
    <row r="684" spans="1:19" ht="15.75">
      <c r="A684" s="13">
        <v>62731</v>
      </c>
      <c r="B684" s="8">
        <f>CHOOSE( CONTROL!$C$31, 21.7509, 21.7479) * CHOOSE(CONTROL!$C$14, $D$10, 100%, $F$10)</f>
        <v>21.750900000000001</v>
      </c>
      <c r="C684" s="8">
        <f>CHOOSE( CONTROL!$C$31, 21.7589, 21.7559) * CHOOSE(CONTROL!$C$14, $D$10, 100%, $F$10)</f>
        <v>21.758900000000001</v>
      </c>
      <c r="D684" s="8">
        <f>CHOOSE( CONTROL!$C$31, 21.7641, 21.7611) * CHOOSE( CONTROL!$C$14, $D$10, 100%, $F$10)</f>
        <v>21.764099999999999</v>
      </c>
      <c r="E684" s="12">
        <f>CHOOSE( CONTROL!$C$31, 21.761, 21.758) * CHOOSE( CONTROL!$C$14, $D$10, 100%, $F$10)</f>
        <v>21.760999999999999</v>
      </c>
      <c r="F684" s="4">
        <f>CHOOSE( CONTROL!$C$31, 22.4324, 22.4295) * CHOOSE(CONTROL!$C$14, $D$10, 100%, $F$10)</f>
        <v>22.432400000000001</v>
      </c>
      <c r="G684" s="8">
        <f>CHOOSE( CONTROL!$C$31, 21.361, 21.3582) * CHOOSE( CONTROL!$C$14, $D$10, 100%, $F$10)</f>
        <v>21.361000000000001</v>
      </c>
      <c r="H684" s="4">
        <f>CHOOSE( CONTROL!$C$31, 22.2892, 22.2863) * CHOOSE(CONTROL!$C$14, $D$10, 100%, $F$10)</f>
        <v>22.289200000000001</v>
      </c>
      <c r="I684" s="8">
        <f>CHOOSE( CONTROL!$C$31, 21.0997, 21.0969) * CHOOSE(CONTROL!$C$14, $D$10, 100%, $F$10)</f>
        <v>21.099699999999999</v>
      </c>
      <c r="J684" s="4">
        <f>CHOOSE( CONTROL!$C$31, 20.9953, 20.9925) * CHOOSE(CONTROL!$C$14, $D$10, 100%, $F$10)</f>
        <v>20.9953</v>
      </c>
      <c r="K684" s="4"/>
      <c r="L684" s="9">
        <v>29.7257</v>
      </c>
      <c r="M684" s="9">
        <v>11.6745</v>
      </c>
      <c r="N684" s="9">
        <v>4.7850000000000001</v>
      </c>
      <c r="O684" s="9">
        <v>0.36199999999999999</v>
      </c>
      <c r="P684" s="9">
        <v>1.1791</v>
      </c>
      <c r="Q684" s="9">
        <v>19.053000000000001</v>
      </c>
      <c r="R684" s="9"/>
      <c r="S684" s="11"/>
    </row>
    <row r="685" spans="1:19" ht="15.75">
      <c r="A685" s="13">
        <v>62762</v>
      </c>
      <c r="B685" s="8">
        <f>22.7109 * CHOOSE(CONTROL!$C$14, $D$10, 100%, $F$10)</f>
        <v>22.710899999999999</v>
      </c>
      <c r="C685" s="8">
        <f>22.7163 * CHOOSE(CONTROL!$C$14, $D$10, 100%, $F$10)</f>
        <v>22.7163</v>
      </c>
      <c r="D685" s="8">
        <f>22.7262 * CHOOSE( CONTROL!$C$14, $D$10, 100%, $F$10)</f>
        <v>22.726199999999999</v>
      </c>
      <c r="E685" s="12">
        <f>22.7224 * CHOOSE( CONTROL!$C$14, $D$10, 100%, $F$10)</f>
        <v>22.7224</v>
      </c>
      <c r="F685" s="4">
        <f>23.3942 * CHOOSE(CONTROL!$C$14, $D$10, 100%, $F$10)</f>
        <v>23.394200000000001</v>
      </c>
      <c r="G685" s="8">
        <f>22.3065 * CHOOSE( CONTROL!$C$14, $D$10, 100%, $F$10)</f>
        <v>22.3065</v>
      </c>
      <c r="H685" s="4">
        <f>23.235 * CHOOSE(CONTROL!$C$14, $D$10, 100%, $F$10)</f>
        <v>23.234999999999999</v>
      </c>
      <c r="I685" s="8">
        <f>22.0307 * CHOOSE(CONTROL!$C$14, $D$10, 100%, $F$10)</f>
        <v>22.0307</v>
      </c>
      <c r="J685" s="4">
        <f>21.925 * CHOOSE(CONTROL!$C$14, $D$10, 100%, $F$10)</f>
        <v>21.925000000000001</v>
      </c>
      <c r="K685" s="4"/>
      <c r="L685" s="9">
        <v>31.095300000000002</v>
      </c>
      <c r="M685" s="9">
        <v>12.063700000000001</v>
      </c>
      <c r="N685" s="9">
        <v>4.9444999999999997</v>
      </c>
      <c r="O685" s="9">
        <v>0.37409999999999999</v>
      </c>
      <c r="P685" s="9">
        <v>1.2183999999999999</v>
      </c>
      <c r="Q685" s="9">
        <v>19.688099999999999</v>
      </c>
      <c r="R685" s="9"/>
      <c r="S685" s="11"/>
    </row>
    <row r="686" spans="1:19" ht="15.75">
      <c r="A686" s="13">
        <v>62792</v>
      </c>
      <c r="B686" s="8">
        <f>24.4911 * CHOOSE(CONTROL!$C$14, $D$10, 100%, $F$10)</f>
        <v>24.491099999999999</v>
      </c>
      <c r="C686" s="8">
        <f>24.4962 * CHOOSE(CONTROL!$C$14, $D$10, 100%, $F$10)</f>
        <v>24.496200000000002</v>
      </c>
      <c r="D686" s="8">
        <f>24.4724 * CHOOSE( CONTROL!$C$14, $D$10, 100%, $F$10)</f>
        <v>24.4724</v>
      </c>
      <c r="E686" s="12">
        <f>24.4806 * CHOOSE( CONTROL!$C$14, $D$10, 100%, $F$10)</f>
        <v>24.480599999999999</v>
      </c>
      <c r="F686" s="4">
        <f>25.1386 * CHOOSE(CONTROL!$C$14, $D$10, 100%, $F$10)</f>
        <v>25.1386</v>
      </c>
      <c r="G686" s="8">
        <f>24.0674 * CHOOSE( CONTROL!$C$14, $D$10, 100%, $F$10)</f>
        <v>24.067399999999999</v>
      </c>
      <c r="H686" s="4">
        <f>24.9505 * CHOOSE(CONTROL!$C$14, $D$10, 100%, $F$10)</f>
        <v>24.950500000000002</v>
      </c>
      <c r="I686" s="8">
        <f>23.7834 * CHOOSE(CONTROL!$C$14, $D$10, 100%, $F$10)</f>
        <v>23.7834</v>
      </c>
      <c r="J686" s="4">
        <f>23.6464 * CHOOSE(CONTROL!$C$14, $D$10, 100%, $F$10)</f>
        <v>23.6464</v>
      </c>
      <c r="K686" s="4"/>
      <c r="L686" s="9">
        <v>28.360600000000002</v>
      </c>
      <c r="M686" s="9">
        <v>11.6745</v>
      </c>
      <c r="N686" s="9">
        <v>4.7850000000000001</v>
      </c>
      <c r="O686" s="9">
        <v>0.36199999999999999</v>
      </c>
      <c r="P686" s="9">
        <v>1.2509999999999999</v>
      </c>
      <c r="Q686" s="9">
        <v>19.053000000000001</v>
      </c>
      <c r="R686" s="9"/>
      <c r="S686" s="11"/>
    </row>
    <row r="687" spans="1:19" ht="15.75">
      <c r="A687" s="13">
        <v>62823</v>
      </c>
      <c r="B687" s="8">
        <f>24.4466 * CHOOSE(CONTROL!$C$14, $D$10, 100%, $F$10)</f>
        <v>24.4466</v>
      </c>
      <c r="C687" s="8">
        <f>24.4517 * CHOOSE(CONTROL!$C$14, $D$10, 100%, $F$10)</f>
        <v>24.451699999999999</v>
      </c>
      <c r="D687" s="8">
        <f>24.4293 * CHOOSE( CONTROL!$C$14, $D$10, 100%, $F$10)</f>
        <v>24.429300000000001</v>
      </c>
      <c r="E687" s="12">
        <f>24.4369 * CHOOSE( CONTROL!$C$14, $D$10, 100%, $F$10)</f>
        <v>24.436900000000001</v>
      </c>
      <c r="F687" s="4">
        <f>25.0941 * CHOOSE(CONTROL!$C$14, $D$10, 100%, $F$10)</f>
        <v>25.094100000000001</v>
      </c>
      <c r="G687" s="8">
        <f>24.0246 * CHOOSE( CONTROL!$C$14, $D$10, 100%, $F$10)</f>
        <v>24.0246</v>
      </c>
      <c r="H687" s="4">
        <f>24.9067 * CHOOSE(CONTROL!$C$14, $D$10, 100%, $F$10)</f>
        <v>24.906700000000001</v>
      </c>
      <c r="I687" s="8">
        <f>23.7447 * CHOOSE(CONTROL!$C$14, $D$10, 100%, $F$10)</f>
        <v>23.744700000000002</v>
      </c>
      <c r="J687" s="4">
        <f>23.6034 * CHOOSE(CONTROL!$C$14, $D$10, 100%, $F$10)</f>
        <v>23.603400000000001</v>
      </c>
      <c r="K687" s="4"/>
      <c r="L687" s="9">
        <v>29.306000000000001</v>
      </c>
      <c r="M687" s="9">
        <v>12.063700000000001</v>
      </c>
      <c r="N687" s="9">
        <v>4.9444999999999997</v>
      </c>
      <c r="O687" s="9">
        <v>0.37409999999999999</v>
      </c>
      <c r="P687" s="9">
        <v>1.2927</v>
      </c>
      <c r="Q687" s="9">
        <v>19.688099999999999</v>
      </c>
      <c r="R687" s="9"/>
      <c r="S687" s="11"/>
    </row>
    <row r="688" spans="1:19" ht="15.75">
      <c r="A688" s="13">
        <v>62854</v>
      </c>
      <c r="B688" s="8">
        <f>25.3798 * CHOOSE(CONTROL!$C$14, $D$10, 100%, $F$10)</f>
        <v>25.379799999999999</v>
      </c>
      <c r="C688" s="8">
        <f>25.3849 * CHOOSE(CONTROL!$C$14, $D$10, 100%, $F$10)</f>
        <v>25.384899999999998</v>
      </c>
      <c r="D688" s="8">
        <f>25.3807 * CHOOSE( CONTROL!$C$14, $D$10, 100%, $F$10)</f>
        <v>25.380700000000001</v>
      </c>
      <c r="E688" s="12">
        <f>25.3817 * CHOOSE( CONTROL!$C$14, $D$10, 100%, $F$10)</f>
        <v>25.381699999999999</v>
      </c>
      <c r="F688" s="4">
        <f>26.0583 * CHOOSE(CONTROL!$C$14, $D$10, 100%, $F$10)</f>
        <v>26.058299999999999</v>
      </c>
      <c r="G688" s="8">
        <f>24.9565 * CHOOSE( CONTROL!$C$14, $D$10, 100%, $F$10)</f>
        <v>24.956499999999998</v>
      </c>
      <c r="H688" s="4">
        <f>25.855 * CHOOSE(CONTROL!$C$14, $D$10, 100%, $F$10)</f>
        <v>25.855</v>
      </c>
      <c r="I688" s="8">
        <f>24.6263 * CHOOSE(CONTROL!$C$14, $D$10, 100%, $F$10)</f>
        <v>24.626300000000001</v>
      </c>
      <c r="J688" s="4">
        <f>24.5055 * CHOOSE(CONTROL!$C$14, $D$10, 100%, $F$10)</f>
        <v>24.505500000000001</v>
      </c>
      <c r="K688" s="4"/>
      <c r="L688" s="9">
        <v>29.306000000000001</v>
      </c>
      <c r="M688" s="9">
        <v>12.063700000000001</v>
      </c>
      <c r="N688" s="9">
        <v>4.9444999999999997</v>
      </c>
      <c r="O688" s="9">
        <v>0.37409999999999999</v>
      </c>
      <c r="P688" s="9">
        <v>1.2927</v>
      </c>
      <c r="Q688" s="9">
        <v>19.688099999999999</v>
      </c>
      <c r="R688" s="9"/>
      <c r="S688" s="11"/>
    </row>
    <row r="689" spans="1:19" ht="15.75">
      <c r="A689" s="13">
        <v>62883</v>
      </c>
      <c r="B689" s="8">
        <f>23.741 * CHOOSE(CONTROL!$C$14, $D$10, 100%, $F$10)</f>
        <v>23.741</v>
      </c>
      <c r="C689" s="8">
        <f>23.7461 * CHOOSE(CONTROL!$C$14, $D$10, 100%, $F$10)</f>
        <v>23.746099999999998</v>
      </c>
      <c r="D689" s="8">
        <f>23.736 * CHOOSE( CONTROL!$C$14, $D$10, 100%, $F$10)</f>
        <v>23.736000000000001</v>
      </c>
      <c r="E689" s="12">
        <f>23.7391 * CHOOSE( CONTROL!$C$14, $D$10, 100%, $F$10)</f>
        <v>23.739100000000001</v>
      </c>
      <c r="F689" s="4">
        <f>24.3936 * CHOOSE(CONTROL!$C$14, $D$10, 100%, $F$10)</f>
        <v>24.393599999999999</v>
      </c>
      <c r="G689" s="8">
        <f>23.3368 * CHOOSE( CONTROL!$C$14, $D$10, 100%, $F$10)</f>
        <v>23.3368</v>
      </c>
      <c r="H689" s="4">
        <f>24.2179 * CHOOSE(CONTROL!$C$14, $D$10, 100%, $F$10)</f>
        <v>24.2179</v>
      </c>
      <c r="I689" s="8">
        <f>23.032 * CHOOSE(CONTROL!$C$14, $D$10, 100%, $F$10)</f>
        <v>23.032</v>
      </c>
      <c r="J689" s="4">
        <f>22.9212 * CHOOSE(CONTROL!$C$14, $D$10, 100%, $F$10)</f>
        <v>22.921199999999999</v>
      </c>
      <c r="K689" s="4"/>
      <c r="L689" s="9">
        <v>27.415299999999998</v>
      </c>
      <c r="M689" s="9">
        <v>11.285299999999999</v>
      </c>
      <c r="N689" s="9">
        <v>4.6254999999999997</v>
      </c>
      <c r="O689" s="9">
        <v>0.34989999999999999</v>
      </c>
      <c r="P689" s="9">
        <v>1.2093</v>
      </c>
      <c r="Q689" s="9">
        <v>18.417899999999999</v>
      </c>
      <c r="R689" s="9"/>
      <c r="S689" s="11"/>
    </row>
    <row r="690" spans="1:19" ht="15.75">
      <c r="A690" s="13">
        <v>62914</v>
      </c>
      <c r="B690" s="8">
        <f>23.2362 * CHOOSE(CONTROL!$C$14, $D$10, 100%, $F$10)</f>
        <v>23.2362</v>
      </c>
      <c r="C690" s="8">
        <f>23.2413 * CHOOSE(CONTROL!$C$14, $D$10, 100%, $F$10)</f>
        <v>23.241299999999999</v>
      </c>
      <c r="D690" s="8">
        <f>23.2248 * CHOOSE( CONTROL!$C$14, $D$10, 100%, $F$10)</f>
        <v>23.224799999999998</v>
      </c>
      <c r="E690" s="12">
        <f>23.2303 * CHOOSE( CONTROL!$C$14, $D$10, 100%, $F$10)</f>
        <v>23.2303</v>
      </c>
      <c r="F690" s="4">
        <f>23.8889 * CHOOSE(CONTROL!$C$14, $D$10, 100%, $F$10)</f>
        <v>23.8889</v>
      </c>
      <c r="G690" s="8">
        <f>22.8322 * CHOOSE( CONTROL!$C$14, $D$10, 100%, $F$10)</f>
        <v>22.8322</v>
      </c>
      <c r="H690" s="4">
        <f>23.7215 * CHOOSE(CONTROL!$C$14, $D$10, 100%, $F$10)</f>
        <v>23.721499999999999</v>
      </c>
      <c r="I690" s="8">
        <f>22.5236 * CHOOSE(CONTROL!$C$14, $D$10, 100%, $F$10)</f>
        <v>22.523599999999998</v>
      </c>
      <c r="J690" s="4">
        <f>22.4333 * CHOOSE(CONTROL!$C$14, $D$10, 100%, $F$10)</f>
        <v>22.433299999999999</v>
      </c>
      <c r="K690" s="4"/>
      <c r="L690" s="9">
        <v>29.306000000000001</v>
      </c>
      <c r="M690" s="9">
        <v>12.063700000000001</v>
      </c>
      <c r="N690" s="9">
        <v>4.9444999999999997</v>
      </c>
      <c r="O690" s="9">
        <v>0.37409999999999999</v>
      </c>
      <c r="P690" s="9">
        <v>1.2927</v>
      </c>
      <c r="Q690" s="9">
        <v>19.688099999999999</v>
      </c>
      <c r="R690" s="9"/>
      <c r="S690" s="11"/>
    </row>
    <row r="691" spans="1:19" ht="15.75">
      <c r="A691" s="13">
        <v>62944</v>
      </c>
      <c r="B691" s="8">
        <f>23.5897 * CHOOSE(CONTROL!$C$14, $D$10, 100%, $F$10)</f>
        <v>23.589700000000001</v>
      </c>
      <c r="C691" s="8">
        <f>23.5942 * CHOOSE(CONTROL!$C$14, $D$10, 100%, $F$10)</f>
        <v>23.594200000000001</v>
      </c>
      <c r="D691" s="8">
        <f>23.6038 * CHOOSE( CONTROL!$C$14, $D$10, 100%, $F$10)</f>
        <v>23.6038</v>
      </c>
      <c r="E691" s="12">
        <f>23.6001 * CHOOSE( CONTROL!$C$14, $D$10, 100%, $F$10)</f>
        <v>23.600100000000001</v>
      </c>
      <c r="F691" s="4">
        <f>24.2726 * CHOOSE(CONTROL!$C$14, $D$10, 100%, $F$10)</f>
        <v>24.272600000000001</v>
      </c>
      <c r="G691" s="8">
        <f>23.1689 * CHOOSE( CONTROL!$C$14, $D$10, 100%, $F$10)</f>
        <v>23.168900000000001</v>
      </c>
      <c r="H691" s="4">
        <f>24.0989 * CHOOSE(CONTROL!$C$14, $D$10, 100%, $F$10)</f>
        <v>24.0989</v>
      </c>
      <c r="I691" s="8">
        <f>22.8757 * CHOOSE(CONTROL!$C$14, $D$10, 100%, $F$10)</f>
        <v>22.875699999999998</v>
      </c>
      <c r="J691" s="4">
        <f>22.7743 * CHOOSE(CONTROL!$C$14, $D$10, 100%, $F$10)</f>
        <v>22.7743</v>
      </c>
      <c r="K691" s="4"/>
      <c r="L691" s="9">
        <v>30.092199999999998</v>
      </c>
      <c r="M691" s="9">
        <v>11.6745</v>
      </c>
      <c r="N691" s="9">
        <v>4.7850000000000001</v>
      </c>
      <c r="O691" s="9">
        <v>0.36199999999999999</v>
      </c>
      <c r="P691" s="9">
        <v>1.1791</v>
      </c>
      <c r="Q691" s="9">
        <v>19.053000000000001</v>
      </c>
      <c r="R691" s="9"/>
      <c r="S691" s="11"/>
    </row>
    <row r="692" spans="1:19" ht="15.75">
      <c r="A692" s="13">
        <v>62975</v>
      </c>
      <c r="B692" s="8">
        <f>CHOOSE( CONTROL!$C$31, 24.2217, 24.2188) * CHOOSE(CONTROL!$C$14, $D$10, 100%, $F$10)</f>
        <v>24.221699999999998</v>
      </c>
      <c r="C692" s="8">
        <f>CHOOSE( CONTROL!$C$31, 24.2297, 24.2268) * CHOOSE(CONTROL!$C$14, $D$10, 100%, $F$10)</f>
        <v>24.229700000000001</v>
      </c>
      <c r="D692" s="8">
        <f>CHOOSE( CONTROL!$C$31, 24.2344, 24.2314) * CHOOSE( CONTROL!$C$14, $D$10, 100%, $F$10)</f>
        <v>24.234400000000001</v>
      </c>
      <c r="E692" s="12">
        <f>CHOOSE( CONTROL!$C$31, 24.2315, 24.2285) * CHOOSE( CONTROL!$C$14, $D$10, 100%, $F$10)</f>
        <v>24.2315</v>
      </c>
      <c r="F692" s="4">
        <f>CHOOSE( CONTROL!$C$31, 24.9033, 24.9004) * CHOOSE(CONTROL!$C$14, $D$10, 100%, $F$10)</f>
        <v>24.903300000000002</v>
      </c>
      <c r="G692" s="8">
        <f>CHOOSE( CONTROL!$C$31, 23.7901, 23.7872) * CHOOSE( CONTROL!$C$14, $D$10, 100%, $F$10)</f>
        <v>23.790099999999999</v>
      </c>
      <c r="H692" s="4">
        <f>CHOOSE( CONTROL!$C$31, 24.7191, 24.7162) * CHOOSE(CONTROL!$C$14, $D$10, 100%, $F$10)</f>
        <v>24.719100000000001</v>
      </c>
      <c r="I692" s="8">
        <f>CHOOSE( CONTROL!$C$31, 23.4868, 23.4839) * CHOOSE(CONTROL!$C$14, $D$10, 100%, $F$10)</f>
        <v>23.486799999999999</v>
      </c>
      <c r="J692" s="4">
        <f>CHOOSE( CONTROL!$C$31, 23.3839, 23.3811) * CHOOSE(CONTROL!$C$14, $D$10, 100%, $F$10)</f>
        <v>23.383900000000001</v>
      </c>
      <c r="K692" s="4"/>
      <c r="L692" s="9">
        <v>30.7165</v>
      </c>
      <c r="M692" s="9">
        <v>12.063700000000001</v>
      </c>
      <c r="N692" s="9">
        <v>4.9444999999999997</v>
      </c>
      <c r="O692" s="9">
        <v>0.37409999999999999</v>
      </c>
      <c r="P692" s="9">
        <v>1.2183999999999999</v>
      </c>
      <c r="Q692" s="9">
        <v>19.688099999999999</v>
      </c>
      <c r="R692" s="9"/>
      <c r="S692" s="11"/>
    </row>
    <row r="693" spans="1:19" ht="15.75">
      <c r="A693" s="13">
        <v>63005</v>
      </c>
      <c r="B693" s="8">
        <f>CHOOSE( CONTROL!$C$31, 23.8329, 23.8299) * CHOOSE(CONTROL!$C$14, $D$10, 100%, $F$10)</f>
        <v>23.832899999999999</v>
      </c>
      <c r="C693" s="8">
        <f>CHOOSE( CONTROL!$C$31, 23.8409, 23.838) * CHOOSE(CONTROL!$C$14, $D$10, 100%, $F$10)</f>
        <v>23.840900000000001</v>
      </c>
      <c r="D693" s="8">
        <f>CHOOSE( CONTROL!$C$31, 23.8458, 23.8428) * CHOOSE( CONTROL!$C$14, $D$10, 100%, $F$10)</f>
        <v>23.845800000000001</v>
      </c>
      <c r="E693" s="12">
        <f>CHOOSE( CONTROL!$C$31, 23.8428, 23.8398) * CHOOSE( CONTROL!$C$14, $D$10, 100%, $F$10)</f>
        <v>23.8428</v>
      </c>
      <c r="F693" s="4">
        <f>CHOOSE( CONTROL!$C$31, 24.5144, 24.5115) * CHOOSE(CONTROL!$C$14, $D$10, 100%, $F$10)</f>
        <v>24.514399999999998</v>
      </c>
      <c r="G693" s="8">
        <f>CHOOSE( CONTROL!$C$31, 23.4081, 23.4052) * CHOOSE( CONTROL!$C$14, $D$10, 100%, $F$10)</f>
        <v>23.408100000000001</v>
      </c>
      <c r="H693" s="4">
        <f>CHOOSE( CONTROL!$C$31, 24.3367, 24.3338) * CHOOSE(CONTROL!$C$14, $D$10, 100%, $F$10)</f>
        <v>24.3367</v>
      </c>
      <c r="I693" s="8">
        <f>CHOOSE( CONTROL!$C$31, 23.1119, 23.1091) * CHOOSE(CONTROL!$C$14, $D$10, 100%, $F$10)</f>
        <v>23.111899999999999</v>
      </c>
      <c r="J693" s="4">
        <f>CHOOSE( CONTROL!$C$31, 23.008, 23.0052) * CHOOSE(CONTROL!$C$14, $D$10, 100%, $F$10)</f>
        <v>23.007999999999999</v>
      </c>
      <c r="K693" s="4"/>
      <c r="L693" s="9">
        <v>29.7257</v>
      </c>
      <c r="M693" s="9">
        <v>11.6745</v>
      </c>
      <c r="N693" s="9">
        <v>4.7850000000000001</v>
      </c>
      <c r="O693" s="9">
        <v>0.36199999999999999</v>
      </c>
      <c r="P693" s="9">
        <v>1.1791</v>
      </c>
      <c r="Q693" s="9">
        <v>19.053000000000001</v>
      </c>
      <c r="R693" s="9"/>
      <c r="S693" s="11"/>
    </row>
    <row r="694" spans="1:19" ht="15.75">
      <c r="A694" s="13">
        <v>63036</v>
      </c>
      <c r="B694" s="8">
        <f>CHOOSE( CONTROL!$C$31, 24.8569, 24.854) * CHOOSE(CONTROL!$C$14, $D$10, 100%, $F$10)</f>
        <v>24.8569</v>
      </c>
      <c r="C694" s="8">
        <f>CHOOSE( CONTROL!$C$31, 24.8649, 24.862) * CHOOSE(CONTROL!$C$14, $D$10, 100%, $F$10)</f>
        <v>24.864899999999999</v>
      </c>
      <c r="D694" s="8">
        <f>CHOOSE( CONTROL!$C$31, 24.87, 24.8671) * CHOOSE( CONTROL!$C$14, $D$10, 100%, $F$10)</f>
        <v>24.87</v>
      </c>
      <c r="E694" s="12">
        <f>CHOOSE( CONTROL!$C$31, 24.8669, 24.864) * CHOOSE( CONTROL!$C$14, $D$10, 100%, $F$10)</f>
        <v>24.866900000000001</v>
      </c>
      <c r="F694" s="4">
        <f>CHOOSE( CONTROL!$C$31, 25.5384, 25.5355) * CHOOSE(CONTROL!$C$14, $D$10, 100%, $F$10)</f>
        <v>25.538399999999999</v>
      </c>
      <c r="G694" s="8">
        <f>CHOOSE( CONTROL!$C$31, 24.4155, 24.4126) * CHOOSE( CONTROL!$C$14, $D$10, 100%, $F$10)</f>
        <v>24.415500000000002</v>
      </c>
      <c r="H694" s="4">
        <f>CHOOSE( CONTROL!$C$31, 25.3437, 25.3408) * CHOOSE(CONTROL!$C$14, $D$10, 100%, $F$10)</f>
        <v>25.343699999999998</v>
      </c>
      <c r="I694" s="8">
        <f>CHOOSE( CONTROL!$C$31, 24.1035, 24.1006) * CHOOSE(CONTROL!$C$14, $D$10, 100%, $F$10)</f>
        <v>24.1035</v>
      </c>
      <c r="J694" s="4">
        <f>CHOOSE( CONTROL!$C$31, 23.9979, 23.9951) * CHOOSE(CONTROL!$C$14, $D$10, 100%, $F$10)</f>
        <v>23.997900000000001</v>
      </c>
      <c r="K694" s="4"/>
      <c r="L694" s="9">
        <v>30.7165</v>
      </c>
      <c r="M694" s="9">
        <v>12.063700000000001</v>
      </c>
      <c r="N694" s="9">
        <v>4.9444999999999997</v>
      </c>
      <c r="O694" s="9">
        <v>0.37409999999999999</v>
      </c>
      <c r="P694" s="9">
        <v>1.2183999999999999</v>
      </c>
      <c r="Q694" s="9">
        <v>19.688099999999999</v>
      </c>
      <c r="R694" s="9"/>
      <c r="S694" s="11"/>
    </row>
    <row r="695" spans="1:19" ht="15.75">
      <c r="A695" s="13">
        <v>63067</v>
      </c>
      <c r="B695" s="8">
        <f>CHOOSE( CONTROL!$C$31, 22.9408, 22.9379) * CHOOSE(CONTROL!$C$14, $D$10, 100%, $F$10)</f>
        <v>22.940799999999999</v>
      </c>
      <c r="C695" s="8">
        <f>CHOOSE( CONTROL!$C$31, 22.9489, 22.9459) * CHOOSE(CONTROL!$C$14, $D$10, 100%, $F$10)</f>
        <v>22.948899999999998</v>
      </c>
      <c r="D695" s="8">
        <f>CHOOSE( CONTROL!$C$31, 22.9541, 22.9511) * CHOOSE( CONTROL!$C$14, $D$10, 100%, $F$10)</f>
        <v>22.9541</v>
      </c>
      <c r="E695" s="12">
        <f>CHOOSE( CONTROL!$C$31, 22.951, 22.948) * CHOOSE( CONTROL!$C$14, $D$10, 100%, $F$10)</f>
        <v>22.951000000000001</v>
      </c>
      <c r="F695" s="4">
        <f>CHOOSE( CONTROL!$C$31, 23.6224, 23.6195) * CHOOSE(CONTROL!$C$14, $D$10, 100%, $F$10)</f>
        <v>23.622399999999999</v>
      </c>
      <c r="G695" s="8">
        <f>CHOOSE( CONTROL!$C$31, 22.5313, 22.5284) * CHOOSE( CONTROL!$C$14, $D$10, 100%, $F$10)</f>
        <v>22.531300000000002</v>
      </c>
      <c r="H695" s="4">
        <f>CHOOSE( CONTROL!$C$31, 23.4594, 23.4566) * CHOOSE(CONTROL!$C$14, $D$10, 100%, $F$10)</f>
        <v>23.459399999999999</v>
      </c>
      <c r="I695" s="8">
        <f>CHOOSE( CONTROL!$C$31, 22.2507, 22.2479) * CHOOSE(CONTROL!$C$14, $D$10, 100%, $F$10)</f>
        <v>22.250699999999998</v>
      </c>
      <c r="J695" s="4">
        <f>CHOOSE( CONTROL!$C$31, 22.1457, 22.1428) * CHOOSE(CONTROL!$C$14, $D$10, 100%, $F$10)</f>
        <v>22.145700000000001</v>
      </c>
      <c r="K695" s="4"/>
      <c r="L695" s="9">
        <v>30.7165</v>
      </c>
      <c r="M695" s="9">
        <v>12.063700000000001</v>
      </c>
      <c r="N695" s="9">
        <v>4.9444999999999997</v>
      </c>
      <c r="O695" s="9">
        <v>0.37409999999999999</v>
      </c>
      <c r="P695" s="9">
        <v>1.2183999999999999</v>
      </c>
      <c r="Q695" s="9">
        <v>19.688099999999999</v>
      </c>
      <c r="R695" s="9"/>
      <c r="S695" s="11"/>
    </row>
    <row r="696" spans="1:19" ht="15.75">
      <c r="A696" s="13">
        <v>63097</v>
      </c>
      <c r="B696" s="8">
        <f>CHOOSE( CONTROL!$C$31, 22.461, 22.4581) * CHOOSE(CONTROL!$C$14, $D$10, 100%, $F$10)</f>
        <v>22.460999999999999</v>
      </c>
      <c r="C696" s="8">
        <f>CHOOSE( CONTROL!$C$31, 22.4691, 22.4661) * CHOOSE(CONTROL!$C$14, $D$10, 100%, $F$10)</f>
        <v>22.469100000000001</v>
      </c>
      <c r="D696" s="8">
        <f>CHOOSE( CONTROL!$C$31, 22.4742, 22.4713) * CHOOSE( CONTROL!$C$14, $D$10, 100%, $F$10)</f>
        <v>22.4742</v>
      </c>
      <c r="E696" s="12">
        <f>CHOOSE( CONTROL!$C$31, 22.4711, 22.4682) * CHOOSE( CONTROL!$C$14, $D$10, 100%, $F$10)</f>
        <v>22.4711</v>
      </c>
      <c r="F696" s="4">
        <f>CHOOSE( CONTROL!$C$31, 23.1426, 23.1397) * CHOOSE(CONTROL!$C$14, $D$10, 100%, $F$10)</f>
        <v>23.142600000000002</v>
      </c>
      <c r="G696" s="8">
        <f>CHOOSE( CONTROL!$C$31, 22.0594, 22.0566) * CHOOSE( CONTROL!$C$14, $D$10, 100%, $F$10)</f>
        <v>22.0594</v>
      </c>
      <c r="H696" s="4">
        <f>CHOOSE( CONTROL!$C$31, 22.9876, 22.9847) * CHOOSE(CONTROL!$C$14, $D$10, 100%, $F$10)</f>
        <v>22.9876</v>
      </c>
      <c r="I696" s="8">
        <f>CHOOSE( CONTROL!$C$31, 21.7866, 21.7838) * CHOOSE(CONTROL!$C$14, $D$10, 100%, $F$10)</f>
        <v>21.7866</v>
      </c>
      <c r="J696" s="4">
        <f>CHOOSE( CONTROL!$C$31, 21.6819, 21.679) * CHOOSE(CONTROL!$C$14, $D$10, 100%, $F$10)</f>
        <v>21.681899999999999</v>
      </c>
      <c r="K696" s="4"/>
      <c r="L696" s="9">
        <v>29.7257</v>
      </c>
      <c r="M696" s="9">
        <v>11.6745</v>
      </c>
      <c r="N696" s="9">
        <v>4.7850000000000001</v>
      </c>
      <c r="O696" s="9">
        <v>0.36199999999999999</v>
      </c>
      <c r="P696" s="9">
        <v>1.1791</v>
      </c>
      <c r="Q696" s="9">
        <v>19.053000000000001</v>
      </c>
      <c r="R696" s="9"/>
      <c r="S696" s="11"/>
    </row>
    <row r="697" spans="1:19" ht="15.75">
      <c r="A697" s="13">
        <v>63128</v>
      </c>
      <c r="B697" s="8">
        <f>23.4526 * CHOOSE(CONTROL!$C$14, $D$10, 100%, $F$10)</f>
        <v>23.4526</v>
      </c>
      <c r="C697" s="8">
        <f>23.458 * CHOOSE(CONTROL!$C$14, $D$10, 100%, $F$10)</f>
        <v>23.457999999999998</v>
      </c>
      <c r="D697" s="8">
        <f>23.468 * CHOOSE( CONTROL!$C$14, $D$10, 100%, $F$10)</f>
        <v>23.468</v>
      </c>
      <c r="E697" s="12">
        <f>23.4641 * CHOOSE( CONTROL!$C$14, $D$10, 100%, $F$10)</f>
        <v>23.464099999999998</v>
      </c>
      <c r="F697" s="4">
        <f>24.1359 * CHOOSE(CONTROL!$C$14, $D$10, 100%, $F$10)</f>
        <v>24.135899999999999</v>
      </c>
      <c r="G697" s="8">
        <f>23.0359 * CHOOSE( CONTROL!$C$14, $D$10, 100%, $F$10)</f>
        <v>23.035900000000002</v>
      </c>
      <c r="H697" s="4">
        <f>23.9644 * CHOOSE(CONTROL!$C$14, $D$10, 100%, $F$10)</f>
        <v>23.964400000000001</v>
      </c>
      <c r="I697" s="8">
        <f>22.7481 * CHOOSE(CONTROL!$C$14, $D$10, 100%, $F$10)</f>
        <v>22.748100000000001</v>
      </c>
      <c r="J697" s="4">
        <f>22.6421 * CHOOSE(CONTROL!$C$14, $D$10, 100%, $F$10)</f>
        <v>22.642099999999999</v>
      </c>
      <c r="K697" s="4"/>
      <c r="L697" s="9">
        <v>31.095300000000002</v>
      </c>
      <c r="M697" s="9">
        <v>12.063700000000001</v>
      </c>
      <c r="N697" s="9">
        <v>4.9444999999999997</v>
      </c>
      <c r="O697" s="9">
        <v>0.37409999999999999</v>
      </c>
      <c r="P697" s="9">
        <v>1.2183999999999999</v>
      </c>
      <c r="Q697" s="9">
        <v>19.688099999999999</v>
      </c>
      <c r="R697" s="9"/>
      <c r="S697" s="11"/>
    </row>
    <row r="698" spans="1:19" ht="15.75">
      <c r="A698" s="13">
        <v>63158</v>
      </c>
      <c r="B698" s="8">
        <f>25.2911 * CHOOSE(CONTROL!$C$14, $D$10, 100%, $F$10)</f>
        <v>25.2911</v>
      </c>
      <c r="C698" s="8">
        <f>25.2962 * CHOOSE(CONTROL!$C$14, $D$10, 100%, $F$10)</f>
        <v>25.296199999999999</v>
      </c>
      <c r="D698" s="8">
        <f>25.2724 * CHOOSE( CONTROL!$C$14, $D$10, 100%, $F$10)</f>
        <v>25.272400000000001</v>
      </c>
      <c r="E698" s="12">
        <f>25.2806 * CHOOSE( CONTROL!$C$14, $D$10, 100%, $F$10)</f>
        <v>25.2806</v>
      </c>
      <c r="F698" s="4">
        <f>25.9385 * CHOOSE(CONTROL!$C$14, $D$10, 100%, $F$10)</f>
        <v>25.938500000000001</v>
      </c>
      <c r="G698" s="8">
        <f>24.8541 * CHOOSE( CONTROL!$C$14, $D$10, 100%, $F$10)</f>
        <v>24.854099999999999</v>
      </c>
      <c r="H698" s="4">
        <f>25.7372 * CHOOSE(CONTROL!$C$14, $D$10, 100%, $F$10)</f>
        <v>25.737200000000001</v>
      </c>
      <c r="I698" s="8">
        <f>24.5571 * CHOOSE(CONTROL!$C$14, $D$10, 100%, $F$10)</f>
        <v>24.557099999999998</v>
      </c>
      <c r="J698" s="4">
        <f>24.4197 * CHOOSE(CONTROL!$C$14, $D$10, 100%, $F$10)</f>
        <v>24.419699999999999</v>
      </c>
      <c r="K698" s="4"/>
      <c r="L698" s="9">
        <v>28.360600000000002</v>
      </c>
      <c r="M698" s="9">
        <v>11.6745</v>
      </c>
      <c r="N698" s="9">
        <v>4.7850000000000001</v>
      </c>
      <c r="O698" s="9">
        <v>0.36199999999999999</v>
      </c>
      <c r="P698" s="9">
        <v>1.2509999999999999</v>
      </c>
      <c r="Q698" s="9">
        <v>19.053000000000001</v>
      </c>
      <c r="R698" s="9"/>
      <c r="S698" s="11"/>
    </row>
    <row r="699" spans="1:19" ht="15.75">
      <c r="A699" s="13">
        <v>63189</v>
      </c>
      <c r="B699" s="8">
        <f>25.2451 * CHOOSE(CONTROL!$C$14, $D$10, 100%, $F$10)</f>
        <v>25.245100000000001</v>
      </c>
      <c r="C699" s="8">
        <f>25.2502 * CHOOSE(CONTROL!$C$14, $D$10, 100%, $F$10)</f>
        <v>25.2502</v>
      </c>
      <c r="D699" s="8">
        <f>25.2278 * CHOOSE( CONTROL!$C$14, $D$10, 100%, $F$10)</f>
        <v>25.227799999999998</v>
      </c>
      <c r="E699" s="12">
        <f>25.2354 * CHOOSE( CONTROL!$C$14, $D$10, 100%, $F$10)</f>
        <v>25.235399999999998</v>
      </c>
      <c r="F699" s="4">
        <f>25.8926 * CHOOSE(CONTROL!$C$14, $D$10, 100%, $F$10)</f>
        <v>25.892600000000002</v>
      </c>
      <c r="G699" s="8">
        <f>24.8099 * CHOOSE( CONTROL!$C$14, $D$10, 100%, $F$10)</f>
        <v>24.809899999999999</v>
      </c>
      <c r="H699" s="4">
        <f>25.692 * CHOOSE(CONTROL!$C$14, $D$10, 100%, $F$10)</f>
        <v>25.692</v>
      </c>
      <c r="I699" s="8">
        <f>24.517 * CHOOSE(CONTROL!$C$14, $D$10, 100%, $F$10)</f>
        <v>24.516999999999999</v>
      </c>
      <c r="J699" s="4">
        <f>24.3753 * CHOOSE(CONTROL!$C$14, $D$10, 100%, $F$10)</f>
        <v>24.375299999999999</v>
      </c>
      <c r="K699" s="4"/>
      <c r="L699" s="9">
        <v>29.306000000000001</v>
      </c>
      <c r="M699" s="9">
        <v>12.063700000000001</v>
      </c>
      <c r="N699" s="9">
        <v>4.9444999999999997</v>
      </c>
      <c r="O699" s="9">
        <v>0.37409999999999999</v>
      </c>
      <c r="P699" s="9">
        <v>1.2927</v>
      </c>
      <c r="Q699" s="9">
        <v>19.688099999999999</v>
      </c>
      <c r="R699" s="9"/>
      <c r="S699" s="11"/>
    </row>
    <row r="700" spans="1:19" ht="15.75">
      <c r="A700" s="13">
        <v>63220</v>
      </c>
      <c r="B700" s="8">
        <f>26.2088 * CHOOSE(CONTROL!$C$14, $D$10, 100%, $F$10)</f>
        <v>26.2088</v>
      </c>
      <c r="C700" s="8">
        <f>26.2139 * CHOOSE(CONTROL!$C$14, $D$10, 100%, $F$10)</f>
        <v>26.213899999999999</v>
      </c>
      <c r="D700" s="8">
        <f>26.2097 * CHOOSE( CONTROL!$C$14, $D$10, 100%, $F$10)</f>
        <v>26.209700000000002</v>
      </c>
      <c r="E700" s="12">
        <f>26.2107 * CHOOSE( CONTROL!$C$14, $D$10, 100%, $F$10)</f>
        <v>26.210699999999999</v>
      </c>
      <c r="F700" s="4">
        <f>26.8873 * CHOOSE(CONTROL!$C$14, $D$10, 100%, $F$10)</f>
        <v>26.8873</v>
      </c>
      <c r="G700" s="8">
        <f>25.7718 * CHOOSE( CONTROL!$C$14, $D$10, 100%, $F$10)</f>
        <v>25.771799999999999</v>
      </c>
      <c r="H700" s="4">
        <f>26.6702 * CHOOSE(CONTROL!$C$14, $D$10, 100%, $F$10)</f>
        <v>26.670200000000001</v>
      </c>
      <c r="I700" s="8">
        <f>25.4281 * CHOOSE(CONTROL!$C$14, $D$10, 100%, $F$10)</f>
        <v>25.428100000000001</v>
      </c>
      <c r="J700" s="4">
        <f>25.3069 * CHOOSE(CONTROL!$C$14, $D$10, 100%, $F$10)</f>
        <v>25.306899999999999</v>
      </c>
      <c r="K700" s="4"/>
      <c r="L700" s="9">
        <v>29.306000000000001</v>
      </c>
      <c r="M700" s="9">
        <v>12.063700000000001</v>
      </c>
      <c r="N700" s="9">
        <v>4.9444999999999997</v>
      </c>
      <c r="O700" s="9">
        <v>0.37409999999999999</v>
      </c>
      <c r="P700" s="9">
        <v>1.2927</v>
      </c>
      <c r="Q700" s="9">
        <v>19.688099999999999</v>
      </c>
      <c r="R700" s="9"/>
      <c r="S700" s="11"/>
    </row>
    <row r="701" spans="1:19" ht="15.75">
      <c r="A701" s="13">
        <v>63248</v>
      </c>
      <c r="B701" s="8">
        <f>24.5164 * CHOOSE(CONTROL!$C$14, $D$10, 100%, $F$10)</f>
        <v>24.516400000000001</v>
      </c>
      <c r="C701" s="8">
        <f>24.5215 * CHOOSE(CONTROL!$C$14, $D$10, 100%, $F$10)</f>
        <v>24.5215</v>
      </c>
      <c r="D701" s="8">
        <f>24.5114 * CHOOSE( CONTROL!$C$14, $D$10, 100%, $F$10)</f>
        <v>24.511399999999998</v>
      </c>
      <c r="E701" s="12">
        <f>24.5145 * CHOOSE( CONTROL!$C$14, $D$10, 100%, $F$10)</f>
        <v>24.514500000000002</v>
      </c>
      <c r="F701" s="4">
        <f>25.1691 * CHOOSE(CONTROL!$C$14, $D$10, 100%, $F$10)</f>
        <v>25.1691</v>
      </c>
      <c r="G701" s="8">
        <f>24.0994 * CHOOSE( CONTROL!$C$14, $D$10, 100%, $F$10)</f>
        <v>24.099399999999999</v>
      </c>
      <c r="H701" s="4">
        <f>24.9805 * CHOOSE(CONTROL!$C$14, $D$10, 100%, $F$10)</f>
        <v>24.980499999999999</v>
      </c>
      <c r="I701" s="8">
        <f>23.7819 * CHOOSE(CONTROL!$C$14, $D$10, 100%, $F$10)</f>
        <v>23.7819</v>
      </c>
      <c r="J701" s="4">
        <f>23.6708 * CHOOSE(CONTROL!$C$14, $D$10, 100%, $F$10)</f>
        <v>23.6708</v>
      </c>
      <c r="K701" s="4"/>
      <c r="L701" s="9">
        <v>26.469899999999999</v>
      </c>
      <c r="M701" s="9">
        <v>10.8962</v>
      </c>
      <c r="N701" s="9">
        <v>4.4660000000000002</v>
      </c>
      <c r="O701" s="9">
        <v>0.33789999999999998</v>
      </c>
      <c r="P701" s="9">
        <v>1.1676</v>
      </c>
      <c r="Q701" s="9">
        <v>17.782800000000002</v>
      </c>
      <c r="R701" s="9"/>
      <c r="S701" s="11"/>
    </row>
    <row r="702" spans="1:19" ht="15.75">
      <c r="A702" s="13">
        <v>63279</v>
      </c>
      <c r="B702" s="8">
        <f>23.9952 * CHOOSE(CONTROL!$C$14, $D$10, 100%, $F$10)</f>
        <v>23.995200000000001</v>
      </c>
      <c r="C702" s="8">
        <f>24.0003 * CHOOSE(CONTROL!$C$14, $D$10, 100%, $F$10)</f>
        <v>24.000299999999999</v>
      </c>
      <c r="D702" s="8">
        <f>23.9837 * CHOOSE( CONTROL!$C$14, $D$10, 100%, $F$10)</f>
        <v>23.983699999999999</v>
      </c>
      <c r="E702" s="12">
        <f>23.9892 * CHOOSE( CONTROL!$C$14, $D$10, 100%, $F$10)</f>
        <v>23.9892</v>
      </c>
      <c r="F702" s="4">
        <f>24.6478 * CHOOSE(CONTROL!$C$14, $D$10, 100%, $F$10)</f>
        <v>24.6478</v>
      </c>
      <c r="G702" s="8">
        <f>23.5786 * CHOOSE( CONTROL!$C$14, $D$10, 100%, $F$10)</f>
        <v>23.578600000000002</v>
      </c>
      <c r="H702" s="4">
        <f>24.4679 * CHOOSE(CONTROL!$C$14, $D$10, 100%, $F$10)</f>
        <v>24.4679</v>
      </c>
      <c r="I702" s="8">
        <f>23.2577 * CHOOSE(CONTROL!$C$14, $D$10, 100%, $F$10)</f>
        <v>23.2577</v>
      </c>
      <c r="J702" s="4">
        <f>23.1669 * CHOOSE(CONTROL!$C$14, $D$10, 100%, $F$10)</f>
        <v>23.166899999999998</v>
      </c>
      <c r="K702" s="4"/>
      <c r="L702" s="9">
        <v>29.306000000000001</v>
      </c>
      <c r="M702" s="9">
        <v>12.063700000000001</v>
      </c>
      <c r="N702" s="9">
        <v>4.9444999999999997</v>
      </c>
      <c r="O702" s="9">
        <v>0.37409999999999999</v>
      </c>
      <c r="P702" s="9">
        <v>1.2927</v>
      </c>
      <c r="Q702" s="9">
        <v>19.688099999999999</v>
      </c>
      <c r="R702" s="9"/>
      <c r="S702" s="11"/>
    </row>
    <row r="703" spans="1:19" ht="15.75">
      <c r="A703" s="13">
        <v>63309</v>
      </c>
      <c r="B703" s="8">
        <f>24.3602 * CHOOSE(CONTROL!$C$14, $D$10, 100%, $F$10)</f>
        <v>24.360199999999999</v>
      </c>
      <c r="C703" s="8">
        <f>24.3647 * CHOOSE(CONTROL!$C$14, $D$10, 100%, $F$10)</f>
        <v>24.364699999999999</v>
      </c>
      <c r="D703" s="8">
        <f>24.3742 * CHOOSE( CONTROL!$C$14, $D$10, 100%, $F$10)</f>
        <v>24.374199999999998</v>
      </c>
      <c r="E703" s="12">
        <f>24.3705 * CHOOSE( CONTROL!$C$14, $D$10, 100%, $F$10)</f>
        <v>24.3705</v>
      </c>
      <c r="F703" s="4">
        <f>25.0431 * CHOOSE(CONTROL!$C$14, $D$10, 100%, $F$10)</f>
        <v>25.043099999999999</v>
      </c>
      <c r="G703" s="8">
        <f>23.9266 * CHOOSE( CONTROL!$C$14, $D$10, 100%, $F$10)</f>
        <v>23.926600000000001</v>
      </c>
      <c r="H703" s="4">
        <f>24.8566 * CHOOSE(CONTROL!$C$14, $D$10, 100%, $F$10)</f>
        <v>24.8566</v>
      </c>
      <c r="I703" s="8">
        <f>23.6209 * CHOOSE(CONTROL!$C$14, $D$10, 100%, $F$10)</f>
        <v>23.620899999999999</v>
      </c>
      <c r="J703" s="4">
        <f>23.5191 * CHOOSE(CONTROL!$C$14, $D$10, 100%, $F$10)</f>
        <v>23.519100000000002</v>
      </c>
      <c r="K703" s="4"/>
      <c r="L703" s="9">
        <v>30.092199999999998</v>
      </c>
      <c r="M703" s="9">
        <v>11.6745</v>
      </c>
      <c r="N703" s="9">
        <v>4.7850000000000001</v>
      </c>
      <c r="O703" s="9">
        <v>0.36199999999999999</v>
      </c>
      <c r="P703" s="9">
        <v>1.1791</v>
      </c>
      <c r="Q703" s="9">
        <v>19.053000000000001</v>
      </c>
      <c r="R703" s="9"/>
      <c r="S703" s="11"/>
    </row>
    <row r="704" spans="1:19" ht="15.75">
      <c r="A704" s="13">
        <v>63340</v>
      </c>
      <c r="B704" s="8">
        <f>CHOOSE( CONTROL!$C$31, 25.0127, 25.0098) * CHOOSE(CONTROL!$C$14, $D$10, 100%, $F$10)</f>
        <v>25.012699999999999</v>
      </c>
      <c r="C704" s="8">
        <f>CHOOSE( CONTROL!$C$31, 25.0207, 25.0178) * CHOOSE(CONTROL!$C$14, $D$10, 100%, $F$10)</f>
        <v>25.020700000000001</v>
      </c>
      <c r="D704" s="8">
        <f>CHOOSE( CONTROL!$C$31, 25.0254, 25.0224) * CHOOSE( CONTROL!$C$14, $D$10, 100%, $F$10)</f>
        <v>25.025400000000001</v>
      </c>
      <c r="E704" s="12">
        <f>CHOOSE( CONTROL!$C$31, 25.0225, 25.0195) * CHOOSE( CONTROL!$C$14, $D$10, 100%, $F$10)</f>
        <v>25.022500000000001</v>
      </c>
      <c r="F704" s="4">
        <f>CHOOSE( CONTROL!$C$31, 25.6943, 25.6913) * CHOOSE(CONTROL!$C$14, $D$10, 100%, $F$10)</f>
        <v>25.694299999999998</v>
      </c>
      <c r="G704" s="8">
        <f>CHOOSE( CONTROL!$C$31, 24.568, 24.5651) * CHOOSE( CONTROL!$C$14, $D$10, 100%, $F$10)</f>
        <v>24.568000000000001</v>
      </c>
      <c r="H704" s="4">
        <f>CHOOSE( CONTROL!$C$31, 25.497, 25.4941) * CHOOSE(CONTROL!$C$14, $D$10, 100%, $F$10)</f>
        <v>25.497</v>
      </c>
      <c r="I704" s="8">
        <f>CHOOSE( CONTROL!$C$31, 24.2518, 24.249) * CHOOSE(CONTROL!$C$14, $D$10, 100%, $F$10)</f>
        <v>24.251799999999999</v>
      </c>
      <c r="J704" s="4">
        <f>CHOOSE( CONTROL!$C$31, 24.1486, 24.1457) * CHOOSE(CONTROL!$C$14, $D$10, 100%, $F$10)</f>
        <v>24.148599999999998</v>
      </c>
      <c r="K704" s="4"/>
      <c r="L704" s="9">
        <v>30.7165</v>
      </c>
      <c r="M704" s="9">
        <v>12.063700000000001</v>
      </c>
      <c r="N704" s="9">
        <v>4.9444999999999997</v>
      </c>
      <c r="O704" s="9">
        <v>0.37409999999999999</v>
      </c>
      <c r="P704" s="9">
        <v>1.2183999999999999</v>
      </c>
      <c r="Q704" s="9">
        <v>19.688099999999999</v>
      </c>
      <c r="R704" s="9"/>
      <c r="S704" s="11"/>
    </row>
    <row r="705" spans="1:19" ht="15.75">
      <c r="A705" s="13">
        <v>63370</v>
      </c>
      <c r="B705" s="8">
        <f>CHOOSE( CONTROL!$C$31, 24.6111, 24.6082) * CHOOSE(CONTROL!$C$14, $D$10, 100%, $F$10)</f>
        <v>24.6111</v>
      </c>
      <c r="C705" s="8">
        <f>CHOOSE( CONTROL!$C$31, 24.6192, 24.6162) * CHOOSE(CONTROL!$C$14, $D$10, 100%, $F$10)</f>
        <v>24.619199999999999</v>
      </c>
      <c r="D705" s="8">
        <f>CHOOSE( CONTROL!$C$31, 24.624, 24.6211) * CHOOSE( CONTROL!$C$14, $D$10, 100%, $F$10)</f>
        <v>24.623999999999999</v>
      </c>
      <c r="E705" s="12">
        <f>CHOOSE( CONTROL!$C$31, 24.621, 24.6181) * CHOOSE( CONTROL!$C$14, $D$10, 100%, $F$10)</f>
        <v>24.620999999999999</v>
      </c>
      <c r="F705" s="4">
        <f>CHOOSE( CONTROL!$C$31, 25.2927, 25.2898) * CHOOSE(CONTROL!$C$14, $D$10, 100%, $F$10)</f>
        <v>25.2927</v>
      </c>
      <c r="G705" s="8">
        <f>CHOOSE( CONTROL!$C$31, 24.1734, 24.1705) * CHOOSE( CONTROL!$C$14, $D$10, 100%, $F$10)</f>
        <v>24.173400000000001</v>
      </c>
      <c r="H705" s="4">
        <f>CHOOSE( CONTROL!$C$31, 25.1021, 25.0992) * CHOOSE(CONTROL!$C$14, $D$10, 100%, $F$10)</f>
        <v>25.1021</v>
      </c>
      <c r="I705" s="8">
        <f>CHOOSE( CONTROL!$C$31, 23.8646, 23.8618) * CHOOSE(CONTROL!$C$14, $D$10, 100%, $F$10)</f>
        <v>23.864599999999999</v>
      </c>
      <c r="J705" s="4">
        <f>CHOOSE( CONTROL!$C$31, 23.7604, 23.7575) * CHOOSE(CONTROL!$C$14, $D$10, 100%, $F$10)</f>
        <v>23.760400000000001</v>
      </c>
      <c r="K705" s="4"/>
      <c r="L705" s="9">
        <v>29.7257</v>
      </c>
      <c r="M705" s="9">
        <v>11.6745</v>
      </c>
      <c r="N705" s="9">
        <v>4.7850000000000001</v>
      </c>
      <c r="O705" s="9">
        <v>0.36199999999999999</v>
      </c>
      <c r="P705" s="9">
        <v>1.1791</v>
      </c>
      <c r="Q705" s="9">
        <v>19.053000000000001</v>
      </c>
      <c r="R705" s="9"/>
      <c r="S705" s="11"/>
    </row>
    <row r="706" spans="1:19" ht="15.75">
      <c r="A706" s="13">
        <v>63401</v>
      </c>
      <c r="B706" s="8">
        <f>CHOOSE( CONTROL!$C$31, 25.6686, 25.6657) * CHOOSE(CONTROL!$C$14, $D$10, 100%, $F$10)</f>
        <v>25.668600000000001</v>
      </c>
      <c r="C706" s="8">
        <f>CHOOSE( CONTROL!$C$31, 25.6767, 25.6737) * CHOOSE(CONTROL!$C$14, $D$10, 100%, $F$10)</f>
        <v>25.6767</v>
      </c>
      <c r="D706" s="8">
        <f>CHOOSE( CONTROL!$C$31, 25.6818, 25.6789) * CHOOSE( CONTROL!$C$14, $D$10, 100%, $F$10)</f>
        <v>25.681799999999999</v>
      </c>
      <c r="E706" s="12">
        <f>CHOOSE( CONTROL!$C$31, 25.6787, 25.6758) * CHOOSE( CONTROL!$C$14, $D$10, 100%, $F$10)</f>
        <v>25.678699999999999</v>
      </c>
      <c r="F706" s="4">
        <f>CHOOSE( CONTROL!$C$31, 26.3502, 26.3473) * CHOOSE(CONTROL!$C$14, $D$10, 100%, $F$10)</f>
        <v>26.350200000000001</v>
      </c>
      <c r="G706" s="8">
        <f>CHOOSE( CONTROL!$C$31, 25.2138, 25.2109) * CHOOSE( CONTROL!$C$14, $D$10, 100%, $F$10)</f>
        <v>25.213799999999999</v>
      </c>
      <c r="H706" s="4">
        <f>CHOOSE( CONTROL!$C$31, 26.142, 26.1391) * CHOOSE(CONTROL!$C$14, $D$10, 100%, $F$10)</f>
        <v>26.141999999999999</v>
      </c>
      <c r="I706" s="8">
        <f>CHOOSE( CONTROL!$C$31, 24.8886, 24.8858) * CHOOSE(CONTROL!$C$14, $D$10, 100%, $F$10)</f>
        <v>24.8886</v>
      </c>
      <c r="J706" s="4">
        <f>CHOOSE( CONTROL!$C$31, 24.7826, 24.7798) * CHOOSE(CONTROL!$C$14, $D$10, 100%, $F$10)</f>
        <v>24.782599999999999</v>
      </c>
      <c r="K706" s="4"/>
      <c r="L706" s="9">
        <v>30.7165</v>
      </c>
      <c r="M706" s="9">
        <v>12.063700000000001</v>
      </c>
      <c r="N706" s="9">
        <v>4.9444999999999997</v>
      </c>
      <c r="O706" s="9">
        <v>0.37409999999999999</v>
      </c>
      <c r="P706" s="9">
        <v>1.2183999999999999</v>
      </c>
      <c r="Q706" s="9">
        <v>19.688099999999999</v>
      </c>
      <c r="R706" s="9"/>
      <c r="S706" s="11"/>
    </row>
    <row r="707" spans="1:19" ht="15.75">
      <c r="A707" s="13">
        <v>63432</v>
      </c>
      <c r="B707" s="8">
        <f>CHOOSE( CONTROL!$C$31, 23.6899, 23.687) * CHOOSE(CONTROL!$C$14, $D$10, 100%, $F$10)</f>
        <v>23.689900000000002</v>
      </c>
      <c r="C707" s="8">
        <f>CHOOSE( CONTROL!$C$31, 23.698, 23.695) * CHOOSE(CONTROL!$C$14, $D$10, 100%, $F$10)</f>
        <v>23.698</v>
      </c>
      <c r="D707" s="8">
        <f>CHOOSE( CONTROL!$C$31, 23.7032, 23.7002) * CHOOSE( CONTROL!$C$14, $D$10, 100%, $F$10)</f>
        <v>23.703199999999999</v>
      </c>
      <c r="E707" s="12">
        <f>CHOOSE( CONTROL!$C$31, 23.7001, 23.6971) * CHOOSE( CONTROL!$C$14, $D$10, 100%, $F$10)</f>
        <v>23.700099999999999</v>
      </c>
      <c r="F707" s="4">
        <f>CHOOSE( CONTROL!$C$31, 24.3715, 24.3686) * CHOOSE(CONTROL!$C$14, $D$10, 100%, $F$10)</f>
        <v>24.371500000000001</v>
      </c>
      <c r="G707" s="8">
        <f>CHOOSE( CONTROL!$C$31, 23.268, 23.2651) * CHOOSE( CONTROL!$C$14, $D$10, 100%, $F$10)</f>
        <v>23.268000000000001</v>
      </c>
      <c r="H707" s="4">
        <f>CHOOSE( CONTROL!$C$31, 24.1961, 24.1932) * CHOOSE(CONTROL!$C$14, $D$10, 100%, $F$10)</f>
        <v>24.196100000000001</v>
      </c>
      <c r="I707" s="8">
        <f>CHOOSE( CONTROL!$C$31, 22.9752, 22.9724) * CHOOSE(CONTROL!$C$14, $D$10, 100%, $F$10)</f>
        <v>22.975200000000001</v>
      </c>
      <c r="J707" s="4">
        <f>CHOOSE( CONTROL!$C$31, 22.8698, 22.867) * CHOOSE(CONTROL!$C$14, $D$10, 100%, $F$10)</f>
        <v>22.869800000000001</v>
      </c>
      <c r="K707" s="4"/>
      <c r="L707" s="9">
        <v>30.7165</v>
      </c>
      <c r="M707" s="9">
        <v>12.063700000000001</v>
      </c>
      <c r="N707" s="9">
        <v>4.9444999999999997</v>
      </c>
      <c r="O707" s="9">
        <v>0.37409999999999999</v>
      </c>
      <c r="P707" s="9">
        <v>1.2183999999999999</v>
      </c>
      <c r="Q707" s="9">
        <v>19.688099999999999</v>
      </c>
      <c r="R707" s="9"/>
      <c r="S707" s="11"/>
    </row>
    <row r="708" spans="1:19" ht="15.75">
      <c r="A708" s="13">
        <v>63462</v>
      </c>
      <c r="B708" s="8">
        <f>CHOOSE( CONTROL!$C$31, 23.1944, 23.1915) * CHOOSE(CONTROL!$C$14, $D$10, 100%, $F$10)</f>
        <v>23.194400000000002</v>
      </c>
      <c r="C708" s="8">
        <f>CHOOSE( CONTROL!$C$31, 23.2025, 23.1995) * CHOOSE(CONTROL!$C$14, $D$10, 100%, $F$10)</f>
        <v>23.202500000000001</v>
      </c>
      <c r="D708" s="8">
        <f>CHOOSE( CONTROL!$C$31, 23.2077, 23.2047) * CHOOSE( CONTROL!$C$14, $D$10, 100%, $F$10)</f>
        <v>23.207699999999999</v>
      </c>
      <c r="E708" s="12">
        <f>CHOOSE( CONTROL!$C$31, 23.2046, 23.2016) * CHOOSE( CONTROL!$C$14, $D$10, 100%, $F$10)</f>
        <v>23.204599999999999</v>
      </c>
      <c r="F708" s="4">
        <f>CHOOSE( CONTROL!$C$31, 23.876, 23.8731) * CHOOSE(CONTROL!$C$14, $D$10, 100%, $F$10)</f>
        <v>23.876000000000001</v>
      </c>
      <c r="G708" s="8">
        <f>CHOOSE( CONTROL!$C$31, 22.7807, 22.7778) * CHOOSE( CONTROL!$C$14, $D$10, 100%, $F$10)</f>
        <v>22.7807</v>
      </c>
      <c r="H708" s="4">
        <f>CHOOSE( CONTROL!$C$31, 23.7088, 23.706) * CHOOSE(CONTROL!$C$14, $D$10, 100%, $F$10)</f>
        <v>23.7088</v>
      </c>
      <c r="I708" s="8">
        <f>CHOOSE( CONTROL!$C$31, 22.4959, 22.4931) * CHOOSE(CONTROL!$C$14, $D$10, 100%, $F$10)</f>
        <v>22.495899999999999</v>
      </c>
      <c r="J708" s="4">
        <f>CHOOSE( CONTROL!$C$31, 22.3908, 22.388) * CHOOSE(CONTROL!$C$14, $D$10, 100%, $F$10)</f>
        <v>22.390799999999999</v>
      </c>
      <c r="K708" s="4"/>
      <c r="L708" s="9">
        <v>29.7257</v>
      </c>
      <c r="M708" s="9">
        <v>11.6745</v>
      </c>
      <c r="N708" s="9">
        <v>4.7850000000000001</v>
      </c>
      <c r="O708" s="9">
        <v>0.36199999999999999</v>
      </c>
      <c r="P708" s="9">
        <v>1.1791</v>
      </c>
      <c r="Q708" s="9">
        <v>19.053000000000001</v>
      </c>
      <c r="R708" s="9"/>
      <c r="S708" s="11"/>
    </row>
    <row r="709" spans="1:19" ht="15.75">
      <c r="A709" s="13">
        <v>63493</v>
      </c>
      <c r="B709" s="8">
        <f>24.2186 * CHOOSE(CONTROL!$C$14, $D$10, 100%, $F$10)</f>
        <v>24.218599999999999</v>
      </c>
      <c r="C709" s="8">
        <f>24.224 * CHOOSE(CONTROL!$C$14, $D$10, 100%, $F$10)</f>
        <v>24.224</v>
      </c>
      <c r="D709" s="8">
        <f>24.234 * CHOOSE( CONTROL!$C$14, $D$10, 100%, $F$10)</f>
        <v>24.234000000000002</v>
      </c>
      <c r="E709" s="12">
        <f>24.2301 * CHOOSE( CONTROL!$C$14, $D$10, 100%, $F$10)</f>
        <v>24.2301</v>
      </c>
      <c r="F709" s="4">
        <f>24.9019 * CHOOSE(CONTROL!$C$14, $D$10, 100%, $F$10)</f>
        <v>24.901900000000001</v>
      </c>
      <c r="G709" s="8">
        <f>23.7892 * CHOOSE( CONTROL!$C$14, $D$10, 100%, $F$10)</f>
        <v>23.789200000000001</v>
      </c>
      <c r="H709" s="4">
        <f>24.7177 * CHOOSE(CONTROL!$C$14, $D$10, 100%, $F$10)</f>
        <v>24.717700000000001</v>
      </c>
      <c r="I709" s="8">
        <f>23.489 * CHOOSE(CONTROL!$C$14, $D$10, 100%, $F$10)</f>
        <v>23.489000000000001</v>
      </c>
      <c r="J709" s="4">
        <f>23.3826 * CHOOSE(CONTROL!$C$14, $D$10, 100%, $F$10)</f>
        <v>23.3826</v>
      </c>
      <c r="K709" s="4"/>
      <c r="L709" s="9">
        <v>31.095300000000002</v>
      </c>
      <c r="M709" s="9">
        <v>12.063700000000001</v>
      </c>
      <c r="N709" s="9">
        <v>4.9444999999999997</v>
      </c>
      <c r="O709" s="9">
        <v>0.37409999999999999</v>
      </c>
      <c r="P709" s="9">
        <v>1.2183999999999999</v>
      </c>
      <c r="Q709" s="9">
        <v>19.688099999999999</v>
      </c>
      <c r="R709" s="9"/>
      <c r="S709" s="11"/>
    </row>
    <row r="710" spans="1:19" ht="15.75">
      <c r="A710" s="13">
        <v>63523</v>
      </c>
      <c r="B710" s="8">
        <f>26.1172 * CHOOSE(CONTROL!$C$14, $D$10, 100%, $F$10)</f>
        <v>26.1172</v>
      </c>
      <c r="C710" s="8">
        <f>26.1223 * CHOOSE(CONTROL!$C$14, $D$10, 100%, $F$10)</f>
        <v>26.122299999999999</v>
      </c>
      <c r="D710" s="8">
        <f>26.0985 * CHOOSE( CONTROL!$C$14, $D$10, 100%, $F$10)</f>
        <v>26.098500000000001</v>
      </c>
      <c r="E710" s="12">
        <f>26.1067 * CHOOSE( CONTROL!$C$14, $D$10, 100%, $F$10)</f>
        <v>26.1067</v>
      </c>
      <c r="F710" s="4">
        <f>26.7647 * CHOOSE(CONTROL!$C$14, $D$10, 100%, $F$10)</f>
        <v>26.764700000000001</v>
      </c>
      <c r="G710" s="8">
        <f>25.6665 * CHOOSE( CONTROL!$C$14, $D$10, 100%, $F$10)</f>
        <v>25.666499999999999</v>
      </c>
      <c r="H710" s="4">
        <f>26.5496 * CHOOSE(CONTROL!$C$14, $D$10, 100%, $F$10)</f>
        <v>26.549600000000002</v>
      </c>
      <c r="I710" s="8">
        <f>25.3561 * CHOOSE(CONTROL!$C$14, $D$10, 100%, $F$10)</f>
        <v>25.356100000000001</v>
      </c>
      <c r="J710" s="4">
        <f>25.2183 * CHOOSE(CONTROL!$C$14, $D$10, 100%, $F$10)</f>
        <v>25.218299999999999</v>
      </c>
      <c r="K710" s="4"/>
      <c r="L710" s="9">
        <v>28.360600000000002</v>
      </c>
      <c r="M710" s="9">
        <v>11.6745</v>
      </c>
      <c r="N710" s="9">
        <v>4.7850000000000001</v>
      </c>
      <c r="O710" s="9">
        <v>0.36199999999999999</v>
      </c>
      <c r="P710" s="9">
        <v>1.2509999999999999</v>
      </c>
      <c r="Q710" s="9">
        <v>19.053000000000001</v>
      </c>
      <c r="R710" s="9"/>
      <c r="S710" s="11"/>
    </row>
    <row r="711" spans="1:19" ht="15.75">
      <c r="A711" s="13">
        <v>63554</v>
      </c>
      <c r="B711" s="8">
        <f>26.0697 * CHOOSE(CONTROL!$C$14, $D$10, 100%, $F$10)</f>
        <v>26.069700000000001</v>
      </c>
      <c r="C711" s="8">
        <f>26.0749 * CHOOSE(CONTROL!$C$14, $D$10, 100%, $F$10)</f>
        <v>26.0749</v>
      </c>
      <c r="D711" s="8">
        <f>26.0524 * CHOOSE( CONTROL!$C$14, $D$10, 100%, $F$10)</f>
        <v>26.052399999999999</v>
      </c>
      <c r="E711" s="12">
        <f>26.0601 * CHOOSE( CONTROL!$C$14, $D$10, 100%, $F$10)</f>
        <v>26.060099999999998</v>
      </c>
      <c r="F711" s="4">
        <f>26.7172 * CHOOSE(CONTROL!$C$14, $D$10, 100%, $F$10)</f>
        <v>26.717199999999998</v>
      </c>
      <c r="G711" s="8">
        <f>25.6208 * CHOOSE( CONTROL!$C$14, $D$10, 100%, $F$10)</f>
        <v>25.620799999999999</v>
      </c>
      <c r="H711" s="4">
        <f>26.503 * CHOOSE(CONTROL!$C$14, $D$10, 100%, $F$10)</f>
        <v>26.503</v>
      </c>
      <c r="I711" s="8">
        <f>25.3146 * CHOOSE(CONTROL!$C$14, $D$10, 100%, $F$10)</f>
        <v>25.314599999999999</v>
      </c>
      <c r="J711" s="4">
        <f>25.1724 * CHOOSE(CONTROL!$C$14, $D$10, 100%, $F$10)</f>
        <v>25.1724</v>
      </c>
      <c r="K711" s="4"/>
      <c r="L711" s="9">
        <v>29.306000000000001</v>
      </c>
      <c r="M711" s="9">
        <v>12.063700000000001</v>
      </c>
      <c r="N711" s="9">
        <v>4.9444999999999997</v>
      </c>
      <c r="O711" s="9">
        <v>0.37409999999999999</v>
      </c>
      <c r="P711" s="9">
        <v>1.2927</v>
      </c>
      <c r="Q711" s="9">
        <v>19.688099999999999</v>
      </c>
      <c r="R711" s="9"/>
      <c r="S711" s="11"/>
    </row>
    <row r="712" spans="1:19" ht="15.75">
      <c r="A712" s="13">
        <v>63585</v>
      </c>
      <c r="B712" s="8">
        <f>27.065 * CHOOSE(CONTROL!$C$14, $D$10, 100%, $F$10)</f>
        <v>27.065000000000001</v>
      </c>
      <c r="C712" s="8">
        <f>27.0701 * CHOOSE(CONTROL!$C$14, $D$10, 100%, $F$10)</f>
        <v>27.0701</v>
      </c>
      <c r="D712" s="8">
        <f>27.0659 * CHOOSE( CONTROL!$C$14, $D$10, 100%, $F$10)</f>
        <v>27.065899999999999</v>
      </c>
      <c r="E712" s="12">
        <f>27.0669 * CHOOSE( CONTROL!$C$14, $D$10, 100%, $F$10)</f>
        <v>27.0669</v>
      </c>
      <c r="F712" s="4">
        <f>27.7435 * CHOOSE(CONTROL!$C$14, $D$10, 100%, $F$10)</f>
        <v>27.743500000000001</v>
      </c>
      <c r="G712" s="8">
        <f>26.6138 * CHOOSE( CONTROL!$C$14, $D$10, 100%, $F$10)</f>
        <v>26.613800000000001</v>
      </c>
      <c r="H712" s="4">
        <f>27.5122 * CHOOSE(CONTROL!$C$14, $D$10, 100%, $F$10)</f>
        <v>27.5122</v>
      </c>
      <c r="I712" s="8">
        <f>26.2562 * CHOOSE(CONTROL!$C$14, $D$10, 100%, $F$10)</f>
        <v>26.2562</v>
      </c>
      <c r="J712" s="4">
        <f>26.1345 * CHOOSE(CONTROL!$C$14, $D$10, 100%, $F$10)</f>
        <v>26.134499999999999</v>
      </c>
      <c r="K712" s="4"/>
      <c r="L712" s="9">
        <v>29.306000000000001</v>
      </c>
      <c r="M712" s="9">
        <v>12.063700000000001</v>
      </c>
      <c r="N712" s="9">
        <v>4.9444999999999997</v>
      </c>
      <c r="O712" s="9">
        <v>0.37409999999999999</v>
      </c>
      <c r="P712" s="9">
        <v>1.2927</v>
      </c>
      <c r="Q712" s="9">
        <v>19.688099999999999</v>
      </c>
      <c r="R712" s="9"/>
      <c r="S712" s="11"/>
    </row>
    <row r="713" spans="1:19" ht="15.75">
      <c r="A713" s="13">
        <v>63613</v>
      </c>
      <c r="B713" s="8">
        <f>25.3172 * CHOOSE(CONTROL!$C$14, $D$10, 100%, $F$10)</f>
        <v>25.3172</v>
      </c>
      <c r="C713" s="8">
        <f>25.3223 * CHOOSE(CONTROL!$C$14, $D$10, 100%, $F$10)</f>
        <v>25.322299999999998</v>
      </c>
      <c r="D713" s="8">
        <f>25.3122 * CHOOSE( CONTROL!$C$14, $D$10, 100%, $F$10)</f>
        <v>25.312200000000001</v>
      </c>
      <c r="E713" s="12">
        <f>25.3153 * CHOOSE( CONTROL!$C$14, $D$10, 100%, $F$10)</f>
        <v>25.315300000000001</v>
      </c>
      <c r="F713" s="4">
        <f>25.9698 * CHOOSE(CONTROL!$C$14, $D$10, 100%, $F$10)</f>
        <v>25.969799999999999</v>
      </c>
      <c r="G713" s="8">
        <f>24.8869 * CHOOSE( CONTROL!$C$14, $D$10, 100%, $F$10)</f>
        <v>24.886900000000001</v>
      </c>
      <c r="H713" s="4">
        <f>25.768 * CHOOSE(CONTROL!$C$14, $D$10, 100%, $F$10)</f>
        <v>25.768000000000001</v>
      </c>
      <c r="I713" s="8">
        <f>24.5564 * CHOOSE(CONTROL!$C$14, $D$10, 100%, $F$10)</f>
        <v>24.5564</v>
      </c>
      <c r="J713" s="4">
        <f>24.445 * CHOOSE(CONTROL!$C$14, $D$10, 100%, $F$10)</f>
        <v>24.445</v>
      </c>
      <c r="K713" s="4"/>
      <c r="L713" s="9">
        <v>26.469899999999999</v>
      </c>
      <c r="M713" s="9">
        <v>10.8962</v>
      </c>
      <c r="N713" s="9">
        <v>4.4660000000000002</v>
      </c>
      <c r="O713" s="9">
        <v>0.33789999999999998</v>
      </c>
      <c r="P713" s="9">
        <v>1.1676</v>
      </c>
      <c r="Q713" s="9">
        <v>17.782800000000002</v>
      </c>
      <c r="R713" s="9"/>
      <c r="S713" s="11"/>
    </row>
    <row r="714" spans="1:19" ht="15.75">
      <c r="A714" s="13">
        <v>63644</v>
      </c>
      <c r="B714" s="8">
        <f>24.7789 * CHOOSE(CONTROL!$C$14, $D$10, 100%, $F$10)</f>
        <v>24.7789</v>
      </c>
      <c r="C714" s="8">
        <f>24.784 * CHOOSE(CONTROL!$C$14, $D$10, 100%, $F$10)</f>
        <v>24.783999999999999</v>
      </c>
      <c r="D714" s="8">
        <f>24.7674 * CHOOSE( CONTROL!$C$14, $D$10, 100%, $F$10)</f>
        <v>24.767399999999999</v>
      </c>
      <c r="E714" s="12">
        <f>24.7729 * CHOOSE( CONTROL!$C$14, $D$10, 100%, $F$10)</f>
        <v>24.7729</v>
      </c>
      <c r="F714" s="4">
        <f>25.4315 * CHOOSE(CONTROL!$C$14, $D$10, 100%, $F$10)</f>
        <v>25.4315</v>
      </c>
      <c r="G714" s="8">
        <f>24.3493 * CHOOSE( CONTROL!$C$14, $D$10, 100%, $F$10)</f>
        <v>24.349299999999999</v>
      </c>
      <c r="H714" s="4">
        <f>25.2386 * CHOOSE(CONTROL!$C$14, $D$10, 100%, $F$10)</f>
        <v>25.238600000000002</v>
      </c>
      <c r="I714" s="8">
        <f>24.0157 * CHOOSE(CONTROL!$C$14, $D$10, 100%, $F$10)</f>
        <v>24.015699999999999</v>
      </c>
      <c r="J714" s="4">
        <f>23.9246 * CHOOSE(CONTROL!$C$14, $D$10, 100%, $F$10)</f>
        <v>23.924600000000002</v>
      </c>
      <c r="K714" s="4"/>
      <c r="L714" s="9">
        <v>29.306000000000001</v>
      </c>
      <c r="M714" s="9">
        <v>12.063700000000001</v>
      </c>
      <c r="N714" s="9">
        <v>4.9444999999999997</v>
      </c>
      <c r="O714" s="9">
        <v>0.37409999999999999</v>
      </c>
      <c r="P714" s="9">
        <v>1.2927</v>
      </c>
      <c r="Q714" s="9">
        <v>19.688099999999999</v>
      </c>
      <c r="R714" s="9"/>
      <c r="S714" s="11"/>
    </row>
    <row r="715" spans="1:19" ht="15.75">
      <c r="A715" s="13">
        <v>63674</v>
      </c>
      <c r="B715" s="8">
        <f>25.1558 * CHOOSE(CONTROL!$C$14, $D$10, 100%, $F$10)</f>
        <v>25.155799999999999</v>
      </c>
      <c r="C715" s="8">
        <f>25.1604 * CHOOSE(CONTROL!$C$14, $D$10, 100%, $F$10)</f>
        <v>25.160399999999999</v>
      </c>
      <c r="D715" s="8">
        <f>25.1699 * CHOOSE( CONTROL!$C$14, $D$10, 100%, $F$10)</f>
        <v>25.169899999999998</v>
      </c>
      <c r="E715" s="12">
        <f>25.1662 * CHOOSE( CONTROL!$C$14, $D$10, 100%, $F$10)</f>
        <v>25.1662</v>
      </c>
      <c r="F715" s="4">
        <f>25.8387 * CHOOSE(CONTROL!$C$14, $D$10, 100%, $F$10)</f>
        <v>25.838699999999999</v>
      </c>
      <c r="G715" s="8">
        <f>24.7091 * CHOOSE( CONTROL!$C$14, $D$10, 100%, $F$10)</f>
        <v>24.709099999999999</v>
      </c>
      <c r="H715" s="4">
        <f>25.639 * CHOOSE(CONTROL!$C$14, $D$10, 100%, $F$10)</f>
        <v>25.638999999999999</v>
      </c>
      <c r="I715" s="8">
        <f>24.3905 * CHOOSE(CONTROL!$C$14, $D$10, 100%, $F$10)</f>
        <v>24.390499999999999</v>
      </c>
      <c r="J715" s="4">
        <f>24.2882 * CHOOSE(CONTROL!$C$14, $D$10, 100%, $F$10)</f>
        <v>24.2882</v>
      </c>
      <c r="K715" s="4"/>
      <c r="L715" s="9">
        <v>30.092199999999998</v>
      </c>
      <c r="M715" s="9">
        <v>11.6745</v>
      </c>
      <c r="N715" s="9">
        <v>4.7850000000000001</v>
      </c>
      <c r="O715" s="9">
        <v>0.36199999999999999</v>
      </c>
      <c r="P715" s="9">
        <v>1.1791</v>
      </c>
      <c r="Q715" s="9">
        <v>19.053000000000001</v>
      </c>
      <c r="R715" s="9"/>
      <c r="S715" s="11"/>
    </row>
    <row r="716" spans="1:19" ht="15.75">
      <c r="A716" s="13">
        <v>63705</v>
      </c>
      <c r="B716" s="8">
        <f>CHOOSE( CONTROL!$C$31, 25.8296, 25.8267) * CHOOSE(CONTROL!$C$14, $D$10, 100%, $F$10)</f>
        <v>25.829599999999999</v>
      </c>
      <c r="C716" s="8">
        <f>CHOOSE( CONTROL!$C$31, 25.8376, 25.8347) * CHOOSE(CONTROL!$C$14, $D$10, 100%, $F$10)</f>
        <v>25.837599999999998</v>
      </c>
      <c r="D716" s="8">
        <f>CHOOSE( CONTROL!$C$31, 25.8422, 25.8393) * CHOOSE( CONTROL!$C$14, $D$10, 100%, $F$10)</f>
        <v>25.842199999999998</v>
      </c>
      <c r="E716" s="12">
        <f>CHOOSE( CONTROL!$C$31, 25.8393, 25.8364) * CHOOSE( CONTROL!$C$14, $D$10, 100%, $F$10)</f>
        <v>25.839300000000001</v>
      </c>
      <c r="F716" s="4">
        <f>CHOOSE( CONTROL!$C$31, 26.5111, 26.5082) * CHOOSE(CONTROL!$C$14, $D$10, 100%, $F$10)</f>
        <v>26.511099999999999</v>
      </c>
      <c r="G716" s="8">
        <f>CHOOSE( CONTROL!$C$31, 25.3713, 25.3684) * CHOOSE( CONTROL!$C$14, $D$10, 100%, $F$10)</f>
        <v>25.371300000000002</v>
      </c>
      <c r="H716" s="4">
        <f>CHOOSE( CONTROL!$C$31, 26.3003, 26.2974) * CHOOSE(CONTROL!$C$14, $D$10, 100%, $F$10)</f>
        <v>26.3003</v>
      </c>
      <c r="I716" s="8">
        <f>CHOOSE( CONTROL!$C$31, 25.0418, 25.039) * CHOOSE(CONTROL!$C$14, $D$10, 100%, $F$10)</f>
        <v>25.041799999999999</v>
      </c>
      <c r="J716" s="4">
        <f>CHOOSE( CONTROL!$C$31, 24.9382, 24.9354) * CHOOSE(CONTROL!$C$14, $D$10, 100%, $F$10)</f>
        <v>24.938199999999998</v>
      </c>
      <c r="K716" s="4"/>
      <c r="L716" s="9">
        <v>30.7165</v>
      </c>
      <c r="M716" s="9">
        <v>12.063700000000001</v>
      </c>
      <c r="N716" s="9">
        <v>4.9444999999999997</v>
      </c>
      <c r="O716" s="9">
        <v>0.37409999999999999</v>
      </c>
      <c r="P716" s="9">
        <v>1.2183999999999999</v>
      </c>
      <c r="Q716" s="9">
        <v>19.688099999999999</v>
      </c>
      <c r="R716" s="9"/>
      <c r="S716" s="11"/>
    </row>
    <row r="717" spans="1:19" ht="15.75">
      <c r="A717" s="13">
        <v>63735</v>
      </c>
      <c r="B717" s="8">
        <f>CHOOSE( CONTROL!$C$31, 25.4149, 25.4119) * CHOOSE(CONTROL!$C$14, $D$10, 100%, $F$10)</f>
        <v>25.414899999999999</v>
      </c>
      <c r="C717" s="8">
        <f>CHOOSE( CONTROL!$C$31, 25.4229, 25.42) * CHOOSE(CONTROL!$C$14, $D$10, 100%, $F$10)</f>
        <v>25.422899999999998</v>
      </c>
      <c r="D717" s="8">
        <f>CHOOSE( CONTROL!$C$31, 25.4278, 25.4248) * CHOOSE( CONTROL!$C$14, $D$10, 100%, $F$10)</f>
        <v>25.427800000000001</v>
      </c>
      <c r="E717" s="12">
        <f>CHOOSE( CONTROL!$C$31, 25.4248, 25.4218) * CHOOSE( CONTROL!$C$14, $D$10, 100%, $F$10)</f>
        <v>25.424800000000001</v>
      </c>
      <c r="F717" s="4">
        <f>CHOOSE( CONTROL!$C$31, 26.0964, 26.0935) * CHOOSE(CONTROL!$C$14, $D$10, 100%, $F$10)</f>
        <v>26.096399999999999</v>
      </c>
      <c r="G717" s="8">
        <f>CHOOSE( CONTROL!$C$31, 24.9638, 24.9609) * CHOOSE( CONTROL!$C$14, $D$10, 100%, $F$10)</f>
        <v>24.963799999999999</v>
      </c>
      <c r="H717" s="4">
        <f>CHOOSE( CONTROL!$C$31, 25.8924, 25.8896) * CHOOSE(CONTROL!$C$14, $D$10, 100%, $F$10)</f>
        <v>25.892399999999999</v>
      </c>
      <c r="I717" s="8">
        <f>CHOOSE( CONTROL!$C$31, 24.642, 24.6392) * CHOOSE(CONTROL!$C$14, $D$10, 100%, $F$10)</f>
        <v>24.641999999999999</v>
      </c>
      <c r="J717" s="4">
        <f>CHOOSE( CONTROL!$C$31, 24.5373, 24.5345) * CHOOSE(CONTROL!$C$14, $D$10, 100%, $F$10)</f>
        <v>24.537299999999998</v>
      </c>
      <c r="K717" s="4"/>
      <c r="L717" s="9">
        <v>29.7257</v>
      </c>
      <c r="M717" s="9">
        <v>11.6745</v>
      </c>
      <c r="N717" s="9">
        <v>4.7850000000000001</v>
      </c>
      <c r="O717" s="9">
        <v>0.36199999999999999</v>
      </c>
      <c r="P717" s="9">
        <v>1.1791</v>
      </c>
      <c r="Q717" s="9">
        <v>19.053000000000001</v>
      </c>
      <c r="R717" s="9"/>
      <c r="S717" s="11"/>
    </row>
    <row r="718" spans="1:19" ht="15.75">
      <c r="A718" s="13">
        <v>63766</v>
      </c>
      <c r="B718" s="8">
        <f>CHOOSE( CONTROL!$C$31, 26.507, 26.504) * CHOOSE(CONTROL!$C$14, $D$10, 100%, $F$10)</f>
        <v>26.507000000000001</v>
      </c>
      <c r="C718" s="8">
        <f>CHOOSE( CONTROL!$C$31, 26.515, 26.512) * CHOOSE(CONTROL!$C$14, $D$10, 100%, $F$10)</f>
        <v>26.515000000000001</v>
      </c>
      <c r="D718" s="8">
        <f>CHOOSE( CONTROL!$C$31, 26.5201, 26.5172) * CHOOSE( CONTROL!$C$14, $D$10, 100%, $F$10)</f>
        <v>26.520099999999999</v>
      </c>
      <c r="E718" s="12">
        <f>CHOOSE( CONTROL!$C$31, 26.517, 26.5141) * CHOOSE( CONTROL!$C$14, $D$10, 100%, $F$10)</f>
        <v>26.516999999999999</v>
      </c>
      <c r="F718" s="4">
        <f>CHOOSE( CONTROL!$C$31, 27.1885, 27.1856) * CHOOSE(CONTROL!$C$14, $D$10, 100%, $F$10)</f>
        <v>27.188500000000001</v>
      </c>
      <c r="G718" s="8">
        <f>CHOOSE( CONTROL!$C$31, 26.0382, 26.0353) * CHOOSE( CONTROL!$C$14, $D$10, 100%, $F$10)</f>
        <v>26.0382</v>
      </c>
      <c r="H718" s="4">
        <f>CHOOSE( CONTROL!$C$31, 26.9664, 26.9636) * CHOOSE(CONTROL!$C$14, $D$10, 100%, $F$10)</f>
        <v>26.9664</v>
      </c>
      <c r="I718" s="8">
        <f>CHOOSE( CONTROL!$C$31, 25.6994, 25.6966) * CHOOSE(CONTROL!$C$14, $D$10, 100%, $F$10)</f>
        <v>25.699400000000001</v>
      </c>
      <c r="J718" s="4">
        <f>CHOOSE( CONTROL!$C$31, 25.593, 25.5902) * CHOOSE(CONTROL!$C$14, $D$10, 100%, $F$10)</f>
        <v>25.593</v>
      </c>
      <c r="K718" s="4"/>
      <c r="L718" s="9">
        <v>30.7165</v>
      </c>
      <c r="M718" s="9">
        <v>12.063700000000001</v>
      </c>
      <c r="N718" s="9">
        <v>4.9444999999999997</v>
      </c>
      <c r="O718" s="9">
        <v>0.37409999999999999</v>
      </c>
      <c r="P718" s="9">
        <v>1.2183999999999999</v>
      </c>
      <c r="Q718" s="9">
        <v>19.688099999999999</v>
      </c>
      <c r="R718" s="9"/>
      <c r="S718" s="11"/>
    </row>
    <row r="719" spans="1:19" ht="15.75">
      <c r="A719" s="13">
        <v>63797</v>
      </c>
      <c r="B719" s="8">
        <f>CHOOSE( CONTROL!$C$31, 24.4635, 24.4606) * CHOOSE(CONTROL!$C$14, $D$10, 100%, $F$10)</f>
        <v>24.4635</v>
      </c>
      <c r="C719" s="8">
        <f>CHOOSE( CONTROL!$C$31, 24.4715, 24.4686) * CHOOSE(CONTROL!$C$14, $D$10, 100%, $F$10)</f>
        <v>24.471499999999999</v>
      </c>
      <c r="D719" s="8">
        <f>CHOOSE( CONTROL!$C$31, 24.4768, 24.4738) * CHOOSE( CONTROL!$C$14, $D$10, 100%, $F$10)</f>
        <v>24.476800000000001</v>
      </c>
      <c r="E719" s="12">
        <f>CHOOSE( CONTROL!$C$31, 24.4737, 24.4707) * CHOOSE( CONTROL!$C$14, $D$10, 100%, $F$10)</f>
        <v>24.473700000000001</v>
      </c>
      <c r="F719" s="4">
        <f>CHOOSE( CONTROL!$C$31, 25.1451, 25.1422) * CHOOSE(CONTROL!$C$14, $D$10, 100%, $F$10)</f>
        <v>25.145099999999999</v>
      </c>
      <c r="G719" s="8">
        <f>CHOOSE( CONTROL!$C$31, 24.0287, 24.0259) * CHOOSE( CONTROL!$C$14, $D$10, 100%, $F$10)</f>
        <v>24.028700000000001</v>
      </c>
      <c r="H719" s="4">
        <f>CHOOSE( CONTROL!$C$31, 24.9569, 24.954) * CHOOSE(CONTROL!$C$14, $D$10, 100%, $F$10)</f>
        <v>24.956900000000001</v>
      </c>
      <c r="I719" s="8">
        <f>CHOOSE( CONTROL!$C$31, 23.7234, 23.7206) * CHOOSE(CONTROL!$C$14, $D$10, 100%, $F$10)</f>
        <v>23.723400000000002</v>
      </c>
      <c r="J719" s="4">
        <f>CHOOSE( CONTROL!$C$31, 23.6177, 23.6148) * CHOOSE(CONTROL!$C$14, $D$10, 100%, $F$10)</f>
        <v>23.617699999999999</v>
      </c>
      <c r="K719" s="4"/>
      <c r="L719" s="9">
        <v>30.7165</v>
      </c>
      <c r="M719" s="9">
        <v>12.063700000000001</v>
      </c>
      <c r="N719" s="9">
        <v>4.9444999999999997</v>
      </c>
      <c r="O719" s="9">
        <v>0.37409999999999999</v>
      </c>
      <c r="P719" s="9">
        <v>1.2183999999999999</v>
      </c>
      <c r="Q719" s="9">
        <v>19.688099999999999</v>
      </c>
      <c r="R719" s="9"/>
      <c r="S719" s="11"/>
    </row>
    <row r="720" spans="1:19" ht="15.75">
      <c r="A720" s="13">
        <v>63827</v>
      </c>
      <c r="B720" s="8">
        <f>CHOOSE( CONTROL!$C$31, 23.9518, 23.9489) * CHOOSE(CONTROL!$C$14, $D$10, 100%, $F$10)</f>
        <v>23.951799999999999</v>
      </c>
      <c r="C720" s="8">
        <f>CHOOSE( CONTROL!$C$31, 23.9599, 23.9569) * CHOOSE(CONTROL!$C$14, $D$10, 100%, $F$10)</f>
        <v>23.959900000000001</v>
      </c>
      <c r="D720" s="8">
        <f>CHOOSE( CONTROL!$C$31, 23.965, 23.9621) * CHOOSE( CONTROL!$C$14, $D$10, 100%, $F$10)</f>
        <v>23.965</v>
      </c>
      <c r="E720" s="12">
        <f>CHOOSE( CONTROL!$C$31, 23.9619, 23.959) * CHOOSE( CONTROL!$C$14, $D$10, 100%, $F$10)</f>
        <v>23.9619</v>
      </c>
      <c r="F720" s="4">
        <f>CHOOSE( CONTROL!$C$31, 24.6334, 24.6305) * CHOOSE(CONTROL!$C$14, $D$10, 100%, $F$10)</f>
        <v>24.633400000000002</v>
      </c>
      <c r="G720" s="8">
        <f>CHOOSE( CONTROL!$C$31, 23.5255, 23.5226) * CHOOSE( CONTROL!$C$14, $D$10, 100%, $F$10)</f>
        <v>23.525500000000001</v>
      </c>
      <c r="H720" s="4">
        <f>CHOOSE( CONTROL!$C$31, 24.4537, 24.4508) * CHOOSE(CONTROL!$C$14, $D$10, 100%, $F$10)</f>
        <v>24.453700000000001</v>
      </c>
      <c r="I720" s="8">
        <f>CHOOSE( CONTROL!$C$31, 23.2285, 23.2256) * CHOOSE(CONTROL!$C$14, $D$10, 100%, $F$10)</f>
        <v>23.2285</v>
      </c>
      <c r="J720" s="4">
        <f>CHOOSE( CONTROL!$C$31, 23.123, 23.1202) * CHOOSE(CONTROL!$C$14, $D$10, 100%, $F$10)</f>
        <v>23.123000000000001</v>
      </c>
      <c r="K720" s="4"/>
      <c r="L720" s="9">
        <v>29.7257</v>
      </c>
      <c r="M720" s="9">
        <v>11.6745</v>
      </c>
      <c r="N720" s="9">
        <v>4.7850000000000001</v>
      </c>
      <c r="O720" s="9">
        <v>0.36199999999999999</v>
      </c>
      <c r="P720" s="9">
        <v>1.1791</v>
      </c>
      <c r="Q720" s="9">
        <v>19.053000000000001</v>
      </c>
      <c r="R720" s="9"/>
      <c r="S720" s="11"/>
    </row>
    <row r="721" spans="1:19" ht="15.75">
      <c r="A721" s="13">
        <v>63858</v>
      </c>
      <c r="B721" s="8">
        <f>25.0096 * CHOOSE(CONTROL!$C$14, $D$10, 100%, $F$10)</f>
        <v>25.009599999999999</v>
      </c>
      <c r="C721" s="8">
        <f>25.015 * CHOOSE(CONTROL!$C$14, $D$10, 100%, $F$10)</f>
        <v>25.015000000000001</v>
      </c>
      <c r="D721" s="8">
        <f>25.025 * CHOOSE( CONTROL!$C$14, $D$10, 100%, $F$10)</f>
        <v>25.024999999999999</v>
      </c>
      <c r="E721" s="12">
        <f>25.0211 * CHOOSE( CONTROL!$C$14, $D$10, 100%, $F$10)</f>
        <v>25.021100000000001</v>
      </c>
      <c r="F721" s="4">
        <f>25.6929 * CHOOSE(CONTROL!$C$14, $D$10, 100%, $F$10)</f>
        <v>25.692900000000002</v>
      </c>
      <c r="G721" s="8">
        <f>24.5671 * CHOOSE( CONTROL!$C$14, $D$10, 100%, $F$10)</f>
        <v>24.5671</v>
      </c>
      <c r="H721" s="4">
        <f>25.4956 * CHOOSE(CONTROL!$C$14, $D$10, 100%, $F$10)</f>
        <v>25.4956</v>
      </c>
      <c r="I721" s="8">
        <f>24.254 * CHOOSE(CONTROL!$C$14, $D$10, 100%, $F$10)</f>
        <v>24.254000000000001</v>
      </c>
      <c r="J721" s="4">
        <f>24.1473 * CHOOSE(CONTROL!$C$14, $D$10, 100%, $F$10)</f>
        <v>24.147300000000001</v>
      </c>
      <c r="K721" s="4"/>
      <c r="L721" s="9">
        <v>31.095300000000002</v>
      </c>
      <c r="M721" s="9">
        <v>12.063700000000001</v>
      </c>
      <c r="N721" s="9">
        <v>4.9444999999999997</v>
      </c>
      <c r="O721" s="9">
        <v>0.37409999999999999</v>
      </c>
      <c r="P721" s="9">
        <v>1.2183999999999999</v>
      </c>
      <c r="Q721" s="9">
        <v>19.688099999999999</v>
      </c>
      <c r="R721" s="9"/>
      <c r="S721" s="11"/>
    </row>
    <row r="722" spans="1:19" ht="15.75">
      <c r="A722" s="13">
        <v>63888</v>
      </c>
      <c r="B722" s="8">
        <f>26.9703 * CHOOSE(CONTROL!$C$14, $D$10, 100%, $F$10)</f>
        <v>26.970300000000002</v>
      </c>
      <c r="C722" s="8">
        <f>26.9754 * CHOOSE(CONTROL!$C$14, $D$10, 100%, $F$10)</f>
        <v>26.9754</v>
      </c>
      <c r="D722" s="8">
        <f>26.9516 * CHOOSE( CONTROL!$C$14, $D$10, 100%, $F$10)</f>
        <v>26.951599999999999</v>
      </c>
      <c r="E722" s="12">
        <f>26.9598 * CHOOSE( CONTROL!$C$14, $D$10, 100%, $F$10)</f>
        <v>26.959800000000001</v>
      </c>
      <c r="F722" s="4">
        <f>27.6178 * CHOOSE(CONTROL!$C$14, $D$10, 100%, $F$10)</f>
        <v>27.617799999999999</v>
      </c>
      <c r="G722" s="8">
        <f>26.5055 * CHOOSE( CONTROL!$C$14, $D$10, 100%, $F$10)</f>
        <v>26.505500000000001</v>
      </c>
      <c r="H722" s="4">
        <f>27.3886 * CHOOSE(CONTROL!$C$14, $D$10, 100%, $F$10)</f>
        <v>27.3886</v>
      </c>
      <c r="I722" s="8">
        <f>26.1812 * CHOOSE(CONTROL!$C$14, $D$10, 100%, $F$10)</f>
        <v>26.1812</v>
      </c>
      <c r="J722" s="4">
        <f>26.043 * CHOOSE(CONTROL!$C$14, $D$10, 100%, $F$10)</f>
        <v>26.042999999999999</v>
      </c>
      <c r="K722" s="4"/>
      <c r="L722" s="9">
        <v>28.360600000000002</v>
      </c>
      <c r="M722" s="9">
        <v>11.6745</v>
      </c>
      <c r="N722" s="9">
        <v>4.7850000000000001</v>
      </c>
      <c r="O722" s="9">
        <v>0.36199999999999999</v>
      </c>
      <c r="P722" s="9">
        <v>1.2509999999999999</v>
      </c>
      <c r="Q722" s="9">
        <v>19.053000000000001</v>
      </c>
      <c r="R722" s="9"/>
      <c r="S722" s="11"/>
    </row>
    <row r="723" spans="1:19" ht="15.75">
      <c r="A723" s="13">
        <v>63919</v>
      </c>
      <c r="B723" s="8">
        <f>26.9213 * CHOOSE(CONTROL!$C$14, $D$10, 100%, $F$10)</f>
        <v>26.921299999999999</v>
      </c>
      <c r="C723" s="8">
        <f>26.9264 * CHOOSE(CONTROL!$C$14, $D$10, 100%, $F$10)</f>
        <v>26.926400000000001</v>
      </c>
      <c r="D723" s="8">
        <f>26.904 * CHOOSE( CONTROL!$C$14, $D$10, 100%, $F$10)</f>
        <v>26.904</v>
      </c>
      <c r="E723" s="12">
        <f>26.9116 * CHOOSE( CONTROL!$C$14, $D$10, 100%, $F$10)</f>
        <v>26.9116</v>
      </c>
      <c r="F723" s="4">
        <f>27.5688 * CHOOSE(CONTROL!$C$14, $D$10, 100%, $F$10)</f>
        <v>27.5688</v>
      </c>
      <c r="G723" s="8">
        <f>26.4583 * CHOOSE( CONTROL!$C$14, $D$10, 100%, $F$10)</f>
        <v>26.458300000000001</v>
      </c>
      <c r="H723" s="4">
        <f>27.3404 * CHOOSE(CONTROL!$C$14, $D$10, 100%, $F$10)</f>
        <v>27.340399999999999</v>
      </c>
      <c r="I723" s="8">
        <f>26.1383 * CHOOSE(CONTROL!$C$14, $D$10, 100%, $F$10)</f>
        <v>26.138300000000001</v>
      </c>
      <c r="J723" s="4">
        <f>25.9957 * CHOOSE(CONTROL!$C$14, $D$10, 100%, $F$10)</f>
        <v>25.995699999999999</v>
      </c>
      <c r="K723" s="4"/>
      <c r="L723" s="9">
        <v>29.306000000000001</v>
      </c>
      <c r="M723" s="9">
        <v>12.063700000000001</v>
      </c>
      <c r="N723" s="9">
        <v>4.9444999999999997</v>
      </c>
      <c r="O723" s="9">
        <v>0.37409999999999999</v>
      </c>
      <c r="P723" s="9">
        <v>1.2927</v>
      </c>
      <c r="Q723" s="9">
        <v>19.688099999999999</v>
      </c>
      <c r="R723" s="9"/>
      <c r="S723" s="11"/>
    </row>
    <row r="724" spans="1:19" ht="15.75">
      <c r="A724" s="13">
        <v>63950</v>
      </c>
      <c r="B724" s="8">
        <f>27.9491 * CHOOSE(CONTROL!$C$14, $D$10, 100%, $F$10)</f>
        <v>27.949100000000001</v>
      </c>
      <c r="C724" s="8">
        <f>27.9542 * CHOOSE(CONTROL!$C$14, $D$10, 100%, $F$10)</f>
        <v>27.9542</v>
      </c>
      <c r="D724" s="8">
        <f>27.95 * CHOOSE( CONTROL!$C$14, $D$10, 100%, $F$10)</f>
        <v>27.95</v>
      </c>
      <c r="E724" s="12">
        <f>27.951 * CHOOSE( CONTROL!$C$14, $D$10, 100%, $F$10)</f>
        <v>27.951000000000001</v>
      </c>
      <c r="F724" s="4">
        <f>28.6276 * CHOOSE(CONTROL!$C$14, $D$10, 100%, $F$10)</f>
        <v>28.627600000000001</v>
      </c>
      <c r="G724" s="8">
        <f>27.4832 * CHOOSE( CONTROL!$C$14, $D$10, 100%, $F$10)</f>
        <v>27.4832</v>
      </c>
      <c r="H724" s="4">
        <f>28.3817 * CHOOSE(CONTROL!$C$14, $D$10, 100%, $F$10)</f>
        <v>28.381699999999999</v>
      </c>
      <c r="I724" s="8">
        <f>27.1113 * CHOOSE(CONTROL!$C$14, $D$10, 100%, $F$10)</f>
        <v>27.1113</v>
      </c>
      <c r="J724" s="4">
        <f>26.9892 * CHOOSE(CONTROL!$C$14, $D$10, 100%, $F$10)</f>
        <v>26.9892</v>
      </c>
      <c r="K724" s="4"/>
      <c r="L724" s="9">
        <v>29.306000000000001</v>
      </c>
      <c r="M724" s="9">
        <v>12.063700000000001</v>
      </c>
      <c r="N724" s="9">
        <v>4.9444999999999997</v>
      </c>
      <c r="O724" s="9">
        <v>0.37409999999999999</v>
      </c>
      <c r="P724" s="9">
        <v>1.2927</v>
      </c>
      <c r="Q724" s="9">
        <v>19.688099999999999</v>
      </c>
      <c r="R724" s="9"/>
      <c r="S724" s="11"/>
    </row>
    <row r="725" spans="1:19" ht="15.75">
      <c r="A725" s="13">
        <v>63978</v>
      </c>
      <c r="B725" s="8">
        <f>26.1442 * CHOOSE(CONTROL!$C$14, $D$10, 100%, $F$10)</f>
        <v>26.144200000000001</v>
      </c>
      <c r="C725" s="8">
        <f>26.1493 * CHOOSE(CONTROL!$C$14, $D$10, 100%, $F$10)</f>
        <v>26.1493</v>
      </c>
      <c r="D725" s="8">
        <f>26.1392 * CHOOSE( CONTROL!$C$14, $D$10, 100%, $F$10)</f>
        <v>26.139199999999999</v>
      </c>
      <c r="E725" s="12">
        <f>26.1423 * CHOOSE( CONTROL!$C$14, $D$10, 100%, $F$10)</f>
        <v>26.142299999999999</v>
      </c>
      <c r="F725" s="4">
        <f>26.7968 * CHOOSE(CONTROL!$C$14, $D$10, 100%, $F$10)</f>
        <v>26.796800000000001</v>
      </c>
      <c r="G725" s="8">
        <f>25.7002 * CHOOSE( CONTROL!$C$14, $D$10, 100%, $F$10)</f>
        <v>25.700199999999999</v>
      </c>
      <c r="H725" s="4">
        <f>26.5812 * CHOOSE(CONTROL!$C$14, $D$10, 100%, $F$10)</f>
        <v>26.581199999999999</v>
      </c>
      <c r="I725" s="8">
        <f>25.3563 * CHOOSE(CONTROL!$C$14, $D$10, 100%, $F$10)</f>
        <v>25.356300000000001</v>
      </c>
      <c r="J725" s="4">
        <f>25.2444 * CHOOSE(CONTROL!$C$14, $D$10, 100%, $F$10)</f>
        <v>25.244399999999999</v>
      </c>
      <c r="K725" s="4"/>
      <c r="L725" s="9">
        <v>26.469899999999999</v>
      </c>
      <c r="M725" s="9">
        <v>10.8962</v>
      </c>
      <c r="N725" s="9">
        <v>4.4660000000000002</v>
      </c>
      <c r="O725" s="9">
        <v>0.33789999999999998</v>
      </c>
      <c r="P725" s="9">
        <v>1.1676</v>
      </c>
      <c r="Q725" s="9">
        <v>17.782800000000002</v>
      </c>
      <c r="R725" s="9"/>
      <c r="S725" s="11"/>
    </row>
    <row r="726" spans="1:19" ht="15.75">
      <c r="A726" s="13">
        <v>64009</v>
      </c>
      <c r="B726" s="8">
        <f>25.5883 * CHOOSE(CONTROL!$C$14, $D$10, 100%, $F$10)</f>
        <v>25.5883</v>
      </c>
      <c r="C726" s="8">
        <f>25.5934 * CHOOSE(CONTROL!$C$14, $D$10, 100%, $F$10)</f>
        <v>25.593399999999999</v>
      </c>
      <c r="D726" s="8">
        <f>25.5768 * CHOOSE( CONTROL!$C$14, $D$10, 100%, $F$10)</f>
        <v>25.576799999999999</v>
      </c>
      <c r="E726" s="12">
        <f>25.5823 * CHOOSE( CONTROL!$C$14, $D$10, 100%, $F$10)</f>
        <v>25.5823</v>
      </c>
      <c r="F726" s="4">
        <f>26.2409 * CHOOSE(CONTROL!$C$14, $D$10, 100%, $F$10)</f>
        <v>26.2409</v>
      </c>
      <c r="G726" s="8">
        <f>25.1453 * CHOOSE( CONTROL!$C$14, $D$10, 100%, $F$10)</f>
        <v>25.145299999999999</v>
      </c>
      <c r="H726" s="4">
        <f>26.0346 * CHOOSE(CONTROL!$C$14, $D$10, 100%, $F$10)</f>
        <v>26.034600000000001</v>
      </c>
      <c r="I726" s="8">
        <f>24.7985 * CHOOSE(CONTROL!$C$14, $D$10, 100%, $F$10)</f>
        <v>24.798500000000001</v>
      </c>
      <c r="J726" s="4">
        <f>24.707 * CHOOSE(CONTROL!$C$14, $D$10, 100%, $F$10)</f>
        <v>24.707000000000001</v>
      </c>
      <c r="K726" s="4"/>
      <c r="L726" s="9">
        <v>29.306000000000001</v>
      </c>
      <c r="M726" s="9">
        <v>12.063700000000001</v>
      </c>
      <c r="N726" s="9">
        <v>4.9444999999999997</v>
      </c>
      <c r="O726" s="9">
        <v>0.37409999999999999</v>
      </c>
      <c r="P726" s="9">
        <v>1.2927</v>
      </c>
      <c r="Q726" s="9">
        <v>19.688099999999999</v>
      </c>
      <c r="R726" s="9"/>
      <c r="S726" s="11"/>
    </row>
    <row r="727" spans="1:19" ht="15.75">
      <c r="A727" s="13">
        <v>64039</v>
      </c>
      <c r="B727" s="8">
        <f>25.9775 * CHOOSE(CONTROL!$C$14, $D$10, 100%, $F$10)</f>
        <v>25.977499999999999</v>
      </c>
      <c r="C727" s="8">
        <f>25.982 * CHOOSE(CONTROL!$C$14, $D$10, 100%, $F$10)</f>
        <v>25.981999999999999</v>
      </c>
      <c r="D727" s="8">
        <f>25.9916 * CHOOSE( CONTROL!$C$14, $D$10, 100%, $F$10)</f>
        <v>25.991599999999998</v>
      </c>
      <c r="E727" s="12">
        <f>25.9879 * CHOOSE( CONTROL!$C$14, $D$10, 100%, $F$10)</f>
        <v>25.9879</v>
      </c>
      <c r="F727" s="4">
        <f>26.6604 * CHOOSE(CONTROL!$C$14, $D$10, 100%, $F$10)</f>
        <v>26.660399999999999</v>
      </c>
      <c r="G727" s="8">
        <f>25.5171 * CHOOSE( CONTROL!$C$14, $D$10, 100%, $F$10)</f>
        <v>25.517099999999999</v>
      </c>
      <c r="H727" s="4">
        <f>26.4471 * CHOOSE(CONTROL!$C$14, $D$10, 100%, $F$10)</f>
        <v>26.447099999999999</v>
      </c>
      <c r="I727" s="8">
        <f>25.1852 * CHOOSE(CONTROL!$C$14, $D$10, 100%, $F$10)</f>
        <v>25.185199999999998</v>
      </c>
      <c r="J727" s="4">
        <f>25.0825 * CHOOSE(CONTROL!$C$14, $D$10, 100%, $F$10)</f>
        <v>25.0825</v>
      </c>
      <c r="K727" s="4"/>
      <c r="L727" s="9">
        <v>30.092199999999998</v>
      </c>
      <c r="M727" s="9">
        <v>11.6745</v>
      </c>
      <c r="N727" s="9">
        <v>4.7850000000000001</v>
      </c>
      <c r="O727" s="9">
        <v>0.36199999999999999</v>
      </c>
      <c r="P727" s="9">
        <v>1.1791</v>
      </c>
      <c r="Q727" s="9">
        <v>19.053000000000001</v>
      </c>
      <c r="R727" s="9"/>
      <c r="S727" s="11"/>
    </row>
    <row r="728" spans="1:19" ht="15.75">
      <c r="A728" s="13">
        <v>64070</v>
      </c>
      <c r="B728" s="8">
        <f>CHOOSE( CONTROL!$C$31, 26.6731, 26.6702) * CHOOSE(CONTROL!$C$14, $D$10, 100%, $F$10)</f>
        <v>26.673100000000002</v>
      </c>
      <c r="C728" s="8">
        <f>CHOOSE( CONTROL!$C$31, 26.6812, 26.6782) * CHOOSE(CONTROL!$C$14, $D$10, 100%, $F$10)</f>
        <v>26.6812</v>
      </c>
      <c r="D728" s="8">
        <f>CHOOSE( CONTROL!$C$31, 26.6858, 26.6829) * CHOOSE( CONTROL!$C$14, $D$10, 100%, $F$10)</f>
        <v>26.6858</v>
      </c>
      <c r="E728" s="12">
        <f>CHOOSE( CONTROL!$C$31, 26.6829, 26.68) * CHOOSE( CONTROL!$C$14, $D$10, 100%, $F$10)</f>
        <v>26.6829</v>
      </c>
      <c r="F728" s="4">
        <f>CHOOSE( CONTROL!$C$31, 27.3547, 27.3518) * CHOOSE(CONTROL!$C$14, $D$10, 100%, $F$10)</f>
        <v>27.354700000000001</v>
      </c>
      <c r="G728" s="8">
        <f>CHOOSE( CONTROL!$C$31, 26.2008, 26.198) * CHOOSE( CONTROL!$C$14, $D$10, 100%, $F$10)</f>
        <v>26.200800000000001</v>
      </c>
      <c r="H728" s="4">
        <f>CHOOSE( CONTROL!$C$31, 27.1299, 27.127) * CHOOSE(CONTROL!$C$14, $D$10, 100%, $F$10)</f>
        <v>27.129899999999999</v>
      </c>
      <c r="I728" s="8">
        <f>CHOOSE( CONTROL!$C$31, 25.8577, 25.8549) * CHOOSE(CONTROL!$C$14, $D$10, 100%, $F$10)</f>
        <v>25.857700000000001</v>
      </c>
      <c r="J728" s="4">
        <f>CHOOSE( CONTROL!$C$31, 25.7537, 25.7509) * CHOOSE(CONTROL!$C$14, $D$10, 100%, $F$10)</f>
        <v>25.753699999999998</v>
      </c>
      <c r="K728" s="4"/>
      <c r="L728" s="9">
        <v>30.7165</v>
      </c>
      <c r="M728" s="9">
        <v>12.063700000000001</v>
      </c>
      <c r="N728" s="9">
        <v>4.9444999999999997</v>
      </c>
      <c r="O728" s="9">
        <v>0.37409999999999999</v>
      </c>
      <c r="P728" s="9">
        <v>1.2183999999999999</v>
      </c>
      <c r="Q728" s="9">
        <v>19.688099999999999</v>
      </c>
      <c r="R728" s="9"/>
      <c r="S728" s="11"/>
    </row>
    <row r="729" spans="1:19" ht="15.75">
      <c r="A729" s="13">
        <v>64100</v>
      </c>
      <c r="B729" s="8">
        <f>CHOOSE( CONTROL!$C$31, 26.2449, 26.2419) * CHOOSE(CONTROL!$C$14, $D$10, 100%, $F$10)</f>
        <v>26.244900000000001</v>
      </c>
      <c r="C729" s="8">
        <f>CHOOSE( CONTROL!$C$31, 26.2529, 26.25) * CHOOSE(CONTROL!$C$14, $D$10, 100%, $F$10)</f>
        <v>26.2529</v>
      </c>
      <c r="D729" s="8">
        <f>CHOOSE( CONTROL!$C$31, 26.2578, 26.2548) * CHOOSE( CONTROL!$C$14, $D$10, 100%, $F$10)</f>
        <v>26.2578</v>
      </c>
      <c r="E729" s="12">
        <f>CHOOSE( CONTROL!$C$31, 26.2548, 26.2518) * CHOOSE( CONTROL!$C$14, $D$10, 100%, $F$10)</f>
        <v>26.254799999999999</v>
      </c>
      <c r="F729" s="4">
        <f>CHOOSE( CONTROL!$C$31, 26.9264, 26.9235) * CHOOSE(CONTROL!$C$14, $D$10, 100%, $F$10)</f>
        <v>26.926400000000001</v>
      </c>
      <c r="G729" s="8">
        <f>CHOOSE( CONTROL!$C$31, 25.7801, 25.7772) * CHOOSE( CONTROL!$C$14, $D$10, 100%, $F$10)</f>
        <v>25.780100000000001</v>
      </c>
      <c r="H729" s="4">
        <f>CHOOSE( CONTROL!$C$31, 26.7087, 26.7058) * CHOOSE(CONTROL!$C$14, $D$10, 100%, $F$10)</f>
        <v>26.7087</v>
      </c>
      <c r="I729" s="8">
        <f>CHOOSE( CONTROL!$C$31, 25.4448, 25.4419) * CHOOSE(CONTROL!$C$14, $D$10, 100%, $F$10)</f>
        <v>25.444800000000001</v>
      </c>
      <c r="J729" s="4">
        <f>CHOOSE( CONTROL!$C$31, 25.3397, 25.3369) * CHOOSE(CONTROL!$C$14, $D$10, 100%, $F$10)</f>
        <v>25.339700000000001</v>
      </c>
      <c r="K729" s="4"/>
      <c r="L729" s="9">
        <v>29.7257</v>
      </c>
      <c r="M729" s="9">
        <v>11.6745</v>
      </c>
      <c r="N729" s="9">
        <v>4.7850000000000001</v>
      </c>
      <c r="O729" s="9">
        <v>0.36199999999999999</v>
      </c>
      <c r="P729" s="9">
        <v>1.1791</v>
      </c>
      <c r="Q729" s="9">
        <v>19.053000000000001</v>
      </c>
      <c r="R729" s="9"/>
      <c r="S729" s="11"/>
    </row>
    <row r="730" spans="1:19" ht="15.75">
      <c r="A730" s="13">
        <v>64131</v>
      </c>
      <c r="B730" s="8">
        <f>CHOOSE( CONTROL!$C$31, 27.3727, 27.3698) * CHOOSE(CONTROL!$C$14, $D$10, 100%, $F$10)</f>
        <v>27.372699999999998</v>
      </c>
      <c r="C730" s="8">
        <f>CHOOSE( CONTROL!$C$31, 27.3807, 27.3778) * CHOOSE(CONTROL!$C$14, $D$10, 100%, $F$10)</f>
        <v>27.380700000000001</v>
      </c>
      <c r="D730" s="8">
        <f>CHOOSE( CONTROL!$C$31, 27.3858, 27.3829) * CHOOSE( CONTROL!$C$14, $D$10, 100%, $F$10)</f>
        <v>27.3858</v>
      </c>
      <c r="E730" s="12">
        <f>CHOOSE( CONTROL!$C$31, 27.3827, 27.3798) * CHOOSE( CONTROL!$C$14, $D$10, 100%, $F$10)</f>
        <v>27.3827</v>
      </c>
      <c r="F730" s="4">
        <f>CHOOSE( CONTROL!$C$31, 28.0542, 28.0513) * CHOOSE(CONTROL!$C$14, $D$10, 100%, $F$10)</f>
        <v>28.054200000000002</v>
      </c>
      <c r="G730" s="8">
        <f>CHOOSE( CONTROL!$C$31, 26.8895, 26.8867) * CHOOSE( CONTROL!$C$14, $D$10, 100%, $F$10)</f>
        <v>26.889500000000002</v>
      </c>
      <c r="H730" s="4">
        <f>CHOOSE( CONTROL!$C$31, 27.8178, 27.8149) * CHOOSE(CONTROL!$C$14, $D$10, 100%, $F$10)</f>
        <v>27.817799999999998</v>
      </c>
      <c r="I730" s="8">
        <f>CHOOSE( CONTROL!$C$31, 26.5367, 26.5339) * CHOOSE(CONTROL!$C$14, $D$10, 100%, $F$10)</f>
        <v>26.5367</v>
      </c>
      <c r="J730" s="4">
        <f>CHOOSE( CONTROL!$C$31, 26.4299, 26.4271) * CHOOSE(CONTROL!$C$14, $D$10, 100%, $F$10)</f>
        <v>26.4299</v>
      </c>
      <c r="K730" s="4"/>
      <c r="L730" s="9">
        <v>30.7165</v>
      </c>
      <c r="M730" s="9">
        <v>12.063700000000001</v>
      </c>
      <c r="N730" s="9">
        <v>4.9444999999999997</v>
      </c>
      <c r="O730" s="9">
        <v>0.37409999999999999</v>
      </c>
      <c r="P730" s="9">
        <v>1.2183999999999999</v>
      </c>
      <c r="Q730" s="9">
        <v>19.688099999999999</v>
      </c>
      <c r="R730" s="9"/>
      <c r="S730" s="11"/>
    </row>
    <row r="731" spans="1:19" ht="15.75">
      <c r="A731" s="13">
        <v>64162</v>
      </c>
      <c r="B731" s="8">
        <f>CHOOSE( CONTROL!$C$31, 25.2624, 25.2595) * CHOOSE(CONTROL!$C$14, $D$10, 100%, $F$10)</f>
        <v>25.2624</v>
      </c>
      <c r="C731" s="8">
        <f>CHOOSE( CONTROL!$C$31, 25.2704, 25.2675) * CHOOSE(CONTROL!$C$14, $D$10, 100%, $F$10)</f>
        <v>25.270399999999999</v>
      </c>
      <c r="D731" s="8">
        <f>CHOOSE( CONTROL!$C$31, 25.2757, 25.2727) * CHOOSE( CONTROL!$C$14, $D$10, 100%, $F$10)</f>
        <v>25.275700000000001</v>
      </c>
      <c r="E731" s="12">
        <f>CHOOSE( CONTROL!$C$31, 25.2726, 25.2696) * CHOOSE( CONTROL!$C$14, $D$10, 100%, $F$10)</f>
        <v>25.272600000000001</v>
      </c>
      <c r="F731" s="4">
        <f>CHOOSE( CONTROL!$C$31, 25.944, 25.9411) * CHOOSE(CONTROL!$C$14, $D$10, 100%, $F$10)</f>
        <v>25.943999999999999</v>
      </c>
      <c r="G731" s="8">
        <f>CHOOSE( CONTROL!$C$31, 24.8144, 24.8115) * CHOOSE( CONTROL!$C$14, $D$10, 100%, $F$10)</f>
        <v>24.814399999999999</v>
      </c>
      <c r="H731" s="4">
        <f>CHOOSE( CONTROL!$C$31, 25.7425, 25.7397) * CHOOSE(CONTROL!$C$14, $D$10, 100%, $F$10)</f>
        <v>25.7425</v>
      </c>
      <c r="I731" s="8">
        <f>CHOOSE( CONTROL!$C$31, 24.4961, 24.4933) * CHOOSE(CONTROL!$C$14, $D$10, 100%, $F$10)</f>
        <v>24.496099999999998</v>
      </c>
      <c r="J731" s="4">
        <f>CHOOSE( CONTROL!$C$31, 24.39, 24.3871) * CHOOSE(CONTROL!$C$14, $D$10, 100%, $F$10)</f>
        <v>24.39</v>
      </c>
      <c r="K731" s="4"/>
      <c r="L731" s="9">
        <v>30.7165</v>
      </c>
      <c r="M731" s="9">
        <v>12.063700000000001</v>
      </c>
      <c r="N731" s="9">
        <v>4.9444999999999997</v>
      </c>
      <c r="O731" s="9">
        <v>0.37409999999999999</v>
      </c>
      <c r="P731" s="9">
        <v>1.2183999999999999</v>
      </c>
      <c r="Q731" s="9">
        <v>19.688099999999999</v>
      </c>
      <c r="R731" s="9"/>
      <c r="S731" s="11"/>
    </row>
    <row r="732" spans="1:19" ht="15.75">
      <c r="A732" s="13">
        <v>64192</v>
      </c>
      <c r="B732" s="8">
        <f>CHOOSE( CONTROL!$C$31, 24.734, 24.7311) * CHOOSE(CONTROL!$C$14, $D$10, 100%, $F$10)</f>
        <v>24.734000000000002</v>
      </c>
      <c r="C732" s="8">
        <f>CHOOSE( CONTROL!$C$31, 24.742, 24.7391) * CHOOSE(CONTROL!$C$14, $D$10, 100%, $F$10)</f>
        <v>24.742000000000001</v>
      </c>
      <c r="D732" s="8">
        <f>CHOOSE( CONTROL!$C$31, 24.7472, 24.7443) * CHOOSE( CONTROL!$C$14, $D$10, 100%, $F$10)</f>
        <v>24.747199999999999</v>
      </c>
      <c r="E732" s="12">
        <f>CHOOSE( CONTROL!$C$31, 24.7441, 24.7412) * CHOOSE( CONTROL!$C$14, $D$10, 100%, $F$10)</f>
        <v>24.7441</v>
      </c>
      <c r="F732" s="4">
        <f>CHOOSE( CONTROL!$C$31, 25.4155, 25.4126) * CHOOSE(CONTROL!$C$14, $D$10, 100%, $F$10)</f>
        <v>25.415500000000002</v>
      </c>
      <c r="G732" s="8">
        <f>CHOOSE( CONTROL!$C$31, 24.2947, 24.2918) * CHOOSE( CONTROL!$C$14, $D$10, 100%, $F$10)</f>
        <v>24.294699999999999</v>
      </c>
      <c r="H732" s="4">
        <f>CHOOSE( CONTROL!$C$31, 25.2229, 25.22) * CHOOSE(CONTROL!$C$14, $D$10, 100%, $F$10)</f>
        <v>25.222899999999999</v>
      </c>
      <c r="I732" s="8">
        <f>CHOOSE( CONTROL!$C$31, 23.985, 23.9821) * CHOOSE(CONTROL!$C$14, $D$10, 100%, $F$10)</f>
        <v>23.984999999999999</v>
      </c>
      <c r="J732" s="4">
        <f>CHOOSE( CONTROL!$C$31, 23.8791, 23.8763) * CHOOSE(CONTROL!$C$14, $D$10, 100%, $F$10)</f>
        <v>23.879100000000001</v>
      </c>
      <c r="K732" s="4"/>
      <c r="L732" s="9">
        <v>29.7257</v>
      </c>
      <c r="M732" s="9">
        <v>11.6745</v>
      </c>
      <c r="N732" s="9">
        <v>4.7850000000000001</v>
      </c>
      <c r="O732" s="9">
        <v>0.36199999999999999</v>
      </c>
      <c r="P732" s="9">
        <v>1.1791</v>
      </c>
      <c r="Q732" s="9">
        <v>19.053000000000001</v>
      </c>
      <c r="R732" s="9"/>
      <c r="S732" s="11"/>
    </row>
    <row r="733" spans="1:19" ht="15.75">
      <c r="A733" s="13">
        <v>64223</v>
      </c>
      <c r="B733" s="8">
        <f>25.8266 * CHOOSE(CONTROL!$C$14, $D$10, 100%, $F$10)</f>
        <v>25.826599999999999</v>
      </c>
      <c r="C733" s="8">
        <f>25.8319 * CHOOSE(CONTROL!$C$14, $D$10, 100%, $F$10)</f>
        <v>25.831900000000001</v>
      </c>
      <c r="D733" s="8">
        <f>25.8419 * CHOOSE( CONTROL!$C$14, $D$10, 100%, $F$10)</f>
        <v>25.841899999999999</v>
      </c>
      <c r="E733" s="12">
        <f>25.838 * CHOOSE( CONTROL!$C$14, $D$10, 100%, $F$10)</f>
        <v>25.838000000000001</v>
      </c>
      <c r="F733" s="4">
        <f>26.5098 * CHOOSE(CONTROL!$C$14, $D$10, 100%, $F$10)</f>
        <v>26.509799999999998</v>
      </c>
      <c r="G733" s="8">
        <f>25.3705 * CHOOSE( CONTROL!$C$14, $D$10, 100%, $F$10)</f>
        <v>25.3705</v>
      </c>
      <c r="H733" s="4">
        <f>26.299 * CHOOSE(CONTROL!$C$14, $D$10, 100%, $F$10)</f>
        <v>26.298999999999999</v>
      </c>
      <c r="I733" s="8">
        <f>25.0441 * CHOOSE(CONTROL!$C$14, $D$10, 100%, $F$10)</f>
        <v>25.0441</v>
      </c>
      <c r="J733" s="4">
        <f>24.937 * CHOOSE(CONTROL!$C$14, $D$10, 100%, $F$10)</f>
        <v>24.937000000000001</v>
      </c>
      <c r="K733" s="4"/>
      <c r="L733" s="9">
        <v>31.095300000000002</v>
      </c>
      <c r="M733" s="9">
        <v>12.063700000000001</v>
      </c>
      <c r="N733" s="9">
        <v>4.9444999999999997</v>
      </c>
      <c r="O733" s="9">
        <v>0.37409999999999999</v>
      </c>
      <c r="P733" s="9">
        <v>1.2183999999999999</v>
      </c>
      <c r="Q733" s="9">
        <v>19.688099999999999</v>
      </c>
      <c r="R733" s="9"/>
      <c r="S733" s="11"/>
    </row>
    <row r="734" spans="1:19" ht="15.75">
      <c r="A734" s="13">
        <v>64253</v>
      </c>
      <c r="B734" s="8">
        <f>27.8514 * CHOOSE(CONTROL!$C$14, $D$10, 100%, $F$10)</f>
        <v>27.851400000000002</v>
      </c>
      <c r="C734" s="8">
        <f>27.8565 * CHOOSE(CONTROL!$C$14, $D$10, 100%, $F$10)</f>
        <v>27.8565</v>
      </c>
      <c r="D734" s="8">
        <f>27.8327 * CHOOSE( CONTROL!$C$14, $D$10, 100%, $F$10)</f>
        <v>27.832699999999999</v>
      </c>
      <c r="E734" s="12">
        <f>27.8409 * CHOOSE( CONTROL!$C$14, $D$10, 100%, $F$10)</f>
        <v>27.840900000000001</v>
      </c>
      <c r="F734" s="4">
        <f>28.4988 * CHOOSE(CONTROL!$C$14, $D$10, 100%, $F$10)</f>
        <v>28.498799999999999</v>
      </c>
      <c r="G734" s="8">
        <f>27.3719 * CHOOSE( CONTROL!$C$14, $D$10, 100%, $F$10)</f>
        <v>27.3719</v>
      </c>
      <c r="H734" s="4">
        <f>28.255 * CHOOSE(CONTROL!$C$14, $D$10, 100%, $F$10)</f>
        <v>28.254999999999999</v>
      </c>
      <c r="I734" s="8">
        <f>27.0334 * CHOOSE(CONTROL!$C$14, $D$10, 100%, $F$10)</f>
        <v>27.0334</v>
      </c>
      <c r="J734" s="4">
        <f>26.8947 * CHOOSE(CONTROL!$C$14, $D$10, 100%, $F$10)</f>
        <v>26.8947</v>
      </c>
      <c r="K734" s="4"/>
      <c r="L734" s="9">
        <v>28.360600000000002</v>
      </c>
      <c r="M734" s="9">
        <v>11.6745</v>
      </c>
      <c r="N734" s="9">
        <v>4.7850000000000001</v>
      </c>
      <c r="O734" s="9">
        <v>0.36199999999999999</v>
      </c>
      <c r="P734" s="9">
        <v>1.2509999999999999</v>
      </c>
      <c r="Q734" s="9">
        <v>19.053000000000001</v>
      </c>
      <c r="R734" s="9"/>
      <c r="S734" s="11"/>
    </row>
    <row r="735" spans="1:19" ht="15.75">
      <c r="A735" s="13">
        <v>64284</v>
      </c>
      <c r="B735" s="8">
        <f>27.8008 * CHOOSE(CONTROL!$C$14, $D$10, 100%, $F$10)</f>
        <v>27.800799999999999</v>
      </c>
      <c r="C735" s="8">
        <f>27.8059 * CHOOSE(CONTROL!$C$14, $D$10, 100%, $F$10)</f>
        <v>27.805900000000001</v>
      </c>
      <c r="D735" s="8">
        <f>27.7835 * CHOOSE( CONTROL!$C$14, $D$10, 100%, $F$10)</f>
        <v>27.7835</v>
      </c>
      <c r="E735" s="12">
        <f>27.7911 * CHOOSE( CONTROL!$C$14, $D$10, 100%, $F$10)</f>
        <v>27.7911</v>
      </c>
      <c r="F735" s="4">
        <f>28.4482 * CHOOSE(CONTROL!$C$14, $D$10, 100%, $F$10)</f>
        <v>28.4482</v>
      </c>
      <c r="G735" s="8">
        <f>27.3232 * CHOOSE( CONTROL!$C$14, $D$10, 100%, $F$10)</f>
        <v>27.3232</v>
      </c>
      <c r="H735" s="4">
        <f>28.2053 * CHOOSE(CONTROL!$C$14, $D$10, 100%, $F$10)</f>
        <v>28.205300000000001</v>
      </c>
      <c r="I735" s="8">
        <f>26.9888 * CHOOSE(CONTROL!$C$14, $D$10, 100%, $F$10)</f>
        <v>26.988800000000001</v>
      </c>
      <c r="J735" s="4">
        <f>26.8458 * CHOOSE(CONTROL!$C$14, $D$10, 100%, $F$10)</f>
        <v>26.845800000000001</v>
      </c>
      <c r="K735" s="4"/>
      <c r="L735" s="9">
        <v>29.306000000000001</v>
      </c>
      <c r="M735" s="9">
        <v>12.063700000000001</v>
      </c>
      <c r="N735" s="9">
        <v>4.9444999999999997</v>
      </c>
      <c r="O735" s="9">
        <v>0.37409999999999999</v>
      </c>
      <c r="P735" s="9">
        <v>1.2927</v>
      </c>
      <c r="Q735" s="9">
        <v>19.688099999999999</v>
      </c>
      <c r="R735" s="9"/>
      <c r="S735" s="11"/>
    </row>
    <row r="736" spans="1:19" ht="15.75">
      <c r="A736" s="13">
        <v>64315</v>
      </c>
      <c r="B736" s="8">
        <f>28.8621 * CHOOSE(CONTROL!$C$14, $D$10, 100%, $F$10)</f>
        <v>28.862100000000002</v>
      </c>
      <c r="C736" s="8">
        <f>28.8673 * CHOOSE(CONTROL!$C$14, $D$10, 100%, $F$10)</f>
        <v>28.8673</v>
      </c>
      <c r="D736" s="8">
        <f>28.8631 * CHOOSE( CONTROL!$C$14, $D$10, 100%, $F$10)</f>
        <v>28.863099999999999</v>
      </c>
      <c r="E736" s="12">
        <f>28.8641 * CHOOSE( CONTROL!$C$14, $D$10, 100%, $F$10)</f>
        <v>28.864100000000001</v>
      </c>
      <c r="F736" s="4">
        <f>29.5406 * CHOOSE(CONTROL!$C$14, $D$10, 100%, $F$10)</f>
        <v>29.540600000000001</v>
      </c>
      <c r="G736" s="8">
        <f>28.3812 * CHOOSE( CONTROL!$C$14, $D$10, 100%, $F$10)</f>
        <v>28.3812</v>
      </c>
      <c r="H736" s="4">
        <f>29.2796 * CHOOSE(CONTROL!$C$14, $D$10, 100%, $F$10)</f>
        <v>29.279599999999999</v>
      </c>
      <c r="I736" s="8">
        <f>27.9944 * CHOOSE(CONTROL!$C$14, $D$10, 100%, $F$10)</f>
        <v>27.994399999999999</v>
      </c>
      <c r="J736" s="4">
        <f>27.8719 * CHOOSE(CONTROL!$C$14, $D$10, 100%, $F$10)</f>
        <v>27.8719</v>
      </c>
      <c r="K736" s="4"/>
      <c r="L736" s="9">
        <v>29.306000000000001</v>
      </c>
      <c r="M736" s="9">
        <v>12.063700000000001</v>
      </c>
      <c r="N736" s="9">
        <v>4.9444999999999997</v>
      </c>
      <c r="O736" s="9">
        <v>0.37409999999999999</v>
      </c>
      <c r="P736" s="9">
        <v>1.2927</v>
      </c>
      <c r="Q736" s="9">
        <v>19.688099999999999</v>
      </c>
      <c r="R736" s="9"/>
      <c r="S736" s="11"/>
    </row>
    <row r="737" spans="1:19" ht="15.75">
      <c r="A737" s="13">
        <v>64344</v>
      </c>
      <c r="B737" s="8">
        <f>26.9982 * CHOOSE(CONTROL!$C$14, $D$10, 100%, $F$10)</f>
        <v>26.998200000000001</v>
      </c>
      <c r="C737" s="8">
        <f>27.0033 * CHOOSE(CONTROL!$C$14, $D$10, 100%, $F$10)</f>
        <v>27.003299999999999</v>
      </c>
      <c r="D737" s="8">
        <f>26.9932 * CHOOSE( CONTROL!$C$14, $D$10, 100%, $F$10)</f>
        <v>26.993200000000002</v>
      </c>
      <c r="E737" s="12">
        <f>26.9963 * CHOOSE( CONTROL!$C$14, $D$10, 100%, $F$10)</f>
        <v>26.996300000000002</v>
      </c>
      <c r="F737" s="4">
        <f>27.6508 * CHOOSE(CONTROL!$C$14, $D$10, 100%, $F$10)</f>
        <v>27.6508</v>
      </c>
      <c r="G737" s="8">
        <f>26.54 * CHOOSE( CONTROL!$C$14, $D$10, 100%, $F$10)</f>
        <v>26.54</v>
      </c>
      <c r="H737" s="4">
        <f>27.4211 * CHOOSE(CONTROL!$C$14, $D$10, 100%, $F$10)</f>
        <v>27.421099999999999</v>
      </c>
      <c r="I737" s="8">
        <f>26.1823 * CHOOSE(CONTROL!$C$14, $D$10, 100%, $F$10)</f>
        <v>26.182300000000001</v>
      </c>
      <c r="J737" s="4">
        <f>26.07 * CHOOSE(CONTROL!$C$14, $D$10, 100%, $F$10)</f>
        <v>26.07</v>
      </c>
      <c r="K737" s="4"/>
      <c r="L737" s="9">
        <v>27.415299999999998</v>
      </c>
      <c r="M737" s="9">
        <v>11.285299999999999</v>
      </c>
      <c r="N737" s="9">
        <v>4.6254999999999997</v>
      </c>
      <c r="O737" s="9">
        <v>0.34989999999999999</v>
      </c>
      <c r="P737" s="9">
        <v>1.2093</v>
      </c>
      <c r="Q737" s="9">
        <v>18.417899999999999</v>
      </c>
      <c r="R737" s="9"/>
      <c r="S737" s="11"/>
    </row>
    <row r="738" spans="1:19" ht="15.75">
      <c r="A738" s="13">
        <v>64375</v>
      </c>
      <c r="B738" s="8">
        <f>26.4241 * CHOOSE(CONTROL!$C$14, $D$10, 100%, $F$10)</f>
        <v>26.424099999999999</v>
      </c>
      <c r="C738" s="8">
        <f>26.4292 * CHOOSE(CONTROL!$C$14, $D$10, 100%, $F$10)</f>
        <v>26.429200000000002</v>
      </c>
      <c r="D738" s="8">
        <f>26.4126 * CHOOSE( CONTROL!$C$14, $D$10, 100%, $F$10)</f>
        <v>26.412600000000001</v>
      </c>
      <c r="E738" s="12">
        <f>26.4181 * CHOOSE( CONTROL!$C$14, $D$10, 100%, $F$10)</f>
        <v>26.418099999999999</v>
      </c>
      <c r="F738" s="4">
        <f>27.0768 * CHOOSE(CONTROL!$C$14, $D$10, 100%, $F$10)</f>
        <v>27.076799999999999</v>
      </c>
      <c r="G738" s="8">
        <f>25.9672 * CHOOSE( CONTROL!$C$14, $D$10, 100%, $F$10)</f>
        <v>25.967199999999998</v>
      </c>
      <c r="H738" s="4">
        <f>26.8565 * CHOOSE(CONTROL!$C$14, $D$10, 100%, $F$10)</f>
        <v>26.8565</v>
      </c>
      <c r="I738" s="8">
        <f>25.6069 * CHOOSE(CONTROL!$C$14, $D$10, 100%, $F$10)</f>
        <v>25.6069</v>
      </c>
      <c r="J738" s="4">
        <f>25.515 * CHOOSE(CONTROL!$C$14, $D$10, 100%, $F$10)</f>
        <v>25.515000000000001</v>
      </c>
      <c r="K738" s="4"/>
      <c r="L738" s="9">
        <v>29.306000000000001</v>
      </c>
      <c r="M738" s="9">
        <v>12.063700000000001</v>
      </c>
      <c r="N738" s="9">
        <v>4.9444999999999997</v>
      </c>
      <c r="O738" s="9">
        <v>0.37409999999999999</v>
      </c>
      <c r="P738" s="9">
        <v>1.2927</v>
      </c>
      <c r="Q738" s="9">
        <v>19.688099999999999</v>
      </c>
      <c r="R738" s="9"/>
      <c r="S738" s="11"/>
    </row>
    <row r="739" spans="1:19" ht="15.75">
      <c r="A739" s="13">
        <v>64405</v>
      </c>
      <c r="B739" s="8">
        <f>26.826 * CHOOSE(CONTROL!$C$14, $D$10, 100%, $F$10)</f>
        <v>26.826000000000001</v>
      </c>
      <c r="C739" s="8">
        <f>26.8306 * CHOOSE(CONTROL!$C$14, $D$10, 100%, $F$10)</f>
        <v>26.8306</v>
      </c>
      <c r="D739" s="8">
        <f>26.8401 * CHOOSE( CONTROL!$C$14, $D$10, 100%, $F$10)</f>
        <v>26.8401</v>
      </c>
      <c r="E739" s="12">
        <f>26.8364 * CHOOSE( CONTROL!$C$14, $D$10, 100%, $F$10)</f>
        <v>26.836400000000001</v>
      </c>
      <c r="F739" s="4">
        <f>27.509 * CHOOSE(CONTROL!$C$14, $D$10, 100%, $F$10)</f>
        <v>27.509</v>
      </c>
      <c r="G739" s="8">
        <f>26.3516 * CHOOSE( CONTROL!$C$14, $D$10, 100%, $F$10)</f>
        <v>26.351600000000001</v>
      </c>
      <c r="H739" s="4">
        <f>27.2816 * CHOOSE(CONTROL!$C$14, $D$10, 100%, $F$10)</f>
        <v>27.281600000000001</v>
      </c>
      <c r="I739" s="8">
        <f>26.0059 * CHOOSE(CONTROL!$C$14, $D$10, 100%, $F$10)</f>
        <v>26.0059</v>
      </c>
      <c r="J739" s="4">
        <f>25.9028 * CHOOSE(CONTROL!$C$14, $D$10, 100%, $F$10)</f>
        <v>25.902799999999999</v>
      </c>
      <c r="K739" s="4"/>
      <c r="L739" s="9">
        <v>30.092199999999998</v>
      </c>
      <c r="M739" s="9">
        <v>11.6745</v>
      </c>
      <c r="N739" s="9">
        <v>4.7850000000000001</v>
      </c>
      <c r="O739" s="9">
        <v>0.36199999999999999</v>
      </c>
      <c r="P739" s="9">
        <v>1.1791</v>
      </c>
      <c r="Q739" s="9">
        <v>19.053000000000001</v>
      </c>
      <c r="R739" s="9"/>
      <c r="S739" s="11"/>
    </row>
    <row r="740" spans="1:19" ht="15.75">
      <c r="A740" s="13">
        <v>64436</v>
      </c>
      <c r="B740" s="8">
        <f>CHOOSE( CONTROL!$C$31, 27.5443, 27.5414) * CHOOSE(CONTROL!$C$14, $D$10, 100%, $F$10)</f>
        <v>27.5443</v>
      </c>
      <c r="C740" s="8">
        <f>CHOOSE( CONTROL!$C$31, 27.5523, 27.5494) * CHOOSE(CONTROL!$C$14, $D$10, 100%, $F$10)</f>
        <v>27.552299999999999</v>
      </c>
      <c r="D740" s="8">
        <f>CHOOSE( CONTROL!$C$31, 27.5569, 27.554) * CHOOSE( CONTROL!$C$14, $D$10, 100%, $F$10)</f>
        <v>27.556899999999999</v>
      </c>
      <c r="E740" s="12">
        <f>CHOOSE( CONTROL!$C$31, 27.554, 27.5511) * CHOOSE( CONTROL!$C$14, $D$10, 100%, $F$10)</f>
        <v>27.553999999999998</v>
      </c>
      <c r="F740" s="4">
        <f>CHOOSE( CONTROL!$C$31, 28.2259, 28.2229) * CHOOSE(CONTROL!$C$14, $D$10, 100%, $F$10)</f>
        <v>28.225899999999999</v>
      </c>
      <c r="G740" s="8">
        <f>CHOOSE( CONTROL!$C$31, 27.0576, 27.0547) * CHOOSE( CONTROL!$C$14, $D$10, 100%, $F$10)</f>
        <v>27.057600000000001</v>
      </c>
      <c r="H740" s="4">
        <f>CHOOSE( CONTROL!$C$31, 27.9866, 27.9837) * CHOOSE(CONTROL!$C$14, $D$10, 100%, $F$10)</f>
        <v>27.986599999999999</v>
      </c>
      <c r="I740" s="8">
        <f>CHOOSE( CONTROL!$C$31, 26.7003, 26.6975) * CHOOSE(CONTROL!$C$14, $D$10, 100%, $F$10)</f>
        <v>26.700299999999999</v>
      </c>
      <c r="J740" s="4">
        <f>CHOOSE( CONTROL!$C$31, 26.5958, 26.593) * CHOOSE(CONTROL!$C$14, $D$10, 100%, $F$10)</f>
        <v>26.595800000000001</v>
      </c>
      <c r="K740" s="4"/>
      <c r="L740" s="9">
        <v>30.7165</v>
      </c>
      <c r="M740" s="9">
        <v>12.063700000000001</v>
      </c>
      <c r="N740" s="9">
        <v>4.9444999999999997</v>
      </c>
      <c r="O740" s="9">
        <v>0.37409999999999999</v>
      </c>
      <c r="P740" s="9">
        <v>1.2183999999999999</v>
      </c>
      <c r="Q740" s="9">
        <v>19.688099999999999</v>
      </c>
      <c r="R740" s="9"/>
      <c r="S740" s="11"/>
    </row>
    <row r="741" spans="1:19" ht="15.75">
      <c r="A741" s="13">
        <v>64466</v>
      </c>
      <c r="B741" s="8">
        <f>CHOOSE( CONTROL!$C$31, 27.102, 27.0991) * CHOOSE(CONTROL!$C$14, $D$10, 100%, $F$10)</f>
        <v>27.102</v>
      </c>
      <c r="C741" s="8">
        <f>CHOOSE( CONTROL!$C$31, 27.11, 27.1071) * CHOOSE(CONTROL!$C$14, $D$10, 100%, $F$10)</f>
        <v>27.11</v>
      </c>
      <c r="D741" s="8">
        <f>CHOOSE( CONTROL!$C$31, 27.1149, 27.112) * CHOOSE( CONTROL!$C$14, $D$10, 100%, $F$10)</f>
        <v>27.114899999999999</v>
      </c>
      <c r="E741" s="12">
        <f>CHOOSE( CONTROL!$C$31, 27.1119, 27.109) * CHOOSE( CONTROL!$C$14, $D$10, 100%, $F$10)</f>
        <v>27.111899999999999</v>
      </c>
      <c r="F741" s="4">
        <f>CHOOSE( CONTROL!$C$31, 27.7836, 27.7806) * CHOOSE(CONTROL!$C$14, $D$10, 100%, $F$10)</f>
        <v>27.7836</v>
      </c>
      <c r="G741" s="8">
        <f>CHOOSE( CONTROL!$C$31, 26.623, 26.6201) * CHOOSE( CONTROL!$C$14, $D$10, 100%, $F$10)</f>
        <v>26.623000000000001</v>
      </c>
      <c r="H741" s="4">
        <f>CHOOSE( CONTROL!$C$31, 27.5516, 27.5488) * CHOOSE(CONTROL!$C$14, $D$10, 100%, $F$10)</f>
        <v>27.551600000000001</v>
      </c>
      <c r="I741" s="8">
        <f>CHOOSE( CONTROL!$C$31, 26.2738, 26.2709) * CHOOSE(CONTROL!$C$14, $D$10, 100%, $F$10)</f>
        <v>26.273800000000001</v>
      </c>
      <c r="J741" s="4">
        <f>CHOOSE( CONTROL!$C$31, 26.1683, 26.1655) * CHOOSE(CONTROL!$C$14, $D$10, 100%, $F$10)</f>
        <v>26.168299999999999</v>
      </c>
      <c r="K741" s="4"/>
      <c r="L741" s="9">
        <v>29.7257</v>
      </c>
      <c r="M741" s="9">
        <v>11.6745</v>
      </c>
      <c r="N741" s="9">
        <v>4.7850000000000001</v>
      </c>
      <c r="O741" s="9">
        <v>0.36199999999999999</v>
      </c>
      <c r="P741" s="9">
        <v>1.1791</v>
      </c>
      <c r="Q741" s="9">
        <v>19.053000000000001</v>
      </c>
      <c r="R741" s="9"/>
      <c r="S741" s="11"/>
    </row>
    <row r="742" spans="1:19" ht="15.75">
      <c r="A742" s="13">
        <v>64497</v>
      </c>
      <c r="B742" s="8">
        <f>CHOOSE( CONTROL!$C$31, 28.2667, 28.2638) * CHOOSE(CONTROL!$C$14, $D$10, 100%, $F$10)</f>
        <v>28.2667</v>
      </c>
      <c r="C742" s="8">
        <f>CHOOSE( CONTROL!$C$31, 28.2747, 28.2718) * CHOOSE(CONTROL!$C$14, $D$10, 100%, $F$10)</f>
        <v>28.274699999999999</v>
      </c>
      <c r="D742" s="8">
        <f>CHOOSE( CONTROL!$C$31, 28.2799, 28.2769) * CHOOSE( CONTROL!$C$14, $D$10, 100%, $F$10)</f>
        <v>28.279900000000001</v>
      </c>
      <c r="E742" s="12">
        <f>CHOOSE( CONTROL!$C$31, 28.2768, 28.2738) * CHOOSE( CONTROL!$C$14, $D$10, 100%, $F$10)</f>
        <v>28.276800000000001</v>
      </c>
      <c r="F742" s="4">
        <f>CHOOSE( CONTROL!$C$31, 28.9483, 28.9453) * CHOOSE(CONTROL!$C$14, $D$10, 100%, $F$10)</f>
        <v>28.9483</v>
      </c>
      <c r="G742" s="8">
        <f>CHOOSE( CONTROL!$C$31, 27.7687, 27.7659) * CHOOSE( CONTROL!$C$14, $D$10, 100%, $F$10)</f>
        <v>27.768699999999999</v>
      </c>
      <c r="H742" s="4">
        <f>CHOOSE( CONTROL!$C$31, 28.697, 28.6941) * CHOOSE(CONTROL!$C$14, $D$10, 100%, $F$10)</f>
        <v>28.696999999999999</v>
      </c>
      <c r="I742" s="8">
        <f>CHOOSE( CONTROL!$C$31, 27.4014, 27.3986) * CHOOSE(CONTROL!$C$14, $D$10, 100%, $F$10)</f>
        <v>27.401399999999999</v>
      </c>
      <c r="J742" s="4">
        <f>CHOOSE( CONTROL!$C$31, 27.2942, 27.2914) * CHOOSE(CONTROL!$C$14, $D$10, 100%, $F$10)</f>
        <v>27.2942</v>
      </c>
      <c r="K742" s="4"/>
      <c r="L742" s="9">
        <v>30.7165</v>
      </c>
      <c r="M742" s="9">
        <v>12.063700000000001</v>
      </c>
      <c r="N742" s="9">
        <v>4.9444999999999997</v>
      </c>
      <c r="O742" s="9">
        <v>0.37409999999999999</v>
      </c>
      <c r="P742" s="9">
        <v>1.2183999999999999</v>
      </c>
      <c r="Q742" s="9">
        <v>19.688099999999999</v>
      </c>
      <c r="R742" s="9"/>
      <c r="S742" s="11"/>
    </row>
    <row r="743" spans="1:19" ht="15.75">
      <c r="A743" s="13">
        <v>64528</v>
      </c>
      <c r="B743" s="8">
        <f>CHOOSE( CONTROL!$C$31, 26.0875, 26.0845) * CHOOSE(CONTROL!$C$14, $D$10, 100%, $F$10)</f>
        <v>26.087499999999999</v>
      </c>
      <c r="C743" s="8">
        <f>CHOOSE( CONTROL!$C$31, 26.0955, 26.0925) * CHOOSE(CONTROL!$C$14, $D$10, 100%, $F$10)</f>
        <v>26.095500000000001</v>
      </c>
      <c r="D743" s="8">
        <f>CHOOSE( CONTROL!$C$31, 26.1007, 26.0977) * CHOOSE( CONTROL!$C$14, $D$10, 100%, $F$10)</f>
        <v>26.1007</v>
      </c>
      <c r="E743" s="12">
        <f>CHOOSE( CONTROL!$C$31, 26.0976, 26.0946) * CHOOSE( CONTROL!$C$14, $D$10, 100%, $F$10)</f>
        <v>26.0976</v>
      </c>
      <c r="F743" s="4">
        <f>CHOOSE( CONTROL!$C$31, 26.769, 26.7661) * CHOOSE(CONTROL!$C$14, $D$10, 100%, $F$10)</f>
        <v>26.768999999999998</v>
      </c>
      <c r="G743" s="8">
        <f>CHOOSE( CONTROL!$C$31, 25.6257, 25.6229) * CHOOSE( CONTROL!$C$14, $D$10, 100%, $F$10)</f>
        <v>25.625699999999998</v>
      </c>
      <c r="H743" s="4">
        <f>CHOOSE( CONTROL!$C$31, 26.5539, 26.551) * CHOOSE(CONTROL!$C$14, $D$10, 100%, $F$10)</f>
        <v>26.553899999999999</v>
      </c>
      <c r="I743" s="8">
        <f>CHOOSE( CONTROL!$C$31, 25.2941, 25.2912) * CHOOSE(CONTROL!$C$14, $D$10, 100%, $F$10)</f>
        <v>25.2941</v>
      </c>
      <c r="J743" s="4">
        <f>CHOOSE( CONTROL!$C$31, 25.1875, 25.1847) * CHOOSE(CONTROL!$C$14, $D$10, 100%, $F$10)</f>
        <v>25.1875</v>
      </c>
      <c r="K743" s="4"/>
      <c r="L743" s="9">
        <v>30.7165</v>
      </c>
      <c r="M743" s="9">
        <v>12.063700000000001</v>
      </c>
      <c r="N743" s="9">
        <v>4.9444999999999997</v>
      </c>
      <c r="O743" s="9">
        <v>0.37409999999999999</v>
      </c>
      <c r="P743" s="9">
        <v>1.2183999999999999</v>
      </c>
      <c r="Q743" s="9">
        <v>19.688099999999999</v>
      </c>
      <c r="R743" s="9"/>
      <c r="S743" s="11"/>
    </row>
    <row r="744" spans="1:19" ht="15.75">
      <c r="A744" s="13">
        <v>64558</v>
      </c>
      <c r="B744" s="8">
        <f>CHOOSE( CONTROL!$C$31, 25.5417, 25.5388) * CHOOSE(CONTROL!$C$14, $D$10, 100%, $F$10)</f>
        <v>25.541699999999999</v>
      </c>
      <c r="C744" s="8">
        <f>CHOOSE( CONTROL!$C$31, 25.5498, 25.5468) * CHOOSE(CONTROL!$C$14, $D$10, 100%, $F$10)</f>
        <v>25.549800000000001</v>
      </c>
      <c r="D744" s="8">
        <f>CHOOSE( CONTROL!$C$31, 25.5549, 25.552) * CHOOSE( CONTROL!$C$14, $D$10, 100%, $F$10)</f>
        <v>25.5549</v>
      </c>
      <c r="E744" s="12">
        <f>CHOOSE( CONTROL!$C$31, 25.5518, 25.5489) * CHOOSE( CONTROL!$C$14, $D$10, 100%, $F$10)</f>
        <v>25.5518</v>
      </c>
      <c r="F744" s="4">
        <f>CHOOSE( CONTROL!$C$31, 26.2233, 26.2204) * CHOOSE(CONTROL!$C$14, $D$10, 100%, $F$10)</f>
        <v>26.223299999999998</v>
      </c>
      <c r="G744" s="8">
        <f>CHOOSE( CONTROL!$C$31, 25.0891, 25.0862) * CHOOSE( CONTROL!$C$14, $D$10, 100%, $F$10)</f>
        <v>25.089099999999998</v>
      </c>
      <c r="H744" s="4">
        <f>CHOOSE( CONTROL!$C$31, 26.0172, 26.0143) * CHOOSE(CONTROL!$C$14, $D$10, 100%, $F$10)</f>
        <v>26.017199999999999</v>
      </c>
      <c r="I744" s="8">
        <f>CHOOSE( CONTROL!$C$31, 24.7662, 24.7634) * CHOOSE(CONTROL!$C$14, $D$10, 100%, $F$10)</f>
        <v>24.766200000000001</v>
      </c>
      <c r="J744" s="4">
        <f>CHOOSE( CONTROL!$C$31, 24.66, 24.6571) * CHOOSE(CONTROL!$C$14, $D$10, 100%, $F$10)</f>
        <v>24.66</v>
      </c>
      <c r="K744" s="4"/>
      <c r="L744" s="9">
        <v>29.7257</v>
      </c>
      <c r="M744" s="9">
        <v>11.6745</v>
      </c>
      <c r="N744" s="9">
        <v>4.7850000000000001</v>
      </c>
      <c r="O744" s="9">
        <v>0.36199999999999999</v>
      </c>
      <c r="P744" s="9">
        <v>1.1791</v>
      </c>
      <c r="Q744" s="9">
        <v>19.053000000000001</v>
      </c>
      <c r="R744" s="9"/>
      <c r="S744" s="11"/>
    </row>
    <row r="745" spans="1:19" ht="15.75">
      <c r="A745" s="13">
        <v>64589</v>
      </c>
      <c r="B745" s="8">
        <f>26.6702 * CHOOSE(CONTROL!$C$14, $D$10, 100%, $F$10)</f>
        <v>26.670200000000001</v>
      </c>
      <c r="C745" s="8">
        <f>26.6755 * CHOOSE(CONTROL!$C$14, $D$10, 100%, $F$10)</f>
        <v>26.6755</v>
      </c>
      <c r="D745" s="8">
        <f>26.6855 * CHOOSE( CONTROL!$C$14, $D$10, 100%, $F$10)</f>
        <v>26.685500000000001</v>
      </c>
      <c r="E745" s="12">
        <f>26.6816 * CHOOSE( CONTROL!$C$14, $D$10, 100%, $F$10)</f>
        <v>26.6816</v>
      </c>
      <c r="F745" s="4">
        <f>27.3534 * CHOOSE(CONTROL!$C$14, $D$10, 100%, $F$10)</f>
        <v>27.353400000000001</v>
      </c>
      <c r="G745" s="8">
        <f>26.2001 * CHOOSE( CONTROL!$C$14, $D$10, 100%, $F$10)</f>
        <v>26.200099999999999</v>
      </c>
      <c r="H745" s="4">
        <f>27.1286 * CHOOSE(CONTROL!$C$14, $D$10, 100%, $F$10)</f>
        <v>27.128599999999999</v>
      </c>
      <c r="I745" s="8">
        <f>25.8601 * CHOOSE(CONTROL!$C$14, $D$10, 100%, $F$10)</f>
        <v>25.860099999999999</v>
      </c>
      <c r="J745" s="4">
        <f>25.7525 * CHOOSE(CONTROL!$C$14, $D$10, 100%, $F$10)</f>
        <v>25.752500000000001</v>
      </c>
      <c r="K745" s="4"/>
      <c r="L745" s="9">
        <v>31.095300000000002</v>
      </c>
      <c r="M745" s="9">
        <v>12.063700000000001</v>
      </c>
      <c r="N745" s="9">
        <v>4.9444999999999997</v>
      </c>
      <c r="O745" s="9">
        <v>0.37409999999999999</v>
      </c>
      <c r="P745" s="9">
        <v>1.2183999999999999</v>
      </c>
      <c r="Q745" s="9">
        <v>19.688099999999999</v>
      </c>
      <c r="R745" s="9"/>
      <c r="S745" s="11"/>
    </row>
    <row r="746" spans="1:19" ht="15.75">
      <c r="A746" s="13">
        <v>64619</v>
      </c>
      <c r="B746" s="8">
        <f>28.7612 * CHOOSE(CONTROL!$C$14, $D$10, 100%, $F$10)</f>
        <v>28.761199999999999</v>
      </c>
      <c r="C746" s="8">
        <f>28.7663 * CHOOSE(CONTROL!$C$14, $D$10, 100%, $F$10)</f>
        <v>28.766300000000001</v>
      </c>
      <c r="D746" s="8">
        <f>28.7425 * CHOOSE( CONTROL!$C$14, $D$10, 100%, $F$10)</f>
        <v>28.7425</v>
      </c>
      <c r="E746" s="12">
        <f>28.7507 * CHOOSE( CONTROL!$C$14, $D$10, 100%, $F$10)</f>
        <v>28.750699999999998</v>
      </c>
      <c r="F746" s="4">
        <f>29.4087 * CHOOSE(CONTROL!$C$14, $D$10, 100%, $F$10)</f>
        <v>29.4087</v>
      </c>
      <c r="G746" s="8">
        <f>28.2667 * CHOOSE( CONTROL!$C$14, $D$10, 100%, $F$10)</f>
        <v>28.2667</v>
      </c>
      <c r="H746" s="4">
        <f>29.1498 * CHOOSE(CONTROL!$C$14, $D$10, 100%, $F$10)</f>
        <v>29.149799999999999</v>
      </c>
      <c r="I746" s="8">
        <f>27.9134 * CHOOSE(CONTROL!$C$14, $D$10, 100%, $F$10)</f>
        <v>27.913399999999999</v>
      </c>
      <c r="J746" s="4">
        <f>27.7743 * CHOOSE(CONTROL!$C$14, $D$10, 100%, $F$10)</f>
        <v>27.7743</v>
      </c>
      <c r="K746" s="4"/>
      <c r="L746" s="9">
        <v>28.360600000000002</v>
      </c>
      <c r="M746" s="9">
        <v>11.6745</v>
      </c>
      <c r="N746" s="9">
        <v>4.7850000000000001</v>
      </c>
      <c r="O746" s="9">
        <v>0.36199999999999999</v>
      </c>
      <c r="P746" s="9">
        <v>1.2509999999999999</v>
      </c>
      <c r="Q746" s="9">
        <v>19.053000000000001</v>
      </c>
      <c r="R746" s="9"/>
      <c r="S746" s="11"/>
    </row>
    <row r="747" spans="1:19" ht="15.75">
      <c r="A747" s="13">
        <v>64650</v>
      </c>
      <c r="B747" s="8">
        <f>28.709 * CHOOSE(CONTROL!$C$14, $D$10, 100%, $F$10)</f>
        <v>28.709</v>
      </c>
      <c r="C747" s="8">
        <f>28.7141 * CHOOSE(CONTROL!$C$14, $D$10, 100%, $F$10)</f>
        <v>28.714099999999998</v>
      </c>
      <c r="D747" s="8">
        <f>28.6917 * CHOOSE( CONTROL!$C$14, $D$10, 100%, $F$10)</f>
        <v>28.691700000000001</v>
      </c>
      <c r="E747" s="12">
        <f>28.6993 * CHOOSE( CONTROL!$C$14, $D$10, 100%, $F$10)</f>
        <v>28.699300000000001</v>
      </c>
      <c r="F747" s="4">
        <f>29.3564 * CHOOSE(CONTROL!$C$14, $D$10, 100%, $F$10)</f>
        <v>29.356400000000001</v>
      </c>
      <c r="G747" s="8">
        <f>28.2163 * CHOOSE( CONTROL!$C$14, $D$10, 100%, $F$10)</f>
        <v>28.2163</v>
      </c>
      <c r="H747" s="4">
        <f>29.0984 * CHOOSE(CONTROL!$C$14, $D$10, 100%, $F$10)</f>
        <v>29.098400000000002</v>
      </c>
      <c r="I747" s="8">
        <f>27.8672 * CHOOSE(CONTROL!$C$14, $D$10, 100%, $F$10)</f>
        <v>27.8672</v>
      </c>
      <c r="J747" s="4">
        <f>27.7238 * CHOOSE(CONTROL!$C$14, $D$10, 100%, $F$10)</f>
        <v>27.723800000000001</v>
      </c>
      <c r="K747" s="4"/>
      <c r="L747" s="9">
        <v>29.306000000000001</v>
      </c>
      <c r="M747" s="9">
        <v>12.063700000000001</v>
      </c>
      <c r="N747" s="9">
        <v>4.9444999999999997</v>
      </c>
      <c r="O747" s="9">
        <v>0.37409999999999999</v>
      </c>
      <c r="P747" s="9">
        <v>1.2927</v>
      </c>
      <c r="Q747" s="9">
        <v>19.688099999999999</v>
      </c>
      <c r="R747" s="9"/>
      <c r="S747" s="11"/>
    </row>
    <row r="748" spans="1:19" ht="15.75">
      <c r="A748" s="13">
        <v>64681</v>
      </c>
      <c r="B748" s="8">
        <f>29.8051 * CHOOSE(CONTROL!$C$14, $D$10, 100%, $F$10)</f>
        <v>29.805099999999999</v>
      </c>
      <c r="C748" s="8">
        <f>29.8102 * CHOOSE(CONTROL!$C$14, $D$10, 100%, $F$10)</f>
        <v>29.810199999999998</v>
      </c>
      <c r="D748" s="8">
        <f>29.806 * CHOOSE( CONTROL!$C$14, $D$10, 100%, $F$10)</f>
        <v>29.806000000000001</v>
      </c>
      <c r="E748" s="12">
        <f>29.807 * CHOOSE( CONTROL!$C$14, $D$10, 100%, $F$10)</f>
        <v>29.806999999999999</v>
      </c>
      <c r="F748" s="4">
        <f>30.4836 * CHOOSE(CONTROL!$C$14, $D$10, 100%, $F$10)</f>
        <v>30.483599999999999</v>
      </c>
      <c r="G748" s="8">
        <f>29.3084 * CHOOSE( CONTROL!$C$14, $D$10, 100%, $F$10)</f>
        <v>29.308399999999999</v>
      </c>
      <c r="H748" s="4">
        <f>30.2068 * CHOOSE(CONTROL!$C$14, $D$10, 100%, $F$10)</f>
        <v>30.206800000000001</v>
      </c>
      <c r="I748" s="8">
        <f>28.9064 * CHOOSE(CONTROL!$C$14, $D$10, 100%, $F$10)</f>
        <v>28.906400000000001</v>
      </c>
      <c r="J748" s="4">
        <f>28.7834 * CHOOSE(CONTROL!$C$14, $D$10, 100%, $F$10)</f>
        <v>28.7834</v>
      </c>
      <c r="K748" s="4"/>
      <c r="L748" s="9">
        <v>29.306000000000001</v>
      </c>
      <c r="M748" s="9">
        <v>12.063700000000001</v>
      </c>
      <c r="N748" s="9">
        <v>4.9444999999999997</v>
      </c>
      <c r="O748" s="9">
        <v>0.37409999999999999</v>
      </c>
      <c r="P748" s="9">
        <v>1.2927</v>
      </c>
      <c r="Q748" s="9">
        <v>19.688099999999999</v>
      </c>
      <c r="R748" s="9"/>
      <c r="S748" s="11"/>
    </row>
    <row r="749" spans="1:19" ht="15.75">
      <c r="A749" s="13">
        <v>64709</v>
      </c>
      <c r="B749" s="8">
        <f>27.8802 * CHOOSE(CONTROL!$C$14, $D$10, 100%, $F$10)</f>
        <v>27.880199999999999</v>
      </c>
      <c r="C749" s="8">
        <f>27.8853 * CHOOSE(CONTROL!$C$14, $D$10, 100%, $F$10)</f>
        <v>27.885300000000001</v>
      </c>
      <c r="D749" s="8">
        <f>27.8752 * CHOOSE( CONTROL!$C$14, $D$10, 100%, $F$10)</f>
        <v>27.8752</v>
      </c>
      <c r="E749" s="12">
        <f>27.8783 * CHOOSE( CONTROL!$C$14, $D$10, 100%, $F$10)</f>
        <v>27.878299999999999</v>
      </c>
      <c r="F749" s="4">
        <f>28.5328 * CHOOSE(CONTROL!$C$14, $D$10, 100%, $F$10)</f>
        <v>28.532800000000002</v>
      </c>
      <c r="G749" s="8">
        <f>27.4073 * CHOOSE( CONTROL!$C$14, $D$10, 100%, $F$10)</f>
        <v>27.407299999999999</v>
      </c>
      <c r="H749" s="4">
        <f>28.2884 * CHOOSE(CONTROL!$C$14, $D$10, 100%, $F$10)</f>
        <v>28.288399999999999</v>
      </c>
      <c r="I749" s="8">
        <f>27.0353 * CHOOSE(CONTROL!$C$14, $D$10, 100%, $F$10)</f>
        <v>27.035299999999999</v>
      </c>
      <c r="J749" s="4">
        <f>26.9226 * CHOOSE(CONTROL!$C$14, $D$10, 100%, $F$10)</f>
        <v>26.922599999999999</v>
      </c>
      <c r="K749" s="4"/>
      <c r="L749" s="9">
        <v>26.469899999999999</v>
      </c>
      <c r="M749" s="9">
        <v>10.8962</v>
      </c>
      <c r="N749" s="9">
        <v>4.4660000000000002</v>
      </c>
      <c r="O749" s="9">
        <v>0.33789999999999998</v>
      </c>
      <c r="P749" s="9">
        <v>1.1676</v>
      </c>
      <c r="Q749" s="9">
        <v>17.782800000000002</v>
      </c>
      <c r="R749" s="9"/>
      <c r="S749" s="11"/>
    </row>
    <row r="750" spans="1:19" ht="15.75">
      <c r="A750" s="13">
        <v>64740</v>
      </c>
      <c r="B750" s="8">
        <f>27.2873 * CHOOSE(CONTROL!$C$14, $D$10, 100%, $F$10)</f>
        <v>27.287299999999998</v>
      </c>
      <c r="C750" s="8">
        <f>27.2924 * CHOOSE(CONTROL!$C$14, $D$10, 100%, $F$10)</f>
        <v>27.292400000000001</v>
      </c>
      <c r="D750" s="8">
        <f>27.2758 * CHOOSE( CONTROL!$C$14, $D$10, 100%, $F$10)</f>
        <v>27.2758</v>
      </c>
      <c r="E750" s="12">
        <f>27.2813 * CHOOSE( CONTROL!$C$14, $D$10, 100%, $F$10)</f>
        <v>27.281300000000002</v>
      </c>
      <c r="F750" s="4">
        <f>27.9399 * CHOOSE(CONTROL!$C$14, $D$10, 100%, $F$10)</f>
        <v>27.939900000000002</v>
      </c>
      <c r="G750" s="8">
        <f>26.8161 * CHOOSE( CONTROL!$C$14, $D$10, 100%, $F$10)</f>
        <v>26.816099999999999</v>
      </c>
      <c r="H750" s="4">
        <f>27.7054 * CHOOSE(CONTROL!$C$14, $D$10, 100%, $F$10)</f>
        <v>27.705400000000001</v>
      </c>
      <c r="I750" s="8">
        <f>26.4418 * CHOOSE(CONTROL!$C$14, $D$10, 100%, $F$10)</f>
        <v>26.441800000000001</v>
      </c>
      <c r="J750" s="4">
        <f>26.3495 * CHOOSE(CONTROL!$C$14, $D$10, 100%, $F$10)</f>
        <v>26.349499999999999</v>
      </c>
      <c r="K750" s="4"/>
      <c r="L750" s="9">
        <v>29.306000000000001</v>
      </c>
      <c r="M750" s="9">
        <v>12.063700000000001</v>
      </c>
      <c r="N750" s="9">
        <v>4.9444999999999997</v>
      </c>
      <c r="O750" s="9">
        <v>0.37409999999999999</v>
      </c>
      <c r="P750" s="9">
        <v>1.2927</v>
      </c>
      <c r="Q750" s="9">
        <v>19.688099999999999</v>
      </c>
      <c r="R750" s="9"/>
      <c r="S750" s="11"/>
    </row>
    <row r="751" spans="1:19" ht="15.75">
      <c r="A751" s="13">
        <v>64770</v>
      </c>
      <c r="B751" s="8">
        <f>27.7023 * CHOOSE(CONTROL!$C$14, $D$10, 100%, $F$10)</f>
        <v>27.702300000000001</v>
      </c>
      <c r="C751" s="8">
        <f>27.7069 * CHOOSE(CONTROL!$C$14, $D$10, 100%, $F$10)</f>
        <v>27.706900000000001</v>
      </c>
      <c r="D751" s="8">
        <f>27.7164 * CHOOSE( CONTROL!$C$14, $D$10, 100%, $F$10)</f>
        <v>27.7164</v>
      </c>
      <c r="E751" s="12">
        <f>27.7127 * CHOOSE( CONTROL!$C$14, $D$10, 100%, $F$10)</f>
        <v>27.712700000000002</v>
      </c>
      <c r="F751" s="4">
        <f>28.3853 * CHOOSE(CONTROL!$C$14, $D$10, 100%, $F$10)</f>
        <v>28.385300000000001</v>
      </c>
      <c r="G751" s="8">
        <f>27.2134 * CHOOSE( CONTROL!$C$14, $D$10, 100%, $F$10)</f>
        <v>27.2134</v>
      </c>
      <c r="H751" s="4">
        <f>28.1433 * CHOOSE(CONTROL!$C$14, $D$10, 100%, $F$10)</f>
        <v>28.1433</v>
      </c>
      <c r="I751" s="8">
        <f>26.8534 * CHOOSE(CONTROL!$C$14, $D$10, 100%, $F$10)</f>
        <v>26.853400000000001</v>
      </c>
      <c r="J751" s="4">
        <f>26.7499 * CHOOSE(CONTROL!$C$14, $D$10, 100%, $F$10)</f>
        <v>26.7499</v>
      </c>
      <c r="K751" s="4"/>
      <c r="L751" s="9">
        <v>30.092199999999998</v>
      </c>
      <c r="M751" s="9">
        <v>11.6745</v>
      </c>
      <c r="N751" s="9">
        <v>4.7850000000000001</v>
      </c>
      <c r="O751" s="9">
        <v>0.36199999999999999</v>
      </c>
      <c r="P751" s="9">
        <v>1.1791</v>
      </c>
      <c r="Q751" s="9">
        <v>19.053000000000001</v>
      </c>
      <c r="R751" s="9"/>
      <c r="S751" s="11"/>
    </row>
    <row r="752" spans="1:19" ht="15.75">
      <c r="A752" s="13">
        <v>64801</v>
      </c>
      <c r="B752" s="8">
        <f>CHOOSE( CONTROL!$C$31, 28.444, 28.441) * CHOOSE(CONTROL!$C$14, $D$10, 100%, $F$10)</f>
        <v>28.443999999999999</v>
      </c>
      <c r="C752" s="8">
        <f>CHOOSE( CONTROL!$C$31, 28.452, 28.449) * CHOOSE(CONTROL!$C$14, $D$10, 100%, $F$10)</f>
        <v>28.452000000000002</v>
      </c>
      <c r="D752" s="8">
        <f>CHOOSE( CONTROL!$C$31, 28.4566, 28.4537) * CHOOSE( CONTROL!$C$14, $D$10, 100%, $F$10)</f>
        <v>28.456600000000002</v>
      </c>
      <c r="E752" s="12">
        <f>CHOOSE( CONTROL!$C$31, 28.4537, 28.4508) * CHOOSE( CONTROL!$C$14, $D$10, 100%, $F$10)</f>
        <v>28.453700000000001</v>
      </c>
      <c r="F752" s="4">
        <f>CHOOSE( CONTROL!$C$31, 29.1255, 29.1226) * CHOOSE(CONTROL!$C$14, $D$10, 100%, $F$10)</f>
        <v>29.125499999999999</v>
      </c>
      <c r="G752" s="8">
        <f>CHOOSE( CONTROL!$C$31, 27.9423, 27.9394) * CHOOSE( CONTROL!$C$14, $D$10, 100%, $F$10)</f>
        <v>27.942299999999999</v>
      </c>
      <c r="H752" s="4">
        <f>CHOOSE( CONTROL!$C$31, 28.8713, 28.8684) * CHOOSE(CONTROL!$C$14, $D$10, 100%, $F$10)</f>
        <v>28.871300000000002</v>
      </c>
      <c r="I752" s="8">
        <f>CHOOSE( CONTROL!$C$31, 27.5704, 27.5676) * CHOOSE(CONTROL!$C$14, $D$10, 100%, $F$10)</f>
        <v>27.570399999999999</v>
      </c>
      <c r="J752" s="4">
        <f>CHOOSE( CONTROL!$C$31, 27.4655, 27.4627) * CHOOSE(CONTROL!$C$14, $D$10, 100%, $F$10)</f>
        <v>27.465499999999999</v>
      </c>
      <c r="K752" s="4"/>
      <c r="L752" s="9">
        <v>30.7165</v>
      </c>
      <c r="M752" s="9">
        <v>12.063700000000001</v>
      </c>
      <c r="N752" s="9">
        <v>4.9444999999999997</v>
      </c>
      <c r="O752" s="9">
        <v>0.37409999999999999</v>
      </c>
      <c r="P752" s="9">
        <v>1.2183999999999999</v>
      </c>
      <c r="Q752" s="9">
        <v>19.688099999999999</v>
      </c>
      <c r="R752" s="9"/>
      <c r="S752" s="11"/>
    </row>
    <row r="753" spans="1:19" ht="15.75">
      <c r="A753" s="13">
        <v>64831</v>
      </c>
      <c r="B753" s="8">
        <f>CHOOSE( CONTROL!$C$31, 27.9872, 27.9843) * CHOOSE(CONTROL!$C$14, $D$10, 100%, $F$10)</f>
        <v>27.987200000000001</v>
      </c>
      <c r="C753" s="8">
        <f>CHOOSE( CONTROL!$C$31, 27.9952, 27.9923) * CHOOSE(CONTROL!$C$14, $D$10, 100%, $F$10)</f>
        <v>27.995200000000001</v>
      </c>
      <c r="D753" s="8">
        <f>CHOOSE( CONTROL!$C$31, 28.0001, 27.9972) * CHOOSE( CONTROL!$C$14, $D$10, 100%, $F$10)</f>
        <v>28.0001</v>
      </c>
      <c r="E753" s="12">
        <f>CHOOSE( CONTROL!$C$31, 27.9971, 27.9942) * CHOOSE( CONTROL!$C$14, $D$10, 100%, $F$10)</f>
        <v>27.9971</v>
      </c>
      <c r="F753" s="4">
        <f>CHOOSE( CONTROL!$C$31, 28.6688, 28.6658) * CHOOSE(CONTROL!$C$14, $D$10, 100%, $F$10)</f>
        <v>28.668800000000001</v>
      </c>
      <c r="G753" s="8">
        <f>CHOOSE( CONTROL!$C$31, 27.4935, 27.4906) * CHOOSE( CONTROL!$C$14, $D$10, 100%, $F$10)</f>
        <v>27.493500000000001</v>
      </c>
      <c r="H753" s="4">
        <f>CHOOSE( CONTROL!$C$31, 28.4221, 28.4193) * CHOOSE(CONTROL!$C$14, $D$10, 100%, $F$10)</f>
        <v>28.4221</v>
      </c>
      <c r="I753" s="8">
        <f>CHOOSE( CONTROL!$C$31, 27.1299, 27.1271) * CHOOSE(CONTROL!$C$14, $D$10, 100%, $F$10)</f>
        <v>27.129899999999999</v>
      </c>
      <c r="J753" s="4">
        <f>CHOOSE( CONTROL!$C$31, 27.024, 27.0212) * CHOOSE(CONTROL!$C$14, $D$10, 100%, $F$10)</f>
        <v>27.024000000000001</v>
      </c>
      <c r="K753" s="4"/>
      <c r="L753" s="9">
        <v>29.7257</v>
      </c>
      <c r="M753" s="9">
        <v>11.6745</v>
      </c>
      <c r="N753" s="9">
        <v>4.7850000000000001</v>
      </c>
      <c r="O753" s="9">
        <v>0.36199999999999999</v>
      </c>
      <c r="P753" s="9">
        <v>1.1791</v>
      </c>
      <c r="Q753" s="9">
        <v>19.053000000000001</v>
      </c>
      <c r="R753" s="9"/>
      <c r="S753" s="11"/>
    </row>
    <row r="754" spans="1:19" ht="15.75">
      <c r="A754" s="13">
        <v>64862</v>
      </c>
      <c r="B754" s="8">
        <f>CHOOSE( CONTROL!$C$31, 29.19, 29.1871) * CHOOSE(CONTROL!$C$14, $D$10, 100%, $F$10)</f>
        <v>29.19</v>
      </c>
      <c r="C754" s="8">
        <f>CHOOSE( CONTROL!$C$31, 29.198, 29.1951) * CHOOSE(CONTROL!$C$14, $D$10, 100%, $F$10)</f>
        <v>29.198</v>
      </c>
      <c r="D754" s="8">
        <f>CHOOSE( CONTROL!$C$31, 29.2031, 29.2002) * CHOOSE( CONTROL!$C$14, $D$10, 100%, $F$10)</f>
        <v>29.203099999999999</v>
      </c>
      <c r="E754" s="12">
        <f>CHOOSE( CONTROL!$C$31, 29.2, 29.1971) * CHOOSE( CONTROL!$C$14, $D$10, 100%, $F$10)</f>
        <v>29.2</v>
      </c>
      <c r="F754" s="4">
        <f>CHOOSE( CONTROL!$C$31, 29.8715, 29.8686) * CHOOSE(CONTROL!$C$14, $D$10, 100%, $F$10)</f>
        <v>29.871500000000001</v>
      </c>
      <c r="G754" s="8">
        <f>CHOOSE( CONTROL!$C$31, 28.6767, 28.6738) * CHOOSE( CONTROL!$C$14, $D$10, 100%, $F$10)</f>
        <v>28.6767</v>
      </c>
      <c r="H754" s="4">
        <f>CHOOSE( CONTROL!$C$31, 29.605, 29.6021) * CHOOSE(CONTROL!$C$14, $D$10, 100%, $F$10)</f>
        <v>29.605</v>
      </c>
      <c r="I754" s="8">
        <f>CHOOSE( CONTROL!$C$31, 28.2944, 28.2915) * CHOOSE(CONTROL!$C$14, $D$10, 100%, $F$10)</f>
        <v>28.2944</v>
      </c>
      <c r="J754" s="4">
        <f>CHOOSE( CONTROL!$C$31, 28.1867, 28.1839) * CHOOSE(CONTROL!$C$14, $D$10, 100%, $F$10)</f>
        <v>28.186699999999998</v>
      </c>
      <c r="K754" s="4"/>
      <c r="L754" s="9">
        <v>30.7165</v>
      </c>
      <c r="M754" s="9">
        <v>12.063700000000001</v>
      </c>
      <c r="N754" s="9">
        <v>4.9444999999999997</v>
      </c>
      <c r="O754" s="9">
        <v>0.37409999999999999</v>
      </c>
      <c r="P754" s="9">
        <v>1.2183999999999999</v>
      </c>
      <c r="Q754" s="9">
        <v>19.688099999999999</v>
      </c>
      <c r="R754" s="9"/>
      <c r="S754" s="11"/>
    </row>
    <row r="755" spans="1:19" ht="15.75">
      <c r="A755" s="13">
        <v>64893</v>
      </c>
      <c r="B755" s="8">
        <f>CHOOSE( CONTROL!$C$31, 26.9395, 26.9365) * CHOOSE(CONTROL!$C$14, $D$10, 100%, $F$10)</f>
        <v>26.939499999999999</v>
      </c>
      <c r="C755" s="8">
        <f>CHOOSE( CONTROL!$C$31, 26.9475, 26.9445) * CHOOSE(CONTROL!$C$14, $D$10, 100%, $F$10)</f>
        <v>26.947500000000002</v>
      </c>
      <c r="D755" s="8">
        <f>CHOOSE( CONTROL!$C$31, 26.9527, 26.9498) * CHOOSE( CONTROL!$C$14, $D$10, 100%, $F$10)</f>
        <v>26.9527</v>
      </c>
      <c r="E755" s="12">
        <f>CHOOSE( CONTROL!$C$31, 26.9496, 26.9467) * CHOOSE( CONTROL!$C$14, $D$10, 100%, $F$10)</f>
        <v>26.9496</v>
      </c>
      <c r="F755" s="4">
        <f>CHOOSE( CONTROL!$C$31, 27.621, 27.6181) * CHOOSE(CONTROL!$C$14, $D$10, 100%, $F$10)</f>
        <v>27.620999999999999</v>
      </c>
      <c r="G755" s="8">
        <f>CHOOSE( CONTROL!$C$31, 26.4636, 26.4607) * CHOOSE( CONTROL!$C$14, $D$10, 100%, $F$10)</f>
        <v>26.4636</v>
      </c>
      <c r="H755" s="4">
        <f>CHOOSE( CONTROL!$C$31, 27.3918, 27.3889) * CHOOSE(CONTROL!$C$14, $D$10, 100%, $F$10)</f>
        <v>27.3918</v>
      </c>
      <c r="I755" s="8">
        <f>CHOOSE( CONTROL!$C$31, 26.1181, 26.1153) * CHOOSE(CONTROL!$C$14, $D$10, 100%, $F$10)</f>
        <v>26.118099999999998</v>
      </c>
      <c r="J755" s="4">
        <f>CHOOSE( CONTROL!$C$31, 26.0111, 26.0083) * CHOOSE(CONTROL!$C$14, $D$10, 100%, $F$10)</f>
        <v>26.011099999999999</v>
      </c>
      <c r="K755" s="4"/>
      <c r="L755" s="9">
        <v>30.7165</v>
      </c>
      <c r="M755" s="9">
        <v>12.063700000000001</v>
      </c>
      <c r="N755" s="9">
        <v>4.9444999999999997</v>
      </c>
      <c r="O755" s="9">
        <v>0.37409999999999999</v>
      </c>
      <c r="P755" s="9">
        <v>1.2183999999999999</v>
      </c>
      <c r="Q755" s="9">
        <v>19.688099999999999</v>
      </c>
      <c r="R755" s="9"/>
      <c r="S755" s="11"/>
    </row>
    <row r="756" spans="1:19" ht="15.75">
      <c r="A756" s="13">
        <v>64923</v>
      </c>
      <c r="B756" s="8">
        <f>CHOOSE( CONTROL!$C$31, 26.3759, 26.373) * CHOOSE(CONTROL!$C$14, $D$10, 100%, $F$10)</f>
        <v>26.375900000000001</v>
      </c>
      <c r="C756" s="8">
        <f>CHOOSE( CONTROL!$C$31, 26.3839, 26.381) * CHOOSE(CONTROL!$C$14, $D$10, 100%, $F$10)</f>
        <v>26.383900000000001</v>
      </c>
      <c r="D756" s="8">
        <f>CHOOSE( CONTROL!$C$31, 26.3891, 26.3862) * CHOOSE( CONTROL!$C$14, $D$10, 100%, $F$10)</f>
        <v>26.389099999999999</v>
      </c>
      <c r="E756" s="12">
        <f>CHOOSE( CONTROL!$C$31, 26.386, 26.3831) * CHOOSE( CONTROL!$C$14, $D$10, 100%, $F$10)</f>
        <v>26.385999999999999</v>
      </c>
      <c r="F756" s="4">
        <f>CHOOSE( CONTROL!$C$31, 27.0574, 27.0545) * CHOOSE(CONTROL!$C$14, $D$10, 100%, $F$10)</f>
        <v>27.057400000000001</v>
      </c>
      <c r="G756" s="8">
        <f>CHOOSE( CONTROL!$C$31, 25.9094, 25.9065) * CHOOSE( CONTROL!$C$14, $D$10, 100%, $F$10)</f>
        <v>25.909400000000002</v>
      </c>
      <c r="H756" s="4">
        <f>CHOOSE( CONTROL!$C$31, 26.8375, 26.8347) * CHOOSE(CONTROL!$C$14, $D$10, 100%, $F$10)</f>
        <v>26.837499999999999</v>
      </c>
      <c r="I756" s="8">
        <f>CHOOSE( CONTROL!$C$31, 25.573, 25.5701) * CHOOSE(CONTROL!$C$14, $D$10, 100%, $F$10)</f>
        <v>25.573</v>
      </c>
      <c r="J756" s="4">
        <f>CHOOSE( CONTROL!$C$31, 25.4663, 25.4635) * CHOOSE(CONTROL!$C$14, $D$10, 100%, $F$10)</f>
        <v>25.4663</v>
      </c>
      <c r="K756" s="4"/>
      <c r="L756" s="9">
        <v>29.7257</v>
      </c>
      <c r="M756" s="9">
        <v>11.6745</v>
      </c>
      <c r="N756" s="9">
        <v>4.7850000000000001</v>
      </c>
      <c r="O756" s="9">
        <v>0.36199999999999999</v>
      </c>
      <c r="P756" s="9">
        <v>1.1791</v>
      </c>
      <c r="Q756" s="9">
        <v>19.053000000000001</v>
      </c>
      <c r="R756" s="9"/>
      <c r="S756" s="11"/>
    </row>
    <row r="757" spans="1:19" ht="15.75">
      <c r="A757" s="13">
        <v>64954</v>
      </c>
      <c r="B757" s="8">
        <f>27.5414 * CHOOSE(CONTROL!$C$14, $D$10, 100%, $F$10)</f>
        <v>27.541399999999999</v>
      </c>
      <c r="C757" s="8">
        <f>27.5468 * CHOOSE(CONTROL!$C$14, $D$10, 100%, $F$10)</f>
        <v>27.546800000000001</v>
      </c>
      <c r="D757" s="8">
        <f>27.5567 * CHOOSE( CONTROL!$C$14, $D$10, 100%, $F$10)</f>
        <v>27.556699999999999</v>
      </c>
      <c r="E757" s="12">
        <f>27.5529 * CHOOSE( CONTROL!$C$14, $D$10, 100%, $F$10)</f>
        <v>27.552900000000001</v>
      </c>
      <c r="F757" s="4">
        <f>28.2247 * CHOOSE(CONTROL!$C$14, $D$10, 100%, $F$10)</f>
        <v>28.224699999999999</v>
      </c>
      <c r="G757" s="8">
        <f>27.0569 * CHOOSE( CONTROL!$C$14, $D$10, 100%, $F$10)</f>
        <v>27.056899999999999</v>
      </c>
      <c r="H757" s="4">
        <f>27.9854 * CHOOSE(CONTROL!$C$14, $D$10, 100%, $F$10)</f>
        <v>27.985399999999998</v>
      </c>
      <c r="I757" s="8">
        <f>26.7027 * CHOOSE(CONTROL!$C$14, $D$10, 100%, $F$10)</f>
        <v>26.7027</v>
      </c>
      <c r="J757" s="4">
        <f>26.5947 * CHOOSE(CONTROL!$C$14, $D$10, 100%, $F$10)</f>
        <v>26.5947</v>
      </c>
      <c r="K757" s="4"/>
      <c r="L757" s="9">
        <v>31.095300000000002</v>
      </c>
      <c r="M757" s="9">
        <v>12.063700000000001</v>
      </c>
      <c r="N757" s="9">
        <v>4.9444999999999997</v>
      </c>
      <c r="O757" s="9">
        <v>0.37409999999999999</v>
      </c>
      <c r="P757" s="9">
        <v>1.2183999999999999</v>
      </c>
      <c r="Q757" s="9">
        <v>19.688099999999999</v>
      </c>
      <c r="R757" s="9"/>
      <c r="S757" s="11"/>
    </row>
    <row r="758" spans="1:19" ht="15.75">
      <c r="A758" s="13">
        <v>64984</v>
      </c>
      <c r="B758" s="8">
        <f>29.7008 * CHOOSE(CONTROL!$C$14, $D$10, 100%, $F$10)</f>
        <v>29.700800000000001</v>
      </c>
      <c r="C758" s="8">
        <f>29.706 * CHOOSE(CONTROL!$C$14, $D$10, 100%, $F$10)</f>
        <v>29.706</v>
      </c>
      <c r="D758" s="8">
        <f>29.6822 * CHOOSE( CONTROL!$C$14, $D$10, 100%, $F$10)</f>
        <v>29.682200000000002</v>
      </c>
      <c r="E758" s="12">
        <f>29.6903 * CHOOSE( CONTROL!$C$14, $D$10, 100%, $F$10)</f>
        <v>29.690300000000001</v>
      </c>
      <c r="F758" s="4">
        <f>30.3483 * CHOOSE(CONTROL!$C$14, $D$10, 100%, $F$10)</f>
        <v>30.348299999999998</v>
      </c>
      <c r="G758" s="8">
        <f>29.1907 * CHOOSE( CONTROL!$C$14, $D$10, 100%, $F$10)</f>
        <v>29.1907</v>
      </c>
      <c r="H758" s="4">
        <f>30.0738 * CHOOSE(CONTROL!$C$14, $D$10, 100%, $F$10)</f>
        <v>30.073799999999999</v>
      </c>
      <c r="I758" s="8">
        <f>28.8221 * CHOOSE(CONTROL!$C$14, $D$10, 100%, $F$10)</f>
        <v>28.822099999999999</v>
      </c>
      <c r="J758" s="4">
        <f>28.6826 * CHOOSE(CONTROL!$C$14, $D$10, 100%, $F$10)</f>
        <v>28.682600000000001</v>
      </c>
      <c r="K758" s="4"/>
      <c r="L758" s="9">
        <v>28.360600000000002</v>
      </c>
      <c r="M758" s="9">
        <v>11.6745</v>
      </c>
      <c r="N758" s="9">
        <v>4.7850000000000001</v>
      </c>
      <c r="O758" s="9">
        <v>0.36199999999999999</v>
      </c>
      <c r="P758" s="9">
        <v>1.2509999999999999</v>
      </c>
      <c r="Q758" s="9">
        <v>19.053000000000001</v>
      </c>
      <c r="R758" s="9"/>
      <c r="S758" s="11"/>
    </row>
    <row r="759" spans="1:19" ht="15.75">
      <c r="A759" s="13">
        <v>65015</v>
      </c>
      <c r="B759" s="8">
        <f>29.6469 * CHOOSE(CONTROL!$C$14, $D$10, 100%, $F$10)</f>
        <v>29.646899999999999</v>
      </c>
      <c r="C759" s="8">
        <f>29.652 * CHOOSE(CONTROL!$C$14, $D$10, 100%, $F$10)</f>
        <v>29.652000000000001</v>
      </c>
      <c r="D759" s="8">
        <f>29.6296 * CHOOSE( CONTROL!$C$14, $D$10, 100%, $F$10)</f>
        <v>29.6296</v>
      </c>
      <c r="E759" s="12">
        <f>29.6372 * CHOOSE( CONTROL!$C$14, $D$10, 100%, $F$10)</f>
        <v>29.6372</v>
      </c>
      <c r="F759" s="4">
        <f>30.2943 * CHOOSE(CONTROL!$C$14, $D$10, 100%, $F$10)</f>
        <v>30.2943</v>
      </c>
      <c r="G759" s="8">
        <f>29.1387 * CHOOSE( CONTROL!$C$14, $D$10, 100%, $F$10)</f>
        <v>29.1387</v>
      </c>
      <c r="H759" s="4">
        <f>30.0208 * CHOOSE(CONTROL!$C$14, $D$10, 100%, $F$10)</f>
        <v>30.020800000000001</v>
      </c>
      <c r="I759" s="8">
        <f>28.7744 * CHOOSE(CONTROL!$C$14, $D$10, 100%, $F$10)</f>
        <v>28.7744</v>
      </c>
      <c r="J759" s="4">
        <f>28.6305 * CHOOSE(CONTROL!$C$14, $D$10, 100%, $F$10)</f>
        <v>28.630500000000001</v>
      </c>
      <c r="K759" s="4"/>
      <c r="L759" s="9">
        <v>29.306000000000001</v>
      </c>
      <c r="M759" s="9">
        <v>12.063700000000001</v>
      </c>
      <c r="N759" s="9">
        <v>4.9444999999999997</v>
      </c>
      <c r="O759" s="9">
        <v>0.37409999999999999</v>
      </c>
      <c r="P759" s="9">
        <v>1.2927</v>
      </c>
      <c r="Q759" s="9">
        <v>19.688099999999999</v>
      </c>
      <c r="R759" s="9"/>
      <c r="S759" s="11"/>
    </row>
    <row r="760" spans="1:19" ht="15.75">
      <c r="A760" s="13">
        <v>65046</v>
      </c>
      <c r="B760" s="8">
        <f>30.7788 * CHOOSE(CONTROL!$C$14, $D$10, 100%, $F$10)</f>
        <v>30.7788</v>
      </c>
      <c r="C760" s="8">
        <f>30.7839 * CHOOSE(CONTROL!$C$14, $D$10, 100%, $F$10)</f>
        <v>30.783899999999999</v>
      </c>
      <c r="D760" s="8">
        <f>30.7797 * CHOOSE( CONTROL!$C$14, $D$10, 100%, $F$10)</f>
        <v>30.779699999999998</v>
      </c>
      <c r="E760" s="12">
        <f>30.7807 * CHOOSE( CONTROL!$C$14, $D$10, 100%, $F$10)</f>
        <v>30.7807</v>
      </c>
      <c r="F760" s="4">
        <f>31.4573 * CHOOSE(CONTROL!$C$14, $D$10, 100%, $F$10)</f>
        <v>31.4573</v>
      </c>
      <c r="G760" s="8">
        <f>30.266 * CHOOSE( CONTROL!$C$14, $D$10, 100%, $F$10)</f>
        <v>30.265999999999998</v>
      </c>
      <c r="H760" s="4">
        <f>31.1645 * CHOOSE(CONTROL!$C$14, $D$10, 100%, $F$10)</f>
        <v>31.1645</v>
      </c>
      <c r="I760" s="8">
        <f>29.8482 * CHOOSE(CONTROL!$C$14, $D$10, 100%, $F$10)</f>
        <v>29.848199999999999</v>
      </c>
      <c r="J760" s="4">
        <f>29.7247 * CHOOSE(CONTROL!$C$14, $D$10, 100%, $F$10)</f>
        <v>29.724699999999999</v>
      </c>
      <c r="K760" s="4"/>
      <c r="L760" s="9">
        <v>29.306000000000001</v>
      </c>
      <c r="M760" s="9">
        <v>12.063700000000001</v>
      </c>
      <c r="N760" s="9">
        <v>4.9444999999999997</v>
      </c>
      <c r="O760" s="9">
        <v>0.37409999999999999</v>
      </c>
      <c r="P760" s="9">
        <v>1.2927</v>
      </c>
      <c r="Q760" s="9">
        <v>19.688099999999999</v>
      </c>
      <c r="R760" s="9"/>
      <c r="S760" s="11"/>
    </row>
    <row r="761" spans="1:19" ht="15.75">
      <c r="A761" s="13">
        <v>65074</v>
      </c>
      <c r="B761" s="8">
        <f>28.791 * CHOOSE(CONTROL!$C$14, $D$10, 100%, $F$10)</f>
        <v>28.791</v>
      </c>
      <c r="C761" s="8">
        <f>28.7961 * CHOOSE(CONTROL!$C$14, $D$10, 100%, $F$10)</f>
        <v>28.796099999999999</v>
      </c>
      <c r="D761" s="8">
        <f>28.786 * CHOOSE( CONTROL!$C$14, $D$10, 100%, $F$10)</f>
        <v>28.786000000000001</v>
      </c>
      <c r="E761" s="12">
        <f>28.7891 * CHOOSE( CONTROL!$C$14, $D$10, 100%, $F$10)</f>
        <v>28.789100000000001</v>
      </c>
      <c r="F761" s="4">
        <f>29.4436 * CHOOSE(CONTROL!$C$14, $D$10, 100%, $F$10)</f>
        <v>29.4436</v>
      </c>
      <c r="G761" s="8">
        <f>28.303 * CHOOSE( CONTROL!$C$14, $D$10, 100%, $F$10)</f>
        <v>28.303000000000001</v>
      </c>
      <c r="H761" s="4">
        <f>29.1841 * CHOOSE(CONTROL!$C$14, $D$10, 100%, $F$10)</f>
        <v>29.184100000000001</v>
      </c>
      <c r="I761" s="8">
        <f>27.9162 * CHOOSE(CONTROL!$C$14, $D$10, 100%, $F$10)</f>
        <v>27.9162</v>
      </c>
      <c r="J761" s="4">
        <f>27.803 * CHOOSE(CONTROL!$C$14, $D$10, 100%, $F$10)</f>
        <v>27.803000000000001</v>
      </c>
      <c r="K761" s="4"/>
      <c r="L761" s="9">
        <v>26.469899999999999</v>
      </c>
      <c r="M761" s="9">
        <v>10.8962</v>
      </c>
      <c r="N761" s="9">
        <v>4.4660000000000002</v>
      </c>
      <c r="O761" s="9">
        <v>0.33789999999999998</v>
      </c>
      <c r="P761" s="9">
        <v>1.1676</v>
      </c>
      <c r="Q761" s="9">
        <v>17.782800000000002</v>
      </c>
      <c r="R761" s="9"/>
      <c r="S761" s="11"/>
    </row>
    <row r="762" spans="1:19" ht="15.75">
      <c r="A762" s="13">
        <v>65105</v>
      </c>
      <c r="B762" s="8">
        <f>28.1787 * CHOOSE(CONTROL!$C$14, $D$10, 100%, $F$10)</f>
        <v>28.178699999999999</v>
      </c>
      <c r="C762" s="8">
        <f>28.1838 * CHOOSE(CONTROL!$C$14, $D$10, 100%, $F$10)</f>
        <v>28.183800000000002</v>
      </c>
      <c r="D762" s="8">
        <f>28.1672 * CHOOSE( CONTROL!$C$14, $D$10, 100%, $F$10)</f>
        <v>28.167200000000001</v>
      </c>
      <c r="E762" s="12">
        <f>28.1727 * CHOOSE( CONTROL!$C$14, $D$10, 100%, $F$10)</f>
        <v>28.172699999999999</v>
      </c>
      <c r="F762" s="4">
        <f>28.8314 * CHOOSE(CONTROL!$C$14, $D$10, 100%, $F$10)</f>
        <v>28.831399999999999</v>
      </c>
      <c r="G762" s="8">
        <f>27.6927 * CHOOSE( CONTROL!$C$14, $D$10, 100%, $F$10)</f>
        <v>27.692699999999999</v>
      </c>
      <c r="H762" s="4">
        <f>28.582 * CHOOSE(CONTROL!$C$14, $D$10, 100%, $F$10)</f>
        <v>28.582000000000001</v>
      </c>
      <c r="I762" s="8">
        <f>27.3039 * CHOOSE(CONTROL!$C$14, $D$10, 100%, $F$10)</f>
        <v>27.303899999999999</v>
      </c>
      <c r="J762" s="4">
        <f>27.2112 * CHOOSE(CONTROL!$C$14, $D$10, 100%, $F$10)</f>
        <v>27.211200000000002</v>
      </c>
      <c r="K762" s="4"/>
      <c r="L762" s="9">
        <v>29.306000000000001</v>
      </c>
      <c r="M762" s="9">
        <v>12.063700000000001</v>
      </c>
      <c r="N762" s="9">
        <v>4.9444999999999997</v>
      </c>
      <c r="O762" s="9">
        <v>0.37409999999999999</v>
      </c>
      <c r="P762" s="9">
        <v>1.2927</v>
      </c>
      <c r="Q762" s="9">
        <v>19.688099999999999</v>
      </c>
      <c r="R762" s="9"/>
      <c r="S762" s="11"/>
    </row>
    <row r="763" spans="1:19" ht="15.75">
      <c r="A763" s="13">
        <v>65135</v>
      </c>
      <c r="B763" s="8">
        <f>28.6073 * CHOOSE(CONTROL!$C$14, $D$10, 100%, $F$10)</f>
        <v>28.607299999999999</v>
      </c>
      <c r="C763" s="8">
        <f>28.6118 * CHOOSE(CONTROL!$C$14, $D$10, 100%, $F$10)</f>
        <v>28.611799999999999</v>
      </c>
      <c r="D763" s="8">
        <f>28.6214 * CHOOSE( CONTROL!$C$14, $D$10, 100%, $F$10)</f>
        <v>28.621400000000001</v>
      </c>
      <c r="E763" s="12">
        <f>28.6177 * CHOOSE( CONTROL!$C$14, $D$10, 100%, $F$10)</f>
        <v>28.617699999999999</v>
      </c>
      <c r="F763" s="4">
        <f>29.2902 * CHOOSE(CONTROL!$C$14, $D$10, 100%, $F$10)</f>
        <v>29.290199999999999</v>
      </c>
      <c r="G763" s="8">
        <f>28.1033 * CHOOSE( CONTROL!$C$14, $D$10, 100%, $F$10)</f>
        <v>28.103300000000001</v>
      </c>
      <c r="H763" s="4">
        <f>29.0333 * CHOOSE(CONTROL!$C$14, $D$10, 100%, $F$10)</f>
        <v>29.033300000000001</v>
      </c>
      <c r="I763" s="8">
        <f>27.7287 * CHOOSE(CONTROL!$C$14, $D$10, 100%, $F$10)</f>
        <v>27.7287</v>
      </c>
      <c r="J763" s="4">
        <f>27.6248 * CHOOSE(CONTROL!$C$14, $D$10, 100%, $F$10)</f>
        <v>27.6248</v>
      </c>
      <c r="K763" s="4"/>
      <c r="L763" s="9">
        <v>30.092199999999998</v>
      </c>
      <c r="M763" s="9">
        <v>11.6745</v>
      </c>
      <c r="N763" s="9">
        <v>4.7850000000000001</v>
      </c>
      <c r="O763" s="9">
        <v>0.36199999999999999</v>
      </c>
      <c r="P763" s="9">
        <v>1.1791</v>
      </c>
      <c r="Q763" s="9">
        <v>19.053000000000001</v>
      </c>
      <c r="R763" s="9"/>
      <c r="S763" s="11"/>
    </row>
    <row r="764" spans="1:19" ht="15.75">
      <c r="A764" s="13">
        <v>65166</v>
      </c>
      <c r="B764" s="8">
        <f>CHOOSE( CONTROL!$C$31, 29.373, 29.3701) * CHOOSE(CONTROL!$C$14, $D$10, 100%, $F$10)</f>
        <v>29.373000000000001</v>
      </c>
      <c r="C764" s="8">
        <f>CHOOSE( CONTROL!$C$31, 29.381, 29.3781) * CHOOSE(CONTROL!$C$14, $D$10, 100%, $F$10)</f>
        <v>29.381</v>
      </c>
      <c r="D764" s="8">
        <f>CHOOSE( CONTROL!$C$31, 29.3857, 29.3827) * CHOOSE( CONTROL!$C$14, $D$10, 100%, $F$10)</f>
        <v>29.3857</v>
      </c>
      <c r="E764" s="12">
        <f>CHOOSE( CONTROL!$C$31, 29.3828, 29.3798) * CHOOSE( CONTROL!$C$14, $D$10, 100%, $F$10)</f>
        <v>29.3828</v>
      </c>
      <c r="F764" s="4">
        <f>CHOOSE( CONTROL!$C$31, 30.0546, 30.0516) * CHOOSE(CONTROL!$C$14, $D$10, 100%, $F$10)</f>
        <v>30.054600000000001</v>
      </c>
      <c r="G764" s="8">
        <f>CHOOSE( CONTROL!$C$31, 28.856, 28.8531) * CHOOSE( CONTROL!$C$14, $D$10, 100%, $F$10)</f>
        <v>28.856000000000002</v>
      </c>
      <c r="H764" s="4">
        <f>CHOOSE( CONTROL!$C$31, 29.785, 29.7821) * CHOOSE(CONTROL!$C$14, $D$10, 100%, $F$10)</f>
        <v>29.785</v>
      </c>
      <c r="I764" s="8">
        <f>CHOOSE( CONTROL!$C$31, 28.469, 28.4662) * CHOOSE(CONTROL!$C$14, $D$10, 100%, $F$10)</f>
        <v>28.469000000000001</v>
      </c>
      <c r="J764" s="4">
        <f>CHOOSE( CONTROL!$C$31, 28.3637, 28.3608) * CHOOSE(CONTROL!$C$14, $D$10, 100%, $F$10)</f>
        <v>28.363700000000001</v>
      </c>
      <c r="K764" s="4"/>
      <c r="L764" s="9">
        <v>30.7165</v>
      </c>
      <c r="M764" s="9">
        <v>12.063700000000001</v>
      </c>
      <c r="N764" s="9">
        <v>4.9444999999999997</v>
      </c>
      <c r="O764" s="9">
        <v>0.37409999999999999</v>
      </c>
      <c r="P764" s="9">
        <v>1.2183999999999999</v>
      </c>
      <c r="Q764" s="9">
        <v>19.688099999999999</v>
      </c>
      <c r="R764" s="9"/>
      <c r="S764" s="11"/>
    </row>
    <row r="765" spans="1:19" ht="15.75">
      <c r="A765" s="13">
        <v>65196</v>
      </c>
      <c r="B765" s="8">
        <f>CHOOSE( CONTROL!$C$31, 28.9013, 28.8984) * CHOOSE(CONTROL!$C$14, $D$10, 100%, $F$10)</f>
        <v>28.901299999999999</v>
      </c>
      <c r="C765" s="8">
        <f>CHOOSE( CONTROL!$C$31, 28.9094, 28.9064) * CHOOSE(CONTROL!$C$14, $D$10, 100%, $F$10)</f>
        <v>28.909400000000002</v>
      </c>
      <c r="D765" s="8">
        <f>CHOOSE( CONTROL!$C$31, 28.9142, 28.9113) * CHOOSE( CONTROL!$C$14, $D$10, 100%, $F$10)</f>
        <v>28.914200000000001</v>
      </c>
      <c r="E765" s="12">
        <f>CHOOSE( CONTROL!$C$31, 28.9112, 28.9083) * CHOOSE( CONTROL!$C$14, $D$10, 100%, $F$10)</f>
        <v>28.911200000000001</v>
      </c>
      <c r="F765" s="4">
        <f>CHOOSE( CONTROL!$C$31, 29.5829, 29.58) * CHOOSE(CONTROL!$C$14, $D$10, 100%, $F$10)</f>
        <v>29.582899999999999</v>
      </c>
      <c r="G765" s="8">
        <f>CHOOSE( CONTROL!$C$31, 28.3925, 28.3896) * CHOOSE( CONTROL!$C$14, $D$10, 100%, $F$10)</f>
        <v>28.392499999999998</v>
      </c>
      <c r="H765" s="4">
        <f>CHOOSE( CONTROL!$C$31, 29.3211, 29.3182) * CHOOSE(CONTROL!$C$14, $D$10, 100%, $F$10)</f>
        <v>29.321100000000001</v>
      </c>
      <c r="I765" s="8">
        <f>CHOOSE( CONTROL!$C$31, 28.014, 28.0112) * CHOOSE(CONTROL!$C$14, $D$10, 100%, $F$10)</f>
        <v>28.013999999999999</v>
      </c>
      <c r="J765" s="4">
        <f>CHOOSE( CONTROL!$C$31, 27.9077, 27.9049) * CHOOSE(CONTROL!$C$14, $D$10, 100%, $F$10)</f>
        <v>27.907699999999998</v>
      </c>
      <c r="K765" s="4"/>
      <c r="L765" s="9">
        <v>29.7257</v>
      </c>
      <c r="M765" s="9">
        <v>11.6745</v>
      </c>
      <c r="N765" s="9">
        <v>4.7850000000000001</v>
      </c>
      <c r="O765" s="9">
        <v>0.36199999999999999</v>
      </c>
      <c r="P765" s="9">
        <v>1.1791</v>
      </c>
      <c r="Q765" s="9">
        <v>19.053000000000001</v>
      </c>
      <c r="R765" s="9"/>
      <c r="S765" s="11"/>
    </row>
    <row r="766" spans="1:19" ht="15.75">
      <c r="A766" s="13">
        <v>65227</v>
      </c>
      <c r="B766" s="8">
        <f>CHOOSE( CONTROL!$C$31, 30.1435, 30.1405) * CHOOSE(CONTROL!$C$14, $D$10, 100%, $F$10)</f>
        <v>30.1435</v>
      </c>
      <c r="C766" s="8">
        <f>CHOOSE( CONTROL!$C$31, 30.1515, 30.1485) * CHOOSE(CONTROL!$C$14, $D$10, 100%, $F$10)</f>
        <v>30.151499999999999</v>
      </c>
      <c r="D766" s="8">
        <f>CHOOSE( CONTROL!$C$31, 30.1566, 30.1537) * CHOOSE( CONTROL!$C$14, $D$10, 100%, $F$10)</f>
        <v>30.156600000000001</v>
      </c>
      <c r="E766" s="12">
        <f>CHOOSE( CONTROL!$C$31, 30.1535, 30.1506) * CHOOSE( CONTROL!$C$14, $D$10, 100%, $F$10)</f>
        <v>30.153500000000001</v>
      </c>
      <c r="F766" s="4">
        <f>CHOOSE( CONTROL!$C$31, 30.825, 30.8221) * CHOOSE(CONTROL!$C$14, $D$10, 100%, $F$10)</f>
        <v>30.824999999999999</v>
      </c>
      <c r="G766" s="8">
        <f>CHOOSE( CONTROL!$C$31, 29.6144, 29.6115) * CHOOSE( CONTROL!$C$14, $D$10, 100%, $F$10)</f>
        <v>29.6144</v>
      </c>
      <c r="H766" s="4">
        <f>CHOOSE( CONTROL!$C$31, 30.5426, 30.5398) * CHOOSE(CONTROL!$C$14, $D$10, 100%, $F$10)</f>
        <v>30.5426</v>
      </c>
      <c r="I766" s="8">
        <f>CHOOSE( CONTROL!$C$31, 29.2166, 29.2137) * CHOOSE(CONTROL!$C$14, $D$10, 100%, $F$10)</f>
        <v>29.2166</v>
      </c>
      <c r="J766" s="4">
        <f>CHOOSE( CONTROL!$C$31, 29.1084, 29.1056) * CHOOSE(CONTROL!$C$14, $D$10, 100%, $F$10)</f>
        <v>29.1084</v>
      </c>
      <c r="K766" s="4"/>
      <c r="L766" s="9">
        <v>30.7165</v>
      </c>
      <c r="M766" s="9">
        <v>12.063700000000001</v>
      </c>
      <c r="N766" s="9">
        <v>4.9444999999999997</v>
      </c>
      <c r="O766" s="9">
        <v>0.37409999999999999</v>
      </c>
      <c r="P766" s="9">
        <v>1.2183999999999999</v>
      </c>
      <c r="Q766" s="9">
        <v>19.688099999999999</v>
      </c>
      <c r="R766" s="9"/>
      <c r="S766" s="11"/>
    </row>
    <row r="767" spans="1:19" ht="15.75">
      <c r="A767" s="13">
        <v>65258</v>
      </c>
      <c r="B767" s="8">
        <f>CHOOSE( CONTROL!$C$31, 27.8193, 27.8164) * CHOOSE(CONTROL!$C$14, $D$10, 100%, $F$10)</f>
        <v>27.819299999999998</v>
      </c>
      <c r="C767" s="8">
        <f>CHOOSE( CONTROL!$C$31, 27.8273, 27.8244) * CHOOSE(CONTROL!$C$14, $D$10, 100%, $F$10)</f>
        <v>27.827300000000001</v>
      </c>
      <c r="D767" s="8">
        <f>CHOOSE( CONTROL!$C$31, 27.8325, 27.8296) * CHOOSE( CONTROL!$C$14, $D$10, 100%, $F$10)</f>
        <v>27.8325</v>
      </c>
      <c r="E767" s="12">
        <f>CHOOSE( CONTROL!$C$31, 27.8294, 27.8265) * CHOOSE( CONTROL!$C$14, $D$10, 100%, $F$10)</f>
        <v>27.8294</v>
      </c>
      <c r="F767" s="4">
        <f>CHOOSE( CONTROL!$C$31, 28.5009, 28.4979) * CHOOSE(CONTROL!$C$14, $D$10, 100%, $F$10)</f>
        <v>28.500900000000001</v>
      </c>
      <c r="G767" s="8">
        <f>CHOOSE( CONTROL!$C$31, 27.3289, 27.326) * CHOOSE( CONTROL!$C$14, $D$10, 100%, $F$10)</f>
        <v>27.328900000000001</v>
      </c>
      <c r="H767" s="4">
        <f>CHOOSE( CONTROL!$C$31, 28.257, 28.2542) * CHOOSE(CONTROL!$C$14, $D$10, 100%, $F$10)</f>
        <v>28.257000000000001</v>
      </c>
      <c r="I767" s="8">
        <f>CHOOSE( CONTROL!$C$31, 26.9691, 26.9663) * CHOOSE(CONTROL!$C$14, $D$10, 100%, $F$10)</f>
        <v>26.969100000000001</v>
      </c>
      <c r="J767" s="4">
        <f>CHOOSE( CONTROL!$C$31, 26.8617, 26.8589) * CHOOSE(CONTROL!$C$14, $D$10, 100%, $F$10)</f>
        <v>26.861699999999999</v>
      </c>
      <c r="K767" s="4"/>
      <c r="L767" s="9">
        <v>30.7165</v>
      </c>
      <c r="M767" s="9">
        <v>12.063700000000001</v>
      </c>
      <c r="N767" s="9">
        <v>4.9444999999999997</v>
      </c>
      <c r="O767" s="9">
        <v>0.37409999999999999</v>
      </c>
      <c r="P767" s="9">
        <v>1.2183999999999999</v>
      </c>
      <c r="Q767" s="9">
        <v>19.688099999999999</v>
      </c>
      <c r="R767" s="9"/>
      <c r="S767" s="11"/>
    </row>
    <row r="768" spans="1:19" ht="15.75">
      <c r="A768" s="13">
        <v>65288</v>
      </c>
      <c r="B768" s="8">
        <f>CHOOSE( CONTROL!$C$31, 27.2373, 27.2344) * CHOOSE(CONTROL!$C$14, $D$10, 100%, $F$10)</f>
        <v>27.237300000000001</v>
      </c>
      <c r="C768" s="8">
        <f>CHOOSE( CONTROL!$C$31, 27.2453, 27.2424) * CHOOSE(CONTROL!$C$14, $D$10, 100%, $F$10)</f>
        <v>27.2453</v>
      </c>
      <c r="D768" s="8">
        <f>CHOOSE( CONTROL!$C$31, 27.2505, 27.2476) * CHOOSE( CONTROL!$C$14, $D$10, 100%, $F$10)</f>
        <v>27.250499999999999</v>
      </c>
      <c r="E768" s="12">
        <f>CHOOSE( CONTROL!$C$31, 27.2474, 27.2445) * CHOOSE( CONTROL!$C$14, $D$10, 100%, $F$10)</f>
        <v>27.247399999999999</v>
      </c>
      <c r="F768" s="4">
        <f>CHOOSE( CONTROL!$C$31, 27.9189, 27.916) * CHOOSE(CONTROL!$C$14, $D$10, 100%, $F$10)</f>
        <v>27.918900000000001</v>
      </c>
      <c r="G768" s="8">
        <f>CHOOSE( CONTROL!$C$31, 26.7565, 26.7537) * CHOOSE( CONTROL!$C$14, $D$10, 100%, $F$10)</f>
        <v>26.756499999999999</v>
      </c>
      <c r="H768" s="4">
        <f>CHOOSE( CONTROL!$C$31, 27.6847, 27.6818) * CHOOSE(CONTROL!$C$14, $D$10, 100%, $F$10)</f>
        <v>27.684699999999999</v>
      </c>
      <c r="I768" s="8">
        <f>CHOOSE( CONTROL!$C$31, 26.4061, 26.4033) * CHOOSE(CONTROL!$C$14, $D$10, 100%, $F$10)</f>
        <v>26.406099999999999</v>
      </c>
      <c r="J768" s="4">
        <f>CHOOSE( CONTROL!$C$31, 26.2991, 26.2963) * CHOOSE(CONTROL!$C$14, $D$10, 100%, $F$10)</f>
        <v>26.299099999999999</v>
      </c>
      <c r="K768" s="4"/>
      <c r="L768" s="9">
        <v>29.7257</v>
      </c>
      <c r="M768" s="9">
        <v>11.6745</v>
      </c>
      <c r="N768" s="9">
        <v>4.7850000000000001</v>
      </c>
      <c r="O768" s="9">
        <v>0.36199999999999999</v>
      </c>
      <c r="P768" s="9">
        <v>1.1791</v>
      </c>
      <c r="Q768" s="9">
        <v>19.053000000000001</v>
      </c>
      <c r="R768" s="9"/>
      <c r="S768" s="11"/>
    </row>
    <row r="769" spans="1:19" ht="15.75">
      <c r="A769" s="13">
        <v>65319</v>
      </c>
      <c r="B769" s="8">
        <f>28.4411 * CHOOSE(CONTROL!$C$14, $D$10, 100%, $F$10)</f>
        <v>28.441099999999999</v>
      </c>
      <c r="C769" s="8">
        <f>28.4465 * CHOOSE(CONTROL!$C$14, $D$10, 100%, $F$10)</f>
        <v>28.4465</v>
      </c>
      <c r="D769" s="8">
        <f>28.4565 * CHOOSE( CONTROL!$C$14, $D$10, 100%, $F$10)</f>
        <v>28.456499999999998</v>
      </c>
      <c r="E769" s="12">
        <f>28.4526 * CHOOSE( CONTROL!$C$14, $D$10, 100%, $F$10)</f>
        <v>28.4526</v>
      </c>
      <c r="F769" s="4">
        <f>29.1244 * CHOOSE(CONTROL!$C$14, $D$10, 100%, $F$10)</f>
        <v>29.124400000000001</v>
      </c>
      <c r="G769" s="8">
        <f>27.9417 * CHOOSE( CONTROL!$C$14, $D$10, 100%, $F$10)</f>
        <v>27.941700000000001</v>
      </c>
      <c r="H769" s="4">
        <f>28.8702 * CHOOSE(CONTROL!$C$14, $D$10, 100%, $F$10)</f>
        <v>28.870200000000001</v>
      </c>
      <c r="I769" s="8">
        <f>27.5729 * CHOOSE(CONTROL!$C$14, $D$10, 100%, $F$10)</f>
        <v>27.572900000000001</v>
      </c>
      <c r="J769" s="4">
        <f>27.4644 * CHOOSE(CONTROL!$C$14, $D$10, 100%, $F$10)</f>
        <v>27.464400000000001</v>
      </c>
      <c r="K769" s="4"/>
      <c r="L769" s="9">
        <v>31.095300000000002</v>
      </c>
      <c r="M769" s="9">
        <v>12.063700000000001</v>
      </c>
      <c r="N769" s="9">
        <v>4.9444999999999997</v>
      </c>
      <c r="O769" s="9">
        <v>0.37409999999999999</v>
      </c>
      <c r="P769" s="9">
        <v>1.2183999999999999</v>
      </c>
      <c r="Q769" s="9">
        <v>19.688099999999999</v>
      </c>
      <c r="R769" s="9"/>
      <c r="S769" s="11"/>
    </row>
    <row r="770" spans="1:19" ht="15.75">
      <c r="A770" s="13">
        <v>65349</v>
      </c>
      <c r="B770" s="8">
        <f>30.6712 * CHOOSE(CONTROL!$C$14, $D$10, 100%, $F$10)</f>
        <v>30.671199999999999</v>
      </c>
      <c r="C770" s="8">
        <f>30.6763 * CHOOSE(CONTROL!$C$14, $D$10, 100%, $F$10)</f>
        <v>30.676300000000001</v>
      </c>
      <c r="D770" s="8">
        <f>30.6525 * CHOOSE( CONTROL!$C$14, $D$10, 100%, $F$10)</f>
        <v>30.6525</v>
      </c>
      <c r="E770" s="12">
        <f>30.6607 * CHOOSE( CONTROL!$C$14, $D$10, 100%, $F$10)</f>
        <v>30.660699999999999</v>
      </c>
      <c r="F770" s="4">
        <f>31.3186 * CHOOSE(CONTROL!$C$14, $D$10, 100%, $F$10)</f>
        <v>31.3186</v>
      </c>
      <c r="G770" s="8">
        <f>30.145 * CHOOSE( CONTROL!$C$14, $D$10, 100%, $F$10)</f>
        <v>30.145</v>
      </c>
      <c r="H770" s="4">
        <f>31.0281 * CHOOSE(CONTROL!$C$14, $D$10, 100%, $F$10)</f>
        <v>31.028099999999998</v>
      </c>
      <c r="I770" s="8">
        <f>29.7606 * CHOOSE(CONTROL!$C$14, $D$10, 100%, $F$10)</f>
        <v>29.7606</v>
      </c>
      <c r="J770" s="4">
        <f>29.6207 * CHOOSE(CONTROL!$C$14, $D$10, 100%, $F$10)</f>
        <v>29.620699999999999</v>
      </c>
      <c r="K770" s="4"/>
      <c r="L770" s="9">
        <v>28.360600000000002</v>
      </c>
      <c r="M770" s="9">
        <v>11.6745</v>
      </c>
      <c r="N770" s="9">
        <v>4.7850000000000001</v>
      </c>
      <c r="O770" s="9">
        <v>0.36199999999999999</v>
      </c>
      <c r="P770" s="9">
        <v>1.2509999999999999</v>
      </c>
      <c r="Q770" s="9">
        <v>19.053000000000001</v>
      </c>
      <c r="R770" s="9"/>
      <c r="S770" s="11"/>
    </row>
    <row r="771" spans="1:19" ht="15.75">
      <c r="A771" s="13">
        <v>65380</v>
      </c>
      <c r="B771" s="8">
        <f>30.6154 * CHOOSE(CONTROL!$C$14, $D$10, 100%, $F$10)</f>
        <v>30.615400000000001</v>
      </c>
      <c r="C771" s="8">
        <f>30.6206 * CHOOSE(CONTROL!$C$14, $D$10, 100%, $F$10)</f>
        <v>30.6206</v>
      </c>
      <c r="D771" s="8">
        <f>30.5981 * CHOOSE( CONTROL!$C$14, $D$10, 100%, $F$10)</f>
        <v>30.598099999999999</v>
      </c>
      <c r="E771" s="12">
        <f>30.6058 * CHOOSE( CONTROL!$C$14, $D$10, 100%, $F$10)</f>
        <v>30.605799999999999</v>
      </c>
      <c r="F771" s="4">
        <f>31.2629 * CHOOSE(CONTROL!$C$14, $D$10, 100%, $F$10)</f>
        <v>31.262899999999998</v>
      </c>
      <c r="G771" s="8">
        <f>30.0912 * CHOOSE( CONTROL!$C$14, $D$10, 100%, $F$10)</f>
        <v>30.091200000000001</v>
      </c>
      <c r="H771" s="4">
        <f>30.9733 * CHOOSE(CONTROL!$C$14, $D$10, 100%, $F$10)</f>
        <v>30.973299999999998</v>
      </c>
      <c r="I771" s="8">
        <f>29.7111 * CHOOSE(CONTROL!$C$14, $D$10, 100%, $F$10)</f>
        <v>29.711099999999998</v>
      </c>
      <c r="J771" s="4">
        <f>29.5668 * CHOOSE(CONTROL!$C$14, $D$10, 100%, $F$10)</f>
        <v>29.566800000000001</v>
      </c>
      <c r="K771" s="4"/>
      <c r="L771" s="9">
        <v>29.306000000000001</v>
      </c>
      <c r="M771" s="9">
        <v>12.063700000000001</v>
      </c>
      <c r="N771" s="9">
        <v>4.9444999999999997</v>
      </c>
      <c r="O771" s="9">
        <v>0.37409999999999999</v>
      </c>
      <c r="P771" s="9">
        <v>1.2927</v>
      </c>
      <c r="Q771" s="9">
        <v>19.688099999999999</v>
      </c>
      <c r="R771" s="9"/>
      <c r="S771" s="11"/>
    </row>
    <row r="772" spans="1:19" ht="15.75">
      <c r="A772" s="13">
        <v>65411</v>
      </c>
      <c r="B772" s="8">
        <f>31.7844 * CHOOSE(CONTROL!$C$14, $D$10, 100%, $F$10)</f>
        <v>31.784400000000002</v>
      </c>
      <c r="C772" s="8">
        <f>31.7895 * CHOOSE(CONTROL!$C$14, $D$10, 100%, $F$10)</f>
        <v>31.7895</v>
      </c>
      <c r="D772" s="8">
        <f>31.7853 * CHOOSE( CONTROL!$C$14, $D$10, 100%, $F$10)</f>
        <v>31.785299999999999</v>
      </c>
      <c r="E772" s="12">
        <f>31.7863 * CHOOSE( CONTROL!$C$14, $D$10, 100%, $F$10)</f>
        <v>31.786300000000001</v>
      </c>
      <c r="F772" s="4">
        <f>32.4629 * CHOOSE(CONTROL!$C$14, $D$10, 100%, $F$10)</f>
        <v>32.462899999999998</v>
      </c>
      <c r="G772" s="8">
        <f>31.255 * CHOOSE( CONTROL!$C$14, $D$10, 100%, $F$10)</f>
        <v>31.254999999999999</v>
      </c>
      <c r="H772" s="4">
        <f>32.1534 * CHOOSE(CONTROL!$C$14, $D$10, 100%, $F$10)</f>
        <v>32.153399999999998</v>
      </c>
      <c r="I772" s="8">
        <f>30.8207 * CHOOSE(CONTROL!$C$14, $D$10, 100%, $F$10)</f>
        <v>30.820699999999999</v>
      </c>
      <c r="J772" s="4">
        <f>30.6968 * CHOOSE(CONTROL!$C$14, $D$10, 100%, $F$10)</f>
        <v>30.6968</v>
      </c>
      <c r="K772" s="4"/>
      <c r="L772" s="9">
        <v>29.306000000000001</v>
      </c>
      <c r="M772" s="9">
        <v>12.063700000000001</v>
      </c>
      <c r="N772" s="9">
        <v>4.9444999999999997</v>
      </c>
      <c r="O772" s="9">
        <v>0.37409999999999999</v>
      </c>
      <c r="P772" s="9">
        <v>1.2927</v>
      </c>
      <c r="Q772" s="9">
        <v>19.688099999999999</v>
      </c>
      <c r="R772" s="9"/>
      <c r="S772" s="11"/>
    </row>
    <row r="773" spans="1:19" ht="15.75">
      <c r="A773" s="13">
        <v>65439</v>
      </c>
      <c r="B773" s="8">
        <f>29.7315 * CHOOSE(CONTROL!$C$14, $D$10, 100%, $F$10)</f>
        <v>29.7315</v>
      </c>
      <c r="C773" s="8">
        <f>29.7367 * CHOOSE(CONTROL!$C$14, $D$10, 100%, $F$10)</f>
        <v>29.736699999999999</v>
      </c>
      <c r="D773" s="8">
        <f>29.7265 * CHOOSE( CONTROL!$C$14, $D$10, 100%, $F$10)</f>
        <v>29.726500000000001</v>
      </c>
      <c r="E773" s="12">
        <f>29.7297 * CHOOSE( CONTROL!$C$14, $D$10, 100%, $F$10)</f>
        <v>29.729700000000001</v>
      </c>
      <c r="F773" s="4">
        <f>30.3842 * CHOOSE(CONTROL!$C$14, $D$10, 100%, $F$10)</f>
        <v>30.3842</v>
      </c>
      <c r="G773" s="8">
        <f>29.228 * CHOOSE( CONTROL!$C$14, $D$10, 100%, $F$10)</f>
        <v>29.228000000000002</v>
      </c>
      <c r="H773" s="4">
        <f>30.1091 * CHOOSE(CONTROL!$C$14, $D$10, 100%, $F$10)</f>
        <v>30.109100000000002</v>
      </c>
      <c r="I773" s="8">
        <f>28.8259 * CHOOSE(CONTROL!$C$14, $D$10, 100%, $F$10)</f>
        <v>28.825900000000001</v>
      </c>
      <c r="J773" s="4">
        <f>28.7123 * CHOOSE(CONTROL!$C$14, $D$10, 100%, $F$10)</f>
        <v>28.712299999999999</v>
      </c>
      <c r="K773" s="4"/>
      <c r="L773" s="9">
        <v>26.469899999999999</v>
      </c>
      <c r="M773" s="9">
        <v>10.8962</v>
      </c>
      <c r="N773" s="9">
        <v>4.4660000000000002</v>
      </c>
      <c r="O773" s="9">
        <v>0.33789999999999998</v>
      </c>
      <c r="P773" s="9">
        <v>1.1676</v>
      </c>
      <c r="Q773" s="9">
        <v>17.782800000000002</v>
      </c>
      <c r="R773" s="9"/>
      <c r="S773" s="11"/>
    </row>
    <row r="774" spans="1:19" ht="15.75">
      <c r="A774" s="13">
        <v>65470</v>
      </c>
      <c r="B774" s="8">
        <f>29.0993 * CHOOSE(CONTROL!$C$14, $D$10, 100%, $F$10)</f>
        <v>29.099299999999999</v>
      </c>
      <c r="C774" s="8">
        <f>29.1044 * CHOOSE(CONTROL!$C$14, $D$10, 100%, $F$10)</f>
        <v>29.104399999999998</v>
      </c>
      <c r="D774" s="8">
        <f>29.0878 * CHOOSE( CONTROL!$C$14, $D$10, 100%, $F$10)</f>
        <v>29.087800000000001</v>
      </c>
      <c r="E774" s="12">
        <f>29.0933 * CHOOSE( CONTROL!$C$14, $D$10, 100%, $F$10)</f>
        <v>29.093299999999999</v>
      </c>
      <c r="F774" s="4">
        <f>29.7519 * CHOOSE(CONTROL!$C$14, $D$10, 100%, $F$10)</f>
        <v>29.751899999999999</v>
      </c>
      <c r="G774" s="8">
        <f>28.598 * CHOOSE( CONTROL!$C$14, $D$10, 100%, $F$10)</f>
        <v>28.597999999999999</v>
      </c>
      <c r="H774" s="4">
        <f>29.4873 * CHOOSE(CONTROL!$C$14, $D$10, 100%, $F$10)</f>
        <v>29.487300000000001</v>
      </c>
      <c r="I774" s="8">
        <f>28.1943 * CHOOSE(CONTROL!$C$14, $D$10, 100%, $F$10)</f>
        <v>28.194299999999998</v>
      </c>
      <c r="J774" s="4">
        <f>28.1011 * CHOOSE(CONTROL!$C$14, $D$10, 100%, $F$10)</f>
        <v>28.101099999999999</v>
      </c>
      <c r="K774" s="4"/>
      <c r="L774" s="9">
        <v>29.306000000000001</v>
      </c>
      <c r="M774" s="9">
        <v>12.063700000000001</v>
      </c>
      <c r="N774" s="9">
        <v>4.9444999999999997</v>
      </c>
      <c r="O774" s="9">
        <v>0.37409999999999999</v>
      </c>
      <c r="P774" s="9">
        <v>1.2927</v>
      </c>
      <c r="Q774" s="9">
        <v>19.688099999999999</v>
      </c>
      <c r="R774" s="9"/>
      <c r="S774" s="11"/>
    </row>
    <row r="775" spans="1:19" ht="15.75">
      <c r="A775" s="13">
        <v>65500</v>
      </c>
      <c r="B775" s="8">
        <f>29.5419 * CHOOSE(CONTROL!$C$14, $D$10, 100%, $F$10)</f>
        <v>29.541899999999998</v>
      </c>
      <c r="C775" s="8">
        <f>29.5464 * CHOOSE(CONTROL!$C$14, $D$10, 100%, $F$10)</f>
        <v>29.546399999999998</v>
      </c>
      <c r="D775" s="8">
        <f>29.5559 * CHOOSE( CONTROL!$C$14, $D$10, 100%, $F$10)</f>
        <v>29.555900000000001</v>
      </c>
      <c r="E775" s="12">
        <f>29.5522 * CHOOSE( CONTROL!$C$14, $D$10, 100%, $F$10)</f>
        <v>29.552199999999999</v>
      </c>
      <c r="F775" s="4">
        <f>30.2248 * CHOOSE(CONTROL!$C$14, $D$10, 100%, $F$10)</f>
        <v>30.224799999999998</v>
      </c>
      <c r="G775" s="8">
        <f>29.0224 * CHOOSE( CONTROL!$C$14, $D$10, 100%, $F$10)</f>
        <v>29.022400000000001</v>
      </c>
      <c r="H775" s="4">
        <f>29.9523 * CHOOSE(CONTROL!$C$14, $D$10, 100%, $F$10)</f>
        <v>29.952300000000001</v>
      </c>
      <c r="I775" s="8">
        <f>28.6326 * CHOOSE(CONTROL!$C$14, $D$10, 100%, $F$10)</f>
        <v>28.6326</v>
      </c>
      <c r="J775" s="4">
        <f>28.5282 * CHOOSE(CONTROL!$C$14, $D$10, 100%, $F$10)</f>
        <v>28.528199999999998</v>
      </c>
      <c r="K775" s="4"/>
      <c r="L775" s="9">
        <v>30.092199999999998</v>
      </c>
      <c r="M775" s="9">
        <v>11.6745</v>
      </c>
      <c r="N775" s="9">
        <v>4.7850000000000001</v>
      </c>
      <c r="O775" s="9">
        <v>0.36199999999999999</v>
      </c>
      <c r="P775" s="9">
        <v>1.1791</v>
      </c>
      <c r="Q775" s="9">
        <v>19.053000000000001</v>
      </c>
      <c r="R775" s="9"/>
      <c r="S775" s="11"/>
    </row>
    <row r="776" spans="1:19" ht="15.75">
      <c r="A776" s="13">
        <v>65531</v>
      </c>
      <c r="B776" s="8">
        <f>CHOOSE( CONTROL!$C$31, 30.3325, 30.3296) * CHOOSE(CONTROL!$C$14, $D$10, 100%, $F$10)</f>
        <v>30.3325</v>
      </c>
      <c r="C776" s="8">
        <f>CHOOSE( CONTROL!$C$31, 30.3405, 30.3376) * CHOOSE(CONTROL!$C$14, $D$10, 100%, $F$10)</f>
        <v>30.340499999999999</v>
      </c>
      <c r="D776" s="8">
        <f>CHOOSE( CONTROL!$C$31, 30.3451, 30.3422) * CHOOSE( CONTROL!$C$14, $D$10, 100%, $F$10)</f>
        <v>30.345099999999999</v>
      </c>
      <c r="E776" s="12">
        <f>CHOOSE( CONTROL!$C$31, 30.3422, 30.3393) * CHOOSE( CONTROL!$C$14, $D$10, 100%, $F$10)</f>
        <v>30.342199999999998</v>
      </c>
      <c r="F776" s="4">
        <f>CHOOSE( CONTROL!$C$31, 31.014, 31.0111) * CHOOSE(CONTROL!$C$14, $D$10, 100%, $F$10)</f>
        <v>31.013999999999999</v>
      </c>
      <c r="G776" s="8">
        <f>CHOOSE( CONTROL!$C$31, 29.7995, 29.7966) * CHOOSE( CONTROL!$C$14, $D$10, 100%, $F$10)</f>
        <v>29.799499999999998</v>
      </c>
      <c r="H776" s="4">
        <f>CHOOSE( CONTROL!$C$31, 30.7285, 30.7256) * CHOOSE(CONTROL!$C$14, $D$10, 100%, $F$10)</f>
        <v>30.7285</v>
      </c>
      <c r="I776" s="8">
        <f>CHOOSE( CONTROL!$C$31, 29.397, 29.3942) * CHOOSE(CONTROL!$C$14, $D$10, 100%, $F$10)</f>
        <v>29.396999999999998</v>
      </c>
      <c r="J776" s="4">
        <f>CHOOSE( CONTROL!$C$31, 29.2912, 29.2883) * CHOOSE(CONTROL!$C$14, $D$10, 100%, $F$10)</f>
        <v>29.2912</v>
      </c>
      <c r="K776" s="4"/>
      <c r="L776" s="9">
        <v>30.7165</v>
      </c>
      <c r="M776" s="9">
        <v>12.063700000000001</v>
      </c>
      <c r="N776" s="9">
        <v>4.9444999999999997</v>
      </c>
      <c r="O776" s="9">
        <v>0.37409999999999999</v>
      </c>
      <c r="P776" s="9">
        <v>1.2183999999999999</v>
      </c>
      <c r="Q776" s="9">
        <v>19.688099999999999</v>
      </c>
      <c r="R776" s="9"/>
      <c r="S776" s="11"/>
    </row>
    <row r="777" spans="1:19" ht="15.75">
      <c r="A777" s="13">
        <v>65561</v>
      </c>
      <c r="B777" s="8">
        <f>CHOOSE( CONTROL!$C$31, 29.8454, 29.8424) * CHOOSE(CONTROL!$C$14, $D$10, 100%, $F$10)</f>
        <v>29.845400000000001</v>
      </c>
      <c r="C777" s="8">
        <f>CHOOSE( CONTROL!$C$31, 29.8534, 29.8505) * CHOOSE(CONTROL!$C$14, $D$10, 100%, $F$10)</f>
        <v>29.853400000000001</v>
      </c>
      <c r="D777" s="8">
        <f>CHOOSE( CONTROL!$C$31, 29.8583, 29.8553) * CHOOSE( CONTROL!$C$14, $D$10, 100%, $F$10)</f>
        <v>29.8583</v>
      </c>
      <c r="E777" s="12">
        <f>CHOOSE( CONTROL!$C$31, 29.8553, 29.8523) * CHOOSE( CONTROL!$C$14, $D$10, 100%, $F$10)</f>
        <v>29.8553</v>
      </c>
      <c r="F777" s="4">
        <f>CHOOSE( CONTROL!$C$31, 30.5269, 30.524) * CHOOSE(CONTROL!$C$14, $D$10, 100%, $F$10)</f>
        <v>30.526900000000001</v>
      </c>
      <c r="G777" s="8">
        <f>CHOOSE( CONTROL!$C$31, 29.3209, 29.318) * CHOOSE( CONTROL!$C$14, $D$10, 100%, $F$10)</f>
        <v>29.320900000000002</v>
      </c>
      <c r="H777" s="4">
        <f>CHOOSE( CONTROL!$C$31, 30.2495, 30.2466) * CHOOSE(CONTROL!$C$14, $D$10, 100%, $F$10)</f>
        <v>30.249500000000001</v>
      </c>
      <c r="I777" s="8">
        <f>CHOOSE( CONTROL!$C$31, 28.9271, 28.9243) * CHOOSE(CONTROL!$C$14, $D$10, 100%, $F$10)</f>
        <v>28.927099999999999</v>
      </c>
      <c r="J777" s="4">
        <f>CHOOSE( CONTROL!$C$31, 28.8203, 28.8175) * CHOOSE(CONTROL!$C$14, $D$10, 100%, $F$10)</f>
        <v>28.8203</v>
      </c>
      <c r="K777" s="4"/>
      <c r="L777" s="9">
        <v>29.7257</v>
      </c>
      <c r="M777" s="9">
        <v>11.6745</v>
      </c>
      <c r="N777" s="9">
        <v>4.7850000000000001</v>
      </c>
      <c r="O777" s="9">
        <v>0.36199999999999999</v>
      </c>
      <c r="P777" s="9">
        <v>1.1791</v>
      </c>
      <c r="Q777" s="9">
        <v>19.053000000000001</v>
      </c>
      <c r="R777" s="9"/>
      <c r="S777" s="11"/>
    </row>
    <row r="778" spans="1:19" ht="15.75">
      <c r="A778" s="13">
        <v>65592</v>
      </c>
      <c r="B778" s="8">
        <f>CHOOSE( CONTROL!$C$31, 31.1281, 31.1252) * CHOOSE(CONTROL!$C$14, $D$10, 100%, $F$10)</f>
        <v>31.1281</v>
      </c>
      <c r="C778" s="8">
        <f>CHOOSE( CONTROL!$C$31, 31.1361, 31.1332) * CHOOSE(CONTROL!$C$14, $D$10, 100%, $F$10)</f>
        <v>31.136099999999999</v>
      </c>
      <c r="D778" s="8">
        <f>CHOOSE( CONTROL!$C$31, 31.1412, 31.1383) * CHOOSE( CONTROL!$C$14, $D$10, 100%, $F$10)</f>
        <v>31.141200000000001</v>
      </c>
      <c r="E778" s="12">
        <f>CHOOSE( CONTROL!$C$31, 31.1381, 31.1352) * CHOOSE( CONTROL!$C$14, $D$10, 100%, $F$10)</f>
        <v>31.138100000000001</v>
      </c>
      <c r="F778" s="4">
        <f>CHOOSE( CONTROL!$C$31, 31.8097, 31.8067) * CHOOSE(CONTROL!$C$14, $D$10, 100%, $F$10)</f>
        <v>31.809699999999999</v>
      </c>
      <c r="G778" s="8">
        <f>CHOOSE( CONTROL!$C$31, 30.5827, 30.5798) * CHOOSE( CONTROL!$C$14, $D$10, 100%, $F$10)</f>
        <v>30.582699999999999</v>
      </c>
      <c r="H778" s="4">
        <f>CHOOSE( CONTROL!$C$31, 31.511, 31.5081) * CHOOSE(CONTROL!$C$14, $D$10, 100%, $F$10)</f>
        <v>31.510999999999999</v>
      </c>
      <c r="I778" s="8">
        <f>CHOOSE( CONTROL!$C$31, 30.1689, 30.1661) * CHOOSE(CONTROL!$C$14, $D$10, 100%, $F$10)</f>
        <v>30.168900000000001</v>
      </c>
      <c r="J778" s="4">
        <f>CHOOSE( CONTROL!$C$31, 30.0603, 30.0575) * CHOOSE(CONTROL!$C$14, $D$10, 100%, $F$10)</f>
        <v>30.060300000000002</v>
      </c>
      <c r="K778" s="4"/>
      <c r="L778" s="9">
        <v>30.7165</v>
      </c>
      <c r="M778" s="9">
        <v>12.063700000000001</v>
      </c>
      <c r="N778" s="9">
        <v>4.9444999999999997</v>
      </c>
      <c r="O778" s="9">
        <v>0.37409999999999999</v>
      </c>
      <c r="P778" s="9">
        <v>1.2183999999999999</v>
      </c>
      <c r="Q778" s="9">
        <v>19.688099999999999</v>
      </c>
      <c r="R778" s="9"/>
      <c r="S778" s="11"/>
    </row>
    <row r="779" spans="1:19" ht="15.75">
      <c r="A779" s="13">
        <v>65623</v>
      </c>
      <c r="B779" s="8">
        <f>CHOOSE( CONTROL!$C$31, 28.728, 28.725) * CHOOSE(CONTROL!$C$14, $D$10, 100%, $F$10)</f>
        <v>28.728000000000002</v>
      </c>
      <c r="C779" s="8">
        <f>CHOOSE( CONTROL!$C$31, 28.736, 28.7331) * CHOOSE(CONTROL!$C$14, $D$10, 100%, $F$10)</f>
        <v>28.736000000000001</v>
      </c>
      <c r="D779" s="8">
        <f>CHOOSE( CONTROL!$C$31, 28.7412, 28.7383) * CHOOSE( CONTROL!$C$14, $D$10, 100%, $F$10)</f>
        <v>28.741199999999999</v>
      </c>
      <c r="E779" s="12">
        <f>CHOOSE( CONTROL!$C$31, 28.7381, 28.7352) * CHOOSE( CONTROL!$C$14, $D$10, 100%, $F$10)</f>
        <v>28.738099999999999</v>
      </c>
      <c r="F779" s="4">
        <f>CHOOSE( CONTROL!$C$31, 29.4095, 29.4066) * CHOOSE(CONTROL!$C$14, $D$10, 100%, $F$10)</f>
        <v>29.409500000000001</v>
      </c>
      <c r="G779" s="8">
        <f>CHOOSE( CONTROL!$C$31, 28.2225, 28.2196) * CHOOSE( CONTROL!$C$14, $D$10, 100%, $F$10)</f>
        <v>28.2225</v>
      </c>
      <c r="H779" s="4">
        <f>CHOOSE( CONTROL!$C$31, 29.1506, 29.1477) * CHOOSE(CONTROL!$C$14, $D$10, 100%, $F$10)</f>
        <v>29.150600000000001</v>
      </c>
      <c r="I779" s="8">
        <f>CHOOSE( CONTROL!$C$31, 27.8479, 27.8451) * CHOOSE(CONTROL!$C$14, $D$10, 100%, $F$10)</f>
        <v>27.847899999999999</v>
      </c>
      <c r="J779" s="4">
        <f>CHOOSE( CONTROL!$C$31, 27.7401, 27.7373) * CHOOSE(CONTROL!$C$14, $D$10, 100%, $F$10)</f>
        <v>27.740100000000002</v>
      </c>
      <c r="K779" s="4"/>
      <c r="L779" s="9">
        <v>30.7165</v>
      </c>
      <c r="M779" s="9">
        <v>12.063700000000001</v>
      </c>
      <c r="N779" s="9">
        <v>4.9444999999999997</v>
      </c>
      <c r="O779" s="9">
        <v>0.37409999999999999</v>
      </c>
      <c r="P779" s="9">
        <v>1.2183999999999999</v>
      </c>
      <c r="Q779" s="9">
        <v>19.688099999999999</v>
      </c>
      <c r="R779" s="9"/>
      <c r="S779" s="11"/>
    </row>
    <row r="780" spans="1:19" ht="15.75">
      <c r="A780" s="13">
        <v>65653</v>
      </c>
      <c r="B780" s="8">
        <f>CHOOSE( CONTROL!$C$31, 28.1269, 28.124) * CHOOSE(CONTROL!$C$14, $D$10, 100%, $F$10)</f>
        <v>28.126899999999999</v>
      </c>
      <c r="C780" s="8">
        <f>CHOOSE( CONTROL!$C$31, 28.135, 28.132) * CHOOSE(CONTROL!$C$14, $D$10, 100%, $F$10)</f>
        <v>28.135000000000002</v>
      </c>
      <c r="D780" s="8">
        <f>CHOOSE( CONTROL!$C$31, 28.1402, 28.1372) * CHOOSE( CONTROL!$C$14, $D$10, 100%, $F$10)</f>
        <v>28.1402</v>
      </c>
      <c r="E780" s="12">
        <f>CHOOSE( CONTROL!$C$31, 28.1371, 28.1341) * CHOOSE( CONTROL!$C$14, $D$10, 100%, $F$10)</f>
        <v>28.1371</v>
      </c>
      <c r="F780" s="4">
        <f>CHOOSE( CONTROL!$C$31, 28.8085, 28.8056) * CHOOSE(CONTROL!$C$14, $D$10, 100%, $F$10)</f>
        <v>28.808499999999999</v>
      </c>
      <c r="G780" s="8">
        <f>CHOOSE( CONTROL!$C$31, 27.6314, 27.6285) * CHOOSE( CONTROL!$C$14, $D$10, 100%, $F$10)</f>
        <v>27.631399999999999</v>
      </c>
      <c r="H780" s="4">
        <f>CHOOSE( CONTROL!$C$31, 28.5596, 28.5567) * CHOOSE(CONTROL!$C$14, $D$10, 100%, $F$10)</f>
        <v>28.5596</v>
      </c>
      <c r="I780" s="8">
        <f>CHOOSE( CONTROL!$C$31, 27.2666, 27.2637) * CHOOSE(CONTROL!$C$14, $D$10, 100%, $F$10)</f>
        <v>27.2666</v>
      </c>
      <c r="J780" s="4">
        <f>CHOOSE( CONTROL!$C$31, 27.1591, 27.1563) * CHOOSE(CONTROL!$C$14, $D$10, 100%, $F$10)</f>
        <v>27.159099999999999</v>
      </c>
      <c r="K780" s="4"/>
      <c r="L780" s="9">
        <v>29.7257</v>
      </c>
      <c r="M780" s="9">
        <v>11.6745</v>
      </c>
      <c r="N780" s="9">
        <v>4.7850000000000001</v>
      </c>
      <c r="O780" s="9">
        <v>0.36199999999999999</v>
      </c>
      <c r="P780" s="9">
        <v>1.1791</v>
      </c>
      <c r="Q780" s="9">
        <v>19.053000000000001</v>
      </c>
      <c r="R780" s="9"/>
      <c r="S780" s="11"/>
    </row>
    <row r="781" spans="1:19" ht="15.75">
      <c r="A781" s="13">
        <v>65684</v>
      </c>
      <c r="B781" s="8">
        <f>29.3702 * CHOOSE(CONTROL!$C$14, $D$10, 100%, $F$10)</f>
        <v>29.370200000000001</v>
      </c>
      <c r="C781" s="8">
        <f>29.3756 * CHOOSE(CONTROL!$C$14, $D$10, 100%, $F$10)</f>
        <v>29.375599999999999</v>
      </c>
      <c r="D781" s="8">
        <f>29.3856 * CHOOSE( CONTROL!$C$14, $D$10, 100%, $F$10)</f>
        <v>29.3856</v>
      </c>
      <c r="E781" s="12">
        <f>29.3817 * CHOOSE( CONTROL!$C$14, $D$10, 100%, $F$10)</f>
        <v>29.381699999999999</v>
      </c>
      <c r="F781" s="4">
        <f>30.0535 * CHOOSE(CONTROL!$C$14, $D$10, 100%, $F$10)</f>
        <v>30.0535</v>
      </c>
      <c r="G781" s="8">
        <f>28.8554 * CHOOSE( CONTROL!$C$14, $D$10, 100%, $F$10)</f>
        <v>28.855399999999999</v>
      </c>
      <c r="H781" s="4">
        <f>29.7839 * CHOOSE(CONTROL!$C$14, $D$10, 100%, $F$10)</f>
        <v>29.783899999999999</v>
      </c>
      <c r="I781" s="8">
        <f>28.4715 * CHOOSE(CONTROL!$C$14, $D$10, 100%, $F$10)</f>
        <v>28.471499999999999</v>
      </c>
      <c r="J781" s="4">
        <f>28.3626 * CHOOSE(CONTROL!$C$14, $D$10, 100%, $F$10)</f>
        <v>28.3626</v>
      </c>
      <c r="K781" s="4"/>
      <c r="L781" s="9">
        <v>31.095300000000002</v>
      </c>
      <c r="M781" s="9">
        <v>12.063700000000001</v>
      </c>
      <c r="N781" s="9">
        <v>4.9444999999999997</v>
      </c>
      <c r="O781" s="9">
        <v>0.37409999999999999</v>
      </c>
      <c r="P781" s="9">
        <v>1.2183999999999999</v>
      </c>
      <c r="Q781" s="9">
        <v>19.688099999999999</v>
      </c>
      <c r="R781" s="9"/>
      <c r="S781" s="11"/>
    </row>
    <row r="782" spans="1:19" ht="15.75">
      <c r="A782" s="13">
        <v>65714</v>
      </c>
      <c r="B782" s="8">
        <f>31.6733 * CHOOSE(CONTROL!$C$14, $D$10, 100%, $F$10)</f>
        <v>31.673300000000001</v>
      </c>
      <c r="C782" s="8">
        <f>31.6784 * CHOOSE(CONTROL!$C$14, $D$10, 100%, $F$10)</f>
        <v>31.6784</v>
      </c>
      <c r="D782" s="8">
        <f>31.6546 * CHOOSE( CONTROL!$C$14, $D$10, 100%, $F$10)</f>
        <v>31.654599999999999</v>
      </c>
      <c r="E782" s="12">
        <f>31.6628 * CHOOSE( CONTROL!$C$14, $D$10, 100%, $F$10)</f>
        <v>31.662800000000001</v>
      </c>
      <c r="F782" s="4">
        <f>32.3207 * CHOOSE(CONTROL!$C$14, $D$10, 100%, $F$10)</f>
        <v>32.320700000000002</v>
      </c>
      <c r="G782" s="8">
        <f>31.1304 * CHOOSE( CONTROL!$C$14, $D$10, 100%, $F$10)</f>
        <v>31.130400000000002</v>
      </c>
      <c r="H782" s="4">
        <f>32.0135 * CHOOSE(CONTROL!$C$14, $D$10, 100%, $F$10)</f>
        <v>32.013500000000001</v>
      </c>
      <c r="I782" s="8">
        <f>30.7298 * CHOOSE(CONTROL!$C$14, $D$10, 100%, $F$10)</f>
        <v>30.729800000000001</v>
      </c>
      <c r="J782" s="4">
        <f>30.5894 * CHOOSE(CONTROL!$C$14, $D$10, 100%, $F$10)</f>
        <v>30.589400000000001</v>
      </c>
      <c r="K782" s="4"/>
      <c r="L782" s="9">
        <v>28.360600000000002</v>
      </c>
      <c r="M782" s="9">
        <v>11.6745</v>
      </c>
      <c r="N782" s="9">
        <v>4.7850000000000001</v>
      </c>
      <c r="O782" s="9">
        <v>0.36199999999999999</v>
      </c>
      <c r="P782" s="9">
        <v>1.2509999999999999</v>
      </c>
      <c r="Q782" s="9">
        <v>19.053000000000001</v>
      </c>
      <c r="R782" s="9"/>
      <c r="S782" s="11"/>
    </row>
    <row r="783" spans="1:19" ht="15.75">
      <c r="A783" s="13">
        <v>65745</v>
      </c>
      <c r="B783" s="8">
        <f>31.6157 * CHOOSE(CONTROL!$C$14, $D$10, 100%, $F$10)</f>
        <v>31.6157</v>
      </c>
      <c r="C783" s="8">
        <f>31.6208 * CHOOSE(CONTROL!$C$14, $D$10, 100%, $F$10)</f>
        <v>31.620799999999999</v>
      </c>
      <c r="D783" s="8">
        <f>31.5984 * CHOOSE( CONTROL!$C$14, $D$10, 100%, $F$10)</f>
        <v>31.598400000000002</v>
      </c>
      <c r="E783" s="12">
        <f>31.606 * CHOOSE( CONTROL!$C$14, $D$10, 100%, $F$10)</f>
        <v>31.606000000000002</v>
      </c>
      <c r="F783" s="4">
        <f>32.2632 * CHOOSE(CONTROL!$C$14, $D$10, 100%, $F$10)</f>
        <v>32.263199999999998</v>
      </c>
      <c r="G783" s="8">
        <f>31.0748 * CHOOSE( CONTROL!$C$14, $D$10, 100%, $F$10)</f>
        <v>31.0748</v>
      </c>
      <c r="H783" s="4">
        <f>31.957 * CHOOSE(CONTROL!$C$14, $D$10, 100%, $F$10)</f>
        <v>31.957000000000001</v>
      </c>
      <c r="I783" s="8">
        <f>30.6786 * CHOOSE(CONTROL!$C$14, $D$10, 100%, $F$10)</f>
        <v>30.678599999999999</v>
      </c>
      <c r="J783" s="4">
        <f>30.5337 * CHOOSE(CONTROL!$C$14, $D$10, 100%, $F$10)</f>
        <v>30.5337</v>
      </c>
      <c r="K783" s="4"/>
      <c r="L783" s="9">
        <v>29.306000000000001</v>
      </c>
      <c r="M783" s="9">
        <v>12.063700000000001</v>
      </c>
      <c r="N783" s="9">
        <v>4.9444999999999997</v>
      </c>
      <c r="O783" s="9">
        <v>0.37409999999999999</v>
      </c>
      <c r="P783" s="9">
        <v>1.2927</v>
      </c>
      <c r="Q783" s="9">
        <v>19.688099999999999</v>
      </c>
      <c r="R783" s="9"/>
      <c r="S783" s="11"/>
    </row>
    <row r="784" spans="1:19" ht="15.75">
      <c r="A784" s="13">
        <v>65776</v>
      </c>
      <c r="B784" s="8">
        <f>32.8229 * CHOOSE(CONTROL!$C$14, $D$10, 100%, $F$10)</f>
        <v>32.822899999999997</v>
      </c>
      <c r="C784" s="8">
        <f>32.828 * CHOOSE(CONTROL!$C$14, $D$10, 100%, $F$10)</f>
        <v>32.828000000000003</v>
      </c>
      <c r="D784" s="8">
        <f>32.8238 * CHOOSE( CONTROL!$C$14, $D$10, 100%, $F$10)</f>
        <v>32.823799999999999</v>
      </c>
      <c r="E784" s="12">
        <f>32.8248 * CHOOSE( CONTROL!$C$14, $D$10, 100%, $F$10)</f>
        <v>32.824800000000003</v>
      </c>
      <c r="F784" s="4">
        <f>33.5014 * CHOOSE(CONTROL!$C$14, $D$10, 100%, $F$10)</f>
        <v>33.501399999999997</v>
      </c>
      <c r="G784" s="8">
        <f>32.2762 * CHOOSE( CONTROL!$C$14, $D$10, 100%, $F$10)</f>
        <v>32.276200000000003</v>
      </c>
      <c r="H784" s="4">
        <f>33.1746 * CHOOSE(CONTROL!$C$14, $D$10, 100%, $F$10)</f>
        <v>33.174599999999998</v>
      </c>
      <c r="I784" s="8">
        <f>31.8251 * CHOOSE(CONTROL!$C$14, $D$10, 100%, $F$10)</f>
        <v>31.825099999999999</v>
      </c>
      <c r="J784" s="4">
        <f>31.7007 * CHOOSE(CONTROL!$C$14, $D$10, 100%, $F$10)</f>
        <v>31.700700000000001</v>
      </c>
      <c r="K784" s="4"/>
      <c r="L784" s="9">
        <v>29.306000000000001</v>
      </c>
      <c r="M784" s="9">
        <v>12.063700000000001</v>
      </c>
      <c r="N784" s="9">
        <v>4.9444999999999997</v>
      </c>
      <c r="O784" s="9">
        <v>0.37409999999999999</v>
      </c>
      <c r="P784" s="9">
        <v>1.2927</v>
      </c>
      <c r="Q784" s="9">
        <v>19.688099999999999</v>
      </c>
      <c r="R784" s="9"/>
      <c r="S784" s="11"/>
    </row>
    <row r="785" spans="1:19" ht="15.75">
      <c r="A785" s="13">
        <v>65805</v>
      </c>
      <c r="B785" s="8">
        <f>30.7029 * CHOOSE(CONTROL!$C$14, $D$10, 100%, $F$10)</f>
        <v>30.7029</v>
      </c>
      <c r="C785" s="8">
        <f>30.708 * CHOOSE(CONTROL!$C$14, $D$10, 100%, $F$10)</f>
        <v>30.707999999999998</v>
      </c>
      <c r="D785" s="8">
        <f>30.6979 * CHOOSE( CONTROL!$C$14, $D$10, 100%, $F$10)</f>
        <v>30.697900000000001</v>
      </c>
      <c r="E785" s="12">
        <f>30.701 * CHOOSE( CONTROL!$C$14, $D$10, 100%, $F$10)</f>
        <v>30.701000000000001</v>
      </c>
      <c r="F785" s="4">
        <f>31.3555 * CHOOSE(CONTROL!$C$14, $D$10, 100%, $F$10)</f>
        <v>31.355499999999999</v>
      </c>
      <c r="G785" s="8">
        <f>30.1833 * CHOOSE( CONTROL!$C$14, $D$10, 100%, $F$10)</f>
        <v>30.183299999999999</v>
      </c>
      <c r="H785" s="4">
        <f>31.0644 * CHOOSE(CONTROL!$C$14, $D$10, 100%, $F$10)</f>
        <v>31.064399999999999</v>
      </c>
      <c r="I785" s="8">
        <f>29.7654 * CHOOSE(CONTROL!$C$14, $D$10, 100%, $F$10)</f>
        <v>29.7654</v>
      </c>
      <c r="J785" s="4">
        <f>29.6513 * CHOOSE(CONTROL!$C$14, $D$10, 100%, $F$10)</f>
        <v>29.651299999999999</v>
      </c>
      <c r="K785" s="4"/>
      <c r="L785" s="9">
        <v>27.415299999999998</v>
      </c>
      <c r="M785" s="9">
        <v>11.285299999999999</v>
      </c>
      <c r="N785" s="9">
        <v>4.6254999999999997</v>
      </c>
      <c r="O785" s="9">
        <v>0.34989999999999999</v>
      </c>
      <c r="P785" s="9">
        <v>1.2093</v>
      </c>
      <c r="Q785" s="9">
        <v>18.417899999999999</v>
      </c>
      <c r="R785" s="9"/>
      <c r="S785" s="11"/>
    </row>
    <row r="786" spans="1:19" ht="15.75">
      <c r="A786" s="13">
        <v>65836</v>
      </c>
      <c r="B786" s="8">
        <f>30.0499 * CHOOSE(CONTROL!$C$14, $D$10, 100%, $F$10)</f>
        <v>30.049900000000001</v>
      </c>
      <c r="C786" s="8">
        <f>30.0551 * CHOOSE(CONTROL!$C$14, $D$10, 100%, $F$10)</f>
        <v>30.055099999999999</v>
      </c>
      <c r="D786" s="8">
        <f>30.0385 * CHOOSE( CONTROL!$C$14, $D$10, 100%, $F$10)</f>
        <v>30.038499999999999</v>
      </c>
      <c r="E786" s="12">
        <f>30.044 * CHOOSE( CONTROL!$C$14, $D$10, 100%, $F$10)</f>
        <v>30.044</v>
      </c>
      <c r="F786" s="4">
        <f>30.7026 * CHOOSE(CONTROL!$C$14, $D$10, 100%, $F$10)</f>
        <v>30.7026</v>
      </c>
      <c r="G786" s="8">
        <f>29.5329 * CHOOSE( CONTROL!$C$14, $D$10, 100%, $F$10)</f>
        <v>29.532900000000001</v>
      </c>
      <c r="H786" s="4">
        <f>30.4222 * CHOOSE(CONTROL!$C$14, $D$10, 100%, $F$10)</f>
        <v>30.4222</v>
      </c>
      <c r="I786" s="8">
        <f>29.1137 * CHOOSE(CONTROL!$C$14, $D$10, 100%, $F$10)</f>
        <v>29.113700000000001</v>
      </c>
      <c r="J786" s="4">
        <f>29.0201 * CHOOSE(CONTROL!$C$14, $D$10, 100%, $F$10)</f>
        <v>29.020099999999999</v>
      </c>
      <c r="K786" s="4"/>
      <c r="L786" s="9">
        <v>29.306000000000001</v>
      </c>
      <c r="M786" s="9">
        <v>12.063700000000001</v>
      </c>
      <c r="N786" s="9">
        <v>4.9444999999999997</v>
      </c>
      <c r="O786" s="9">
        <v>0.37409999999999999</v>
      </c>
      <c r="P786" s="9">
        <v>1.2927</v>
      </c>
      <c r="Q786" s="9">
        <v>19.688099999999999</v>
      </c>
      <c r="R786" s="9"/>
      <c r="S786" s="11"/>
    </row>
    <row r="787" spans="1:19" ht="15.75">
      <c r="A787" s="13">
        <v>65866</v>
      </c>
      <c r="B787" s="8">
        <f>30.507 * CHOOSE(CONTROL!$C$14, $D$10, 100%, $F$10)</f>
        <v>30.507000000000001</v>
      </c>
      <c r="C787" s="8">
        <f>30.5115 * CHOOSE(CONTROL!$C$14, $D$10, 100%, $F$10)</f>
        <v>30.511500000000002</v>
      </c>
      <c r="D787" s="8">
        <f>30.521 * CHOOSE( CONTROL!$C$14, $D$10, 100%, $F$10)</f>
        <v>30.521000000000001</v>
      </c>
      <c r="E787" s="12">
        <f>30.5173 * CHOOSE( CONTROL!$C$14, $D$10, 100%, $F$10)</f>
        <v>30.517299999999999</v>
      </c>
      <c r="F787" s="4">
        <f>31.1899 * CHOOSE(CONTROL!$C$14, $D$10, 100%, $F$10)</f>
        <v>31.189900000000002</v>
      </c>
      <c r="G787" s="8">
        <f>29.9715 * CHOOSE( CONTROL!$C$14, $D$10, 100%, $F$10)</f>
        <v>29.971499999999999</v>
      </c>
      <c r="H787" s="4">
        <f>30.9015 * CHOOSE(CONTROL!$C$14, $D$10, 100%, $F$10)</f>
        <v>30.901499999999999</v>
      </c>
      <c r="I787" s="8">
        <f>29.566 * CHOOSE(CONTROL!$C$14, $D$10, 100%, $F$10)</f>
        <v>29.565999999999999</v>
      </c>
      <c r="J787" s="4">
        <f>29.4612 * CHOOSE(CONTROL!$C$14, $D$10, 100%, $F$10)</f>
        <v>29.461200000000002</v>
      </c>
      <c r="K787" s="4"/>
      <c r="L787" s="9">
        <v>30.092199999999998</v>
      </c>
      <c r="M787" s="9">
        <v>11.6745</v>
      </c>
      <c r="N787" s="9">
        <v>4.7850000000000001</v>
      </c>
      <c r="O787" s="9">
        <v>0.36199999999999999</v>
      </c>
      <c r="P787" s="9">
        <v>1.1791</v>
      </c>
      <c r="Q787" s="9">
        <v>19.053000000000001</v>
      </c>
      <c r="R787" s="9"/>
      <c r="S787" s="11"/>
    </row>
    <row r="788" spans="1:19" ht="15.75">
      <c r="A788" s="13">
        <v>65897</v>
      </c>
      <c r="B788" s="8">
        <f>CHOOSE( CONTROL!$C$31, 31.3233, 31.3204) * CHOOSE(CONTROL!$C$14, $D$10, 100%, $F$10)</f>
        <v>31.3233</v>
      </c>
      <c r="C788" s="8">
        <f>CHOOSE( CONTROL!$C$31, 31.3313, 31.3284) * CHOOSE(CONTROL!$C$14, $D$10, 100%, $F$10)</f>
        <v>31.331299999999999</v>
      </c>
      <c r="D788" s="8">
        <f>CHOOSE( CONTROL!$C$31, 31.336, 31.333) * CHOOSE( CONTROL!$C$14, $D$10, 100%, $F$10)</f>
        <v>31.335999999999999</v>
      </c>
      <c r="E788" s="12">
        <f>CHOOSE( CONTROL!$C$31, 31.3331, 31.3301) * CHOOSE( CONTROL!$C$14, $D$10, 100%, $F$10)</f>
        <v>31.333100000000002</v>
      </c>
      <c r="F788" s="4">
        <f>CHOOSE( CONTROL!$C$31, 32.0049, 32.0019) * CHOOSE(CONTROL!$C$14, $D$10, 100%, $F$10)</f>
        <v>32.004899999999999</v>
      </c>
      <c r="G788" s="8">
        <f>CHOOSE( CONTROL!$C$31, 30.7739, 30.771) * CHOOSE( CONTROL!$C$14, $D$10, 100%, $F$10)</f>
        <v>30.773900000000001</v>
      </c>
      <c r="H788" s="4">
        <f>CHOOSE( CONTROL!$C$31, 31.7029, 31.7) * CHOOSE(CONTROL!$C$14, $D$10, 100%, $F$10)</f>
        <v>31.7029</v>
      </c>
      <c r="I788" s="8">
        <f>CHOOSE( CONTROL!$C$31, 30.3553, 30.3525) * CHOOSE(CONTROL!$C$14, $D$10, 100%, $F$10)</f>
        <v>30.3553</v>
      </c>
      <c r="J788" s="4">
        <f>CHOOSE( CONTROL!$C$31, 30.249, 30.2462) * CHOOSE(CONTROL!$C$14, $D$10, 100%, $F$10)</f>
        <v>30.248999999999999</v>
      </c>
      <c r="K788" s="4"/>
      <c r="L788" s="9">
        <v>30.7165</v>
      </c>
      <c r="M788" s="9">
        <v>12.063700000000001</v>
      </c>
      <c r="N788" s="9">
        <v>4.9444999999999997</v>
      </c>
      <c r="O788" s="9">
        <v>0.37409999999999999</v>
      </c>
      <c r="P788" s="9">
        <v>1.2183999999999999</v>
      </c>
      <c r="Q788" s="9">
        <v>19.688099999999999</v>
      </c>
      <c r="R788" s="9"/>
      <c r="S788" s="11"/>
    </row>
    <row r="789" spans="1:19" ht="15.75">
      <c r="A789" s="13">
        <v>65927</v>
      </c>
      <c r="B789" s="8">
        <f>CHOOSE( CONTROL!$C$31, 30.8203, 30.8173) * CHOOSE(CONTROL!$C$14, $D$10, 100%, $F$10)</f>
        <v>30.8203</v>
      </c>
      <c r="C789" s="8">
        <f>CHOOSE( CONTROL!$C$31, 30.8283, 30.8254) * CHOOSE(CONTROL!$C$14, $D$10, 100%, $F$10)</f>
        <v>30.828299999999999</v>
      </c>
      <c r="D789" s="8">
        <f>CHOOSE( CONTROL!$C$31, 30.8332, 30.8302) * CHOOSE( CONTROL!$C$14, $D$10, 100%, $F$10)</f>
        <v>30.833200000000001</v>
      </c>
      <c r="E789" s="12">
        <f>CHOOSE( CONTROL!$C$31, 30.8302, 30.8272) * CHOOSE( CONTROL!$C$14, $D$10, 100%, $F$10)</f>
        <v>30.830200000000001</v>
      </c>
      <c r="F789" s="4">
        <f>CHOOSE( CONTROL!$C$31, 31.5018, 31.4989) * CHOOSE(CONTROL!$C$14, $D$10, 100%, $F$10)</f>
        <v>31.501799999999999</v>
      </c>
      <c r="G789" s="8">
        <f>CHOOSE( CONTROL!$C$31, 30.2796, 30.2767) * CHOOSE( CONTROL!$C$14, $D$10, 100%, $F$10)</f>
        <v>30.279599999999999</v>
      </c>
      <c r="H789" s="4">
        <f>CHOOSE( CONTROL!$C$31, 31.2082, 31.2053) * CHOOSE(CONTROL!$C$14, $D$10, 100%, $F$10)</f>
        <v>31.208200000000001</v>
      </c>
      <c r="I789" s="8">
        <f>CHOOSE( CONTROL!$C$31, 29.87, 29.8672) * CHOOSE(CONTROL!$C$14, $D$10, 100%, $F$10)</f>
        <v>29.87</v>
      </c>
      <c r="J789" s="4">
        <f>CHOOSE( CONTROL!$C$31, 29.7627, 29.7599) * CHOOSE(CONTROL!$C$14, $D$10, 100%, $F$10)</f>
        <v>29.762699999999999</v>
      </c>
      <c r="K789" s="4"/>
      <c r="L789" s="9">
        <v>29.7257</v>
      </c>
      <c r="M789" s="9">
        <v>11.6745</v>
      </c>
      <c r="N789" s="9">
        <v>4.7850000000000001</v>
      </c>
      <c r="O789" s="9">
        <v>0.36199999999999999</v>
      </c>
      <c r="P789" s="9">
        <v>1.1791</v>
      </c>
      <c r="Q789" s="9">
        <v>19.053000000000001</v>
      </c>
      <c r="R789" s="9"/>
      <c r="S789" s="11"/>
    </row>
    <row r="790" spans="1:19" ht="15.75">
      <c r="A790" s="13">
        <v>65958</v>
      </c>
      <c r="B790" s="8">
        <f>CHOOSE( CONTROL!$C$31, 32.145, 32.142) * CHOOSE(CONTROL!$C$14, $D$10, 100%, $F$10)</f>
        <v>32.145000000000003</v>
      </c>
      <c r="C790" s="8">
        <f>CHOOSE( CONTROL!$C$31, 32.153, 32.1501) * CHOOSE(CONTROL!$C$14, $D$10, 100%, $F$10)</f>
        <v>32.152999999999999</v>
      </c>
      <c r="D790" s="8">
        <f>CHOOSE( CONTROL!$C$31, 32.1581, 32.1552) * CHOOSE( CONTROL!$C$14, $D$10, 100%, $F$10)</f>
        <v>32.158099999999997</v>
      </c>
      <c r="E790" s="12">
        <f>CHOOSE( CONTROL!$C$31, 32.155, 32.1521) * CHOOSE( CONTROL!$C$14, $D$10, 100%, $F$10)</f>
        <v>32.155000000000001</v>
      </c>
      <c r="F790" s="4">
        <f>CHOOSE( CONTROL!$C$31, 32.8265, 32.8236) * CHOOSE(CONTROL!$C$14, $D$10, 100%, $F$10)</f>
        <v>32.826500000000003</v>
      </c>
      <c r="G790" s="8">
        <f>CHOOSE( CONTROL!$C$31, 31.5827, 31.5798) * CHOOSE( CONTROL!$C$14, $D$10, 100%, $F$10)</f>
        <v>31.582699999999999</v>
      </c>
      <c r="H790" s="4">
        <f>CHOOSE( CONTROL!$C$31, 32.5109, 32.5081) * CHOOSE(CONTROL!$C$14, $D$10, 100%, $F$10)</f>
        <v>32.510899999999999</v>
      </c>
      <c r="I790" s="8">
        <f>CHOOSE( CONTROL!$C$31, 31.1524, 31.1495) * CHOOSE(CONTROL!$C$14, $D$10, 100%, $F$10)</f>
        <v>31.1524</v>
      </c>
      <c r="J790" s="4">
        <f>CHOOSE( CONTROL!$C$31, 31.0433, 31.0405) * CHOOSE(CONTROL!$C$14, $D$10, 100%, $F$10)</f>
        <v>31.043299999999999</v>
      </c>
      <c r="K790" s="4"/>
      <c r="L790" s="9">
        <v>30.7165</v>
      </c>
      <c r="M790" s="9">
        <v>12.063700000000001</v>
      </c>
      <c r="N790" s="9">
        <v>4.9444999999999997</v>
      </c>
      <c r="O790" s="9">
        <v>0.37409999999999999</v>
      </c>
      <c r="P790" s="9">
        <v>1.2183999999999999</v>
      </c>
      <c r="Q790" s="9">
        <v>19.688099999999999</v>
      </c>
      <c r="R790" s="9"/>
      <c r="S790" s="11"/>
    </row>
    <row r="791" spans="1:19" ht="15.75">
      <c r="A791" s="13">
        <v>65989</v>
      </c>
      <c r="B791" s="8">
        <f>CHOOSE( CONTROL!$C$31, 29.6663, 29.6634) * CHOOSE(CONTROL!$C$14, $D$10, 100%, $F$10)</f>
        <v>29.6663</v>
      </c>
      <c r="C791" s="8">
        <f>CHOOSE( CONTROL!$C$31, 29.6743, 29.6714) * CHOOSE(CONTROL!$C$14, $D$10, 100%, $F$10)</f>
        <v>29.674299999999999</v>
      </c>
      <c r="D791" s="8">
        <f>CHOOSE( CONTROL!$C$31, 29.6795, 29.6766) * CHOOSE( CONTROL!$C$14, $D$10, 100%, $F$10)</f>
        <v>29.679500000000001</v>
      </c>
      <c r="E791" s="12">
        <f>CHOOSE( CONTROL!$C$31, 29.6764, 29.6735) * CHOOSE( CONTROL!$C$14, $D$10, 100%, $F$10)</f>
        <v>29.676400000000001</v>
      </c>
      <c r="F791" s="4">
        <f>CHOOSE( CONTROL!$C$31, 30.3479, 30.3449) * CHOOSE(CONTROL!$C$14, $D$10, 100%, $F$10)</f>
        <v>30.347899999999999</v>
      </c>
      <c r="G791" s="8">
        <f>CHOOSE( CONTROL!$C$31, 29.1453, 29.1424) * CHOOSE( CONTROL!$C$14, $D$10, 100%, $F$10)</f>
        <v>29.145299999999999</v>
      </c>
      <c r="H791" s="4">
        <f>CHOOSE( CONTROL!$C$31, 30.0734, 30.0705) * CHOOSE(CONTROL!$C$14, $D$10, 100%, $F$10)</f>
        <v>30.073399999999999</v>
      </c>
      <c r="I791" s="8">
        <f>CHOOSE( CONTROL!$C$31, 28.7555, 28.7527) * CHOOSE(CONTROL!$C$14, $D$10, 100%, $F$10)</f>
        <v>28.755500000000001</v>
      </c>
      <c r="J791" s="4">
        <f>CHOOSE( CONTROL!$C$31, 28.6472, 28.6444) * CHOOSE(CONTROL!$C$14, $D$10, 100%, $F$10)</f>
        <v>28.647200000000002</v>
      </c>
      <c r="K791" s="4"/>
      <c r="L791" s="9">
        <v>30.7165</v>
      </c>
      <c r="M791" s="9">
        <v>12.063700000000001</v>
      </c>
      <c r="N791" s="9">
        <v>4.9444999999999997</v>
      </c>
      <c r="O791" s="9">
        <v>0.37409999999999999</v>
      </c>
      <c r="P791" s="9">
        <v>1.2183999999999999</v>
      </c>
      <c r="Q791" s="9">
        <v>19.688099999999999</v>
      </c>
      <c r="R791" s="9"/>
      <c r="S791" s="11"/>
    </row>
    <row r="792" spans="1:19" ht="15.75">
      <c r="A792" s="13">
        <v>66019</v>
      </c>
      <c r="B792" s="8">
        <f>CHOOSE( CONTROL!$C$31, 29.0456, 29.0427) * CHOOSE(CONTROL!$C$14, $D$10, 100%, $F$10)</f>
        <v>29.0456</v>
      </c>
      <c r="C792" s="8">
        <f>CHOOSE( CONTROL!$C$31, 29.0537, 29.0507) * CHOOSE(CONTROL!$C$14, $D$10, 100%, $F$10)</f>
        <v>29.053699999999999</v>
      </c>
      <c r="D792" s="8">
        <f>CHOOSE( CONTROL!$C$31, 29.0589, 29.0559) * CHOOSE( CONTROL!$C$14, $D$10, 100%, $F$10)</f>
        <v>29.058900000000001</v>
      </c>
      <c r="E792" s="12">
        <f>CHOOSE( CONTROL!$C$31, 29.0558, 29.0528) * CHOOSE( CONTROL!$C$14, $D$10, 100%, $F$10)</f>
        <v>29.055800000000001</v>
      </c>
      <c r="F792" s="4">
        <f>CHOOSE( CONTROL!$C$31, 29.7272, 29.7243) * CHOOSE(CONTROL!$C$14, $D$10, 100%, $F$10)</f>
        <v>29.7272</v>
      </c>
      <c r="G792" s="8">
        <f>CHOOSE( CONTROL!$C$31, 28.5349, 28.532) * CHOOSE( CONTROL!$C$14, $D$10, 100%, $F$10)</f>
        <v>28.5349</v>
      </c>
      <c r="H792" s="4">
        <f>CHOOSE( CONTROL!$C$31, 29.463, 29.4601) * CHOOSE(CONTROL!$C$14, $D$10, 100%, $F$10)</f>
        <v>29.463000000000001</v>
      </c>
      <c r="I792" s="8">
        <f>CHOOSE( CONTROL!$C$31, 28.1551, 28.1523) * CHOOSE(CONTROL!$C$14, $D$10, 100%, $F$10)</f>
        <v>28.155100000000001</v>
      </c>
      <c r="J792" s="4">
        <f>CHOOSE( CONTROL!$C$31, 28.0472, 28.0444) * CHOOSE(CONTROL!$C$14, $D$10, 100%, $F$10)</f>
        <v>28.0472</v>
      </c>
      <c r="K792" s="4"/>
      <c r="L792" s="9">
        <v>29.7257</v>
      </c>
      <c r="M792" s="9">
        <v>11.6745</v>
      </c>
      <c r="N792" s="9">
        <v>4.7850000000000001</v>
      </c>
      <c r="O792" s="9">
        <v>0.36199999999999999</v>
      </c>
      <c r="P792" s="9">
        <v>1.1791</v>
      </c>
      <c r="Q792" s="9">
        <v>19.053000000000001</v>
      </c>
      <c r="R792" s="9"/>
      <c r="S792" s="11"/>
    </row>
    <row r="793" spans="1:19" ht="15.75">
      <c r="A793" s="13">
        <v>66050</v>
      </c>
      <c r="B793" s="8">
        <f>30.3297 * CHOOSE(CONTROL!$C$14, $D$10, 100%, $F$10)</f>
        <v>30.329699999999999</v>
      </c>
      <c r="C793" s="8">
        <f>30.3351 * CHOOSE(CONTROL!$C$14, $D$10, 100%, $F$10)</f>
        <v>30.335100000000001</v>
      </c>
      <c r="D793" s="8">
        <f>30.3451 * CHOOSE( CONTROL!$C$14, $D$10, 100%, $F$10)</f>
        <v>30.345099999999999</v>
      </c>
      <c r="E793" s="12">
        <f>30.3412 * CHOOSE( CONTROL!$C$14, $D$10, 100%, $F$10)</f>
        <v>30.341200000000001</v>
      </c>
      <c r="F793" s="4">
        <f>31.013 * CHOOSE(CONTROL!$C$14, $D$10, 100%, $F$10)</f>
        <v>31.013000000000002</v>
      </c>
      <c r="G793" s="8">
        <f>29.799 * CHOOSE( CONTROL!$C$14, $D$10, 100%, $F$10)</f>
        <v>29.798999999999999</v>
      </c>
      <c r="H793" s="4">
        <f>30.7275 * CHOOSE(CONTROL!$C$14, $D$10, 100%, $F$10)</f>
        <v>30.727499999999999</v>
      </c>
      <c r="I793" s="8">
        <f>29.3995 * CHOOSE(CONTROL!$C$14, $D$10, 100%, $F$10)</f>
        <v>29.3995</v>
      </c>
      <c r="J793" s="4">
        <f>29.2902 * CHOOSE(CONTROL!$C$14, $D$10, 100%, $F$10)</f>
        <v>29.290199999999999</v>
      </c>
      <c r="K793" s="4"/>
      <c r="L793" s="9">
        <v>31.095300000000002</v>
      </c>
      <c r="M793" s="9">
        <v>12.063700000000001</v>
      </c>
      <c r="N793" s="9">
        <v>4.9444999999999997</v>
      </c>
      <c r="O793" s="9">
        <v>0.37409999999999999</v>
      </c>
      <c r="P793" s="9">
        <v>1.2183999999999999</v>
      </c>
      <c r="Q793" s="9">
        <v>19.688099999999999</v>
      </c>
      <c r="R793" s="9"/>
      <c r="S793" s="11"/>
    </row>
    <row r="794" spans="1:19" ht="15.75">
      <c r="A794" s="13">
        <v>66080</v>
      </c>
      <c r="B794" s="8">
        <f>32.7081 * CHOOSE(CONTROL!$C$14, $D$10, 100%, $F$10)</f>
        <v>32.708100000000002</v>
      </c>
      <c r="C794" s="8">
        <f>32.7132 * CHOOSE(CONTROL!$C$14, $D$10, 100%, $F$10)</f>
        <v>32.713200000000001</v>
      </c>
      <c r="D794" s="8">
        <f>32.6894 * CHOOSE( CONTROL!$C$14, $D$10, 100%, $F$10)</f>
        <v>32.689399999999999</v>
      </c>
      <c r="E794" s="12">
        <f>32.6976 * CHOOSE( CONTROL!$C$14, $D$10, 100%, $F$10)</f>
        <v>32.697600000000001</v>
      </c>
      <c r="F794" s="4">
        <f>33.3556 * CHOOSE(CONTROL!$C$14, $D$10, 100%, $F$10)</f>
        <v>33.355600000000003</v>
      </c>
      <c r="G794" s="8">
        <f>32.1481 * CHOOSE( CONTROL!$C$14, $D$10, 100%, $F$10)</f>
        <v>32.148099999999999</v>
      </c>
      <c r="H794" s="4">
        <f>33.0312 * CHOOSE(CONTROL!$C$14, $D$10, 100%, $F$10)</f>
        <v>33.031199999999998</v>
      </c>
      <c r="I794" s="8">
        <f>31.7307 * CHOOSE(CONTROL!$C$14, $D$10, 100%, $F$10)</f>
        <v>31.730699999999999</v>
      </c>
      <c r="J794" s="4">
        <f>31.5897 * CHOOSE(CONTROL!$C$14, $D$10, 100%, $F$10)</f>
        <v>31.589700000000001</v>
      </c>
      <c r="K794" s="4"/>
      <c r="L794" s="9">
        <v>28.360600000000002</v>
      </c>
      <c r="M794" s="9">
        <v>11.6745</v>
      </c>
      <c r="N794" s="9">
        <v>4.7850000000000001</v>
      </c>
      <c r="O794" s="9">
        <v>0.36199999999999999</v>
      </c>
      <c r="P794" s="9">
        <v>1.2509999999999999</v>
      </c>
      <c r="Q794" s="9">
        <v>19.053000000000001</v>
      </c>
      <c r="R794" s="9"/>
      <c r="S794" s="11"/>
    </row>
    <row r="795" spans="1:19" ht="15.75">
      <c r="A795" s="13">
        <v>66111</v>
      </c>
      <c r="B795" s="8">
        <f>32.6487 * CHOOSE(CONTROL!$C$14, $D$10, 100%, $F$10)</f>
        <v>32.648699999999998</v>
      </c>
      <c r="C795" s="8">
        <f>32.6538 * CHOOSE(CONTROL!$C$14, $D$10, 100%, $F$10)</f>
        <v>32.653799999999997</v>
      </c>
      <c r="D795" s="8">
        <f>32.6314 * CHOOSE( CONTROL!$C$14, $D$10, 100%, $F$10)</f>
        <v>32.631399999999999</v>
      </c>
      <c r="E795" s="12">
        <f>32.639 * CHOOSE( CONTROL!$C$14, $D$10, 100%, $F$10)</f>
        <v>32.639000000000003</v>
      </c>
      <c r="F795" s="4">
        <f>33.2961 * CHOOSE(CONTROL!$C$14, $D$10, 100%, $F$10)</f>
        <v>33.296100000000003</v>
      </c>
      <c r="G795" s="8">
        <f>32.0907 * CHOOSE( CONTROL!$C$14, $D$10, 100%, $F$10)</f>
        <v>32.090699999999998</v>
      </c>
      <c r="H795" s="4">
        <f>32.9728 * CHOOSE(CONTROL!$C$14, $D$10, 100%, $F$10)</f>
        <v>32.972799999999999</v>
      </c>
      <c r="I795" s="8">
        <f>31.6776 * CHOOSE(CONTROL!$C$14, $D$10, 100%, $F$10)</f>
        <v>31.677600000000002</v>
      </c>
      <c r="J795" s="4">
        <f>31.5323 * CHOOSE(CONTROL!$C$14, $D$10, 100%, $F$10)</f>
        <v>31.532299999999999</v>
      </c>
      <c r="K795" s="4"/>
      <c r="L795" s="9">
        <v>29.306000000000001</v>
      </c>
      <c r="M795" s="9">
        <v>12.063700000000001</v>
      </c>
      <c r="N795" s="9">
        <v>4.9444999999999997</v>
      </c>
      <c r="O795" s="9">
        <v>0.37409999999999999</v>
      </c>
      <c r="P795" s="9">
        <v>1.2927</v>
      </c>
      <c r="Q795" s="9">
        <v>19.688099999999999</v>
      </c>
      <c r="R795" s="9"/>
      <c r="S795" s="11"/>
    </row>
    <row r="796" spans="1:19" ht="15.75">
      <c r="A796" s="13">
        <v>66142</v>
      </c>
      <c r="B796" s="8">
        <f>33.8953 * CHOOSE(CONTROL!$C$14, $D$10, 100%, $F$10)</f>
        <v>33.895299999999999</v>
      </c>
      <c r="C796" s="8">
        <f>33.9004 * CHOOSE(CONTROL!$C$14, $D$10, 100%, $F$10)</f>
        <v>33.900399999999998</v>
      </c>
      <c r="D796" s="8">
        <f>33.8962 * CHOOSE( CONTROL!$C$14, $D$10, 100%, $F$10)</f>
        <v>33.8962</v>
      </c>
      <c r="E796" s="12">
        <f>33.8972 * CHOOSE( CONTROL!$C$14, $D$10, 100%, $F$10)</f>
        <v>33.897199999999998</v>
      </c>
      <c r="F796" s="4">
        <f>34.5738 * CHOOSE(CONTROL!$C$14, $D$10, 100%, $F$10)</f>
        <v>34.573799999999999</v>
      </c>
      <c r="G796" s="8">
        <f>33.3309 * CHOOSE( CONTROL!$C$14, $D$10, 100%, $F$10)</f>
        <v>33.3309</v>
      </c>
      <c r="H796" s="4">
        <f>34.2293 * CHOOSE(CONTROL!$C$14, $D$10, 100%, $F$10)</f>
        <v>34.229300000000002</v>
      </c>
      <c r="I796" s="8">
        <f>32.8624 * CHOOSE(CONTROL!$C$14, $D$10, 100%, $F$10)</f>
        <v>32.862400000000001</v>
      </c>
      <c r="J796" s="4">
        <f>32.7374 * CHOOSE(CONTROL!$C$14, $D$10, 100%, $F$10)</f>
        <v>32.737400000000001</v>
      </c>
      <c r="K796" s="4"/>
      <c r="L796" s="9">
        <v>29.306000000000001</v>
      </c>
      <c r="M796" s="9">
        <v>12.063700000000001</v>
      </c>
      <c r="N796" s="9">
        <v>4.9444999999999997</v>
      </c>
      <c r="O796" s="9">
        <v>0.37409999999999999</v>
      </c>
      <c r="P796" s="9">
        <v>1.2927</v>
      </c>
      <c r="Q796" s="9">
        <v>19.688099999999999</v>
      </c>
      <c r="R796" s="9"/>
      <c r="S796" s="11"/>
    </row>
    <row r="797" spans="1:19" ht="15.75">
      <c r="A797" s="13">
        <v>66170</v>
      </c>
      <c r="B797" s="8">
        <f>31.706 * CHOOSE(CONTROL!$C$14, $D$10, 100%, $F$10)</f>
        <v>31.706</v>
      </c>
      <c r="C797" s="8">
        <f>31.7111 * CHOOSE(CONTROL!$C$14, $D$10, 100%, $F$10)</f>
        <v>31.711099999999998</v>
      </c>
      <c r="D797" s="8">
        <f>31.701 * CHOOSE( CONTROL!$C$14, $D$10, 100%, $F$10)</f>
        <v>31.701000000000001</v>
      </c>
      <c r="E797" s="12">
        <f>31.7041 * CHOOSE( CONTROL!$C$14, $D$10, 100%, $F$10)</f>
        <v>31.7041</v>
      </c>
      <c r="F797" s="4">
        <f>32.3586 * CHOOSE(CONTROL!$C$14, $D$10, 100%, $F$10)</f>
        <v>32.358600000000003</v>
      </c>
      <c r="G797" s="8">
        <f>31.1697 * CHOOSE( CONTROL!$C$14, $D$10, 100%, $F$10)</f>
        <v>31.169699999999999</v>
      </c>
      <c r="H797" s="4">
        <f>32.0508 * CHOOSE(CONTROL!$C$14, $D$10, 100%, $F$10)</f>
        <v>32.050800000000002</v>
      </c>
      <c r="I797" s="8">
        <f>30.7356 * CHOOSE(CONTROL!$C$14, $D$10, 100%, $F$10)</f>
        <v>30.735600000000002</v>
      </c>
      <c r="J797" s="4">
        <f>30.621 * CHOOSE(CONTROL!$C$14, $D$10, 100%, $F$10)</f>
        <v>30.620999999999999</v>
      </c>
      <c r="K797" s="4"/>
      <c r="L797" s="9">
        <v>26.469899999999999</v>
      </c>
      <c r="M797" s="9">
        <v>10.8962</v>
      </c>
      <c r="N797" s="9">
        <v>4.4660000000000002</v>
      </c>
      <c r="O797" s="9">
        <v>0.33789999999999998</v>
      </c>
      <c r="P797" s="9">
        <v>1.1676</v>
      </c>
      <c r="Q797" s="9">
        <v>17.782800000000002</v>
      </c>
      <c r="R797" s="9"/>
      <c r="S797" s="11"/>
    </row>
    <row r="798" spans="1:19" ht="15.75">
      <c r="A798" s="13">
        <v>66201</v>
      </c>
      <c r="B798" s="8">
        <f>31.0317 * CHOOSE(CONTROL!$C$14, $D$10, 100%, $F$10)</f>
        <v>31.031700000000001</v>
      </c>
      <c r="C798" s="8">
        <f>31.0368 * CHOOSE(CONTROL!$C$14, $D$10, 100%, $F$10)</f>
        <v>31.036799999999999</v>
      </c>
      <c r="D798" s="8">
        <f>31.0202 * CHOOSE( CONTROL!$C$14, $D$10, 100%, $F$10)</f>
        <v>31.020199999999999</v>
      </c>
      <c r="E798" s="12">
        <f>31.0257 * CHOOSE( CONTROL!$C$14, $D$10, 100%, $F$10)</f>
        <v>31.025700000000001</v>
      </c>
      <c r="F798" s="4">
        <f>31.6843 * CHOOSE(CONTROL!$C$14, $D$10, 100%, $F$10)</f>
        <v>31.6843</v>
      </c>
      <c r="G798" s="8">
        <f>30.4984 * CHOOSE( CONTROL!$C$14, $D$10, 100%, $F$10)</f>
        <v>30.4984</v>
      </c>
      <c r="H798" s="4">
        <f>31.3877 * CHOOSE(CONTROL!$C$14, $D$10, 100%, $F$10)</f>
        <v>31.387699999999999</v>
      </c>
      <c r="I798" s="8">
        <f>30.0633 * CHOOSE(CONTROL!$C$14, $D$10, 100%, $F$10)</f>
        <v>30.063300000000002</v>
      </c>
      <c r="J798" s="4">
        <f>29.9692 * CHOOSE(CONTROL!$C$14, $D$10, 100%, $F$10)</f>
        <v>29.969200000000001</v>
      </c>
      <c r="K798" s="4"/>
      <c r="L798" s="9">
        <v>29.306000000000001</v>
      </c>
      <c r="M798" s="9">
        <v>12.063700000000001</v>
      </c>
      <c r="N798" s="9">
        <v>4.9444999999999997</v>
      </c>
      <c r="O798" s="9">
        <v>0.37409999999999999</v>
      </c>
      <c r="P798" s="9">
        <v>1.2927</v>
      </c>
      <c r="Q798" s="9">
        <v>19.688099999999999</v>
      </c>
      <c r="R798" s="9"/>
      <c r="S798" s="11"/>
    </row>
    <row r="799" spans="1:19" ht="15.75">
      <c r="A799" s="13">
        <v>66231</v>
      </c>
      <c r="B799" s="8">
        <f>31.5036 * CHOOSE(CONTROL!$C$14, $D$10, 100%, $F$10)</f>
        <v>31.503599999999999</v>
      </c>
      <c r="C799" s="8">
        <f>31.5082 * CHOOSE(CONTROL!$C$14, $D$10, 100%, $F$10)</f>
        <v>31.508199999999999</v>
      </c>
      <c r="D799" s="8">
        <f>31.5177 * CHOOSE( CONTROL!$C$14, $D$10, 100%, $F$10)</f>
        <v>31.517700000000001</v>
      </c>
      <c r="E799" s="12">
        <f>31.514 * CHOOSE( CONTROL!$C$14, $D$10, 100%, $F$10)</f>
        <v>31.513999999999999</v>
      </c>
      <c r="F799" s="4">
        <f>32.1866 * CHOOSE(CONTROL!$C$14, $D$10, 100%, $F$10)</f>
        <v>32.186599999999999</v>
      </c>
      <c r="G799" s="8">
        <f>30.9517 * CHOOSE( CONTROL!$C$14, $D$10, 100%, $F$10)</f>
        <v>30.951699999999999</v>
      </c>
      <c r="H799" s="4">
        <f>31.8816 * CHOOSE(CONTROL!$C$14, $D$10, 100%, $F$10)</f>
        <v>31.881599999999999</v>
      </c>
      <c r="I799" s="8">
        <f>30.53 * CHOOSE(CONTROL!$C$14, $D$10, 100%, $F$10)</f>
        <v>30.53</v>
      </c>
      <c r="J799" s="4">
        <f>30.4247 * CHOOSE(CONTROL!$C$14, $D$10, 100%, $F$10)</f>
        <v>30.424700000000001</v>
      </c>
      <c r="K799" s="4"/>
      <c r="L799" s="9">
        <v>30.092199999999998</v>
      </c>
      <c r="M799" s="9">
        <v>11.6745</v>
      </c>
      <c r="N799" s="9">
        <v>4.7850000000000001</v>
      </c>
      <c r="O799" s="9">
        <v>0.36199999999999999</v>
      </c>
      <c r="P799" s="9">
        <v>1.1791</v>
      </c>
      <c r="Q799" s="9">
        <v>19.053000000000001</v>
      </c>
      <c r="R799" s="9"/>
      <c r="S799" s="11"/>
    </row>
    <row r="800" spans="1:19" ht="15.75">
      <c r="A800" s="13">
        <v>66262</v>
      </c>
      <c r="B800" s="8">
        <f>CHOOSE( CONTROL!$C$31, 32.3465, 32.3436) * CHOOSE(CONTROL!$C$14, $D$10, 100%, $F$10)</f>
        <v>32.346499999999999</v>
      </c>
      <c r="C800" s="8">
        <f>CHOOSE( CONTROL!$C$31, 32.3546, 32.3516) * CHOOSE(CONTROL!$C$14, $D$10, 100%, $F$10)</f>
        <v>32.354599999999998</v>
      </c>
      <c r="D800" s="8">
        <f>CHOOSE( CONTROL!$C$31, 32.3592, 32.3563) * CHOOSE( CONTROL!$C$14, $D$10, 100%, $F$10)</f>
        <v>32.359200000000001</v>
      </c>
      <c r="E800" s="12">
        <f>CHOOSE( CONTROL!$C$31, 32.3563, 32.3534) * CHOOSE( CONTROL!$C$14, $D$10, 100%, $F$10)</f>
        <v>32.356299999999997</v>
      </c>
      <c r="F800" s="4">
        <f>CHOOSE( CONTROL!$C$31, 33.0281, 33.0252) * CHOOSE(CONTROL!$C$14, $D$10, 100%, $F$10)</f>
        <v>33.028100000000002</v>
      </c>
      <c r="G800" s="8">
        <f>CHOOSE( CONTROL!$C$31, 31.7802, 31.7773) * CHOOSE( CONTROL!$C$14, $D$10, 100%, $F$10)</f>
        <v>31.780200000000001</v>
      </c>
      <c r="H800" s="4">
        <f>CHOOSE( CONTROL!$C$31, 32.7092, 32.7063) * CHOOSE(CONTROL!$C$14, $D$10, 100%, $F$10)</f>
        <v>32.709200000000003</v>
      </c>
      <c r="I800" s="8">
        <f>CHOOSE( CONTROL!$C$31, 31.345, 31.3421) * CHOOSE(CONTROL!$C$14, $D$10, 100%, $F$10)</f>
        <v>31.344999999999999</v>
      </c>
      <c r="J800" s="4">
        <f>CHOOSE( CONTROL!$C$31, 31.2382, 31.2353) * CHOOSE(CONTROL!$C$14, $D$10, 100%, $F$10)</f>
        <v>31.238199999999999</v>
      </c>
      <c r="K800" s="4"/>
      <c r="L800" s="9">
        <v>30.7165</v>
      </c>
      <c r="M800" s="9">
        <v>12.063700000000001</v>
      </c>
      <c r="N800" s="9">
        <v>4.9444999999999997</v>
      </c>
      <c r="O800" s="9">
        <v>0.37409999999999999</v>
      </c>
      <c r="P800" s="9">
        <v>1.2183999999999999</v>
      </c>
      <c r="Q800" s="9">
        <v>19.688099999999999</v>
      </c>
      <c r="R800" s="9"/>
      <c r="S800" s="11"/>
    </row>
    <row r="801" spans="1:19" ht="15.75">
      <c r="A801" s="13">
        <v>66292</v>
      </c>
      <c r="B801" s="8">
        <f>CHOOSE( CONTROL!$C$31, 31.8271, 31.8241) * CHOOSE(CONTROL!$C$14, $D$10, 100%, $F$10)</f>
        <v>31.827100000000002</v>
      </c>
      <c r="C801" s="8">
        <f>CHOOSE( CONTROL!$C$31, 31.8351, 31.8321) * CHOOSE(CONTROL!$C$14, $D$10, 100%, $F$10)</f>
        <v>31.835100000000001</v>
      </c>
      <c r="D801" s="8">
        <f>CHOOSE( CONTROL!$C$31, 31.84, 31.837) * CHOOSE( CONTROL!$C$14, $D$10, 100%, $F$10)</f>
        <v>31.84</v>
      </c>
      <c r="E801" s="12">
        <f>CHOOSE( CONTROL!$C$31, 31.837, 31.834) * CHOOSE( CONTROL!$C$14, $D$10, 100%, $F$10)</f>
        <v>31.837</v>
      </c>
      <c r="F801" s="4">
        <f>CHOOSE( CONTROL!$C$31, 32.5086, 32.5057) * CHOOSE(CONTROL!$C$14, $D$10, 100%, $F$10)</f>
        <v>32.508600000000001</v>
      </c>
      <c r="G801" s="8">
        <f>CHOOSE( CONTROL!$C$31, 31.2697, 31.2668) * CHOOSE( CONTROL!$C$14, $D$10, 100%, $F$10)</f>
        <v>31.2697</v>
      </c>
      <c r="H801" s="4">
        <f>CHOOSE( CONTROL!$C$31, 32.1983, 32.1954) * CHOOSE(CONTROL!$C$14, $D$10, 100%, $F$10)</f>
        <v>32.198300000000003</v>
      </c>
      <c r="I801" s="8">
        <f>CHOOSE( CONTROL!$C$31, 30.8438, 30.8409) * CHOOSE(CONTROL!$C$14, $D$10, 100%, $F$10)</f>
        <v>30.843800000000002</v>
      </c>
      <c r="J801" s="4">
        <f>CHOOSE( CONTROL!$C$31, 30.736, 30.7332) * CHOOSE(CONTROL!$C$14, $D$10, 100%, $F$10)</f>
        <v>30.736000000000001</v>
      </c>
      <c r="K801" s="4"/>
      <c r="L801" s="9">
        <v>29.7257</v>
      </c>
      <c r="M801" s="9">
        <v>11.6745</v>
      </c>
      <c r="N801" s="9">
        <v>4.7850000000000001</v>
      </c>
      <c r="O801" s="9">
        <v>0.36199999999999999</v>
      </c>
      <c r="P801" s="9">
        <v>1.1791</v>
      </c>
      <c r="Q801" s="9">
        <v>19.053000000000001</v>
      </c>
      <c r="R801" s="9"/>
      <c r="S801" s="11"/>
    </row>
    <row r="802" spans="1:19" ht="15.75">
      <c r="A802" s="13">
        <v>66323</v>
      </c>
      <c r="B802" s="8">
        <f>CHOOSE( CONTROL!$C$31, 33.1951, 33.1921) * CHOOSE(CONTROL!$C$14, $D$10, 100%, $F$10)</f>
        <v>33.195099999999996</v>
      </c>
      <c r="C802" s="8">
        <f>CHOOSE( CONTROL!$C$31, 33.2031, 33.2002) * CHOOSE(CONTROL!$C$14, $D$10, 100%, $F$10)</f>
        <v>33.203099999999999</v>
      </c>
      <c r="D802" s="8">
        <f>CHOOSE( CONTROL!$C$31, 33.2082, 33.2053) * CHOOSE( CONTROL!$C$14, $D$10, 100%, $F$10)</f>
        <v>33.208199999999998</v>
      </c>
      <c r="E802" s="12">
        <f>CHOOSE( CONTROL!$C$31, 33.2051, 33.2022) * CHOOSE( CONTROL!$C$14, $D$10, 100%, $F$10)</f>
        <v>33.205100000000002</v>
      </c>
      <c r="F802" s="4">
        <f>CHOOSE( CONTROL!$C$31, 33.8766, 33.8737) * CHOOSE(CONTROL!$C$14, $D$10, 100%, $F$10)</f>
        <v>33.876600000000003</v>
      </c>
      <c r="G802" s="8">
        <f>CHOOSE( CONTROL!$C$31, 32.6154, 32.6125) * CHOOSE( CONTROL!$C$14, $D$10, 100%, $F$10)</f>
        <v>32.615400000000001</v>
      </c>
      <c r="H802" s="4">
        <f>CHOOSE( CONTROL!$C$31, 33.5436, 33.5408) * CHOOSE(CONTROL!$C$14, $D$10, 100%, $F$10)</f>
        <v>33.543599999999998</v>
      </c>
      <c r="I802" s="8">
        <f>CHOOSE( CONTROL!$C$31, 32.168, 32.1652) * CHOOSE(CONTROL!$C$14, $D$10, 100%, $F$10)</f>
        <v>32.167999999999999</v>
      </c>
      <c r="J802" s="4">
        <f>CHOOSE( CONTROL!$C$31, 32.0584, 32.0556) * CHOOSE(CONTROL!$C$14, $D$10, 100%, $F$10)</f>
        <v>32.058399999999999</v>
      </c>
      <c r="K802" s="4"/>
      <c r="L802" s="9">
        <v>30.7165</v>
      </c>
      <c r="M802" s="9">
        <v>12.063700000000001</v>
      </c>
      <c r="N802" s="9">
        <v>4.9444999999999997</v>
      </c>
      <c r="O802" s="9">
        <v>0.37409999999999999</v>
      </c>
      <c r="P802" s="9">
        <v>1.2183999999999999</v>
      </c>
      <c r="Q802" s="9">
        <v>19.688099999999999</v>
      </c>
      <c r="R802" s="9"/>
      <c r="S802" s="11"/>
    </row>
    <row r="803" spans="1:19" ht="15.75">
      <c r="A803" s="13">
        <v>66354</v>
      </c>
      <c r="B803" s="8">
        <f>CHOOSE( CONTROL!$C$31, 30.6354, 30.6324) * CHOOSE(CONTROL!$C$14, $D$10, 100%, $F$10)</f>
        <v>30.635400000000001</v>
      </c>
      <c r="C803" s="8">
        <f>CHOOSE( CONTROL!$C$31, 30.6434, 30.6405) * CHOOSE(CONTROL!$C$14, $D$10, 100%, $F$10)</f>
        <v>30.6434</v>
      </c>
      <c r="D803" s="8">
        <f>CHOOSE( CONTROL!$C$31, 30.6486, 30.6457) * CHOOSE( CONTROL!$C$14, $D$10, 100%, $F$10)</f>
        <v>30.648599999999998</v>
      </c>
      <c r="E803" s="12">
        <f>CHOOSE( CONTROL!$C$31, 30.6455, 30.6426) * CHOOSE( CONTROL!$C$14, $D$10, 100%, $F$10)</f>
        <v>30.645499999999998</v>
      </c>
      <c r="F803" s="4">
        <f>CHOOSE( CONTROL!$C$31, 31.3169, 31.314) * CHOOSE(CONTROL!$C$14, $D$10, 100%, $F$10)</f>
        <v>31.3169</v>
      </c>
      <c r="G803" s="8">
        <f>CHOOSE( CONTROL!$C$31, 30.0982, 30.0954) * CHOOSE( CONTROL!$C$14, $D$10, 100%, $F$10)</f>
        <v>30.098199999999999</v>
      </c>
      <c r="H803" s="4">
        <f>CHOOSE( CONTROL!$C$31, 31.0264, 31.0235) * CHOOSE(CONTROL!$C$14, $D$10, 100%, $F$10)</f>
        <v>31.026399999999999</v>
      </c>
      <c r="I803" s="8">
        <f>CHOOSE( CONTROL!$C$31, 29.6927, 29.6899) * CHOOSE(CONTROL!$C$14, $D$10, 100%, $F$10)</f>
        <v>29.692699999999999</v>
      </c>
      <c r="J803" s="4">
        <f>CHOOSE( CONTROL!$C$31, 29.584, 29.5812) * CHOOSE(CONTROL!$C$14, $D$10, 100%, $F$10)</f>
        <v>29.584</v>
      </c>
      <c r="K803" s="4"/>
      <c r="L803" s="9">
        <v>30.7165</v>
      </c>
      <c r="M803" s="9">
        <v>12.063700000000001</v>
      </c>
      <c r="N803" s="9">
        <v>4.9444999999999997</v>
      </c>
      <c r="O803" s="9">
        <v>0.37409999999999999</v>
      </c>
      <c r="P803" s="9">
        <v>1.2183999999999999</v>
      </c>
      <c r="Q803" s="9">
        <v>19.688099999999999</v>
      </c>
      <c r="R803" s="9"/>
      <c r="S803" s="11"/>
    </row>
    <row r="804" spans="1:19" ht="15.75">
      <c r="A804" s="13">
        <v>66384</v>
      </c>
      <c r="B804" s="8">
        <f>CHOOSE( CONTROL!$C$31, 29.9944, 29.9915) * CHOOSE(CONTROL!$C$14, $D$10, 100%, $F$10)</f>
        <v>29.994399999999999</v>
      </c>
      <c r="C804" s="8">
        <f>CHOOSE( CONTROL!$C$31, 30.0024, 29.9995) * CHOOSE(CONTROL!$C$14, $D$10, 100%, $F$10)</f>
        <v>30.002400000000002</v>
      </c>
      <c r="D804" s="8">
        <f>CHOOSE( CONTROL!$C$31, 30.0076, 30.0047) * CHOOSE( CONTROL!$C$14, $D$10, 100%, $F$10)</f>
        <v>30.0076</v>
      </c>
      <c r="E804" s="12">
        <f>CHOOSE( CONTROL!$C$31, 30.0045, 30.0016) * CHOOSE( CONTROL!$C$14, $D$10, 100%, $F$10)</f>
        <v>30.0045</v>
      </c>
      <c r="F804" s="4">
        <f>CHOOSE( CONTROL!$C$31, 30.6759, 30.673) * CHOOSE(CONTROL!$C$14, $D$10, 100%, $F$10)</f>
        <v>30.675899999999999</v>
      </c>
      <c r="G804" s="8">
        <f>CHOOSE( CONTROL!$C$31, 29.4679, 29.465) * CHOOSE( CONTROL!$C$14, $D$10, 100%, $F$10)</f>
        <v>29.4679</v>
      </c>
      <c r="H804" s="4">
        <f>CHOOSE( CONTROL!$C$31, 30.396, 30.3932) * CHOOSE(CONTROL!$C$14, $D$10, 100%, $F$10)</f>
        <v>30.396000000000001</v>
      </c>
      <c r="I804" s="8">
        <f>CHOOSE( CONTROL!$C$31, 29.0727, 29.0699) * CHOOSE(CONTROL!$C$14, $D$10, 100%, $F$10)</f>
        <v>29.072700000000001</v>
      </c>
      <c r="J804" s="4">
        <f>CHOOSE( CONTROL!$C$31, 28.9643, 28.9615) * CHOOSE(CONTROL!$C$14, $D$10, 100%, $F$10)</f>
        <v>28.964300000000001</v>
      </c>
      <c r="K804" s="4"/>
      <c r="L804" s="9">
        <v>29.7257</v>
      </c>
      <c r="M804" s="9">
        <v>11.6745</v>
      </c>
      <c r="N804" s="9">
        <v>4.7850000000000001</v>
      </c>
      <c r="O804" s="9">
        <v>0.36199999999999999</v>
      </c>
      <c r="P804" s="9">
        <v>1.1791</v>
      </c>
      <c r="Q804" s="9">
        <v>19.053000000000001</v>
      </c>
      <c r="R804" s="9"/>
      <c r="S804" s="11"/>
    </row>
    <row r="805" spans="1:19" ht="15.75">
      <c r="A805" s="13">
        <v>66415</v>
      </c>
      <c r="B805" s="8">
        <f>31.3206 * CHOOSE(CONTROL!$C$14, $D$10, 100%, $F$10)</f>
        <v>31.320599999999999</v>
      </c>
      <c r="C805" s="8">
        <f>31.326 * CHOOSE(CONTROL!$C$14, $D$10, 100%, $F$10)</f>
        <v>31.326000000000001</v>
      </c>
      <c r="D805" s="8">
        <f>31.336 * CHOOSE( CONTROL!$C$14, $D$10, 100%, $F$10)</f>
        <v>31.335999999999999</v>
      </c>
      <c r="E805" s="12">
        <f>31.3321 * CHOOSE( CONTROL!$C$14, $D$10, 100%, $F$10)</f>
        <v>31.332100000000001</v>
      </c>
      <c r="F805" s="4">
        <f>32.0039 * CHOOSE(CONTROL!$C$14, $D$10, 100%, $F$10)</f>
        <v>32.003900000000002</v>
      </c>
      <c r="G805" s="8">
        <f>30.7735 * CHOOSE( CONTROL!$C$14, $D$10, 100%, $F$10)</f>
        <v>30.773499999999999</v>
      </c>
      <c r="H805" s="4">
        <f>31.702 * CHOOSE(CONTROL!$C$14, $D$10, 100%, $F$10)</f>
        <v>31.702000000000002</v>
      </c>
      <c r="I805" s="8">
        <f>30.3579 * CHOOSE(CONTROL!$C$14, $D$10, 100%, $F$10)</f>
        <v>30.357900000000001</v>
      </c>
      <c r="J805" s="4">
        <f>30.2481 * CHOOSE(CONTROL!$C$14, $D$10, 100%, $F$10)</f>
        <v>30.248100000000001</v>
      </c>
      <c r="K805" s="4"/>
      <c r="L805" s="9">
        <v>31.095300000000002</v>
      </c>
      <c r="M805" s="9">
        <v>12.063700000000001</v>
      </c>
      <c r="N805" s="9">
        <v>4.9444999999999997</v>
      </c>
      <c r="O805" s="9">
        <v>0.37409999999999999</v>
      </c>
      <c r="P805" s="9">
        <v>1.2183999999999999</v>
      </c>
      <c r="Q805" s="9">
        <v>19.688099999999999</v>
      </c>
      <c r="R805" s="9"/>
      <c r="S805" s="11"/>
    </row>
    <row r="806" spans="1:19" ht="15.75">
      <c r="A806" s="13">
        <v>66445</v>
      </c>
      <c r="B806" s="8">
        <f>33.7768 * CHOOSE(CONTROL!$C$14, $D$10, 100%, $F$10)</f>
        <v>33.776800000000001</v>
      </c>
      <c r="C806" s="8">
        <f>33.7819 * CHOOSE(CONTROL!$C$14, $D$10, 100%, $F$10)</f>
        <v>33.7819</v>
      </c>
      <c r="D806" s="8">
        <f>33.7581 * CHOOSE( CONTROL!$C$14, $D$10, 100%, $F$10)</f>
        <v>33.758099999999999</v>
      </c>
      <c r="E806" s="12">
        <f>33.7663 * CHOOSE( CONTROL!$C$14, $D$10, 100%, $F$10)</f>
        <v>33.766300000000001</v>
      </c>
      <c r="F806" s="4">
        <f>34.4243 * CHOOSE(CONTROL!$C$14, $D$10, 100%, $F$10)</f>
        <v>34.424300000000002</v>
      </c>
      <c r="G806" s="8">
        <f>33.1991 * CHOOSE( CONTROL!$C$14, $D$10, 100%, $F$10)</f>
        <v>33.199100000000001</v>
      </c>
      <c r="H806" s="4">
        <f>34.0822 * CHOOSE(CONTROL!$C$14, $D$10, 100%, $F$10)</f>
        <v>34.0822</v>
      </c>
      <c r="I806" s="8">
        <f>32.7643 * CHOOSE(CONTROL!$C$14, $D$10, 100%, $F$10)</f>
        <v>32.764299999999999</v>
      </c>
      <c r="J806" s="4">
        <f>32.6228 * CHOOSE(CONTROL!$C$14, $D$10, 100%, $F$10)</f>
        <v>32.622799999999998</v>
      </c>
      <c r="K806" s="4"/>
      <c r="L806" s="9">
        <v>28.360600000000002</v>
      </c>
      <c r="M806" s="9">
        <v>11.6745</v>
      </c>
      <c r="N806" s="9">
        <v>4.7850000000000001</v>
      </c>
      <c r="O806" s="9">
        <v>0.36199999999999999</v>
      </c>
      <c r="P806" s="9">
        <v>1.2509999999999999</v>
      </c>
      <c r="Q806" s="9">
        <v>19.053000000000001</v>
      </c>
      <c r="R806" s="9"/>
      <c r="S806" s="11"/>
    </row>
    <row r="807" spans="1:19" ht="15.75">
      <c r="A807" s="13">
        <v>66476</v>
      </c>
      <c r="B807" s="8">
        <f>33.7154 * CHOOSE(CONTROL!$C$14, $D$10, 100%, $F$10)</f>
        <v>33.715400000000002</v>
      </c>
      <c r="C807" s="8">
        <f>33.7205 * CHOOSE(CONTROL!$C$14, $D$10, 100%, $F$10)</f>
        <v>33.720500000000001</v>
      </c>
      <c r="D807" s="8">
        <f>33.6981 * CHOOSE( CONTROL!$C$14, $D$10, 100%, $F$10)</f>
        <v>33.698099999999997</v>
      </c>
      <c r="E807" s="12">
        <f>33.7057 * CHOOSE( CONTROL!$C$14, $D$10, 100%, $F$10)</f>
        <v>33.7057</v>
      </c>
      <c r="F807" s="4">
        <f>34.3629 * CHOOSE(CONTROL!$C$14, $D$10, 100%, $F$10)</f>
        <v>34.362900000000003</v>
      </c>
      <c r="G807" s="8">
        <f>33.1397 * CHOOSE( CONTROL!$C$14, $D$10, 100%, $F$10)</f>
        <v>33.139699999999998</v>
      </c>
      <c r="H807" s="4">
        <f>34.0218 * CHOOSE(CONTROL!$C$14, $D$10, 100%, $F$10)</f>
        <v>34.021799999999999</v>
      </c>
      <c r="I807" s="8">
        <f>32.7094 * CHOOSE(CONTROL!$C$14, $D$10, 100%, $F$10)</f>
        <v>32.709400000000002</v>
      </c>
      <c r="J807" s="4">
        <f>32.5635 * CHOOSE(CONTROL!$C$14, $D$10, 100%, $F$10)</f>
        <v>32.563499999999998</v>
      </c>
      <c r="K807" s="4"/>
      <c r="L807" s="9">
        <v>29.306000000000001</v>
      </c>
      <c r="M807" s="9">
        <v>12.063700000000001</v>
      </c>
      <c r="N807" s="9">
        <v>4.9444999999999997</v>
      </c>
      <c r="O807" s="9">
        <v>0.37409999999999999</v>
      </c>
      <c r="P807" s="9">
        <v>1.2927</v>
      </c>
      <c r="Q807" s="9">
        <v>19.688099999999999</v>
      </c>
      <c r="R807" s="9"/>
      <c r="S807" s="11"/>
    </row>
    <row r="808" spans="1:19" ht="15.75">
      <c r="A808" s="13">
        <v>66507</v>
      </c>
      <c r="B808" s="8">
        <f>35.0028 * CHOOSE(CONTROL!$C$14, $D$10, 100%, $F$10)</f>
        <v>35.002800000000001</v>
      </c>
      <c r="C808" s="8">
        <f>35.008 * CHOOSE(CONTROL!$C$14, $D$10, 100%, $F$10)</f>
        <v>35.008000000000003</v>
      </c>
      <c r="D808" s="8">
        <f>35.0038 * CHOOSE( CONTROL!$C$14, $D$10, 100%, $F$10)</f>
        <v>35.003799999999998</v>
      </c>
      <c r="E808" s="12">
        <f>35.0048 * CHOOSE( CONTROL!$C$14, $D$10, 100%, $F$10)</f>
        <v>35.004800000000003</v>
      </c>
      <c r="F808" s="4">
        <f>35.6813 * CHOOSE(CONTROL!$C$14, $D$10, 100%, $F$10)</f>
        <v>35.6813</v>
      </c>
      <c r="G808" s="8">
        <f>34.42 * CHOOSE( CONTROL!$C$14, $D$10, 100%, $F$10)</f>
        <v>34.42</v>
      </c>
      <c r="H808" s="4">
        <f>35.3184 * CHOOSE(CONTROL!$C$14, $D$10, 100%, $F$10)</f>
        <v>35.318399999999997</v>
      </c>
      <c r="I808" s="8">
        <f>33.9336 * CHOOSE(CONTROL!$C$14, $D$10, 100%, $F$10)</f>
        <v>33.933599999999998</v>
      </c>
      <c r="J808" s="4">
        <f>33.8081 * CHOOSE(CONTROL!$C$14, $D$10, 100%, $F$10)</f>
        <v>33.808100000000003</v>
      </c>
      <c r="K808" s="4"/>
      <c r="L808" s="9">
        <v>29.306000000000001</v>
      </c>
      <c r="M808" s="9">
        <v>12.063700000000001</v>
      </c>
      <c r="N808" s="9">
        <v>4.9444999999999997</v>
      </c>
      <c r="O808" s="9">
        <v>0.37409999999999999</v>
      </c>
      <c r="P808" s="9">
        <v>1.2927</v>
      </c>
      <c r="Q808" s="9">
        <v>19.688099999999999</v>
      </c>
      <c r="R808" s="9"/>
      <c r="S808" s="11"/>
    </row>
    <row r="809" spans="1:19" ht="15.75">
      <c r="A809" s="13">
        <v>66535</v>
      </c>
      <c r="B809" s="8">
        <f>32.7419 * CHOOSE(CONTROL!$C$14, $D$10, 100%, $F$10)</f>
        <v>32.741900000000001</v>
      </c>
      <c r="C809" s="8">
        <f>32.747 * CHOOSE(CONTROL!$C$14, $D$10, 100%, $F$10)</f>
        <v>32.747</v>
      </c>
      <c r="D809" s="8">
        <f>32.7369 * CHOOSE( CONTROL!$C$14, $D$10, 100%, $F$10)</f>
        <v>32.736899999999999</v>
      </c>
      <c r="E809" s="12">
        <f>32.74 * CHOOSE( CONTROL!$C$14, $D$10, 100%, $F$10)</f>
        <v>32.74</v>
      </c>
      <c r="F809" s="4">
        <f>33.3946 * CHOOSE(CONTROL!$C$14, $D$10, 100%, $F$10)</f>
        <v>33.394599999999997</v>
      </c>
      <c r="G809" s="8">
        <f>32.1885 * CHOOSE( CONTROL!$C$14, $D$10, 100%, $F$10)</f>
        <v>32.188499999999998</v>
      </c>
      <c r="H809" s="4">
        <f>33.0696 * CHOOSE(CONTROL!$C$14, $D$10, 100%, $F$10)</f>
        <v>33.069600000000001</v>
      </c>
      <c r="I809" s="8">
        <f>31.7375 * CHOOSE(CONTROL!$C$14, $D$10, 100%, $F$10)</f>
        <v>31.737500000000001</v>
      </c>
      <c r="J809" s="4">
        <f>31.6224 * CHOOSE(CONTROL!$C$14, $D$10, 100%, $F$10)</f>
        <v>31.622399999999999</v>
      </c>
      <c r="K809" s="4"/>
      <c r="L809" s="9">
        <v>26.469899999999999</v>
      </c>
      <c r="M809" s="9">
        <v>10.8962</v>
      </c>
      <c r="N809" s="9">
        <v>4.4660000000000002</v>
      </c>
      <c r="O809" s="9">
        <v>0.33789999999999998</v>
      </c>
      <c r="P809" s="9">
        <v>1.1676</v>
      </c>
      <c r="Q809" s="9">
        <v>17.782800000000002</v>
      </c>
      <c r="R809" s="9"/>
      <c r="S809" s="11"/>
    </row>
    <row r="810" spans="1:19" ht="15.75">
      <c r="A810" s="13">
        <v>66566</v>
      </c>
      <c r="B810" s="8">
        <f>32.0456 * CHOOSE(CONTROL!$C$14, $D$10, 100%, $F$10)</f>
        <v>32.0456</v>
      </c>
      <c r="C810" s="8">
        <f>32.0507 * CHOOSE(CONTROL!$C$14, $D$10, 100%, $F$10)</f>
        <v>32.050699999999999</v>
      </c>
      <c r="D810" s="8">
        <f>32.0341 * CHOOSE( CONTROL!$C$14, $D$10, 100%, $F$10)</f>
        <v>32.034100000000002</v>
      </c>
      <c r="E810" s="12">
        <f>32.0396 * CHOOSE( CONTROL!$C$14, $D$10, 100%, $F$10)</f>
        <v>32.0396</v>
      </c>
      <c r="F810" s="4">
        <f>32.6982 * CHOOSE(CONTROL!$C$14, $D$10, 100%, $F$10)</f>
        <v>32.6982</v>
      </c>
      <c r="G810" s="8">
        <f>31.4955 * CHOOSE( CONTROL!$C$14, $D$10, 100%, $F$10)</f>
        <v>31.4955</v>
      </c>
      <c r="H810" s="4">
        <f>32.3848 * CHOOSE(CONTROL!$C$14, $D$10, 100%, $F$10)</f>
        <v>32.384799999999998</v>
      </c>
      <c r="I810" s="8">
        <f>31.0439 * CHOOSE(CONTROL!$C$14, $D$10, 100%, $F$10)</f>
        <v>31.043900000000001</v>
      </c>
      <c r="J810" s="4">
        <f>30.9493 * CHOOSE(CONTROL!$C$14, $D$10, 100%, $F$10)</f>
        <v>30.949300000000001</v>
      </c>
      <c r="K810" s="4"/>
      <c r="L810" s="9">
        <v>29.306000000000001</v>
      </c>
      <c r="M810" s="9">
        <v>12.063700000000001</v>
      </c>
      <c r="N810" s="9">
        <v>4.9444999999999997</v>
      </c>
      <c r="O810" s="9">
        <v>0.37409999999999999</v>
      </c>
      <c r="P810" s="9">
        <v>1.2927</v>
      </c>
      <c r="Q810" s="9">
        <v>19.688099999999999</v>
      </c>
      <c r="R810" s="9"/>
      <c r="S810" s="11"/>
    </row>
    <row r="811" spans="1:19" ht="15.75">
      <c r="A811" s="13">
        <v>66596</v>
      </c>
      <c r="B811" s="8">
        <f>32.5329 * CHOOSE(CONTROL!$C$14, $D$10, 100%, $F$10)</f>
        <v>32.532899999999998</v>
      </c>
      <c r="C811" s="8">
        <f>32.5375 * CHOOSE(CONTROL!$C$14, $D$10, 100%, $F$10)</f>
        <v>32.537500000000001</v>
      </c>
      <c r="D811" s="8">
        <f>32.547 * CHOOSE( CONTROL!$C$14, $D$10, 100%, $F$10)</f>
        <v>32.546999999999997</v>
      </c>
      <c r="E811" s="12">
        <f>32.5433 * CHOOSE( CONTROL!$C$14, $D$10, 100%, $F$10)</f>
        <v>32.543300000000002</v>
      </c>
      <c r="F811" s="4">
        <f>33.2158 * CHOOSE(CONTROL!$C$14, $D$10, 100%, $F$10)</f>
        <v>33.215800000000002</v>
      </c>
      <c r="G811" s="8">
        <f>31.9639 * CHOOSE( CONTROL!$C$14, $D$10, 100%, $F$10)</f>
        <v>31.963899999999999</v>
      </c>
      <c r="H811" s="4">
        <f>32.8938 * CHOOSE(CONTROL!$C$14, $D$10, 100%, $F$10)</f>
        <v>32.893799999999999</v>
      </c>
      <c r="I811" s="8">
        <f>31.5255 * CHOOSE(CONTROL!$C$14, $D$10, 100%, $F$10)</f>
        <v>31.525500000000001</v>
      </c>
      <c r="J811" s="4">
        <f>31.4197 * CHOOSE(CONTROL!$C$14, $D$10, 100%, $F$10)</f>
        <v>31.419699999999999</v>
      </c>
      <c r="K811" s="4"/>
      <c r="L811" s="9">
        <v>30.092199999999998</v>
      </c>
      <c r="M811" s="9">
        <v>11.6745</v>
      </c>
      <c r="N811" s="9">
        <v>4.7850000000000001</v>
      </c>
      <c r="O811" s="9">
        <v>0.36199999999999999</v>
      </c>
      <c r="P811" s="9">
        <v>1.1791</v>
      </c>
      <c r="Q811" s="9">
        <v>19.053000000000001</v>
      </c>
      <c r="R811" s="9"/>
      <c r="S811" s="11"/>
    </row>
    <row r="812" spans="1:19" ht="15.75">
      <c r="A812" s="13">
        <v>66627</v>
      </c>
      <c r="B812" s="8">
        <f>CHOOSE( CONTROL!$C$31, 33.4032, 33.4003) * CHOOSE(CONTROL!$C$14, $D$10, 100%, $F$10)</f>
        <v>33.403199999999998</v>
      </c>
      <c r="C812" s="8">
        <f>CHOOSE( CONTROL!$C$31, 33.4113, 33.4083) * CHOOSE(CONTROL!$C$14, $D$10, 100%, $F$10)</f>
        <v>33.411299999999997</v>
      </c>
      <c r="D812" s="8">
        <f>CHOOSE( CONTROL!$C$31, 33.4159, 33.413) * CHOOSE( CONTROL!$C$14, $D$10, 100%, $F$10)</f>
        <v>33.415900000000001</v>
      </c>
      <c r="E812" s="12">
        <f>CHOOSE( CONTROL!$C$31, 33.413, 33.4101) * CHOOSE( CONTROL!$C$14, $D$10, 100%, $F$10)</f>
        <v>33.412999999999997</v>
      </c>
      <c r="F812" s="4">
        <f>CHOOSE( CONTROL!$C$31, 34.0848, 34.0819) * CHOOSE(CONTROL!$C$14, $D$10, 100%, $F$10)</f>
        <v>34.084800000000001</v>
      </c>
      <c r="G812" s="8">
        <f>CHOOSE( CONTROL!$C$31, 32.8194, 32.8165) * CHOOSE( CONTROL!$C$14, $D$10, 100%, $F$10)</f>
        <v>32.819400000000002</v>
      </c>
      <c r="H812" s="4">
        <f>CHOOSE( CONTROL!$C$31, 33.7484, 33.7455) * CHOOSE(CONTROL!$C$14, $D$10, 100%, $F$10)</f>
        <v>33.748399999999997</v>
      </c>
      <c r="I812" s="8">
        <f>CHOOSE( CONTROL!$C$31, 32.367, 32.3641) * CHOOSE(CONTROL!$C$14, $D$10, 100%, $F$10)</f>
        <v>32.366999999999997</v>
      </c>
      <c r="J812" s="4">
        <f>CHOOSE( CONTROL!$C$31, 32.2597, 32.2569) * CHOOSE(CONTROL!$C$14, $D$10, 100%, $F$10)</f>
        <v>32.259700000000002</v>
      </c>
      <c r="K812" s="4"/>
      <c r="L812" s="9">
        <v>30.7165</v>
      </c>
      <c r="M812" s="9">
        <v>12.063700000000001</v>
      </c>
      <c r="N812" s="9">
        <v>4.9444999999999997</v>
      </c>
      <c r="O812" s="9">
        <v>0.37409999999999999</v>
      </c>
      <c r="P812" s="9">
        <v>1.2183999999999999</v>
      </c>
      <c r="Q812" s="9">
        <v>19.688099999999999</v>
      </c>
      <c r="R812" s="9"/>
      <c r="S812" s="11"/>
    </row>
    <row r="813" spans="1:19" ht="15.75">
      <c r="A813" s="13">
        <v>66657</v>
      </c>
      <c r="B813" s="8">
        <f>CHOOSE( CONTROL!$C$31, 32.8668, 32.8638) * CHOOSE(CONTROL!$C$14, $D$10, 100%, $F$10)</f>
        <v>32.866799999999998</v>
      </c>
      <c r="C813" s="8">
        <f>CHOOSE( CONTROL!$C$31, 32.8748, 32.8719) * CHOOSE(CONTROL!$C$14, $D$10, 100%, $F$10)</f>
        <v>32.8748</v>
      </c>
      <c r="D813" s="8">
        <f>CHOOSE( CONTROL!$C$31, 32.8797, 32.8767) * CHOOSE( CONTROL!$C$14, $D$10, 100%, $F$10)</f>
        <v>32.8797</v>
      </c>
      <c r="E813" s="12">
        <f>CHOOSE( CONTROL!$C$31, 32.8767, 32.8737) * CHOOSE( CONTROL!$C$14, $D$10, 100%, $F$10)</f>
        <v>32.8767</v>
      </c>
      <c r="F813" s="4">
        <f>CHOOSE( CONTROL!$C$31, 33.5483, 33.5454) * CHOOSE(CONTROL!$C$14, $D$10, 100%, $F$10)</f>
        <v>33.548299999999998</v>
      </c>
      <c r="G813" s="8">
        <f>CHOOSE( CONTROL!$C$31, 32.2922, 32.2893) * CHOOSE( CONTROL!$C$14, $D$10, 100%, $F$10)</f>
        <v>32.292200000000001</v>
      </c>
      <c r="H813" s="4">
        <f>CHOOSE( CONTROL!$C$31, 33.2208, 33.2179) * CHOOSE(CONTROL!$C$14, $D$10, 100%, $F$10)</f>
        <v>33.220799999999997</v>
      </c>
      <c r="I813" s="8">
        <f>CHOOSE( CONTROL!$C$31, 31.8493, 31.8465) * CHOOSE(CONTROL!$C$14, $D$10, 100%, $F$10)</f>
        <v>31.849299999999999</v>
      </c>
      <c r="J813" s="4">
        <f>CHOOSE( CONTROL!$C$31, 31.7411, 31.7382) * CHOOSE(CONTROL!$C$14, $D$10, 100%, $F$10)</f>
        <v>31.741099999999999</v>
      </c>
      <c r="K813" s="4"/>
      <c r="L813" s="9">
        <v>29.7257</v>
      </c>
      <c r="M813" s="9">
        <v>11.6745</v>
      </c>
      <c r="N813" s="9">
        <v>4.7850000000000001</v>
      </c>
      <c r="O813" s="9">
        <v>0.36199999999999999</v>
      </c>
      <c r="P813" s="9">
        <v>1.1791</v>
      </c>
      <c r="Q813" s="9">
        <v>19.053000000000001</v>
      </c>
      <c r="R813" s="9"/>
      <c r="S813" s="11"/>
    </row>
    <row r="814" spans="1:19" ht="15.75">
      <c r="A814" s="13">
        <v>66688</v>
      </c>
      <c r="B814" s="8">
        <f>CHOOSE( CONTROL!$C$31, 34.2795, 34.2766) * CHOOSE(CONTROL!$C$14, $D$10, 100%, $F$10)</f>
        <v>34.279499999999999</v>
      </c>
      <c r="C814" s="8">
        <f>CHOOSE( CONTROL!$C$31, 34.2875, 34.2846) * CHOOSE(CONTROL!$C$14, $D$10, 100%, $F$10)</f>
        <v>34.287500000000001</v>
      </c>
      <c r="D814" s="8">
        <f>CHOOSE( CONTROL!$C$31, 34.2927, 34.2897) * CHOOSE( CONTROL!$C$14, $D$10, 100%, $F$10)</f>
        <v>34.292700000000004</v>
      </c>
      <c r="E814" s="12">
        <f>CHOOSE( CONTROL!$C$31, 34.2896, 34.2866) * CHOOSE( CONTROL!$C$14, $D$10, 100%, $F$10)</f>
        <v>34.2896</v>
      </c>
      <c r="F814" s="4">
        <f>CHOOSE( CONTROL!$C$31, 34.9611, 34.9581) * CHOOSE(CONTROL!$C$14, $D$10, 100%, $F$10)</f>
        <v>34.961100000000002</v>
      </c>
      <c r="G814" s="8">
        <f>CHOOSE( CONTROL!$C$31, 33.6818, 33.679) * CHOOSE( CONTROL!$C$14, $D$10, 100%, $F$10)</f>
        <v>33.681800000000003</v>
      </c>
      <c r="H814" s="4">
        <f>CHOOSE( CONTROL!$C$31, 34.6101, 34.6072) * CHOOSE(CONTROL!$C$14, $D$10, 100%, $F$10)</f>
        <v>34.610100000000003</v>
      </c>
      <c r="I814" s="8">
        <f>CHOOSE( CONTROL!$C$31, 33.2169, 33.2141) * CHOOSE(CONTROL!$C$14, $D$10, 100%, $F$10)</f>
        <v>33.216900000000003</v>
      </c>
      <c r="J814" s="4">
        <f>CHOOSE( CONTROL!$C$31, 33.1068, 33.104) * CHOOSE(CONTROL!$C$14, $D$10, 100%, $F$10)</f>
        <v>33.1068</v>
      </c>
      <c r="K814" s="4"/>
      <c r="L814" s="9">
        <v>30.7165</v>
      </c>
      <c r="M814" s="9">
        <v>12.063700000000001</v>
      </c>
      <c r="N814" s="9">
        <v>4.9444999999999997</v>
      </c>
      <c r="O814" s="9">
        <v>0.37409999999999999</v>
      </c>
      <c r="P814" s="9">
        <v>1.2183999999999999</v>
      </c>
      <c r="Q814" s="9">
        <v>19.688099999999999</v>
      </c>
      <c r="R814" s="9"/>
      <c r="S814" s="11"/>
    </row>
    <row r="815" spans="1:19" ht="15.75">
      <c r="A815" s="13">
        <v>66719</v>
      </c>
      <c r="B815" s="8">
        <f>CHOOSE( CONTROL!$C$31, 31.6361, 31.6332) * CHOOSE(CONTROL!$C$14, $D$10, 100%, $F$10)</f>
        <v>31.636099999999999</v>
      </c>
      <c r="C815" s="8">
        <f>CHOOSE( CONTROL!$C$31, 31.6441, 31.6412) * CHOOSE(CONTROL!$C$14, $D$10, 100%, $F$10)</f>
        <v>31.644100000000002</v>
      </c>
      <c r="D815" s="8">
        <f>CHOOSE( CONTROL!$C$31, 31.6493, 31.6464) * CHOOSE( CONTROL!$C$14, $D$10, 100%, $F$10)</f>
        <v>31.6493</v>
      </c>
      <c r="E815" s="12">
        <f>CHOOSE( CONTROL!$C$31, 31.6462, 31.6433) * CHOOSE( CONTROL!$C$14, $D$10, 100%, $F$10)</f>
        <v>31.6462</v>
      </c>
      <c r="F815" s="4">
        <f>CHOOSE( CONTROL!$C$31, 32.3177, 32.3147) * CHOOSE(CONTROL!$C$14, $D$10, 100%, $F$10)</f>
        <v>32.317700000000002</v>
      </c>
      <c r="G815" s="8">
        <f>CHOOSE( CONTROL!$C$31, 31.0824, 31.0795) * CHOOSE( CONTROL!$C$14, $D$10, 100%, $F$10)</f>
        <v>31.0824</v>
      </c>
      <c r="H815" s="4">
        <f>CHOOSE( CONTROL!$C$31, 32.0105, 32.0077) * CHOOSE(CONTROL!$C$14, $D$10, 100%, $F$10)</f>
        <v>32.0105</v>
      </c>
      <c r="I815" s="8">
        <f>CHOOSE( CONTROL!$C$31, 30.6606, 30.6578) * CHOOSE(CONTROL!$C$14, $D$10, 100%, $F$10)</f>
        <v>30.660599999999999</v>
      </c>
      <c r="J815" s="4">
        <f>CHOOSE( CONTROL!$C$31, 30.5514, 30.5486) * CHOOSE(CONTROL!$C$14, $D$10, 100%, $F$10)</f>
        <v>30.551400000000001</v>
      </c>
      <c r="K815" s="4"/>
      <c r="L815" s="9">
        <v>30.7165</v>
      </c>
      <c r="M815" s="9">
        <v>12.063700000000001</v>
      </c>
      <c r="N815" s="9">
        <v>4.9444999999999997</v>
      </c>
      <c r="O815" s="9">
        <v>0.37409999999999999</v>
      </c>
      <c r="P815" s="9">
        <v>1.2183999999999999</v>
      </c>
      <c r="Q815" s="9">
        <v>19.688099999999999</v>
      </c>
      <c r="R815" s="9"/>
      <c r="S815" s="11"/>
    </row>
    <row r="816" spans="1:19" ht="15.75">
      <c r="A816" s="13">
        <v>66749</v>
      </c>
      <c r="B816" s="8">
        <f>CHOOSE( CONTROL!$C$31, 30.9742, 30.9712) * CHOOSE(CONTROL!$C$14, $D$10, 100%, $F$10)</f>
        <v>30.9742</v>
      </c>
      <c r="C816" s="8">
        <f>CHOOSE( CONTROL!$C$31, 30.9822, 30.9793) * CHOOSE(CONTROL!$C$14, $D$10, 100%, $F$10)</f>
        <v>30.982199999999999</v>
      </c>
      <c r="D816" s="8">
        <f>CHOOSE( CONTROL!$C$31, 30.9874, 30.9845) * CHOOSE( CONTROL!$C$14, $D$10, 100%, $F$10)</f>
        <v>30.987400000000001</v>
      </c>
      <c r="E816" s="12">
        <f>CHOOSE( CONTROL!$C$31, 30.9843, 30.9814) * CHOOSE( CONTROL!$C$14, $D$10, 100%, $F$10)</f>
        <v>30.984300000000001</v>
      </c>
      <c r="F816" s="4">
        <f>CHOOSE( CONTROL!$C$31, 31.6557, 31.6528) * CHOOSE(CONTROL!$C$14, $D$10, 100%, $F$10)</f>
        <v>31.6557</v>
      </c>
      <c r="G816" s="8">
        <f>CHOOSE( CONTROL!$C$31, 30.4314, 30.4285) * CHOOSE( CONTROL!$C$14, $D$10, 100%, $F$10)</f>
        <v>30.4314</v>
      </c>
      <c r="H816" s="4">
        <f>CHOOSE( CONTROL!$C$31, 31.3596, 31.3567) * CHOOSE(CONTROL!$C$14, $D$10, 100%, $F$10)</f>
        <v>31.3596</v>
      </c>
      <c r="I816" s="8">
        <f>CHOOSE( CONTROL!$C$31, 30.0204, 30.0175) * CHOOSE(CONTROL!$C$14, $D$10, 100%, $F$10)</f>
        <v>30.020399999999999</v>
      </c>
      <c r="J816" s="4">
        <f>CHOOSE( CONTROL!$C$31, 29.9115, 29.9087) * CHOOSE(CONTROL!$C$14, $D$10, 100%, $F$10)</f>
        <v>29.9115</v>
      </c>
      <c r="K816" s="4"/>
      <c r="L816" s="9">
        <v>29.7257</v>
      </c>
      <c r="M816" s="9">
        <v>11.6745</v>
      </c>
      <c r="N816" s="9">
        <v>4.7850000000000001</v>
      </c>
      <c r="O816" s="9">
        <v>0.36199999999999999</v>
      </c>
      <c r="P816" s="9">
        <v>1.1791</v>
      </c>
      <c r="Q816" s="9">
        <v>19.053000000000001</v>
      </c>
      <c r="R816" s="9"/>
      <c r="S816" s="11"/>
    </row>
    <row r="817" spans="1:19" ht="15.75">
      <c r="A817" s="13">
        <v>66780</v>
      </c>
      <c r="B817" s="8">
        <f>32.3439 * CHOOSE(CONTROL!$C$14, $D$10, 100%, $F$10)</f>
        <v>32.343899999999998</v>
      </c>
      <c r="C817" s="8">
        <f>32.3493 * CHOOSE(CONTROL!$C$14, $D$10, 100%, $F$10)</f>
        <v>32.349299999999999</v>
      </c>
      <c r="D817" s="8">
        <f>32.3593 * CHOOSE( CONTROL!$C$14, $D$10, 100%, $F$10)</f>
        <v>32.359299999999998</v>
      </c>
      <c r="E817" s="12">
        <f>32.3554 * CHOOSE( CONTROL!$C$14, $D$10, 100%, $F$10)</f>
        <v>32.355400000000003</v>
      </c>
      <c r="F817" s="4">
        <f>33.0272 * CHOOSE(CONTROL!$C$14, $D$10, 100%, $F$10)</f>
        <v>33.027200000000001</v>
      </c>
      <c r="G817" s="8">
        <f>31.7798 * CHOOSE( CONTROL!$C$14, $D$10, 100%, $F$10)</f>
        <v>31.779800000000002</v>
      </c>
      <c r="H817" s="4">
        <f>32.7083 * CHOOSE(CONTROL!$C$14, $D$10, 100%, $F$10)</f>
        <v>32.708300000000001</v>
      </c>
      <c r="I817" s="8">
        <f>31.3476 * CHOOSE(CONTROL!$C$14, $D$10, 100%, $F$10)</f>
        <v>31.3476</v>
      </c>
      <c r="J817" s="4">
        <f>31.2373 * CHOOSE(CONTROL!$C$14, $D$10, 100%, $F$10)</f>
        <v>31.237300000000001</v>
      </c>
      <c r="K817" s="4"/>
      <c r="L817" s="9">
        <v>31.095300000000002</v>
      </c>
      <c r="M817" s="9">
        <v>12.063700000000001</v>
      </c>
      <c r="N817" s="9">
        <v>4.9444999999999997</v>
      </c>
      <c r="O817" s="9">
        <v>0.37409999999999999</v>
      </c>
      <c r="P817" s="9">
        <v>1.2183999999999999</v>
      </c>
      <c r="Q817" s="9">
        <v>19.688099999999999</v>
      </c>
      <c r="R817" s="9"/>
      <c r="S817" s="11"/>
    </row>
    <row r="818" spans="1:19" ht="15.75">
      <c r="A818" s="13">
        <v>66810</v>
      </c>
      <c r="B818" s="8">
        <f>34.8804 * CHOOSE(CONTROL!$C$14, $D$10, 100%, $F$10)</f>
        <v>34.880400000000002</v>
      </c>
      <c r="C818" s="8">
        <f>34.8855 * CHOOSE(CONTROL!$C$14, $D$10, 100%, $F$10)</f>
        <v>34.8855</v>
      </c>
      <c r="D818" s="8">
        <f>34.8618 * CHOOSE( CONTROL!$C$14, $D$10, 100%, $F$10)</f>
        <v>34.861800000000002</v>
      </c>
      <c r="E818" s="12">
        <f>34.8699 * CHOOSE( CONTROL!$C$14, $D$10, 100%, $F$10)</f>
        <v>34.869900000000001</v>
      </c>
      <c r="F818" s="4">
        <f>35.5279 * CHOOSE(CONTROL!$C$14, $D$10, 100%, $F$10)</f>
        <v>35.527900000000002</v>
      </c>
      <c r="G818" s="8">
        <f>34.2844 * CHOOSE( CONTROL!$C$14, $D$10, 100%, $F$10)</f>
        <v>34.284399999999998</v>
      </c>
      <c r="H818" s="4">
        <f>35.1675 * CHOOSE(CONTROL!$C$14, $D$10, 100%, $F$10)</f>
        <v>35.167499999999997</v>
      </c>
      <c r="I818" s="8">
        <f>33.8318 * CHOOSE(CONTROL!$C$14, $D$10, 100%, $F$10)</f>
        <v>33.831800000000001</v>
      </c>
      <c r="J818" s="4">
        <f>33.6897 * CHOOSE(CONTROL!$C$14, $D$10, 100%, $F$10)</f>
        <v>33.689700000000002</v>
      </c>
      <c r="K818" s="4"/>
      <c r="L818" s="9">
        <v>28.360600000000002</v>
      </c>
      <c r="M818" s="9">
        <v>11.6745</v>
      </c>
      <c r="N818" s="9">
        <v>4.7850000000000001</v>
      </c>
      <c r="O818" s="9">
        <v>0.36199999999999999</v>
      </c>
      <c r="P818" s="9">
        <v>1.2509999999999999</v>
      </c>
      <c r="Q818" s="9">
        <v>19.053000000000001</v>
      </c>
      <c r="R818" s="9"/>
      <c r="S818" s="11"/>
    </row>
    <row r="819" spans="1:19" ht="15.75">
      <c r="A819" s="13">
        <v>66841</v>
      </c>
      <c r="B819" s="8">
        <f>34.817 * CHOOSE(CONTROL!$C$14, $D$10, 100%, $F$10)</f>
        <v>34.817</v>
      </c>
      <c r="C819" s="8">
        <f>34.8222 * CHOOSE(CONTROL!$C$14, $D$10, 100%, $F$10)</f>
        <v>34.822200000000002</v>
      </c>
      <c r="D819" s="8">
        <f>34.7997 * CHOOSE( CONTROL!$C$14, $D$10, 100%, $F$10)</f>
        <v>34.799700000000001</v>
      </c>
      <c r="E819" s="12">
        <f>34.8074 * CHOOSE( CONTROL!$C$14, $D$10, 100%, $F$10)</f>
        <v>34.807400000000001</v>
      </c>
      <c r="F819" s="4">
        <f>35.4645 * CHOOSE(CONTROL!$C$14, $D$10, 100%, $F$10)</f>
        <v>35.464500000000001</v>
      </c>
      <c r="G819" s="8">
        <f>34.2231 * CHOOSE( CONTROL!$C$14, $D$10, 100%, $F$10)</f>
        <v>34.223100000000002</v>
      </c>
      <c r="H819" s="4">
        <f>35.1052 * CHOOSE(CONTROL!$C$14, $D$10, 100%, $F$10)</f>
        <v>35.105200000000004</v>
      </c>
      <c r="I819" s="8">
        <f>33.7749 * CHOOSE(CONTROL!$C$14, $D$10, 100%, $F$10)</f>
        <v>33.774900000000002</v>
      </c>
      <c r="J819" s="4">
        <f>33.6285 * CHOOSE(CONTROL!$C$14, $D$10, 100%, $F$10)</f>
        <v>33.628500000000003</v>
      </c>
      <c r="K819" s="4"/>
      <c r="L819" s="9">
        <v>29.306000000000001</v>
      </c>
      <c r="M819" s="9">
        <v>12.063700000000001</v>
      </c>
      <c r="N819" s="9">
        <v>4.9444999999999997</v>
      </c>
      <c r="O819" s="9">
        <v>0.37409999999999999</v>
      </c>
      <c r="P819" s="9">
        <v>1.2927</v>
      </c>
      <c r="Q819" s="9">
        <v>19.688099999999999</v>
      </c>
      <c r="R819" s="9"/>
      <c r="S819" s="11"/>
    </row>
    <row r="820" spans="1:19" ht="15.75">
      <c r="A820" s="13">
        <v>66872</v>
      </c>
      <c r="B820" s="8">
        <f>36.1466 * CHOOSE(CONTROL!$C$14, $D$10, 100%, $F$10)</f>
        <v>36.146599999999999</v>
      </c>
      <c r="C820" s="8">
        <f>36.1517 * CHOOSE(CONTROL!$C$14, $D$10, 100%, $F$10)</f>
        <v>36.151699999999998</v>
      </c>
      <c r="D820" s="8">
        <f>36.1475 * CHOOSE( CONTROL!$C$14, $D$10, 100%, $F$10)</f>
        <v>36.147500000000001</v>
      </c>
      <c r="E820" s="12">
        <f>36.1485 * CHOOSE( CONTROL!$C$14, $D$10, 100%, $F$10)</f>
        <v>36.148499999999999</v>
      </c>
      <c r="F820" s="4">
        <f>36.8251 * CHOOSE(CONTROL!$C$14, $D$10, 100%, $F$10)</f>
        <v>36.825099999999999</v>
      </c>
      <c r="G820" s="8">
        <f>35.5448 * CHOOSE( CONTROL!$C$14, $D$10, 100%, $F$10)</f>
        <v>35.544800000000002</v>
      </c>
      <c r="H820" s="4">
        <f>36.4432 * CHOOSE(CONTROL!$C$14, $D$10, 100%, $F$10)</f>
        <v>36.443199999999997</v>
      </c>
      <c r="I820" s="8">
        <f>35.0398 * CHOOSE(CONTROL!$C$14, $D$10, 100%, $F$10)</f>
        <v>35.0398</v>
      </c>
      <c r="J820" s="4">
        <f>34.9137 * CHOOSE(CONTROL!$C$14, $D$10, 100%, $F$10)</f>
        <v>34.913699999999999</v>
      </c>
      <c r="K820" s="4"/>
      <c r="L820" s="9">
        <v>29.306000000000001</v>
      </c>
      <c r="M820" s="9">
        <v>12.063700000000001</v>
      </c>
      <c r="N820" s="9">
        <v>4.9444999999999997</v>
      </c>
      <c r="O820" s="9">
        <v>0.37409999999999999</v>
      </c>
      <c r="P820" s="9">
        <v>1.2927</v>
      </c>
      <c r="Q820" s="9">
        <v>19.688099999999999</v>
      </c>
      <c r="R820" s="9"/>
      <c r="S820" s="11"/>
    </row>
    <row r="821" spans="1:19" ht="15.75">
      <c r="A821" s="13">
        <v>66900</v>
      </c>
      <c r="B821" s="8">
        <f>33.8117 * CHOOSE(CONTROL!$C$14, $D$10, 100%, $F$10)</f>
        <v>33.811700000000002</v>
      </c>
      <c r="C821" s="8">
        <f>33.8168 * CHOOSE(CONTROL!$C$14, $D$10, 100%, $F$10)</f>
        <v>33.816800000000001</v>
      </c>
      <c r="D821" s="8">
        <f>33.8067 * CHOOSE( CONTROL!$C$14, $D$10, 100%, $F$10)</f>
        <v>33.806699999999999</v>
      </c>
      <c r="E821" s="12">
        <f>33.8098 * CHOOSE( CONTROL!$C$14, $D$10, 100%, $F$10)</f>
        <v>33.809800000000003</v>
      </c>
      <c r="F821" s="4">
        <f>34.4644 * CHOOSE(CONTROL!$C$14, $D$10, 100%, $F$10)</f>
        <v>34.464399999999998</v>
      </c>
      <c r="G821" s="8">
        <f>33.2405 * CHOOSE( CONTROL!$C$14, $D$10, 100%, $F$10)</f>
        <v>33.240499999999997</v>
      </c>
      <c r="H821" s="4">
        <f>34.1216 * CHOOSE(CONTROL!$C$14, $D$10, 100%, $F$10)</f>
        <v>34.121600000000001</v>
      </c>
      <c r="I821" s="8">
        <f>32.7722 * CHOOSE(CONTROL!$C$14, $D$10, 100%, $F$10)</f>
        <v>32.772199999999998</v>
      </c>
      <c r="J821" s="4">
        <f>32.6566 * CHOOSE(CONTROL!$C$14, $D$10, 100%, $F$10)</f>
        <v>32.656599999999997</v>
      </c>
      <c r="K821" s="4"/>
      <c r="L821" s="9">
        <v>26.469899999999999</v>
      </c>
      <c r="M821" s="9">
        <v>10.8962</v>
      </c>
      <c r="N821" s="9">
        <v>4.4660000000000002</v>
      </c>
      <c r="O821" s="9">
        <v>0.33789999999999998</v>
      </c>
      <c r="P821" s="9">
        <v>1.1676</v>
      </c>
      <c r="Q821" s="9">
        <v>17.782800000000002</v>
      </c>
      <c r="R821" s="9"/>
      <c r="S821" s="11"/>
    </row>
    <row r="822" spans="1:19" ht="15.75">
      <c r="A822" s="13">
        <v>66931</v>
      </c>
      <c r="B822" s="8">
        <f>33.0926 * CHOOSE(CONTROL!$C$14, $D$10, 100%, $F$10)</f>
        <v>33.092599999999997</v>
      </c>
      <c r="C822" s="8">
        <f>33.0977 * CHOOSE(CONTROL!$C$14, $D$10, 100%, $F$10)</f>
        <v>33.097700000000003</v>
      </c>
      <c r="D822" s="8">
        <f>33.0811 * CHOOSE( CONTROL!$C$14, $D$10, 100%, $F$10)</f>
        <v>33.081099999999999</v>
      </c>
      <c r="E822" s="12">
        <f>33.0866 * CHOOSE( CONTROL!$C$14, $D$10, 100%, $F$10)</f>
        <v>33.086599999999997</v>
      </c>
      <c r="F822" s="4">
        <f>33.7452 * CHOOSE(CONTROL!$C$14, $D$10, 100%, $F$10)</f>
        <v>33.745199999999997</v>
      </c>
      <c r="G822" s="8">
        <f>32.5251 * CHOOSE( CONTROL!$C$14, $D$10, 100%, $F$10)</f>
        <v>32.525100000000002</v>
      </c>
      <c r="H822" s="4">
        <f>33.4144 * CHOOSE(CONTROL!$C$14, $D$10, 100%, $F$10)</f>
        <v>33.414400000000001</v>
      </c>
      <c r="I822" s="8">
        <f>32.0565 * CHOOSE(CONTROL!$C$14, $D$10, 100%, $F$10)</f>
        <v>32.0565</v>
      </c>
      <c r="J822" s="4">
        <f>31.9614 * CHOOSE(CONTROL!$C$14, $D$10, 100%, $F$10)</f>
        <v>31.961400000000001</v>
      </c>
      <c r="K822" s="4"/>
      <c r="L822" s="9">
        <v>29.306000000000001</v>
      </c>
      <c r="M822" s="9">
        <v>12.063700000000001</v>
      </c>
      <c r="N822" s="9">
        <v>4.9444999999999997</v>
      </c>
      <c r="O822" s="9">
        <v>0.37409999999999999</v>
      </c>
      <c r="P822" s="9">
        <v>1.2927</v>
      </c>
      <c r="Q822" s="9">
        <v>19.688099999999999</v>
      </c>
      <c r="R822" s="9"/>
      <c r="S822" s="11"/>
    </row>
    <row r="823" spans="1:19" ht="15.75">
      <c r="A823" s="13">
        <v>66961</v>
      </c>
      <c r="B823" s="8">
        <f>33.5959 * CHOOSE(CONTROL!$C$14, $D$10, 100%, $F$10)</f>
        <v>33.5959</v>
      </c>
      <c r="C823" s="8">
        <f>33.6004 * CHOOSE(CONTROL!$C$14, $D$10, 100%, $F$10)</f>
        <v>33.6004</v>
      </c>
      <c r="D823" s="8">
        <f>33.6099 * CHOOSE( CONTROL!$C$14, $D$10, 100%, $F$10)</f>
        <v>33.609900000000003</v>
      </c>
      <c r="E823" s="12">
        <f>33.6062 * CHOOSE( CONTROL!$C$14, $D$10, 100%, $F$10)</f>
        <v>33.606200000000001</v>
      </c>
      <c r="F823" s="4">
        <f>34.2788 * CHOOSE(CONTROL!$C$14, $D$10, 100%, $F$10)</f>
        <v>34.278799999999997</v>
      </c>
      <c r="G823" s="8">
        <f>33.0092 * CHOOSE( CONTROL!$C$14, $D$10, 100%, $F$10)</f>
        <v>33.0092</v>
      </c>
      <c r="H823" s="4">
        <f>33.9391 * CHOOSE(CONTROL!$C$14, $D$10, 100%, $F$10)</f>
        <v>33.939100000000003</v>
      </c>
      <c r="I823" s="8">
        <f>32.5535 * CHOOSE(CONTROL!$C$14, $D$10, 100%, $F$10)</f>
        <v>32.5535</v>
      </c>
      <c r="J823" s="4">
        <f>32.4472 * CHOOSE(CONTROL!$C$14, $D$10, 100%, $F$10)</f>
        <v>32.447200000000002</v>
      </c>
      <c r="K823" s="4"/>
      <c r="L823" s="9">
        <v>30.092199999999998</v>
      </c>
      <c r="M823" s="9">
        <v>11.6745</v>
      </c>
      <c r="N823" s="9">
        <v>4.7850000000000001</v>
      </c>
      <c r="O823" s="9">
        <v>0.36199999999999999</v>
      </c>
      <c r="P823" s="9">
        <v>1.1791</v>
      </c>
      <c r="Q823" s="9">
        <v>19.053000000000001</v>
      </c>
      <c r="R823" s="9"/>
      <c r="S823" s="11"/>
    </row>
    <row r="824" spans="1:19" ht="15.75">
      <c r="A824" s="13">
        <v>66992</v>
      </c>
      <c r="B824" s="8">
        <f>CHOOSE( CONTROL!$C$31, 34.4945, 34.4916) * CHOOSE(CONTROL!$C$14, $D$10, 100%, $F$10)</f>
        <v>34.494500000000002</v>
      </c>
      <c r="C824" s="8">
        <f>CHOOSE( CONTROL!$C$31, 34.5025, 34.4996) * CHOOSE(CONTROL!$C$14, $D$10, 100%, $F$10)</f>
        <v>34.502499999999998</v>
      </c>
      <c r="D824" s="8">
        <f>CHOOSE( CONTROL!$C$31, 34.5071, 34.5042) * CHOOSE( CONTROL!$C$14, $D$10, 100%, $F$10)</f>
        <v>34.507100000000001</v>
      </c>
      <c r="E824" s="12">
        <f>CHOOSE( CONTROL!$C$31, 34.5042, 34.5013) * CHOOSE( CONTROL!$C$14, $D$10, 100%, $F$10)</f>
        <v>34.504199999999997</v>
      </c>
      <c r="F824" s="4">
        <f>CHOOSE( CONTROL!$C$31, 35.1761, 35.1731) * CHOOSE(CONTROL!$C$14, $D$10, 100%, $F$10)</f>
        <v>35.176099999999998</v>
      </c>
      <c r="G824" s="8">
        <f>CHOOSE( CONTROL!$C$31, 33.8925, 33.8896) * CHOOSE( CONTROL!$C$14, $D$10, 100%, $F$10)</f>
        <v>33.892499999999998</v>
      </c>
      <c r="H824" s="4">
        <f>CHOOSE( CONTROL!$C$31, 34.8215, 34.8187) * CHOOSE(CONTROL!$C$14, $D$10, 100%, $F$10)</f>
        <v>34.8215</v>
      </c>
      <c r="I824" s="8">
        <f>CHOOSE( CONTROL!$C$31, 33.4224, 33.4196) * CHOOSE(CONTROL!$C$14, $D$10, 100%, $F$10)</f>
        <v>33.422400000000003</v>
      </c>
      <c r="J824" s="4">
        <f>CHOOSE( CONTROL!$C$31, 33.3146, 33.3118) * CHOOSE(CONTROL!$C$14, $D$10, 100%, $F$10)</f>
        <v>33.314599999999999</v>
      </c>
      <c r="K824" s="4"/>
      <c r="L824" s="9">
        <v>30.7165</v>
      </c>
      <c r="M824" s="9">
        <v>12.063700000000001</v>
      </c>
      <c r="N824" s="9">
        <v>4.9444999999999997</v>
      </c>
      <c r="O824" s="9">
        <v>0.37409999999999999</v>
      </c>
      <c r="P824" s="9">
        <v>1.2183999999999999</v>
      </c>
      <c r="Q824" s="9">
        <v>19.688099999999999</v>
      </c>
      <c r="R824" s="9"/>
      <c r="S824" s="11"/>
    </row>
    <row r="825" spans="1:19" ht="15.75">
      <c r="A825" s="13">
        <v>67022</v>
      </c>
      <c r="B825" s="8">
        <f>CHOOSE( CONTROL!$C$31, 33.9405, 33.9376) * CHOOSE(CONTROL!$C$14, $D$10, 100%, $F$10)</f>
        <v>33.9405</v>
      </c>
      <c r="C825" s="8">
        <f>CHOOSE( CONTROL!$C$31, 33.9485, 33.9456) * CHOOSE(CONTROL!$C$14, $D$10, 100%, $F$10)</f>
        <v>33.948500000000003</v>
      </c>
      <c r="D825" s="8">
        <f>CHOOSE( CONTROL!$C$31, 33.9534, 33.9505) * CHOOSE( CONTROL!$C$14, $D$10, 100%, $F$10)</f>
        <v>33.953400000000002</v>
      </c>
      <c r="E825" s="12">
        <f>CHOOSE( CONTROL!$C$31, 33.9504, 33.9475) * CHOOSE( CONTROL!$C$14, $D$10, 100%, $F$10)</f>
        <v>33.950400000000002</v>
      </c>
      <c r="F825" s="4">
        <f>CHOOSE( CONTROL!$C$31, 34.622, 34.6191) * CHOOSE(CONTROL!$C$14, $D$10, 100%, $F$10)</f>
        <v>34.622</v>
      </c>
      <c r="G825" s="8">
        <f>CHOOSE( CONTROL!$C$31, 33.3481, 33.3452) * CHOOSE( CONTROL!$C$14, $D$10, 100%, $F$10)</f>
        <v>33.348100000000002</v>
      </c>
      <c r="H825" s="4">
        <f>CHOOSE( CONTROL!$C$31, 34.2767, 34.2738) * CHOOSE(CONTROL!$C$14, $D$10, 100%, $F$10)</f>
        <v>34.276699999999998</v>
      </c>
      <c r="I825" s="8">
        <f>CHOOSE( CONTROL!$C$31, 32.8878, 32.885) * CHOOSE(CONTROL!$C$14, $D$10, 100%, $F$10)</f>
        <v>32.887799999999999</v>
      </c>
      <c r="J825" s="4">
        <f>CHOOSE( CONTROL!$C$31, 32.779, 32.7762) * CHOOSE(CONTROL!$C$14, $D$10, 100%, $F$10)</f>
        <v>32.779000000000003</v>
      </c>
      <c r="K825" s="4"/>
      <c r="L825" s="9">
        <v>29.7257</v>
      </c>
      <c r="M825" s="9">
        <v>11.6745</v>
      </c>
      <c r="N825" s="9">
        <v>4.7850000000000001</v>
      </c>
      <c r="O825" s="9">
        <v>0.36199999999999999</v>
      </c>
      <c r="P825" s="9">
        <v>1.1791</v>
      </c>
      <c r="Q825" s="9">
        <v>19.053000000000001</v>
      </c>
      <c r="R825" s="9"/>
      <c r="S825" s="11"/>
    </row>
    <row r="826" spans="1:19" ht="15.75">
      <c r="A826" s="13">
        <v>67053</v>
      </c>
      <c r="B826" s="8">
        <f>CHOOSE( CONTROL!$C$31, 35.3994, 35.3965) * CHOOSE(CONTROL!$C$14, $D$10, 100%, $F$10)</f>
        <v>35.3994</v>
      </c>
      <c r="C826" s="8">
        <f>CHOOSE( CONTROL!$C$31, 35.4074, 35.4045) * CHOOSE(CONTROL!$C$14, $D$10, 100%, $F$10)</f>
        <v>35.407400000000003</v>
      </c>
      <c r="D826" s="8">
        <f>CHOOSE( CONTROL!$C$31, 35.4126, 35.4096) * CHOOSE( CONTROL!$C$14, $D$10, 100%, $F$10)</f>
        <v>35.412599999999998</v>
      </c>
      <c r="E826" s="12">
        <f>CHOOSE( CONTROL!$C$31, 35.4095, 35.4065) * CHOOSE( CONTROL!$C$14, $D$10, 100%, $F$10)</f>
        <v>35.409500000000001</v>
      </c>
      <c r="F826" s="4">
        <f>CHOOSE( CONTROL!$C$31, 36.081, 36.0781) * CHOOSE(CONTROL!$C$14, $D$10, 100%, $F$10)</f>
        <v>36.081000000000003</v>
      </c>
      <c r="G826" s="8">
        <f>CHOOSE( CONTROL!$C$31, 34.7832, 34.7803) * CHOOSE( CONTROL!$C$14, $D$10, 100%, $F$10)</f>
        <v>34.783200000000001</v>
      </c>
      <c r="H826" s="4">
        <f>CHOOSE( CONTROL!$C$31, 35.7115, 35.7086) * CHOOSE(CONTROL!$C$14, $D$10, 100%, $F$10)</f>
        <v>35.711500000000001</v>
      </c>
      <c r="I826" s="8">
        <f>CHOOSE( CONTROL!$C$31, 34.3, 34.2972) * CHOOSE(CONTROL!$C$14, $D$10, 100%, $F$10)</f>
        <v>34.299999999999997</v>
      </c>
      <c r="J826" s="4">
        <f>CHOOSE( CONTROL!$C$31, 34.1894, 34.1866) * CHOOSE(CONTROL!$C$14, $D$10, 100%, $F$10)</f>
        <v>34.189399999999999</v>
      </c>
      <c r="K826" s="4"/>
      <c r="L826" s="9">
        <v>30.7165</v>
      </c>
      <c r="M826" s="9">
        <v>12.063700000000001</v>
      </c>
      <c r="N826" s="9">
        <v>4.9444999999999997</v>
      </c>
      <c r="O826" s="9">
        <v>0.37409999999999999</v>
      </c>
      <c r="P826" s="9">
        <v>1.2183999999999999</v>
      </c>
      <c r="Q826" s="9">
        <v>19.688099999999999</v>
      </c>
      <c r="R826" s="9"/>
      <c r="S826" s="11"/>
    </row>
    <row r="827" spans="1:19" ht="15.75">
      <c r="A827" s="13">
        <v>67084</v>
      </c>
      <c r="B827" s="8">
        <f>CHOOSE( CONTROL!$C$31, 32.6696, 32.6667) * CHOOSE(CONTROL!$C$14, $D$10, 100%, $F$10)</f>
        <v>32.669600000000003</v>
      </c>
      <c r="C827" s="8">
        <f>CHOOSE( CONTROL!$C$31, 32.6776, 32.6747) * CHOOSE(CONTROL!$C$14, $D$10, 100%, $F$10)</f>
        <v>32.677599999999998</v>
      </c>
      <c r="D827" s="8">
        <f>CHOOSE( CONTROL!$C$31, 32.6828, 32.6799) * CHOOSE( CONTROL!$C$14, $D$10, 100%, $F$10)</f>
        <v>32.6828</v>
      </c>
      <c r="E827" s="12">
        <f>CHOOSE( CONTROL!$C$31, 32.6797, 32.6768) * CHOOSE( CONTROL!$C$14, $D$10, 100%, $F$10)</f>
        <v>32.679699999999997</v>
      </c>
      <c r="F827" s="4">
        <f>CHOOSE( CONTROL!$C$31, 33.3511, 33.3482) * CHOOSE(CONTROL!$C$14, $D$10, 100%, $F$10)</f>
        <v>33.351100000000002</v>
      </c>
      <c r="G827" s="8">
        <f>CHOOSE( CONTROL!$C$31, 32.0987, 32.0958) * CHOOSE( CONTROL!$C$14, $D$10, 100%, $F$10)</f>
        <v>32.098700000000001</v>
      </c>
      <c r="H827" s="4">
        <f>CHOOSE( CONTROL!$C$31, 33.0269, 33.024) * CHOOSE(CONTROL!$C$14, $D$10, 100%, $F$10)</f>
        <v>33.026899999999998</v>
      </c>
      <c r="I827" s="8">
        <f>CHOOSE( CONTROL!$C$31, 31.6602, 31.6573) * CHOOSE(CONTROL!$C$14, $D$10, 100%, $F$10)</f>
        <v>31.6602</v>
      </c>
      <c r="J827" s="4">
        <f>CHOOSE( CONTROL!$C$31, 31.5504, 31.5476) * CHOOSE(CONTROL!$C$14, $D$10, 100%, $F$10)</f>
        <v>31.5504</v>
      </c>
      <c r="K827" s="4"/>
      <c r="L827" s="9">
        <v>30.7165</v>
      </c>
      <c r="M827" s="9">
        <v>12.063700000000001</v>
      </c>
      <c r="N827" s="9">
        <v>4.9444999999999997</v>
      </c>
      <c r="O827" s="9">
        <v>0.37409999999999999</v>
      </c>
      <c r="P827" s="9">
        <v>1.2183999999999999</v>
      </c>
      <c r="Q827" s="9">
        <v>19.688099999999999</v>
      </c>
      <c r="R827" s="9"/>
      <c r="S827" s="11"/>
    </row>
    <row r="828" spans="1:19" ht="15.75">
      <c r="A828" s="13">
        <v>67114</v>
      </c>
      <c r="B828" s="8">
        <f>CHOOSE( CONTROL!$C$31, 31.986, 31.9831) * CHOOSE(CONTROL!$C$14, $D$10, 100%, $F$10)</f>
        <v>31.986000000000001</v>
      </c>
      <c r="C828" s="8">
        <f>CHOOSE( CONTROL!$C$31, 31.994, 31.9911) * CHOOSE(CONTROL!$C$14, $D$10, 100%, $F$10)</f>
        <v>31.994</v>
      </c>
      <c r="D828" s="8">
        <f>CHOOSE( CONTROL!$C$31, 31.9992, 31.9963) * CHOOSE( CONTROL!$C$14, $D$10, 100%, $F$10)</f>
        <v>31.999199999999998</v>
      </c>
      <c r="E828" s="12">
        <f>CHOOSE( CONTROL!$C$31, 31.9961, 31.9932) * CHOOSE( CONTROL!$C$14, $D$10, 100%, $F$10)</f>
        <v>31.996099999999998</v>
      </c>
      <c r="F828" s="4">
        <f>CHOOSE( CONTROL!$C$31, 32.6675, 32.6646) * CHOOSE(CONTROL!$C$14, $D$10, 100%, $F$10)</f>
        <v>32.667499999999997</v>
      </c>
      <c r="G828" s="8">
        <f>CHOOSE( CONTROL!$C$31, 31.4264, 31.4236) * CHOOSE( CONTROL!$C$14, $D$10, 100%, $F$10)</f>
        <v>31.426400000000001</v>
      </c>
      <c r="H828" s="4">
        <f>CHOOSE( CONTROL!$C$31, 32.3546, 32.3517) * CHOOSE(CONTROL!$C$14, $D$10, 100%, $F$10)</f>
        <v>32.354599999999998</v>
      </c>
      <c r="I828" s="8">
        <f>CHOOSE( CONTROL!$C$31, 30.999, 30.9961) * CHOOSE(CONTROL!$C$14, $D$10, 100%, $F$10)</f>
        <v>30.998999999999999</v>
      </c>
      <c r="J828" s="4">
        <f>CHOOSE( CONTROL!$C$31, 30.8896, 30.8868) * CHOOSE(CONTROL!$C$14, $D$10, 100%, $F$10)</f>
        <v>30.889600000000002</v>
      </c>
      <c r="K828" s="4"/>
      <c r="L828" s="9">
        <v>29.7257</v>
      </c>
      <c r="M828" s="9">
        <v>11.6745</v>
      </c>
      <c r="N828" s="9">
        <v>4.7850000000000001</v>
      </c>
      <c r="O828" s="9">
        <v>0.36199999999999999</v>
      </c>
      <c r="P828" s="9">
        <v>1.1791</v>
      </c>
      <c r="Q828" s="9">
        <v>19.053000000000001</v>
      </c>
      <c r="R828" s="9"/>
      <c r="S828" s="11"/>
    </row>
    <row r="829" spans="1:19" ht="15.75">
      <c r="A829" s="13">
        <v>67145</v>
      </c>
      <c r="B829" s="8">
        <f>33.4007 * CHOOSE(CONTROL!$C$14, $D$10, 100%, $F$10)</f>
        <v>33.400700000000001</v>
      </c>
      <c r="C829" s="8">
        <f>33.4061 * CHOOSE(CONTROL!$C$14, $D$10, 100%, $F$10)</f>
        <v>33.406100000000002</v>
      </c>
      <c r="D829" s="8">
        <f>33.4161 * CHOOSE( CONTROL!$C$14, $D$10, 100%, $F$10)</f>
        <v>33.4161</v>
      </c>
      <c r="E829" s="12">
        <f>33.4122 * CHOOSE( CONTROL!$C$14, $D$10, 100%, $F$10)</f>
        <v>33.412199999999999</v>
      </c>
      <c r="F829" s="4">
        <f>34.084 * CHOOSE(CONTROL!$C$14, $D$10, 100%, $F$10)</f>
        <v>34.084000000000003</v>
      </c>
      <c r="G829" s="8">
        <f>32.819 * CHOOSE( CONTROL!$C$14, $D$10, 100%, $F$10)</f>
        <v>32.819000000000003</v>
      </c>
      <c r="H829" s="4">
        <f>33.7476 * CHOOSE(CONTROL!$C$14, $D$10, 100%, $F$10)</f>
        <v>33.747599999999998</v>
      </c>
      <c r="I829" s="8">
        <f>32.3697 * CHOOSE(CONTROL!$C$14, $D$10, 100%, $F$10)</f>
        <v>32.369700000000002</v>
      </c>
      <c r="J829" s="4">
        <f>32.2589 * CHOOSE(CONTROL!$C$14, $D$10, 100%, $F$10)</f>
        <v>32.258899999999997</v>
      </c>
      <c r="K829" s="4"/>
      <c r="L829" s="9">
        <v>31.095300000000002</v>
      </c>
      <c r="M829" s="9">
        <v>12.063700000000001</v>
      </c>
      <c r="N829" s="9">
        <v>4.9444999999999997</v>
      </c>
      <c r="O829" s="9">
        <v>0.37409999999999999</v>
      </c>
      <c r="P829" s="9">
        <v>1.2183999999999999</v>
      </c>
      <c r="Q829" s="9">
        <v>19.688099999999999</v>
      </c>
      <c r="R829" s="9"/>
      <c r="S829" s="11"/>
    </row>
    <row r="830" spans="1:19" ht="15.75">
      <c r="A830" s="13">
        <v>67175</v>
      </c>
      <c r="B830" s="8">
        <f>36.0202 * CHOOSE(CONTROL!$C$14, $D$10, 100%, $F$10)</f>
        <v>36.020200000000003</v>
      </c>
      <c r="C830" s="8">
        <f>36.0253 * CHOOSE(CONTROL!$C$14, $D$10, 100%, $F$10)</f>
        <v>36.025300000000001</v>
      </c>
      <c r="D830" s="8">
        <f>36.0015 * CHOOSE( CONTROL!$C$14, $D$10, 100%, $F$10)</f>
        <v>36.0015</v>
      </c>
      <c r="E830" s="12">
        <f>36.0097 * CHOOSE( CONTROL!$C$14, $D$10, 100%, $F$10)</f>
        <v>36.009700000000002</v>
      </c>
      <c r="F830" s="4">
        <f>36.6676 * CHOOSE(CONTROL!$C$14, $D$10, 100%, $F$10)</f>
        <v>36.6676</v>
      </c>
      <c r="G830" s="8">
        <f>35.4052 * CHOOSE( CONTROL!$C$14, $D$10, 100%, $F$10)</f>
        <v>35.405200000000001</v>
      </c>
      <c r="H830" s="4">
        <f>36.2884 * CHOOSE(CONTROL!$C$14, $D$10, 100%, $F$10)</f>
        <v>36.288400000000003</v>
      </c>
      <c r="I830" s="8">
        <f>34.9341 * CHOOSE(CONTROL!$C$14, $D$10, 100%, $F$10)</f>
        <v>34.934100000000001</v>
      </c>
      <c r="J830" s="4">
        <f>34.7915 * CHOOSE(CONTROL!$C$14, $D$10, 100%, $F$10)</f>
        <v>34.791499999999999</v>
      </c>
      <c r="K830" s="4"/>
      <c r="L830" s="9">
        <v>28.360600000000002</v>
      </c>
      <c r="M830" s="9">
        <v>11.6745</v>
      </c>
      <c r="N830" s="9">
        <v>4.7850000000000001</v>
      </c>
      <c r="O830" s="9">
        <v>0.36199999999999999</v>
      </c>
      <c r="P830" s="9">
        <v>1.2509999999999999</v>
      </c>
      <c r="Q830" s="9">
        <v>19.053000000000001</v>
      </c>
      <c r="R830" s="9"/>
      <c r="S830" s="11"/>
    </row>
    <row r="831" spans="1:19" ht="15.75">
      <c r="A831" s="13">
        <v>67206</v>
      </c>
      <c r="B831" s="8">
        <f>35.9547 * CHOOSE(CONTROL!$C$14, $D$10, 100%, $F$10)</f>
        <v>35.954700000000003</v>
      </c>
      <c r="C831" s="8">
        <f>35.9598 * CHOOSE(CONTROL!$C$14, $D$10, 100%, $F$10)</f>
        <v>35.959800000000001</v>
      </c>
      <c r="D831" s="8">
        <f>35.9374 * CHOOSE( CONTROL!$C$14, $D$10, 100%, $F$10)</f>
        <v>35.937399999999997</v>
      </c>
      <c r="E831" s="12">
        <f>35.945 * CHOOSE( CONTROL!$C$14, $D$10, 100%, $F$10)</f>
        <v>35.945</v>
      </c>
      <c r="F831" s="4">
        <f>36.6022 * CHOOSE(CONTROL!$C$14, $D$10, 100%, $F$10)</f>
        <v>36.602200000000003</v>
      </c>
      <c r="G831" s="8">
        <f>35.3419 * CHOOSE( CONTROL!$C$14, $D$10, 100%, $F$10)</f>
        <v>35.341900000000003</v>
      </c>
      <c r="H831" s="4">
        <f>36.224 * CHOOSE(CONTROL!$C$14, $D$10, 100%, $F$10)</f>
        <v>36.223999999999997</v>
      </c>
      <c r="I831" s="8">
        <f>34.8752 * CHOOSE(CONTROL!$C$14, $D$10, 100%, $F$10)</f>
        <v>34.8752</v>
      </c>
      <c r="J831" s="4">
        <f>34.7282 * CHOOSE(CONTROL!$C$14, $D$10, 100%, $F$10)</f>
        <v>34.728200000000001</v>
      </c>
      <c r="K831" s="4"/>
      <c r="L831" s="9">
        <v>29.306000000000001</v>
      </c>
      <c r="M831" s="9">
        <v>12.063700000000001</v>
      </c>
      <c r="N831" s="9">
        <v>4.9444999999999997</v>
      </c>
      <c r="O831" s="9">
        <v>0.37409999999999999</v>
      </c>
      <c r="P831" s="9">
        <v>1.2927</v>
      </c>
      <c r="Q831" s="9">
        <v>19.688099999999999</v>
      </c>
      <c r="R831" s="9"/>
      <c r="S831" s="11"/>
    </row>
    <row r="832" spans="1:19" ht="15.75">
      <c r="A832" s="13">
        <v>67237</v>
      </c>
      <c r="B832" s="8">
        <f>37.3277 * CHOOSE(CONTROL!$C$14, $D$10, 100%, $F$10)</f>
        <v>37.3277</v>
      </c>
      <c r="C832" s="8">
        <f>37.3328 * CHOOSE(CONTROL!$C$14, $D$10, 100%, $F$10)</f>
        <v>37.332799999999999</v>
      </c>
      <c r="D832" s="8">
        <f>37.3286 * CHOOSE( CONTROL!$C$14, $D$10, 100%, $F$10)</f>
        <v>37.328600000000002</v>
      </c>
      <c r="E832" s="12">
        <f>37.3296 * CHOOSE( CONTROL!$C$14, $D$10, 100%, $F$10)</f>
        <v>37.329599999999999</v>
      </c>
      <c r="F832" s="4">
        <f>38.0062 * CHOOSE(CONTROL!$C$14, $D$10, 100%, $F$10)</f>
        <v>38.0062</v>
      </c>
      <c r="G832" s="8">
        <f>36.7063 * CHOOSE( CONTROL!$C$14, $D$10, 100%, $F$10)</f>
        <v>36.706299999999999</v>
      </c>
      <c r="H832" s="4">
        <f>37.6048 * CHOOSE(CONTROL!$C$14, $D$10, 100%, $F$10)</f>
        <v>37.604799999999997</v>
      </c>
      <c r="I832" s="8">
        <f>36.1821 * CHOOSE(CONTROL!$C$14, $D$10, 100%, $F$10)</f>
        <v>36.182099999999998</v>
      </c>
      <c r="J832" s="4">
        <f>36.0555 * CHOOSE(CONTROL!$C$14, $D$10, 100%, $F$10)</f>
        <v>36.055500000000002</v>
      </c>
      <c r="K832" s="4"/>
      <c r="L832" s="9">
        <v>29.306000000000001</v>
      </c>
      <c r="M832" s="9">
        <v>12.063700000000001</v>
      </c>
      <c r="N832" s="9">
        <v>4.9444999999999997</v>
      </c>
      <c r="O832" s="9">
        <v>0.37409999999999999</v>
      </c>
      <c r="P832" s="9">
        <v>1.2927</v>
      </c>
      <c r="Q832" s="9">
        <v>19.688099999999999</v>
      </c>
      <c r="R832" s="9"/>
      <c r="S832" s="11"/>
    </row>
    <row r="833" spans="1:19" ht="15.75">
      <c r="A833" s="13">
        <v>67266</v>
      </c>
      <c r="B833" s="8">
        <f>34.9165 * CHOOSE(CONTROL!$C$14, $D$10, 100%, $F$10)</f>
        <v>34.916499999999999</v>
      </c>
      <c r="C833" s="8">
        <f>34.9216 * CHOOSE(CONTROL!$C$14, $D$10, 100%, $F$10)</f>
        <v>34.921599999999998</v>
      </c>
      <c r="D833" s="8">
        <f>34.9115 * CHOOSE( CONTROL!$C$14, $D$10, 100%, $F$10)</f>
        <v>34.911499999999997</v>
      </c>
      <c r="E833" s="12">
        <f>34.9146 * CHOOSE( CONTROL!$C$14, $D$10, 100%, $F$10)</f>
        <v>34.9146</v>
      </c>
      <c r="F833" s="4">
        <f>35.5691 * CHOOSE(CONTROL!$C$14, $D$10, 100%, $F$10)</f>
        <v>35.569099999999999</v>
      </c>
      <c r="G833" s="8">
        <f>34.327 * CHOOSE( CONTROL!$C$14, $D$10, 100%, $F$10)</f>
        <v>34.326999999999998</v>
      </c>
      <c r="H833" s="4">
        <f>35.2081 * CHOOSE(CONTROL!$C$14, $D$10, 100%, $F$10)</f>
        <v>35.208100000000002</v>
      </c>
      <c r="I833" s="8">
        <f>33.8407 * CHOOSE(CONTROL!$C$14, $D$10, 100%, $F$10)</f>
        <v>33.840699999999998</v>
      </c>
      <c r="J833" s="4">
        <f>33.7246 * CHOOSE(CONTROL!$C$14, $D$10, 100%, $F$10)</f>
        <v>33.724600000000002</v>
      </c>
      <c r="K833" s="4"/>
      <c r="L833" s="9">
        <v>27.415299999999998</v>
      </c>
      <c r="M833" s="9">
        <v>11.285299999999999</v>
      </c>
      <c r="N833" s="9">
        <v>4.6254999999999997</v>
      </c>
      <c r="O833" s="9">
        <v>0.34989999999999999</v>
      </c>
      <c r="P833" s="9">
        <v>1.2093</v>
      </c>
      <c r="Q833" s="9">
        <v>18.417899999999999</v>
      </c>
      <c r="R833" s="9"/>
      <c r="S833" s="11"/>
    </row>
    <row r="834" spans="1:19" ht="15.75">
      <c r="A834" s="13">
        <v>67297</v>
      </c>
      <c r="B834" s="8">
        <f>34.1738 * CHOOSE(CONTROL!$C$14, $D$10, 100%, $F$10)</f>
        <v>34.1738</v>
      </c>
      <c r="C834" s="8">
        <f>34.179 * CHOOSE(CONTROL!$C$14, $D$10, 100%, $F$10)</f>
        <v>34.179000000000002</v>
      </c>
      <c r="D834" s="8">
        <f>34.1624 * CHOOSE( CONTROL!$C$14, $D$10, 100%, $F$10)</f>
        <v>34.162399999999998</v>
      </c>
      <c r="E834" s="12">
        <f>34.1679 * CHOOSE( CONTROL!$C$14, $D$10, 100%, $F$10)</f>
        <v>34.167900000000003</v>
      </c>
      <c r="F834" s="4">
        <f>34.8265 * CHOOSE(CONTROL!$C$14, $D$10, 100%, $F$10)</f>
        <v>34.826500000000003</v>
      </c>
      <c r="G834" s="8">
        <f>33.5885 * CHOOSE( CONTROL!$C$14, $D$10, 100%, $F$10)</f>
        <v>33.588500000000003</v>
      </c>
      <c r="H834" s="4">
        <f>34.4778 * CHOOSE(CONTROL!$C$14, $D$10, 100%, $F$10)</f>
        <v>34.477800000000002</v>
      </c>
      <c r="I834" s="8">
        <f>33.1023 * CHOOSE(CONTROL!$C$14, $D$10, 100%, $F$10)</f>
        <v>33.1023</v>
      </c>
      <c r="J834" s="4">
        <f>33.0067 * CHOOSE(CONTROL!$C$14, $D$10, 100%, $F$10)</f>
        <v>33.006700000000002</v>
      </c>
      <c r="K834" s="4"/>
      <c r="L834" s="9">
        <v>29.306000000000001</v>
      </c>
      <c r="M834" s="9">
        <v>12.063700000000001</v>
      </c>
      <c r="N834" s="9">
        <v>4.9444999999999997</v>
      </c>
      <c r="O834" s="9">
        <v>0.37409999999999999</v>
      </c>
      <c r="P834" s="9">
        <v>1.2927</v>
      </c>
      <c r="Q834" s="9">
        <v>19.688099999999999</v>
      </c>
      <c r="R834" s="9"/>
      <c r="S834" s="11"/>
    </row>
    <row r="835" spans="1:19" ht="15.75">
      <c r="A835" s="13">
        <v>67327</v>
      </c>
      <c r="B835" s="8">
        <f>34.6936 * CHOOSE(CONTROL!$C$14, $D$10, 100%, $F$10)</f>
        <v>34.693600000000004</v>
      </c>
      <c r="C835" s="8">
        <f>34.6981 * CHOOSE(CONTROL!$C$14, $D$10, 100%, $F$10)</f>
        <v>34.698099999999997</v>
      </c>
      <c r="D835" s="8">
        <f>34.7076 * CHOOSE( CONTROL!$C$14, $D$10, 100%, $F$10)</f>
        <v>34.707599999999999</v>
      </c>
      <c r="E835" s="12">
        <f>34.7039 * CHOOSE( CONTROL!$C$14, $D$10, 100%, $F$10)</f>
        <v>34.703899999999997</v>
      </c>
      <c r="F835" s="4">
        <f>35.3765 * CHOOSE(CONTROL!$C$14, $D$10, 100%, $F$10)</f>
        <v>35.3765</v>
      </c>
      <c r="G835" s="8">
        <f>34.0887 * CHOOSE( CONTROL!$C$14, $D$10, 100%, $F$10)</f>
        <v>34.088700000000003</v>
      </c>
      <c r="H835" s="4">
        <f>35.0186 * CHOOSE(CONTROL!$C$14, $D$10, 100%, $F$10)</f>
        <v>35.018599999999999</v>
      </c>
      <c r="I835" s="8">
        <f>33.6152 * CHOOSE(CONTROL!$C$14, $D$10, 100%, $F$10)</f>
        <v>33.615200000000002</v>
      </c>
      <c r="J835" s="4">
        <f>33.5083 * CHOOSE(CONTROL!$C$14, $D$10, 100%, $F$10)</f>
        <v>33.508299999999998</v>
      </c>
      <c r="K835" s="4"/>
      <c r="L835" s="9">
        <v>30.092199999999998</v>
      </c>
      <c r="M835" s="9">
        <v>11.6745</v>
      </c>
      <c r="N835" s="9">
        <v>4.7850000000000001</v>
      </c>
      <c r="O835" s="9">
        <v>0.36199999999999999</v>
      </c>
      <c r="P835" s="9">
        <v>1.1791</v>
      </c>
      <c r="Q835" s="9">
        <v>19.053000000000001</v>
      </c>
      <c r="R835" s="9"/>
      <c r="S835" s="11"/>
    </row>
    <row r="836" spans="1:19" ht="15.75">
      <c r="A836" s="13">
        <v>67358</v>
      </c>
      <c r="B836" s="8">
        <f>CHOOSE( CONTROL!$C$31, 35.6215, 35.6185) * CHOOSE(CONTROL!$C$14, $D$10, 100%, $F$10)</f>
        <v>35.621499999999997</v>
      </c>
      <c r="C836" s="8">
        <f>CHOOSE( CONTROL!$C$31, 35.6295, 35.6265) * CHOOSE(CONTROL!$C$14, $D$10, 100%, $F$10)</f>
        <v>35.6295</v>
      </c>
      <c r="D836" s="8">
        <f>CHOOSE( CONTROL!$C$31, 35.6341, 35.6312) * CHOOSE( CONTROL!$C$14, $D$10, 100%, $F$10)</f>
        <v>35.634099999999997</v>
      </c>
      <c r="E836" s="12">
        <f>CHOOSE( CONTROL!$C$31, 35.6312, 35.6283) * CHOOSE( CONTROL!$C$14, $D$10, 100%, $F$10)</f>
        <v>35.6312</v>
      </c>
      <c r="F836" s="4">
        <f>CHOOSE( CONTROL!$C$31, 36.303, 36.3001) * CHOOSE(CONTROL!$C$14, $D$10, 100%, $F$10)</f>
        <v>36.302999999999997</v>
      </c>
      <c r="G836" s="8">
        <f>CHOOSE( CONTROL!$C$31, 35.0008, 34.9979) * CHOOSE( CONTROL!$C$14, $D$10, 100%, $F$10)</f>
        <v>35.000799999999998</v>
      </c>
      <c r="H836" s="4">
        <f>CHOOSE( CONTROL!$C$31, 35.9298, 35.9269) * CHOOSE(CONTROL!$C$14, $D$10, 100%, $F$10)</f>
        <v>35.9298</v>
      </c>
      <c r="I836" s="8">
        <f>CHOOSE( CONTROL!$C$31, 34.5124, 34.5096) * CHOOSE(CONTROL!$C$14, $D$10, 100%, $F$10)</f>
        <v>34.5124</v>
      </c>
      <c r="J836" s="4">
        <f>CHOOSE( CONTROL!$C$31, 34.404, 34.4012) * CHOOSE(CONTROL!$C$14, $D$10, 100%, $F$10)</f>
        <v>34.404000000000003</v>
      </c>
      <c r="K836" s="4"/>
      <c r="L836" s="9">
        <v>30.7165</v>
      </c>
      <c r="M836" s="9">
        <v>12.063700000000001</v>
      </c>
      <c r="N836" s="9">
        <v>4.9444999999999997</v>
      </c>
      <c r="O836" s="9">
        <v>0.37409999999999999</v>
      </c>
      <c r="P836" s="9">
        <v>1.2183999999999999</v>
      </c>
      <c r="Q836" s="9">
        <v>19.688099999999999</v>
      </c>
      <c r="R836" s="9"/>
      <c r="S836" s="11"/>
    </row>
    <row r="837" spans="1:19" ht="15.75">
      <c r="A837" s="13">
        <v>67388</v>
      </c>
      <c r="B837" s="8">
        <f>CHOOSE( CONTROL!$C$31, 35.0493, 35.0464) * CHOOSE(CONTROL!$C$14, $D$10, 100%, $F$10)</f>
        <v>35.049300000000002</v>
      </c>
      <c r="C837" s="8">
        <f>CHOOSE( CONTROL!$C$31, 35.0573, 35.0544) * CHOOSE(CONTROL!$C$14, $D$10, 100%, $F$10)</f>
        <v>35.057299999999998</v>
      </c>
      <c r="D837" s="8">
        <f>CHOOSE( CONTROL!$C$31, 35.0622, 35.0593) * CHOOSE( CONTROL!$C$14, $D$10, 100%, $F$10)</f>
        <v>35.062199999999997</v>
      </c>
      <c r="E837" s="12">
        <f>CHOOSE( CONTROL!$C$31, 35.0592, 35.0563) * CHOOSE( CONTROL!$C$14, $D$10, 100%, $F$10)</f>
        <v>35.059199999999997</v>
      </c>
      <c r="F837" s="4">
        <f>CHOOSE( CONTROL!$C$31, 35.7309, 35.7279) * CHOOSE(CONTROL!$C$14, $D$10, 100%, $F$10)</f>
        <v>35.730899999999998</v>
      </c>
      <c r="G837" s="8">
        <f>CHOOSE( CONTROL!$C$31, 34.4385, 34.4356) * CHOOSE( CONTROL!$C$14, $D$10, 100%, $F$10)</f>
        <v>34.438499999999998</v>
      </c>
      <c r="H837" s="4">
        <f>CHOOSE( CONTROL!$C$31, 35.3671, 35.3643) * CHOOSE(CONTROL!$C$14, $D$10, 100%, $F$10)</f>
        <v>35.367100000000001</v>
      </c>
      <c r="I837" s="8">
        <f>CHOOSE( CONTROL!$C$31, 33.9603, 33.9574) * CHOOSE(CONTROL!$C$14, $D$10, 100%, $F$10)</f>
        <v>33.960299999999997</v>
      </c>
      <c r="J837" s="4">
        <f>CHOOSE( CONTROL!$C$31, 33.8509, 33.8481) * CHOOSE(CONTROL!$C$14, $D$10, 100%, $F$10)</f>
        <v>33.850900000000003</v>
      </c>
      <c r="K837" s="4"/>
      <c r="L837" s="9">
        <v>29.7257</v>
      </c>
      <c r="M837" s="9">
        <v>11.6745</v>
      </c>
      <c r="N837" s="9">
        <v>4.7850000000000001</v>
      </c>
      <c r="O837" s="9">
        <v>0.36199999999999999</v>
      </c>
      <c r="P837" s="9">
        <v>1.1791</v>
      </c>
      <c r="Q837" s="9">
        <v>19.053000000000001</v>
      </c>
      <c r="R837" s="9"/>
      <c r="S837" s="11"/>
    </row>
    <row r="838" spans="1:19" ht="15.75">
      <c r="A838" s="13">
        <v>67419</v>
      </c>
      <c r="B838" s="8">
        <f>CHOOSE( CONTROL!$C$31, 36.556, 36.553) * CHOOSE(CONTROL!$C$14, $D$10, 100%, $F$10)</f>
        <v>36.555999999999997</v>
      </c>
      <c r="C838" s="8">
        <f>CHOOSE( CONTROL!$C$31, 36.564, 36.5611) * CHOOSE(CONTROL!$C$14, $D$10, 100%, $F$10)</f>
        <v>36.564</v>
      </c>
      <c r="D838" s="8">
        <f>CHOOSE( CONTROL!$C$31, 36.5691, 36.5662) * CHOOSE( CONTROL!$C$14, $D$10, 100%, $F$10)</f>
        <v>36.569099999999999</v>
      </c>
      <c r="E838" s="12">
        <f>CHOOSE( CONTROL!$C$31, 36.566, 36.5631) * CHOOSE( CONTROL!$C$14, $D$10, 100%, $F$10)</f>
        <v>36.566000000000003</v>
      </c>
      <c r="F838" s="4">
        <f>CHOOSE( CONTROL!$C$31, 37.2375, 37.2346) * CHOOSE(CONTROL!$C$14, $D$10, 100%, $F$10)</f>
        <v>37.237499999999997</v>
      </c>
      <c r="G838" s="8">
        <f>CHOOSE( CONTROL!$C$31, 35.9205, 35.9177) * CHOOSE( CONTROL!$C$14, $D$10, 100%, $F$10)</f>
        <v>35.920499999999997</v>
      </c>
      <c r="H838" s="4">
        <f>CHOOSE( CONTROL!$C$31, 36.8488, 36.8459) * CHOOSE(CONTROL!$C$14, $D$10, 100%, $F$10)</f>
        <v>36.848799999999997</v>
      </c>
      <c r="I838" s="8">
        <f>CHOOSE( CONTROL!$C$31, 35.4186, 35.4158) * CHOOSE(CONTROL!$C$14, $D$10, 100%, $F$10)</f>
        <v>35.418599999999998</v>
      </c>
      <c r="J838" s="4">
        <f>CHOOSE( CONTROL!$C$31, 35.3074, 35.3046) * CHOOSE(CONTROL!$C$14, $D$10, 100%, $F$10)</f>
        <v>35.307400000000001</v>
      </c>
      <c r="K838" s="4"/>
      <c r="L838" s="9">
        <v>30.7165</v>
      </c>
      <c r="M838" s="9">
        <v>12.063700000000001</v>
      </c>
      <c r="N838" s="9">
        <v>4.9444999999999997</v>
      </c>
      <c r="O838" s="9">
        <v>0.37409999999999999</v>
      </c>
      <c r="P838" s="9">
        <v>1.2183999999999999</v>
      </c>
      <c r="Q838" s="9">
        <v>19.688099999999999</v>
      </c>
      <c r="R838" s="9"/>
      <c r="S838" s="11"/>
    </row>
    <row r="839" spans="1:19" ht="15.75">
      <c r="A839" s="13">
        <v>67450</v>
      </c>
      <c r="B839" s="8">
        <f>CHOOSE( CONTROL!$C$31, 33.7368, 33.7339) * CHOOSE(CONTROL!$C$14, $D$10, 100%, $F$10)</f>
        <v>33.736800000000002</v>
      </c>
      <c r="C839" s="8">
        <f>CHOOSE( CONTROL!$C$31, 33.7449, 33.7419) * CHOOSE(CONTROL!$C$14, $D$10, 100%, $F$10)</f>
        <v>33.744900000000001</v>
      </c>
      <c r="D839" s="8">
        <f>CHOOSE( CONTROL!$C$31, 33.7501, 33.7471) * CHOOSE( CONTROL!$C$14, $D$10, 100%, $F$10)</f>
        <v>33.750100000000003</v>
      </c>
      <c r="E839" s="12">
        <f>CHOOSE( CONTROL!$C$31, 33.747, 33.744) * CHOOSE( CONTROL!$C$14, $D$10, 100%, $F$10)</f>
        <v>33.747</v>
      </c>
      <c r="F839" s="4">
        <f>CHOOSE( CONTROL!$C$31, 34.4184, 34.4155) * CHOOSE(CONTROL!$C$14, $D$10, 100%, $F$10)</f>
        <v>34.418399999999998</v>
      </c>
      <c r="G839" s="8">
        <f>CHOOSE( CONTROL!$C$31, 33.1483, 33.1454) * CHOOSE( CONTROL!$C$14, $D$10, 100%, $F$10)</f>
        <v>33.148299999999999</v>
      </c>
      <c r="H839" s="4">
        <f>CHOOSE( CONTROL!$C$31, 34.0764, 34.0736) * CHOOSE(CONTROL!$C$14, $D$10, 100%, $F$10)</f>
        <v>34.0764</v>
      </c>
      <c r="I839" s="8">
        <f>CHOOSE( CONTROL!$C$31, 32.6924, 32.6896) * CHOOSE(CONTROL!$C$14, $D$10, 100%, $F$10)</f>
        <v>32.692399999999999</v>
      </c>
      <c r="J839" s="4">
        <f>CHOOSE( CONTROL!$C$31, 32.5822, 32.5793) * CHOOSE(CONTROL!$C$14, $D$10, 100%, $F$10)</f>
        <v>32.5822</v>
      </c>
      <c r="K839" s="4"/>
      <c r="L839" s="9">
        <v>30.7165</v>
      </c>
      <c r="M839" s="9">
        <v>12.063700000000001</v>
      </c>
      <c r="N839" s="9">
        <v>4.9444999999999997</v>
      </c>
      <c r="O839" s="9">
        <v>0.37409999999999999</v>
      </c>
      <c r="P839" s="9">
        <v>1.2183999999999999</v>
      </c>
      <c r="Q839" s="9">
        <v>19.688099999999999</v>
      </c>
      <c r="R839" s="9"/>
      <c r="S839" s="11"/>
    </row>
    <row r="840" spans="1:19" ht="15.75">
      <c r="A840" s="13">
        <v>67480</v>
      </c>
      <c r="B840" s="8">
        <f>CHOOSE( CONTROL!$C$31, 33.0309, 33.028) * CHOOSE(CONTROL!$C$14, $D$10, 100%, $F$10)</f>
        <v>33.030900000000003</v>
      </c>
      <c r="C840" s="8">
        <f>CHOOSE( CONTROL!$C$31, 33.0389, 33.036) * CHOOSE(CONTROL!$C$14, $D$10, 100%, $F$10)</f>
        <v>33.038899999999998</v>
      </c>
      <c r="D840" s="8">
        <f>CHOOSE( CONTROL!$C$31, 33.0441, 33.0412) * CHOOSE( CONTROL!$C$14, $D$10, 100%, $F$10)</f>
        <v>33.0441</v>
      </c>
      <c r="E840" s="12">
        <f>CHOOSE( CONTROL!$C$31, 33.041, 33.0381) * CHOOSE( CONTROL!$C$14, $D$10, 100%, $F$10)</f>
        <v>33.040999999999997</v>
      </c>
      <c r="F840" s="4">
        <f>CHOOSE( CONTROL!$C$31, 33.7124, 33.7095) * CHOOSE(CONTROL!$C$14, $D$10, 100%, $F$10)</f>
        <v>33.712400000000002</v>
      </c>
      <c r="G840" s="8">
        <f>CHOOSE( CONTROL!$C$31, 32.454, 32.4512) * CHOOSE( CONTROL!$C$14, $D$10, 100%, $F$10)</f>
        <v>32.454000000000001</v>
      </c>
      <c r="H840" s="4">
        <f>CHOOSE( CONTROL!$C$31, 33.3822, 33.3793) * CHOOSE(CONTROL!$C$14, $D$10, 100%, $F$10)</f>
        <v>33.382199999999997</v>
      </c>
      <c r="I840" s="8">
        <f>CHOOSE( CONTROL!$C$31, 32.0096, 32.0068) * CHOOSE(CONTROL!$C$14, $D$10, 100%, $F$10)</f>
        <v>32.009599999999999</v>
      </c>
      <c r="J840" s="4">
        <f>CHOOSE( CONTROL!$C$31, 31.8997, 31.8969) * CHOOSE(CONTROL!$C$14, $D$10, 100%, $F$10)</f>
        <v>31.899699999999999</v>
      </c>
      <c r="K840" s="4"/>
      <c r="L840" s="9">
        <v>29.7257</v>
      </c>
      <c r="M840" s="9">
        <v>11.6745</v>
      </c>
      <c r="N840" s="9">
        <v>4.7850000000000001</v>
      </c>
      <c r="O840" s="9">
        <v>0.36199999999999999</v>
      </c>
      <c r="P840" s="9">
        <v>1.1791</v>
      </c>
      <c r="Q840" s="9">
        <v>19.053000000000001</v>
      </c>
      <c r="R840" s="9"/>
      <c r="S840" s="11"/>
    </row>
    <row r="841" spans="1:19" ht="15.75">
      <c r="A841" s="13">
        <v>67511</v>
      </c>
      <c r="B841" s="8">
        <f>34.492 * CHOOSE(CONTROL!$C$14, $D$10, 100%, $F$10)</f>
        <v>34.491999999999997</v>
      </c>
      <c r="C841" s="8">
        <f>34.4974 * CHOOSE(CONTROL!$C$14, $D$10, 100%, $F$10)</f>
        <v>34.497399999999999</v>
      </c>
      <c r="D841" s="8">
        <f>34.5074 * CHOOSE( CONTROL!$C$14, $D$10, 100%, $F$10)</f>
        <v>34.507399999999997</v>
      </c>
      <c r="E841" s="12">
        <f>34.5035 * CHOOSE( CONTROL!$C$14, $D$10, 100%, $F$10)</f>
        <v>34.503500000000003</v>
      </c>
      <c r="F841" s="4">
        <f>35.1753 * CHOOSE(CONTROL!$C$14, $D$10, 100%, $F$10)</f>
        <v>35.1753</v>
      </c>
      <c r="G841" s="8">
        <f>33.8923 * CHOOSE( CONTROL!$C$14, $D$10, 100%, $F$10)</f>
        <v>33.892299999999999</v>
      </c>
      <c r="H841" s="4">
        <f>34.8208 * CHOOSE(CONTROL!$C$14, $D$10, 100%, $F$10)</f>
        <v>34.820799999999998</v>
      </c>
      <c r="I841" s="8">
        <f>33.4252 * CHOOSE(CONTROL!$C$14, $D$10, 100%, $F$10)</f>
        <v>33.425199999999997</v>
      </c>
      <c r="J841" s="4">
        <f>33.3139 * CHOOSE(CONTROL!$C$14, $D$10, 100%, $F$10)</f>
        <v>33.313899999999997</v>
      </c>
      <c r="K841" s="4"/>
      <c r="L841" s="9">
        <v>31.095300000000002</v>
      </c>
      <c r="M841" s="9">
        <v>12.063700000000001</v>
      </c>
      <c r="N841" s="9">
        <v>4.9444999999999997</v>
      </c>
      <c r="O841" s="9">
        <v>0.37409999999999999</v>
      </c>
      <c r="P841" s="9">
        <v>1.2183999999999999</v>
      </c>
      <c r="Q841" s="9">
        <v>19.688099999999999</v>
      </c>
      <c r="R841" s="9"/>
      <c r="S841" s="11"/>
    </row>
    <row r="842" spans="1:19" ht="15.75">
      <c r="A842" s="13">
        <v>67541</v>
      </c>
      <c r="B842" s="8">
        <f>37.1972 * CHOOSE(CONTROL!$C$14, $D$10, 100%, $F$10)</f>
        <v>37.197200000000002</v>
      </c>
      <c r="C842" s="8">
        <f>37.2023 * CHOOSE(CONTROL!$C$14, $D$10, 100%, $F$10)</f>
        <v>37.202300000000001</v>
      </c>
      <c r="D842" s="8">
        <f>37.1785 * CHOOSE( CONTROL!$C$14, $D$10, 100%, $F$10)</f>
        <v>37.1785</v>
      </c>
      <c r="E842" s="12">
        <f>37.1867 * CHOOSE( CONTROL!$C$14, $D$10, 100%, $F$10)</f>
        <v>37.186700000000002</v>
      </c>
      <c r="F842" s="4">
        <f>37.8446 * CHOOSE(CONTROL!$C$14, $D$10, 100%, $F$10)</f>
        <v>37.8446</v>
      </c>
      <c r="G842" s="8">
        <f>36.5627 * CHOOSE( CONTROL!$C$14, $D$10, 100%, $F$10)</f>
        <v>36.5627</v>
      </c>
      <c r="H842" s="4">
        <f>37.4459 * CHOOSE(CONTROL!$C$14, $D$10, 100%, $F$10)</f>
        <v>37.445900000000002</v>
      </c>
      <c r="I842" s="8">
        <f>36.0725 * CHOOSE(CONTROL!$C$14, $D$10, 100%, $F$10)</f>
        <v>36.072499999999998</v>
      </c>
      <c r="J842" s="4">
        <f>35.9293 * CHOOSE(CONTROL!$C$14, $D$10, 100%, $F$10)</f>
        <v>35.929299999999998</v>
      </c>
      <c r="K842" s="4"/>
      <c r="L842" s="9">
        <v>28.360600000000002</v>
      </c>
      <c r="M842" s="9">
        <v>11.6745</v>
      </c>
      <c r="N842" s="9">
        <v>4.7850000000000001</v>
      </c>
      <c r="O842" s="9">
        <v>0.36199999999999999</v>
      </c>
      <c r="P842" s="9">
        <v>1.2509999999999999</v>
      </c>
      <c r="Q842" s="9">
        <v>19.053000000000001</v>
      </c>
      <c r="R842" s="9"/>
      <c r="S842" s="11"/>
    </row>
    <row r="843" spans="1:19" ht="15.75">
      <c r="A843" s="13">
        <v>67572</v>
      </c>
      <c r="B843" s="8">
        <f>37.1296 * CHOOSE(CONTROL!$C$14, $D$10, 100%, $F$10)</f>
        <v>37.129600000000003</v>
      </c>
      <c r="C843" s="8">
        <f>37.1347 * CHOOSE(CONTROL!$C$14, $D$10, 100%, $F$10)</f>
        <v>37.134700000000002</v>
      </c>
      <c r="D843" s="8">
        <f>37.1123 * CHOOSE( CONTROL!$C$14, $D$10, 100%, $F$10)</f>
        <v>37.112299999999998</v>
      </c>
      <c r="E843" s="12">
        <f>37.1199 * CHOOSE( CONTROL!$C$14, $D$10, 100%, $F$10)</f>
        <v>37.119900000000001</v>
      </c>
      <c r="F843" s="4">
        <f>37.777 * CHOOSE(CONTROL!$C$14, $D$10, 100%, $F$10)</f>
        <v>37.777000000000001</v>
      </c>
      <c r="G843" s="8">
        <f>36.4973 * CHOOSE( CONTROL!$C$14, $D$10, 100%, $F$10)</f>
        <v>36.497300000000003</v>
      </c>
      <c r="H843" s="4">
        <f>37.3794 * CHOOSE(CONTROL!$C$14, $D$10, 100%, $F$10)</f>
        <v>37.379399999999997</v>
      </c>
      <c r="I843" s="8">
        <f>36.0115 * CHOOSE(CONTROL!$C$14, $D$10, 100%, $F$10)</f>
        <v>36.011499999999998</v>
      </c>
      <c r="J843" s="4">
        <f>35.864 * CHOOSE(CONTROL!$C$14, $D$10, 100%, $F$10)</f>
        <v>35.863999999999997</v>
      </c>
      <c r="K843" s="4"/>
      <c r="L843" s="9">
        <v>29.306000000000001</v>
      </c>
      <c r="M843" s="9">
        <v>12.063700000000001</v>
      </c>
      <c r="N843" s="9">
        <v>4.9444999999999997</v>
      </c>
      <c r="O843" s="9">
        <v>0.37409999999999999</v>
      </c>
      <c r="P843" s="9">
        <v>1.2927</v>
      </c>
      <c r="Q843" s="9">
        <v>19.688099999999999</v>
      </c>
      <c r="R843" s="9"/>
      <c r="S843" s="11"/>
    </row>
    <row r="844" spans="1:19" ht="15.75">
      <c r="A844" s="13">
        <v>67603</v>
      </c>
      <c r="B844" s="8">
        <f>38.5475 * CHOOSE(CONTROL!$C$14, $D$10, 100%, $F$10)</f>
        <v>38.547499999999999</v>
      </c>
      <c r="C844" s="8">
        <f>38.5526 * CHOOSE(CONTROL!$C$14, $D$10, 100%, $F$10)</f>
        <v>38.552599999999998</v>
      </c>
      <c r="D844" s="8">
        <f>38.5484 * CHOOSE( CONTROL!$C$14, $D$10, 100%, $F$10)</f>
        <v>38.548400000000001</v>
      </c>
      <c r="E844" s="12">
        <f>38.5494 * CHOOSE( CONTROL!$C$14, $D$10, 100%, $F$10)</f>
        <v>38.549399999999999</v>
      </c>
      <c r="F844" s="4">
        <f>39.226 * CHOOSE(CONTROL!$C$14, $D$10, 100%, $F$10)</f>
        <v>39.225999999999999</v>
      </c>
      <c r="G844" s="8">
        <f>37.9059 * CHOOSE( CONTROL!$C$14, $D$10, 100%, $F$10)</f>
        <v>37.905900000000003</v>
      </c>
      <c r="H844" s="4">
        <f>38.8043 * CHOOSE(CONTROL!$C$14, $D$10, 100%, $F$10)</f>
        <v>38.804299999999998</v>
      </c>
      <c r="I844" s="8">
        <f>37.3619 * CHOOSE(CONTROL!$C$14, $D$10, 100%, $F$10)</f>
        <v>37.361899999999999</v>
      </c>
      <c r="J844" s="4">
        <f>37.2347 * CHOOSE(CONTROL!$C$14, $D$10, 100%, $F$10)</f>
        <v>37.234699999999997</v>
      </c>
      <c r="K844" s="4"/>
      <c r="L844" s="9">
        <v>29.306000000000001</v>
      </c>
      <c r="M844" s="9">
        <v>12.063700000000001</v>
      </c>
      <c r="N844" s="9">
        <v>4.9444999999999997</v>
      </c>
      <c r="O844" s="9">
        <v>0.37409999999999999</v>
      </c>
      <c r="P844" s="9">
        <v>1.2927</v>
      </c>
      <c r="Q844" s="9">
        <v>19.688099999999999</v>
      </c>
      <c r="R844" s="9"/>
      <c r="S844" s="11"/>
    </row>
    <row r="845" spans="1:19" ht="15.75">
      <c r="A845" s="13">
        <v>67631</v>
      </c>
      <c r="B845" s="8">
        <f>36.0574 * CHOOSE(CONTROL!$C$14, $D$10, 100%, $F$10)</f>
        <v>36.057400000000001</v>
      </c>
      <c r="C845" s="8">
        <f>36.0625 * CHOOSE(CONTROL!$C$14, $D$10, 100%, $F$10)</f>
        <v>36.0625</v>
      </c>
      <c r="D845" s="8">
        <f>36.0524 * CHOOSE( CONTROL!$C$14, $D$10, 100%, $F$10)</f>
        <v>36.052399999999999</v>
      </c>
      <c r="E845" s="12">
        <f>36.0555 * CHOOSE( CONTROL!$C$14, $D$10, 100%, $F$10)</f>
        <v>36.055500000000002</v>
      </c>
      <c r="F845" s="4">
        <f>36.71 * CHOOSE(CONTROL!$C$14, $D$10, 100%, $F$10)</f>
        <v>36.71</v>
      </c>
      <c r="G845" s="8">
        <f>35.449 * CHOOSE( CONTROL!$C$14, $D$10, 100%, $F$10)</f>
        <v>35.448999999999998</v>
      </c>
      <c r="H845" s="4">
        <f>36.3301 * CHOOSE(CONTROL!$C$14, $D$10, 100%, $F$10)</f>
        <v>36.330100000000002</v>
      </c>
      <c r="I845" s="8">
        <f>34.9442 * CHOOSE(CONTROL!$C$14, $D$10, 100%, $F$10)</f>
        <v>34.944200000000002</v>
      </c>
      <c r="J845" s="4">
        <f>34.8275 * CHOOSE(CONTROL!$C$14, $D$10, 100%, $F$10)</f>
        <v>34.827500000000001</v>
      </c>
      <c r="K845" s="4"/>
      <c r="L845" s="9">
        <v>26.469899999999999</v>
      </c>
      <c r="M845" s="9">
        <v>10.8962</v>
      </c>
      <c r="N845" s="9">
        <v>4.4660000000000002</v>
      </c>
      <c r="O845" s="9">
        <v>0.33789999999999998</v>
      </c>
      <c r="P845" s="9">
        <v>1.1676</v>
      </c>
      <c r="Q845" s="9">
        <v>17.782800000000002</v>
      </c>
      <c r="R845" s="9"/>
      <c r="S845" s="11"/>
    </row>
    <row r="846" spans="1:19" ht="15.75">
      <c r="A846" s="13">
        <v>67662</v>
      </c>
      <c r="B846" s="8">
        <f>35.2905 * CHOOSE(CONTROL!$C$14, $D$10, 100%, $F$10)</f>
        <v>35.290500000000002</v>
      </c>
      <c r="C846" s="8">
        <f>35.2956 * CHOOSE(CONTROL!$C$14, $D$10, 100%, $F$10)</f>
        <v>35.2956</v>
      </c>
      <c r="D846" s="8">
        <f>35.279 * CHOOSE( CONTROL!$C$14, $D$10, 100%, $F$10)</f>
        <v>35.279000000000003</v>
      </c>
      <c r="E846" s="12">
        <f>35.2845 * CHOOSE( CONTROL!$C$14, $D$10, 100%, $F$10)</f>
        <v>35.284500000000001</v>
      </c>
      <c r="F846" s="4">
        <f>35.9431 * CHOOSE(CONTROL!$C$14, $D$10, 100%, $F$10)</f>
        <v>35.943100000000001</v>
      </c>
      <c r="G846" s="8">
        <f>34.6866 * CHOOSE( CONTROL!$C$14, $D$10, 100%, $F$10)</f>
        <v>34.686599999999999</v>
      </c>
      <c r="H846" s="4">
        <f>35.5759 * CHOOSE(CONTROL!$C$14, $D$10, 100%, $F$10)</f>
        <v>35.575899999999997</v>
      </c>
      <c r="I846" s="8">
        <f>34.1823 * CHOOSE(CONTROL!$C$14, $D$10, 100%, $F$10)</f>
        <v>34.182299999999998</v>
      </c>
      <c r="J846" s="4">
        <f>34.0861 * CHOOSE(CONTROL!$C$14, $D$10, 100%, $F$10)</f>
        <v>34.086100000000002</v>
      </c>
      <c r="K846" s="4"/>
      <c r="L846" s="9">
        <v>29.306000000000001</v>
      </c>
      <c r="M846" s="9">
        <v>12.063700000000001</v>
      </c>
      <c r="N846" s="9">
        <v>4.9444999999999997</v>
      </c>
      <c r="O846" s="9">
        <v>0.37409999999999999</v>
      </c>
      <c r="P846" s="9">
        <v>1.2927</v>
      </c>
      <c r="Q846" s="9">
        <v>19.688099999999999</v>
      </c>
      <c r="R846" s="9"/>
      <c r="S846" s="11"/>
    </row>
    <row r="847" spans="1:19" ht="15.75">
      <c r="A847" s="13">
        <v>67692</v>
      </c>
      <c r="B847" s="8">
        <f>35.8272 * CHOOSE(CONTROL!$C$14, $D$10, 100%, $F$10)</f>
        <v>35.827199999999998</v>
      </c>
      <c r="C847" s="8">
        <f>35.8317 * CHOOSE(CONTROL!$C$14, $D$10, 100%, $F$10)</f>
        <v>35.831699999999998</v>
      </c>
      <c r="D847" s="8">
        <f>35.8412 * CHOOSE( CONTROL!$C$14, $D$10, 100%, $F$10)</f>
        <v>35.841200000000001</v>
      </c>
      <c r="E847" s="12">
        <f>35.8375 * CHOOSE( CONTROL!$C$14, $D$10, 100%, $F$10)</f>
        <v>35.837499999999999</v>
      </c>
      <c r="F847" s="4">
        <f>36.5101 * CHOOSE(CONTROL!$C$14, $D$10, 100%, $F$10)</f>
        <v>36.510100000000001</v>
      </c>
      <c r="G847" s="8">
        <f>35.2035 * CHOOSE( CONTROL!$C$14, $D$10, 100%, $F$10)</f>
        <v>35.203499999999998</v>
      </c>
      <c r="H847" s="4">
        <f>36.1334 * CHOOSE(CONTROL!$C$14, $D$10, 100%, $F$10)</f>
        <v>36.133400000000002</v>
      </c>
      <c r="I847" s="8">
        <f>34.7116 * CHOOSE(CONTROL!$C$14, $D$10, 100%, $F$10)</f>
        <v>34.711599999999997</v>
      </c>
      <c r="J847" s="4">
        <f>34.6042 * CHOOSE(CONTROL!$C$14, $D$10, 100%, $F$10)</f>
        <v>34.604199999999999</v>
      </c>
      <c r="K847" s="4"/>
      <c r="L847" s="9">
        <v>30.092199999999998</v>
      </c>
      <c r="M847" s="9">
        <v>11.6745</v>
      </c>
      <c r="N847" s="9">
        <v>4.7850000000000001</v>
      </c>
      <c r="O847" s="9">
        <v>0.36199999999999999</v>
      </c>
      <c r="P847" s="9">
        <v>1.1791</v>
      </c>
      <c r="Q847" s="9">
        <v>19.053000000000001</v>
      </c>
      <c r="R847" s="9"/>
      <c r="S847" s="11"/>
    </row>
    <row r="848" spans="1:19" ht="15.75">
      <c r="A848" s="13">
        <v>67723</v>
      </c>
      <c r="B848" s="8">
        <f>CHOOSE( CONTROL!$C$31, 36.7853, 36.7823) * CHOOSE(CONTROL!$C$14, $D$10, 100%, $F$10)</f>
        <v>36.785299999999999</v>
      </c>
      <c r="C848" s="8">
        <f>CHOOSE( CONTROL!$C$31, 36.7933, 36.7903) * CHOOSE(CONTROL!$C$14, $D$10, 100%, $F$10)</f>
        <v>36.793300000000002</v>
      </c>
      <c r="D848" s="8">
        <f>CHOOSE( CONTROL!$C$31, 36.7979, 36.795) * CHOOSE( CONTROL!$C$14, $D$10, 100%, $F$10)</f>
        <v>36.797899999999998</v>
      </c>
      <c r="E848" s="12">
        <f>CHOOSE( CONTROL!$C$31, 36.795, 36.7921) * CHOOSE( CONTROL!$C$14, $D$10, 100%, $F$10)</f>
        <v>36.795000000000002</v>
      </c>
      <c r="F848" s="4">
        <f>CHOOSE( CONTROL!$C$31, 37.4668, 37.4639) * CHOOSE(CONTROL!$C$14, $D$10, 100%, $F$10)</f>
        <v>37.466799999999999</v>
      </c>
      <c r="G848" s="8">
        <f>CHOOSE( CONTROL!$C$31, 36.1453, 36.1424) * CHOOSE( CONTROL!$C$14, $D$10, 100%, $F$10)</f>
        <v>36.145299999999999</v>
      </c>
      <c r="H848" s="4">
        <f>CHOOSE( CONTROL!$C$31, 37.0743, 37.0714) * CHOOSE(CONTROL!$C$14, $D$10, 100%, $F$10)</f>
        <v>37.074300000000001</v>
      </c>
      <c r="I848" s="8">
        <f>CHOOSE( CONTROL!$C$31, 35.638, 35.6352) * CHOOSE(CONTROL!$C$14, $D$10, 100%, $F$10)</f>
        <v>35.637999999999998</v>
      </c>
      <c r="J848" s="4">
        <f>CHOOSE( CONTROL!$C$31, 35.5291, 35.5262) * CHOOSE(CONTROL!$C$14, $D$10, 100%, $F$10)</f>
        <v>35.5291</v>
      </c>
      <c r="K848" s="4"/>
      <c r="L848" s="9">
        <v>30.7165</v>
      </c>
      <c r="M848" s="9">
        <v>12.063700000000001</v>
      </c>
      <c r="N848" s="9">
        <v>4.9444999999999997</v>
      </c>
      <c r="O848" s="9">
        <v>0.37409999999999999</v>
      </c>
      <c r="P848" s="9">
        <v>1.2183999999999999</v>
      </c>
      <c r="Q848" s="9">
        <v>19.688099999999999</v>
      </c>
      <c r="R848" s="9"/>
      <c r="S848" s="11"/>
    </row>
    <row r="849" spans="1:19" ht="15.75">
      <c r="A849" s="13">
        <v>67753</v>
      </c>
      <c r="B849" s="8">
        <f>CHOOSE( CONTROL!$C$31, 36.1944, 36.1915) * CHOOSE(CONTROL!$C$14, $D$10, 100%, $F$10)</f>
        <v>36.194400000000002</v>
      </c>
      <c r="C849" s="8">
        <f>CHOOSE( CONTROL!$C$31, 36.2024, 36.1995) * CHOOSE(CONTROL!$C$14, $D$10, 100%, $F$10)</f>
        <v>36.202399999999997</v>
      </c>
      <c r="D849" s="8">
        <f>CHOOSE( CONTROL!$C$31, 36.2073, 36.2044) * CHOOSE( CONTROL!$C$14, $D$10, 100%, $F$10)</f>
        <v>36.207299999999996</v>
      </c>
      <c r="E849" s="12">
        <f>CHOOSE( CONTROL!$C$31, 36.2043, 36.2014) * CHOOSE( CONTROL!$C$14, $D$10, 100%, $F$10)</f>
        <v>36.204300000000003</v>
      </c>
      <c r="F849" s="4">
        <f>CHOOSE( CONTROL!$C$31, 36.8759, 36.873) * CHOOSE(CONTROL!$C$14, $D$10, 100%, $F$10)</f>
        <v>36.875900000000001</v>
      </c>
      <c r="G849" s="8">
        <f>CHOOSE( CONTROL!$C$31, 35.5646, 35.5617) * CHOOSE( CONTROL!$C$14, $D$10, 100%, $F$10)</f>
        <v>35.564599999999999</v>
      </c>
      <c r="H849" s="4">
        <f>CHOOSE( CONTROL!$C$31, 36.4932, 36.4904) * CHOOSE(CONTROL!$C$14, $D$10, 100%, $F$10)</f>
        <v>36.493200000000002</v>
      </c>
      <c r="I849" s="8">
        <f>CHOOSE( CONTROL!$C$31, 35.0678, 35.0649) * CHOOSE(CONTROL!$C$14, $D$10, 100%, $F$10)</f>
        <v>35.067799999999998</v>
      </c>
      <c r="J849" s="4">
        <f>CHOOSE( CONTROL!$C$31, 34.9579, 34.9551) * CHOOSE(CONTROL!$C$14, $D$10, 100%, $F$10)</f>
        <v>34.957900000000002</v>
      </c>
      <c r="K849" s="4"/>
      <c r="L849" s="9">
        <v>29.7257</v>
      </c>
      <c r="M849" s="9">
        <v>11.6745</v>
      </c>
      <c r="N849" s="9">
        <v>4.7850000000000001</v>
      </c>
      <c r="O849" s="9">
        <v>0.36199999999999999</v>
      </c>
      <c r="P849" s="9">
        <v>1.1791</v>
      </c>
      <c r="Q849" s="9">
        <v>19.053000000000001</v>
      </c>
      <c r="R849" s="9"/>
      <c r="S849" s="11"/>
    </row>
    <row r="850" spans="1:19" ht="15.75">
      <c r="A850" s="13">
        <v>67784</v>
      </c>
      <c r="B850" s="8">
        <f>CHOOSE( CONTROL!$C$31, 37.7503, 37.7474) * CHOOSE(CONTROL!$C$14, $D$10, 100%, $F$10)</f>
        <v>37.750300000000003</v>
      </c>
      <c r="C850" s="8">
        <f>CHOOSE( CONTROL!$C$31, 37.7584, 37.7554) * CHOOSE(CONTROL!$C$14, $D$10, 100%, $F$10)</f>
        <v>37.758400000000002</v>
      </c>
      <c r="D850" s="8">
        <f>CHOOSE( CONTROL!$C$31, 37.7635, 37.7606) * CHOOSE( CONTROL!$C$14, $D$10, 100%, $F$10)</f>
        <v>37.763500000000001</v>
      </c>
      <c r="E850" s="12">
        <f>CHOOSE( CONTROL!$C$31, 37.7604, 37.7575) * CHOOSE( CONTROL!$C$14, $D$10, 100%, $F$10)</f>
        <v>37.760399999999997</v>
      </c>
      <c r="F850" s="4">
        <f>CHOOSE( CONTROL!$C$31, 38.4319, 38.429) * CHOOSE(CONTROL!$C$14, $D$10, 100%, $F$10)</f>
        <v>38.431899999999999</v>
      </c>
      <c r="G850" s="8">
        <f>CHOOSE( CONTROL!$C$31, 37.0951, 37.0922) * CHOOSE( CONTROL!$C$14, $D$10, 100%, $F$10)</f>
        <v>37.095100000000002</v>
      </c>
      <c r="H850" s="4">
        <f>CHOOSE( CONTROL!$C$31, 38.0234, 38.0205) * CHOOSE(CONTROL!$C$14, $D$10, 100%, $F$10)</f>
        <v>38.023400000000002</v>
      </c>
      <c r="I850" s="8">
        <f>CHOOSE( CONTROL!$C$31, 36.5738, 36.571) * CHOOSE(CONTROL!$C$14, $D$10, 100%, $F$10)</f>
        <v>36.573799999999999</v>
      </c>
      <c r="J850" s="4">
        <f>CHOOSE( CONTROL!$C$31, 36.462, 36.4592) * CHOOSE(CONTROL!$C$14, $D$10, 100%, $F$10)</f>
        <v>36.462000000000003</v>
      </c>
      <c r="K850" s="4"/>
      <c r="L850" s="9">
        <v>30.7165</v>
      </c>
      <c r="M850" s="9">
        <v>12.063700000000001</v>
      </c>
      <c r="N850" s="9">
        <v>4.9444999999999997</v>
      </c>
      <c r="O850" s="9">
        <v>0.37409999999999999</v>
      </c>
      <c r="P850" s="9">
        <v>1.2183999999999999</v>
      </c>
      <c r="Q850" s="9">
        <v>19.688099999999999</v>
      </c>
      <c r="R850" s="9"/>
      <c r="S850" s="11"/>
    </row>
    <row r="851" spans="1:19" ht="15.75">
      <c r="A851" s="13">
        <v>67815</v>
      </c>
      <c r="B851" s="8">
        <f>CHOOSE( CONTROL!$C$31, 34.839, 34.8361) * CHOOSE(CONTROL!$C$14, $D$10, 100%, $F$10)</f>
        <v>34.838999999999999</v>
      </c>
      <c r="C851" s="8">
        <f>CHOOSE( CONTROL!$C$31, 34.847, 34.8441) * CHOOSE(CONTROL!$C$14, $D$10, 100%, $F$10)</f>
        <v>34.847000000000001</v>
      </c>
      <c r="D851" s="8">
        <f>CHOOSE( CONTROL!$C$31, 34.8522, 34.8493) * CHOOSE( CONTROL!$C$14, $D$10, 100%, $F$10)</f>
        <v>34.852200000000003</v>
      </c>
      <c r="E851" s="12">
        <f>CHOOSE( CONTROL!$C$31, 34.8491, 34.8462) * CHOOSE( CONTROL!$C$14, $D$10, 100%, $F$10)</f>
        <v>34.8491</v>
      </c>
      <c r="F851" s="4">
        <f>CHOOSE( CONTROL!$C$31, 35.5206, 35.5176) * CHOOSE(CONTROL!$C$14, $D$10, 100%, $F$10)</f>
        <v>35.520600000000002</v>
      </c>
      <c r="G851" s="8">
        <f>CHOOSE( CONTROL!$C$31, 34.2322, 34.2293) * CHOOSE( CONTROL!$C$14, $D$10, 100%, $F$10)</f>
        <v>34.232199999999999</v>
      </c>
      <c r="H851" s="4">
        <f>CHOOSE( CONTROL!$C$31, 35.1603, 35.1574) * CHOOSE(CONTROL!$C$14, $D$10, 100%, $F$10)</f>
        <v>35.160299999999999</v>
      </c>
      <c r="I851" s="8">
        <f>CHOOSE( CONTROL!$C$31, 33.7584, 33.7556) * CHOOSE(CONTROL!$C$14, $D$10, 100%, $F$10)</f>
        <v>33.758400000000002</v>
      </c>
      <c r="J851" s="4">
        <f>CHOOSE( CONTROL!$C$31, 33.6476, 33.6448) * CHOOSE(CONTROL!$C$14, $D$10, 100%, $F$10)</f>
        <v>33.647599999999997</v>
      </c>
      <c r="K851" s="4"/>
      <c r="L851" s="9">
        <v>30.7165</v>
      </c>
      <c r="M851" s="9">
        <v>12.063700000000001</v>
      </c>
      <c r="N851" s="9">
        <v>4.9444999999999997</v>
      </c>
      <c r="O851" s="9">
        <v>0.37409999999999999</v>
      </c>
      <c r="P851" s="9">
        <v>1.2183999999999999</v>
      </c>
      <c r="Q851" s="9">
        <v>19.688099999999999</v>
      </c>
      <c r="R851" s="9"/>
      <c r="S851" s="11"/>
    </row>
    <row r="852" spans="1:19" ht="15.75">
      <c r="A852" s="13">
        <v>67845</v>
      </c>
      <c r="B852" s="8">
        <f>CHOOSE( CONTROL!$C$31, 34.11, 34.1071) * CHOOSE(CONTROL!$C$14, $D$10, 100%, $F$10)</f>
        <v>34.11</v>
      </c>
      <c r="C852" s="8">
        <f>CHOOSE( CONTROL!$C$31, 34.118, 34.1151) * CHOOSE(CONTROL!$C$14, $D$10, 100%, $F$10)</f>
        <v>34.118000000000002</v>
      </c>
      <c r="D852" s="8">
        <f>CHOOSE( CONTROL!$C$31, 34.1232, 34.1203) * CHOOSE( CONTROL!$C$14, $D$10, 100%, $F$10)</f>
        <v>34.123199999999997</v>
      </c>
      <c r="E852" s="12">
        <f>CHOOSE( CONTROL!$C$31, 34.1201, 34.1172) * CHOOSE( CONTROL!$C$14, $D$10, 100%, $F$10)</f>
        <v>34.120100000000001</v>
      </c>
      <c r="F852" s="4">
        <f>CHOOSE( CONTROL!$C$31, 34.7915, 34.7886) * CHOOSE(CONTROL!$C$14, $D$10, 100%, $F$10)</f>
        <v>34.791499999999999</v>
      </c>
      <c r="G852" s="8">
        <f>CHOOSE( CONTROL!$C$31, 33.5152, 33.5123) * CHOOSE( CONTROL!$C$14, $D$10, 100%, $F$10)</f>
        <v>33.5152</v>
      </c>
      <c r="H852" s="4">
        <f>CHOOSE( CONTROL!$C$31, 34.4434, 34.4405) * CHOOSE(CONTROL!$C$14, $D$10, 100%, $F$10)</f>
        <v>34.443399999999997</v>
      </c>
      <c r="I852" s="8">
        <f>CHOOSE( CONTROL!$C$31, 33.0533, 33.0504) * CHOOSE(CONTROL!$C$14, $D$10, 100%, $F$10)</f>
        <v>33.0533</v>
      </c>
      <c r="J852" s="4">
        <f>CHOOSE( CONTROL!$C$31, 32.9429, 32.9401) * CHOOSE(CONTROL!$C$14, $D$10, 100%, $F$10)</f>
        <v>32.942900000000002</v>
      </c>
      <c r="K852" s="4"/>
      <c r="L852" s="9">
        <v>29.7257</v>
      </c>
      <c r="M852" s="9">
        <v>11.6745</v>
      </c>
      <c r="N852" s="9">
        <v>4.7850000000000001</v>
      </c>
      <c r="O852" s="9">
        <v>0.36199999999999999</v>
      </c>
      <c r="P852" s="9">
        <v>1.1791</v>
      </c>
      <c r="Q852" s="9">
        <v>19.053000000000001</v>
      </c>
      <c r="R852" s="9"/>
      <c r="S852" s="11"/>
    </row>
    <row r="853" spans="1:19" ht="15.75">
      <c r="A853" s="13">
        <v>67876</v>
      </c>
      <c r="B853" s="8">
        <f>35.619 * CHOOSE(CONTROL!$C$14, $D$10, 100%, $F$10)</f>
        <v>35.619</v>
      </c>
      <c r="C853" s="8">
        <f>35.6244 * CHOOSE(CONTROL!$C$14, $D$10, 100%, $F$10)</f>
        <v>35.624400000000001</v>
      </c>
      <c r="D853" s="8">
        <f>35.6344 * CHOOSE( CONTROL!$C$14, $D$10, 100%, $F$10)</f>
        <v>35.634399999999999</v>
      </c>
      <c r="E853" s="12">
        <f>35.6305 * CHOOSE( CONTROL!$C$14, $D$10, 100%, $F$10)</f>
        <v>35.630499999999998</v>
      </c>
      <c r="F853" s="4">
        <f>36.3023 * CHOOSE(CONTROL!$C$14, $D$10, 100%, $F$10)</f>
        <v>36.302300000000002</v>
      </c>
      <c r="G853" s="8">
        <f>35.0006 * CHOOSE( CONTROL!$C$14, $D$10, 100%, $F$10)</f>
        <v>35.000599999999999</v>
      </c>
      <c r="H853" s="4">
        <f>35.9291 * CHOOSE(CONTROL!$C$14, $D$10, 100%, $F$10)</f>
        <v>35.929099999999998</v>
      </c>
      <c r="I853" s="8">
        <f>34.5153 * CHOOSE(CONTROL!$C$14, $D$10, 100%, $F$10)</f>
        <v>34.515300000000003</v>
      </c>
      <c r="J853" s="4">
        <f>34.4034 * CHOOSE(CONTROL!$C$14, $D$10, 100%, $F$10)</f>
        <v>34.403399999999998</v>
      </c>
      <c r="K853" s="4"/>
      <c r="L853" s="9">
        <v>31.095300000000002</v>
      </c>
      <c r="M853" s="9">
        <v>12.063700000000001</v>
      </c>
      <c r="N853" s="9">
        <v>4.9444999999999997</v>
      </c>
      <c r="O853" s="9">
        <v>0.37409999999999999</v>
      </c>
      <c r="P853" s="9">
        <v>1.2183999999999999</v>
      </c>
      <c r="Q853" s="9">
        <v>19.688099999999999</v>
      </c>
      <c r="R853" s="9"/>
      <c r="S853" s="11"/>
    </row>
    <row r="854" spans="1:19" ht="15.75">
      <c r="A854" s="13">
        <v>67906</v>
      </c>
      <c r="B854" s="8">
        <f>38.4127 * CHOOSE(CONTROL!$C$14, $D$10, 100%, $F$10)</f>
        <v>38.412700000000001</v>
      </c>
      <c r="C854" s="8">
        <f>38.4178 * CHOOSE(CONTROL!$C$14, $D$10, 100%, $F$10)</f>
        <v>38.4178</v>
      </c>
      <c r="D854" s="8">
        <f>38.394 * CHOOSE( CONTROL!$C$14, $D$10, 100%, $F$10)</f>
        <v>38.393999999999998</v>
      </c>
      <c r="E854" s="12">
        <f>38.4022 * CHOOSE( CONTROL!$C$14, $D$10, 100%, $F$10)</f>
        <v>38.402200000000001</v>
      </c>
      <c r="F854" s="4">
        <f>39.0601 * CHOOSE(CONTROL!$C$14, $D$10, 100%, $F$10)</f>
        <v>39.060099999999998</v>
      </c>
      <c r="G854" s="8">
        <f>37.7581 * CHOOSE( CONTROL!$C$14, $D$10, 100%, $F$10)</f>
        <v>37.758099999999999</v>
      </c>
      <c r="H854" s="4">
        <f>38.6412 * CHOOSE(CONTROL!$C$14, $D$10, 100%, $F$10)</f>
        <v>38.641199999999998</v>
      </c>
      <c r="I854" s="8">
        <f>37.2481 * CHOOSE(CONTROL!$C$14, $D$10, 100%, $F$10)</f>
        <v>37.248100000000001</v>
      </c>
      <c r="J854" s="4">
        <f>37.1043 * CHOOSE(CONTROL!$C$14, $D$10, 100%, $F$10)</f>
        <v>37.104300000000002</v>
      </c>
      <c r="K854" s="4"/>
      <c r="L854" s="9">
        <v>28.360600000000002</v>
      </c>
      <c r="M854" s="9">
        <v>11.6745</v>
      </c>
      <c r="N854" s="9">
        <v>4.7850000000000001</v>
      </c>
      <c r="O854" s="9">
        <v>0.36199999999999999</v>
      </c>
      <c r="P854" s="9">
        <v>1.2509999999999999</v>
      </c>
      <c r="Q854" s="9">
        <v>19.053000000000001</v>
      </c>
      <c r="R854" s="9"/>
      <c r="S854" s="11"/>
    </row>
    <row r="855" spans="1:19" ht="15.75">
      <c r="A855" s="13">
        <v>67937</v>
      </c>
      <c r="B855" s="8">
        <f>38.3429 * CHOOSE(CONTROL!$C$14, $D$10, 100%, $F$10)</f>
        <v>38.3429</v>
      </c>
      <c r="C855" s="8">
        <f>38.348 * CHOOSE(CONTROL!$C$14, $D$10, 100%, $F$10)</f>
        <v>38.347999999999999</v>
      </c>
      <c r="D855" s="8">
        <f>38.3256 * CHOOSE( CONTROL!$C$14, $D$10, 100%, $F$10)</f>
        <v>38.325600000000001</v>
      </c>
      <c r="E855" s="12">
        <f>38.3332 * CHOOSE( CONTROL!$C$14, $D$10, 100%, $F$10)</f>
        <v>38.333199999999998</v>
      </c>
      <c r="F855" s="4">
        <f>38.9903 * CHOOSE(CONTROL!$C$14, $D$10, 100%, $F$10)</f>
        <v>38.990299999999998</v>
      </c>
      <c r="G855" s="8">
        <f>37.6904 * CHOOSE( CONTROL!$C$14, $D$10, 100%, $F$10)</f>
        <v>37.690399999999997</v>
      </c>
      <c r="H855" s="4">
        <f>38.5726 * CHOOSE(CONTROL!$C$14, $D$10, 100%, $F$10)</f>
        <v>38.572600000000001</v>
      </c>
      <c r="I855" s="8">
        <f>37.185 * CHOOSE(CONTROL!$C$14, $D$10, 100%, $F$10)</f>
        <v>37.185000000000002</v>
      </c>
      <c r="J855" s="4">
        <f>37.0369 * CHOOSE(CONTROL!$C$14, $D$10, 100%, $F$10)</f>
        <v>37.036900000000003</v>
      </c>
      <c r="K855" s="4"/>
      <c r="L855" s="9">
        <v>29.306000000000001</v>
      </c>
      <c r="M855" s="9">
        <v>12.063700000000001</v>
      </c>
      <c r="N855" s="9">
        <v>4.9444999999999997</v>
      </c>
      <c r="O855" s="9">
        <v>0.37409999999999999</v>
      </c>
      <c r="P855" s="9">
        <v>1.2927</v>
      </c>
      <c r="Q855" s="9">
        <v>19.688099999999999</v>
      </c>
      <c r="R855" s="9"/>
      <c r="S855" s="11"/>
    </row>
    <row r="856" spans="1:19" ht="15.75">
      <c r="A856" s="13">
        <v>67968</v>
      </c>
      <c r="B856" s="8">
        <f>39.8071 * CHOOSE(CONTROL!$C$14, $D$10, 100%, $F$10)</f>
        <v>39.807099999999998</v>
      </c>
      <c r="C856" s="8">
        <f>39.8123 * CHOOSE(CONTROL!$C$14, $D$10, 100%, $F$10)</f>
        <v>39.8123</v>
      </c>
      <c r="D856" s="8">
        <f>39.8081 * CHOOSE( CONTROL!$C$14, $D$10, 100%, $F$10)</f>
        <v>39.808100000000003</v>
      </c>
      <c r="E856" s="12">
        <f>39.8091 * CHOOSE( CONTROL!$C$14, $D$10, 100%, $F$10)</f>
        <v>39.809100000000001</v>
      </c>
      <c r="F856" s="4">
        <f>40.4856 * CHOOSE(CONTROL!$C$14, $D$10, 100%, $F$10)</f>
        <v>40.485599999999998</v>
      </c>
      <c r="G856" s="8">
        <f>39.1447 * CHOOSE( CONTROL!$C$14, $D$10, 100%, $F$10)</f>
        <v>39.1447</v>
      </c>
      <c r="H856" s="4">
        <f>40.0431 * CHOOSE(CONTROL!$C$14, $D$10, 100%, $F$10)</f>
        <v>40.043100000000003</v>
      </c>
      <c r="I856" s="8">
        <f>38.5802 * CHOOSE(CONTROL!$C$14, $D$10, 100%, $F$10)</f>
        <v>38.580199999999998</v>
      </c>
      <c r="J856" s="4">
        <f>38.4524 * CHOOSE(CONTROL!$C$14, $D$10, 100%, $F$10)</f>
        <v>38.452399999999997</v>
      </c>
      <c r="K856" s="4"/>
      <c r="L856" s="9">
        <v>29.306000000000001</v>
      </c>
      <c r="M856" s="9">
        <v>12.063700000000001</v>
      </c>
      <c r="N856" s="9">
        <v>4.9444999999999997</v>
      </c>
      <c r="O856" s="9">
        <v>0.37409999999999999</v>
      </c>
      <c r="P856" s="9">
        <v>1.2927</v>
      </c>
      <c r="Q856" s="9">
        <v>19.688099999999999</v>
      </c>
      <c r="R856" s="9"/>
      <c r="S856" s="11"/>
    </row>
    <row r="857" spans="1:19" ht="15.75">
      <c r="A857" s="13">
        <v>67996</v>
      </c>
      <c r="B857" s="8">
        <f>37.2356 * CHOOSE(CONTROL!$C$14, $D$10, 100%, $F$10)</f>
        <v>37.235599999999998</v>
      </c>
      <c r="C857" s="8">
        <f>37.2407 * CHOOSE(CONTROL!$C$14, $D$10, 100%, $F$10)</f>
        <v>37.240699999999997</v>
      </c>
      <c r="D857" s="8">
        <f>37.2306 * CHOOSE( CONTROL!$C$14, $D$10, 100%, $F$10)</f>
        <v>37.230600000000003</v>
      </c>
      <c r="E857" s="12">
        <f>37.2337 * CHOOSE( CONTROL!$C$14, $D$10, 100%, $F$10)</f>
        <v>37.233699999999999</v>
      </c>
      <c r="F857" s="4">
        <f>37.8883 * CHOOSE(CONTROL!$C$14, $D$10, 100%, $F$10)</f>
        <v>37.888300000000001</v>
      </c>
      <c r="G857" s="8">
        <f>36.6077 * CHOOSE( CONTROL!$C$14, $D$10, 100%, $F$10)</f>
        <v>36.607700000000001</v>
      </c>
      <c r="H857" s="4">
        <f>37.4888 * CHOOSE(CONTROL!$C$14, $D$10, 100%, $F$10)</f>
        <v>37.488799999999998</v>
      </c>
      <c r="I857" s="8">
        <f>36.0838 * CHOOSE(CONTROL!$C$14, $D$10, 100%, $F$10)</f>
        <v>36.083799999999997</v>
      </c>
      <c r="J857" s="4">
        <f>35.9665 * CHOOSE(CONTROL!$C$14, $D$10, 100%, $F$10)</f>
        <v>35.966500000000003</v>
      </c>
      <c r="K857" s="4"/>
      <c r="L857" s="9">
        <v>26.469899999999999</v>
      </c>
      <c r="M857" s="9">
        <v>10.8962</v>
      </c>
      <c r="N857" s="9">
        <v>4.4660000000000002</v>
      </c>
      <c r="O857" s="9">
        <v>0.33789999999999998</v>
      </c>
      <c r="P857" s="9">
        <v>1.1676</v>
      </c>
      <c r="Q857" s="9">
        <v>17.782800000000002</v>
      </c>
      <c r="R857" s="9"/>
      <c r="S857" s="11"/>
    </row>
    <row r="858" spans="1:19" ht="15.75">
      <c r="A858" s="13">
        <v>68027</v>
      </c>
      <c r="B858" s="8">
        <f>36.4436 * CHOOSE(CONTROL!$C$14, $D$10, 100%, $F$10)</f>
        <v>36.443600000000004</v>
      </c>
      <c r="C858" s="8">
        <f>36.4487 * CHOOSE(CONTROL!$C$14, $D$10, 100%, $F$10)</f>
        <v>36.448700000000002</v>
      </c>
      <c r="D858" s="8">
        <f>36.4321 * CHOOSE( CONTROL!$C$14, $D$10, 100%, $F$10)</f>
        <v>36.432099999999998</v>
      </c>
      <c r="E858" s="12">
        <f>36.4376 * CHOOSE( CONTROL!$C$14, $D$10, 100%, $F$10)</f>
        <v>36.437600000000003</v>
      </c>
      <c r="F858" s="4">
        <f>37.0963 * CHOOSE(CONTROL!$C$14, $D$10, 100%, $F$10)</f>
        <v>37.096299999999999</v>
      </c>
      <c r="G858" s="8">
        <f>35.8206 * CHOOSE( CONTROL!$C$14, $D$10, 100%, $F$10)</f>
        <v>35.820599999999999</v>
      </c>
      <c r="H858" s="4">
        <f>36.7099 * CHOOSE(CONTROL!$C$14, $D$10, 100%, $F$10)</f>
        <v>36.709899999999998</v>
      </c>
      <c r="I858" s="8">
        <f>35.2976 * CHOOSE(CONTROL!$C$14, $D$10, 100%, $F$10)</f>
        <v>35.297600000000003</v>
      </c>
      <c r="J858" s="4">
        <f>35.2009 * CHOOSE(CONTROL!$C$14, $D$10, 100%, $F$10)</f>
        <v>35.200899999999997</v>
      </c>
      <c r="K858" s="4"/>
      <c r="L858" s="9">
        <v>29.306000000000001</v>
      </c>
      <c r="M858" s="9">
        <v>12.063700000000001</v>
      </c>
      <c r="N858" s="9">
        <v>4.9444999999999997</v>
      </c>
      <c r="O858" s="9">
        <v>0.37409999999999999</v>
      </c>
      <c r="P858" s="9">
        <v>1.2927</v>
      </c>
      <c r="Q858" s="9">
        <v>19.688099999999999</v>
      </c>
      <c r="R858" s="9"/>
      <c r="S858" s="11"/>
    </row>
    <row r="859" spans="1:19" ht="15.75">
      <c r="A859" s="13">
        <v>68057</v>
      </c>
      <c r="B859" s="8">
        <f>36.9978 * CHOOSE(CONTROL!$C$14, $D$10, 100%, $F$10)</f>
        <v>36.997799999999998</v>
      </c>
      <c r="C859" s="8">
        <f>37.0024 * CHOOSE(CONTROL!$C$14, $D$10, 100%, $F$10)</f>
        <v>37.002400000000002</v>
      </c>
      <c r="D859" s="8">
        <f>37.0119 * CHOOSE( CONTROL!$C$14, $D$10, 100%, $F$10)</f>
        <v>37.011899999999997</v>
      </c>
      <c r="E859" s="12">
        <f>37.0082 * CHOOSE( CONTROL!$C$14, $D$10, 100%, $F$10)</f>
        <v>37.008200000000002</v>
      </c>
      <c r="F859" s="4">
        <f>37.6807 * CHOOSE(CONTROL!$C$14, $D$10, 100%, $F$10)</f>
        <v>37.680700000000002</v>
      </c>
      <c r="G859" s="8">
        <f>36.3547 * CHOOSE( CONTROL!$C$14, $D$10, 100%, $F$10)</f>
        <v>36.354700000000001</v>
      </c>
      <c r="H859" s="4">
        <f>37.2847 * CHOOSE(CONTROL!$C$14, $D$10, 100%, $F$10)</f>
        <v>37.284700000000001</v>
      </c>
      <c r="I859" s="8">
        <f>35.8438 * CHOOSE(CONTROL!$C$14, $D$10, 100%, $F$10)</f>
        <v>35.843800000000002</v>
      </c>
      <c r="J859" s="4">
        <f>35.7359 * CHOOSE(CONTROL!$C$14, $D$10, 100%, $F$10)</f>
        <v>35.735900000000001</v>
      </c>
      <c r="K859" s="4"/>
      <c r="L859" s="9">
        <v>30.092199999999998</v>
      </c>
      <c r="M859" s="9">
        <v>11.6745</v>
      </c>
      <c r="N859" s="9">
        <v>4.7850000000000001</v>
      </c>
      <c r="O859" s="9">
        <v>0.36199999999999999</v>
      </c>
      <c r="P859" s="9">
        <v>1.1791</v>
      </c>
      <c r="Q859" s="9">
        <v>19.053000000000001</v>
      </c>
      <c r="R859" s="9"/>
      <c r="S859" s="11"/>
    </row>
    <row r="860" spans="1:19" ht="15.75">
      <c r="A860" s="13">
        <v>68088</v>
      </c>
      <c r="B860" s="8">
        <f>CHOOSE( CONTROL!$C$31, 37.9871, 37.9842) * CHOOSE(CONTROL!$C$14, $D$10, 100%, $F$10)</f>
        <v>37.987099999999998</v>
      </c>
      <c r="C860" s="8">
        <f>CHOOSE( CONTROL!$C$31, 37.9951, 37.9922) * CHOOSE(CONTROL!$C$14, $D$10, 100%, $F$10)</f>
        <v>37.995100000000001</v>
      </c>
      <c r="D860" s="8">
        <f>CHOOSE( CONTROL!$C$31, 37.9998, 37.9968) * CHOOSE( CONTROL!$C$14, $D$10, 100%, $F$10)</f>
        <v>37.9998</v>
      </c>
      <c r="E860" s="12">
        <f>CHOOSE( CONTROL!$C$31, 37.9969, 37.9939) * CHOOSE( CONTROL!$C$14, $D$10, 100%, $F$10)</f>
        <v>37.996899999999997</v>
      </c>
      <c r="F860" s="4">
        <f>CHOOSE( CONTROL!$C$31, 38.6687, 38.6657) * CHOOSE(CONTROL!$C$14, $D$10, 100%, $F$10)</f>
        <v>38.668700000000001</v>
      </c>
      <c r="G860" s="8">
        <f>CHOOSE( CONTROL!$C$31, 37.3272, 37.3243) * CHOOSE( CONTROL!$C$14, $D$10, 100%, $F$10)</f>
        <v>37.327199999999998</v>
      </c>
      <c r="H860" s="4">
        <f>CHOOSE( CONTROL!$C$31, 38.2562, 38.2534) * CHOOSE(CONTROL!$C$14, $D$10, 100%, $F$10)</f>
        <v>38.2562</v>
      </c>
      <c r="I860" s="8">
        <f>CHOOSE( CONTROL!$C$31, 36.8004, 36.7976) * CHOOSE(CONTROL!$C$14, $D$10, 100%, $F$10)</f>
        <v>36.800400000000003</v>
      </c>
      <c r="J860" s="4">
        <f>CHOOSE( CONTROL!$C$31, 36.6909, 36.6881) * CHOOSE(CONTROL!$C$14, $D$10, 100%, $F$10)</f>
        <v>36.690899999999999</v>
      </c>
      <c r="K860" s="4"/>
      <c r="L860" s="9">
        <v>30.7165</v>
      </c>
      <c r="M860" s="9">
        <v>12.063700000000001</v>
      </c>
      <c r="N860" s="9">
        <v>4.9444999999999997</v>
      </c>
      <c r="O860" s="9">
        <v>0.37409999999999999</v>
      </c>
      <c r="P860" s="9">
        <v>1.2183999999999999</v>
      </c>
      <c r="Q860" s="9">
        <v>19.688099999999999</v>
      </c>
      <c r="R860" s="9"/>
      <c r="S860" s="11"/>
    </row>
    <row r="861" spans="1:19" ht="15.75">
      <c r="A861" s="13">
        <v>68118</v>
      </c>
      <c r="B861" s="8">
        <f>CHOOSE( CONTROL!$C$31, 37.3769, 37.374) * CHOOSE(CONTROL!$C$14, $D$10, 100%, $F$10)</f>
        <v>37.376899999999999</v>
      </c>
      <c r="C861" s="8">
        <f>CHOOSE( CONTROL!$C$31, 37.385, 37.382) * CHOOSE(CONTROL!$C$14, $D$10, 100%, $F$10)</f>
        <v>37.384999999999998</v>
      </c>
      <c r="D861" s="8">
        <f>CHOOSE( CONTROL!$C$31, 37.3898, 37.3869) * CHOOSE( CONTROL!$C$14, $D$10, 100%, $F$10)</f>
        <v>37.389800000000001</v>
      </c>
      <c r="E861" s="12">
        <f>CHOOSE( CONTROL!$C$31, 37.3868, 37.3839) * CHOOSE( CONTROL!$C$14, $D$10, 100%, $F$10)</f>
        <v>37.386800000000001</v>
      </c>
      <c r="F861" s="4">
        <f>CHOOSE( CONTROL!$C$31, 38.0585, 38.0556) * CHOOSE(CONTROL!$C$14, $D$10, 100%, $F$10)</f>
        <v>38.058500000000002</v>
      </c>
      <c r="G861" s="8">
        <f>CHOOSE( CONTROL!$C$31, 36.7275, 36.7247) * CHOOSE( CONTROL!$C$14, $D$10, 100%, $F$10)</f>
        <v>36.727499999999999</v>
      </c>
      <c r="H861" s="4">
        <f>CHOOSE( CONTROL!$C$31, 37.6562, 37.6533) * CHOOSE(CONTROL!$C$14, $D$10, 100%, $F$10)</f>
        <v>37.656199999999998</v>
      </c>
      <c r="I861" s="8">
        <f>CHOOSE( CONTROL!$C$31, 36.2115, 36.2087) * CHOOSE(CONTROL!$C$14, $D$10, 100%, $F$10)</f>
        <v>36.211500000000001</v>
      </c>
      <c r="J861" s="4">
        <f>CHOOSE( CONTROL!$C$31, 36.1011, 36.0982) * CHOOSE(CONTROL!$C$14, $D$10, 100%, $F$10)</f>
        <v>36.101100000000002</v>
      </c>
      <c r="K861" s="4"/>
      <c r="L861" s="9">
        <v>29.7257</v>
      </c>
      <c r="M861" s="9">
        <v>11.6745</v>
      </c>
      <c r="N861" s="9">
        <v>4.7850000000000001</v>
      </c>
      <c r="O861" s="9">
        <v>0.36199999999999999</v>
      </c>
      <c r="P861" s="9">
        <v>1.1791</v>
      </c>
      <c r="Q861" s="9">
        <v>19.053000000000001</v>
      </c>
      <c r="R861" s="9"/>
      <c r="S861" s="11"/>
    </row>
    <row r="862" spans="1:19" ht="15.75">
      <c r="A862" s="13">
        <v>68149</v>
      </c>
      <c r="B862" s="8">
        <f>CHOOSE( CONTROL!$C$31, 38.9838, 38.9808) * CHOOSE(CONTROL!$C$14, $D$10, 100%, $F$10)</f>
        <v>38.983800000000002</v>
      </c>
      <c r="C862" s="8">
        <f>CHOOSE( CONTROL!$C$31, 38.9918, 38.9889) * CHOOSE(CONTROL!$C$14, $D$10, 100%, $F$10)</f>
        <v>38.991799999999998</v>
      </c>
      <c r="D862" s="8">
        <f>CHOOSE( CONTROL!$C$31, 38.9969, 38.994) * CHOOSE( CONTROL!$C$14, $D$10, 100%, $F$10)</f>
        <v>38.996899999999997</v>
      </c>
      <c r="E862" s="12">
        <f>CHOOSE( CONTROL!$C$31, 38.9938, 38.9909) * CHOOSE( CONTROL!$C$14, $D$10, 100%, $F$10)</f>
        <v>38.9938</v>
      </c>
      <c r="F862" s="4">
        <f>CHOOSE( CONTROL!$C$31, 39.6653, 39.6624) * CHOOSE(CONTROL!$C$14, $D$10, 100%, $F$10)</f>
        <v>39.665300000000002</v>
      </c>
      <c r="G862" s="8">
        <f>CHOOSE( CONTROL!$C$31, 38.3081, 38.3052) * CHOOSE( CONTROL!$C$14, $D$10, 100%, $F$10)</f>
        <v>38.308100000000003</v>
      </c>
      <c r="H862" s="4">
        <f>CHOOSE( CONTROL!$C$31, 39.2363, 39.2335) * CHOOSE(CONTROL!$C$14, $D$10, 100%, $F$10)</f>
        <v>39.2363</v>
      </c>
      <c r="I862" s="8">
        <f>CHOOSE( CONTROL!$C$31, 37.7668, 37.7639) * CHOOSE(CONTROL!$C$14, $D$10, 100%, $F$10)</f>
        <v>37.766800000000003</v>
      </c>
      <c r="J862" s="4">
        <f>CHOOSE( CONTROL!$C$31, 37.6544, 37.6515) * CHOOSE(CONTROL!$C$14, $D$10, 100%, $F$10)</f>
        <v>37.654400000000003</v>
      </c>
      <c r="K862" s="4"/>
      <c r="L862" s="9">
        <v>30.7165</v>
      </c>
      <c r="M862" s="9">
        <v>12.063700000000001</v>
      </c>
      <c r="N862" s="9">
        <v>4.9444999999999997</v>
      </c>
      <c r="O862" s="9">
        <v>0.37409999999999999</v>
      </c>
      <c r="P862" s="9">
        <v>1.2183999999999999</v>
      </c>
      <c r="Q862" s="9">
        <v>19.688099999999999</v>
      </c>
      <c r="R862" s="9"/>
      <c r="S862" s="11"/>
    </row>
    <row r="863" spans="1:19" ht="15.75">
      <c r="A863" s="13">
        <v>68180</v>
      </c>
      <c r="B863" s="8">
        <f>CHOOSE( CONTROL!$C$31, 35.9772, 35.9743) * CHOOSE(CONTROL!$C$14, $D$10, 100%, $F$10)</f>
        <v>35.977200000000003</v>
      </c>
      <c r="C863" s="8">
        <f>CHOOSE( CONTROL!$C$31, 35.9852, 35.9823) * CHOOSE(CONTROL!$C$14, $D$10, 100%, $F$10)</f>
        <v>35.985199999999999</v>
      </c>
      <c r="D863" s="8">
        <f>CHOOSE( CONTROL!$C$31, 35.9904, 35.9875) * CHOOSE( CONTROL!$C$14, $D$10, 100%, $F$10)</f>
        <v>35.990400000000001</v>
      </c>
      <c r="E863" s="12">
        <f>CHOOSE( CONTROL!$C$31, 35.9873, 35.9844) * CHOOSE( CONTROL!$C$14, $D$10, 100%, $F$10)</f>
        <v>35.987299999999998</v>
      </c>
      <c r="F863" s="4">
        <f>CHOOSE( CONTROL!$C$31, 36.6588, 36.6558) * CHOOSE(CONTROL!$C$14, $D$10, 100%, $F$10)</f>
        <v>36.658799999999999</v>
      </c>
      <c r="G863" s="8">
        <f>CHOOSE( CONTROL!$C$31, 35.3515, 35.3486) * CHOOSE( CONTROL!$C$14, $D$10, 100%, $F$10)</f>
        <v>35.351500000000001</v>
      </c>
      <c r="H863" s="4">
        <f>CHOOSE( CONTROL!$C$31, 36.2797, 36.2768) * CHOOSE(CONTROL!$C$14, $D$10, 100%, $F$10)</f>
        <v>36.279699999999998</v>
      </c>
      <c r="I863" s="8">
        <f>CHOOSE( CONTROL!$C$31, 34.8593, 34.8564) * CHOOSE(CONTROL!$C$14, $D$10, 100%, $F$10)</f>
        <v>34.859299999999998</v>
      </c>
      <c r="J863" s="4">
        <f>CHOOSE( CONTROL!$C$31, 34.7479, 34.7451) * CHOOSE(CONTROL!$C$14, $D$10, 100%, $F$10)</f>
        <v>34.747900000000001</v>
      </c>
      <c r="K863" s="4"/>
      <c r="L863" s="9">
        <v>30.7165</v>
      </c>
      <c r="M863" s="9">
        <v>12.063700000000001</v>
      </c>
      <c r="N863" s="9">
        <v>4.9444999999999997</v>
      </c>
      <c r="O863" s="9">
        <v>0.37409999999999999</v>
      </c>
      <c r="P863" s="9">
        <v>1.2183999999999999</v>
      </c>
      <c r="Q863" s="9">
        <v>19.688099999999999</v>
      </c>
      <c r="R863" s="9"/>
      <c r="S863" s="11"/>
    </row>
    <row r="864" spans="1:19" ht="15.75">
      <c r="A864" s="13">
        <v>68210</v>
      </c>
      <c r="B864" s="8">
        <f>CHOOSE( CONTROL!$C$31, 35.2243, 35.2214) * CHOOSE(CONTROL!$C$14, $D$10, 100%, $F$10)</f>
        <v>35.224299999999999</v>
      </c>
      <c r="C864" s="8">
        <f>CHOOSE( CONTROL!$C$31, 35.2324, 35.2294) * CHOOSE(CONTROL!$C$14, $D$10, 100%, $F$10)</f>
        <v>35.232399999999998</v>
      </c>
      <c r="D864" s="8">
        <f>CHOOSE( CONTROL!$C$31, 35.2376, 35.2346) * CHOOSE( CONTROL!$C$14, $D$10, 100%, $F$10)</f>
        <v>35.2376</v>
      </c>
      <c r="E864" s="12">
        <f>CHOOSE( CONTROL!$C$31, 35.2345, 35.2315) * CHOOSE( CONTROL!$C$14, $D$10, 100%, $F$10)</f>
        <v>35.234499999999997</v>
      </c>
      <c r="F864" s="4">
        <f>CHOOSE( CONTROL!$C$31, 35.9059, 35.903) * CHOOSE(CONTROL!$C$14, $D$10, 100%, $F$10)</f>
        <v>35.905900000000003</v>
      </c>
      <c r="G864" s="8">
        <f>CHOOSE( CONTROL!$C$31, 34.6111, 34.6082) * CHOOSE( CONTROL!$C$14, $D$10, 100%, $F$10)</f>
        <v>34.6111</v>
      </c>
      <c r="H864" s="4">
        <f>CHOOSE( CONTROL!$C$31, 35.5393, 35.5364) * CHOOSE(CONTROL!$C$14, $D$10, 100%, $F$10)</f>
        <v>35.539299999999997</v>
      </c>
      <c r="I864" s="8">
        <f>CHOOSE( CONTROL!$C$31, 34.1311, 34.1282) * CHOOSE(CONTROL!$C$14, $D$10, 100%, $F$10)</f>
        <v>34.131100000000004</v>
      </c>
      <c r="J864" s="4">
        <f>CHOOSE( CONTROL!$C$31, 34.0201, 34.0173) * CHOOSE(CONTROL!$C$14, $D$10, 100%, $F$10)</f>
        <v>34.020099999999999</v>
      </c>
      <c r="K864" s="4"/>
      <c r="L864" s="9">
        <v>29.7257</v>
      </c>
      <c r="M864" s="9">
        <v>11.6745</v>
      </c>
      <c r="N864" s="9">
        <v>4.7850000000000001</v>
      </c>
      <c r="O864" s="9">
        <v>0.36199999999999999</v>
      </c>
      <c r="P864" s="9">
        <v>1.1791</v>
      </c>
      <c r="Q864" s="9">
        <v>19.053000000000001</v>
      </c>
      <c r="R864" s="9"/>
      <c r="S864" s="11"/>
    </row>
    <row r="865" spans="1:19" ht="15.75">
      <c r="A865" s="13">
        <v>68241</v>
      </c>
      <c r="B865" s="8">
        <f>36.7829 * CHOOSE(CONTROL!$C$14, $D$10, 100%, $F$10)</f>
        <v>36.782899999999998</v>
      </c>
      <c r="C865" s="8">
        <f>36.7883 * CHOOSE(CONTROL!$C$14, $D$10, 100%, $F$10)</f>
        <v>36.7883</v>
      </c>
      <c r="D865" s="8">
        <f>36.7983 * CHOOSE( CONTROL!$C$14, $D$10, 100%, $F$10)</f>
        <v>36.798299999999998</v>
      </c>
      <c r="E865" s="12">
        <f>36.7944 * CHOOSE( CONTROL!$C$14, $D$10, 100%, $F$10)</f>
        <v>36.794400000000003</v>
      </c>
      <c r="F865" s="4">
        <f>37.4662 * CHOOSE(CONTROL!$C$14, $D$10, 100%, $F$10)</f>
        <v>37.466200000000001</v>
      </c>
      <c r="G865" s="8">
        <f>36.1452 * CHOOSE( CONTROL!$C$14, $D$10, 100%, $F$10)</f>
        <v>36.145200000000003</v>
      </c>
      <c r="H865" s="4">
        <f>37.0737 * CHOOSE(CONTROL!$C$14, $D$10, 100%, $F$10)</f>
        <v>37.073700000000002</v>
      </c>
      <c r="I865" s="8">
        <f>35.641 * CHOOSE(CONTROL!$C$14, $D$10, 100%, $F$10)</f>
        <v>35.640999999999998</v>
      </c>
      <c r="J865" s="4">
        <f>35.5285 * CHOOSE(CONTROL!$C$14, $D$10, 100%, $F$10)</f>
        <v>35.528500000000001</v>
      </c>
      <c r="K865" s="4"/>
      <c r="L865" s="9">
        <v>31.095300000000002</v>
      </c>
      <c r="M865" s="9">
        <v>12.063700000000001</v>
      </c>
      <c r="N865" s="9">
        <v>4.9444999999999997</v>
      </c>
      <c r="O865" s="9">
        <v>0.37409999999999999</v>
      </c>
      <c r="P865" s="9">
        <v>1.2183999999999999</v>
      </c>
      <c r="Q865" s="9">
        <v>19.688099999999999</v>
      </c>
      <c r="R865" s="9"/>
      <c r="S865" s="11"/>
    </row>
    <row r="866" spans="1:19" ht="15.75">
      <c r="A866" s="13">
        <v>68271</v>
      </c>
      <c r="B866" s="8">
        <f>39.6679 * CHOOSE(CONTROL!$C$14, $D$10, 100%, $F$10)</f>
        <v>39.667900000000003</v>
      </c>
      <c r="C866" s="8">
        <f>39.673 * CHOOSE(CONTROL!$C$14, $D$10, 100%, $F$10)</f>
        <v>39.673000000000002</v>
      </c>
      <c r="D866" s="8">
        <f>39.6492 * CHOOSE( CONTROL!$C$14, $D$10, 100%, $F$10)</f>
        <v>39.6492</v>
      </c>
      <c r="E866" s="12">
        <f>39.6574 * CHOOSE( CONTROL!$C$14, $D$10, 100%, $F$10)</f>
        <v>39.657400000000003</v>
      </c>
      <c r="F866" s="4">
        <f>40.3154 * CHOOSE(CONTROL!$C$14, $D$10, 100%, $F$10)</f>
        <v>40.315399999999997</v>
      </c>
      <c r="G866" s="8">
        <f>38.9925 * CHOOSE( CONTROL!$C$14, $D$10, 100%, $F$10)</f>
        <v>38.9925</v>
      </c>
      <c r="H866" s="4">
        <f>39.8756 * CHOOSE(CONTROL!$C$14, $D$10, 100%, $F$10)</f>
        <v>39.875599999999999</v>
      </c>
      <c r="I866" s="8">
        <f>38.4621 * CHOOSE(CONTROL!$C$14, $D$10, 100%, $F$10)</f>
        <v>38.4621</v>
      </c>
      <c r="J866" s="4">
        <f>38.3178 * CHOOSE(CONTROL!$C$14, $D$10, 100%, $F$10)</f>
        <v>38.317799999999998</v>
      </c>
      <c r="K866" s="4"/>
      <c r="L866" s="9">
        <v>28.360600000000002</v>
      </c>
      <c r="M866" s="9">
        <v>11.6745</v>
      </c>
      <c r="N866" s="9">
        <v>4.7850000000000001</v>
      </c>
      <c r="O866" s="9">
        <v>0.36199999999999999</v>
      </c>
      <c r="P866" s="9">
        <v>1.2509999999999999</v>
      </c>
      <c r="Q866" s="9">
        <v>19.053000000000001</v>
      </c>
      <c r="R866" s="9"/>
      <c r="S866" s="11"/>
    </row>
    <row r="867" spans="1:19" ht="15.75">
      <c r="A867" s="13">
        <v>68302</v>
      </c>
      <c r="B867" s="8">
        <f>39.5958 * CHOOSE(CONTROL!$C$14, $D$10, 100%, $F$10)</f>
        <v>39.595799999999997</v>
      </c>
      <c r="C867" s="8">
        <f>39.6009 * CHOOSE(CONTROL!$C$14, $D$10, 100%, $F$10)</f>
        <v>39.600900000000003</v>
      </c>
      <c r="D867" s="8">
        <f>39.5785 * CHOOSE( CONTROL!$C$14, $D$10, 100%, $F$10)</f>
        <v>39.578499999999998</v>
      </c>
      <c r="E867" s="12">
        <f>39.5861 * CHOOSE( CONTROL!$C$14, $D$10, 100%, $F$10)</f>
        <v>39.586100000000002</v>
      </c>
      <c r="F867" s="4">
        <f>40.2433 * CHOOSE(CONTROL!$C$14, $D$10, 100%, $F$10)</f>
        <v>40.243299999999998</v>
      </c>
      <c r="G867" s="8">
        <f>38.9226 * CHOOSE( CONTROL!$C$14, $D$10, 100%, $F$10)</f>
        <v>38.922600000000003</v>
      </c>
      <c r="H867" s="4">
        <f>39.8047 * CHOOSE(CONTROL!$C$14, $D$10, 100%, $F$10)</f>
        <v>39.804699999999997</v>
      </c>
      <c r="I867" s="8">
        <f>38.3968 * CHOOSE(CONTROL!$C$14, $D$10, 100%, $F$10)</f>
        <v>38.396799999999999</v>
      </c>
      <c r="J867" s="4">
        <f>38.2481 * CHOOSE(CONTROL!$C$14, $D$10, 100%, $F$10)</f>
        <v>38.248100000000001</v>
      </c>
      <c r="K867" s="4"/>
      <c r="L867" s="9">
        <v>29.306000000000001</v>
      </c>
      <c r="M867" s="9">
        <v>12.063700000000001</v>
      </c>
      <c r="N867" s="9">
        <v>4.9444999999999997</v>
      </c>
      <c r="O867" s="9">
        <v>0.37409999999999999</v>
      </c>
      <c r="P867" s="9">
        <v>1.2927</v>
      </c>
      <c r="Q867" s="9">
        <v>19.688099999999999</v>
      </c>
      <c r="R867" s="9"/>
      <c r="S867" s="11"/>
    </row>
    <row r="868" spans="1:19" ht="15.75">
      <c r="A868" s="13">
        <v>68333</v>
      </c>
      <c r="B868" s="8">
        <f>41.108 * CHOOSE(CONTROL!$C$14, $D$10, 100%, $F$10)</f>
        <v>41.107999999999997</v>
      </c>
      <c r="C868" s="8">
        <f>41.1131 * CHOOSE(CONTROL!$C$14, $D$10, 100%, $F$10)</f>
        <v>41.113100000000003</v>
      </c>
      <c r="D868" s="8">
        <f>41.1089 * CHOOSE( CONTROL!$C$14, $D$10, 100%, $F$10)</f>
        <v>41.108899999999998</v>
      </c>
      <c r="E868" s="12">
        <f>41.1099 * CHOOSE( CONTROL!$C$14, $D$10, 100%, $F$10)</f>
        <v>41.109900000000003</v>
      </c>
      <c r="F868" s="4">
        <f>41.7865 * CHOOSE(CONTROL!$C$14, $D$10, 100%, $F$10)</f>
        <v>41.786499999999997</v>
      </c>
      <c r="G868" s="8">
        <f>40.4239 * CHOOSE( CONTROL!$C$14, $D$10, 100%, $F$10)</f>
        <v>40.423900000000003</v>
      </c>
      <c r="H868" s="4">
        <f>41.3224 * CHOOSE(CONTROL!$C$14, $D$10, 100%, $F$10)</f>
        <v>41.322400000000002</v>
      </c>
      <c r="I868" s="8">
        <f>39.8384 * CHOOSE(CONTROL!$C$14, $D$10, 100%, $F$10)</f>
        <v>39.8384</v>
      </c>
      <c r="J868" s="4">
        <f>39.7099 * CHOOSE(CONTROL!$C$14, $D$10, 100%, $F$10)</f>
        <v>39.709899999999998</v>
      </c>
      <c r="K868" s="4"/>
      <c r="L868" s="9">
        <v>29.306000000000001</v>
      </c>
      <c r="M868" s="9">
        <v>12.063700000000001</v>
      </c>
      <c r="N868" s="9">
        <v>4.9444999999999997</v>
      </c>
      <c r="O868" s="9">
        <v>0.37409999999999999</v>
      </c>
      <c r="P868" s="9">
        <v>1.2927</v>
      </c>
      <c r="Q868" s="9">
        <v>19.688099999999999</v>
      </c>
      <c r="R868" s="9"/>
      <c r="S868" s="11"/>
    </row>
    <row r="869" spans="1:19" ht="15.75">
      <c r="A869" s="13">
        <v>68361</v>
      </c>
      <c r="B869" s="8">
        <f>38.4524 * CHOOSE(CONTROL!$C$14, $D$10, 100%, $F$10)</f>
        <v>38.452399999999997</v>
      </c>
      <c r="C869" s="8">
        <f>38.4575 * CHOOSE(CONTROL!$C$14, $D$10, 100%, $F$10)</f>
        <v>38.457500000000003</v>
      </c>
      <c r="D869" s="8">
        <f>38.4474 * CHOOSE( CONTROL!$C$14, $D$10, 100%, $F$10)</f>
        <v>38.447400000000002</v>
      </c>
      <c r="E869" s="12">
        <f>38.4505 * CHOOSE( CONTROL!$C$14, $D$10, 100%, $F$10)</f>
        <v>38.450499999999998</v>
      </c>
      <c r="F869" s="4">
        <f>39.105 * CHOOSE(CONTROL!$C$14, $D$10, 100%, $F$10)</f>
        <v>39.104999999999997</v>
      </c>
      <c r="G869" s="8">
        <f>37.8043 * CHOOSE( CONTROL!$C$14, $D$10, 100%, $F$10)</f>
        <v>37.804299999999998</v>
      </c>
      <c r="H869" s="4">
        <f>38.6854 * CHOOSE(CONTROL!$C$14, $D$10, 100%, $F$10)</f>
        <v>38.685400000000001</v>
      </c>
      <c r="I869" s="8">
        <f>37.2606 * CHOOSE(CONTROL!$C$14, $D$10, 100%, $F$10)</f>
        <v>37.260599999999997</v>
      </c>
      <c r="J869" s="4">
        <f>37.1427 * CHOOSE(CONTROL!$C$14, $D$10, 100%, $F$10)</f>
        <v>37.142699999999998</v>
      </c>
      <c r="K869" s="4"/>
      <c r="L869" s="9">
        <v>26.469899999999999</v>
      </c>
      <c r="M869" s="9">
        <v>10.8962</v>
      </c>
      <c r="N869" s="9">
        <v>4.4660000000000002</v>
      </c>
      <c r="O869" s="9">
        <v>0.33789999999999998</v>
      </c>
      <c r="P869" s="9">
        <v>1.1676</v>
      </c>
      <c r="Q869" s="9">
        <v>17.782800000000002</v>
      </c>
      <c r="R869" s="9"/>
      <c r="S869" s="11"/>
    </row>
    <row r="870" spans="1:19" ht="15.75">
      <c r="A870" s="13">
        <v>68392</v>
      </c>
      <c r="B870" s="8">
        <f>37.6345 * CHOOSE(CONTROL!$C$14, $D$10, 100%, $F$10)</f>
        <v>37.634500000000003</v>
      </c>
      <c r="C870" s="8">
        <f>37.6396 * CHOOSE(CONTROL!$C$14, $D$10, 100%, $F$10)</f>
        <v>37.639600000000002</v>
      </c>
      <c r="D870" s="8">
        <f>37.623 * CHOOSE( CONTROL!$C$14, $D$10, 100%, $F$10)</f>
        <v>37.622999999999998</v>
      </c>
      <c r="E870" s="12">
        <f>37.6285 * CHOOSE( CONTROL!$C$14, $D$10, 100%, $F$10)</f>
        <v>37.628500000000003</v>
      </c>
      <c r="F870" s="4">
        <f>38.2871 * CHOOSE(CONTROL!$C$14, $D$10, 100%, $F$10)</f>
        <v>38.287100000000002</v>
      </c>
      <c r="G870" s="8">
        <f>36.9917 * CHOOSE( CONTROL!$C$14, $D$10, 100%, $F$10)</f>
        <v>36.991700000000002</v>
      </c>
      <c r="H870" s="4">
        <f>37.881 * CHOOSE(CONTROL!$C$14, $D$10, 100%, $F$10)</f>
        <v>37.881</v>
      </c>
      <c r="I870" s="8">
        <f>36.4494 * CHOOSE(CONTROL!$C$14, $D$10, 100%, $F$10)</f>
        <v>36.449399999999997</v>
      </c>
      <c r="J870" s="4">
        <f>36.3521 * CHOOSE(CONTROL!$C$14, $D$10, 100%, $F$10)</f>
        <v>36.3521</v>
      </c>
      <c r="K870" s="4"/>
      <c r="L870" s="9">
        <v>29.306000000000001</v>
      </c>
      <c r="M870" s="9">
        <v>12.063700000000001</v>
      </c>
      <c r="N870" s="9">
        <v>4.9444999999999997</v>
      </c>
      <c r="O870" s="9">
        <v>0.37409999999999999</v>
      </c>
      <c r="P870" s="9">
        <v>1.2927</v>
      </c>
      <c r="Q870" s="9">
        <v>19.688099999999999</v>
      </c>
      <c r="R870" s="9"/>
      <c r="S870" s="11"/>
    </row>
    <row r="871" spans="1:19" ht="15.75">
      <c r="A871" s="13">
        <v>68422</v>
      </c>
      <c r="B871" s="8">
        <f>38.2068 * CHOOSE(CONTROL!$C$14, $D$10, 100%, $F$10)</f>
        <v>38.206800000000001</v>
      </c>
      <c r="C871" s="8">
        <f>38.2113 * CHOOSE(CONTROL!$C$14, $D$10, 100%, $F$10)</f>
        <v>38.211300000000001</v>
      </c>
      <c r="D871" s="8">
        <f>38.2208 * CHOOSE( CONTROL!$C$14, $D$10, 100%, $F$10)</f>
        <v>38.220799999999997</v>
      </c>
      <c r="E871" s="12">
        <f>38.2171 * CHOOSE( CONTROL!$C$14, $D$10, 100%, $F$10)</f>
        <v>38.217100000000002</v>
      </c>
      <c r="F871" s="4">
        <f>38.8897 * CHOOSE(CONTROL!$C$14, $D$10, 100%, $F$10)</f>
        <v>38.889699999999998</v>
      </c>
      <c r="G871" s="8">
        <f>37.5436 * CHOOSE( CONTROL!$C$14, $D$10, 100%, $F$10)</f>
        <v>37.543599999999998</v>
      </c>
      <c r="H871" s="4">
        <f>38.4736 * CHOOSE(CONTROL!$C$14, $D$10, 100%, $F$10)</f>
        <v>38.473599999999998</v>
      </c>
      <c r="I871" s="8">
        <f>37.0131 * CHOOSE(CONTROL!$C$14, $D$10, 100%, $F$10)</f>
        <v>37.013100000000001</v>
      </c>
      <c r="J871" s="4">
        <f>36.9046 * CHOOSE(CONTROL!$C$14, $D$10, 100%, $F$10)</f>
        <v>36.904600000000002</v>
      </c>
      <c r="K871" s="4"/>
      <c r="L871" s="9">
        <v>30.092199999999998</v>
      </c>
      <c r="M871" s="9">
        <v>11.6745</v>
      </c>
      <c r="N871" s="9">
        <v>4.7850000000000001</v>
      </c>
      <c r="O871" s="9">
        <v>0.36199999999999999</v>
      </c>
      <c r="P871" s="9">
        <v>1.1791</v>
      </c>
      <c r="Q871" s="9">
        <v>19.053000000000001</v>
      </c>
      <c r="R871" s="9"/>
      <c r="S871" s="11"/>
    </row>
    <row r="872" spans="1:19" ht="15.75">
      <c r="A872" s="13">
        <v>68453</v>
      </c>
      <c r="B872" s="8">
        <f>CHOOSE( CONTROL!$C$31, 39.2283, 39.2254) * CHOOSE(CONTROL!$C$14, $D$10, 100%, $F$10)</f>
        <v>39.228299999999997</v>
      </c>
      <c r="C872" s="8">
        <f>CHOOSE( CONTROL!$C$31, 39.2363, 39.2334) * CHOOSE(CONTROL!$C$14, $D$10, 100%, $F$10)</f>
        <v>39.2363</v>
      </c>
      <c r="D872" s="8">
        <f>CHOOSE( CONTROL!$C$31, 39.2409, 39.238) * CHOOSE( CONTROL!$C$14, $D$10, 100%, $F$10)</f>
        <v>39.240900000000003</v>
      </c>
      <c r="E872" s="12">
        <f>CHOOSE( CONTROL!$C$31, 39.238, 39.2351) * CHOOSE( CONTROL!$C$14, $D$10, 100%, $F$10)</f>
        <v>39.238</v>
      </c>
      <c r="F872" s="4">
        <f>CHOOSE( CONTROL!$C$31, 39.9098, 39.9069) * CHOOSE(CONTROL!$C$14, $D$10, 100%, $F$10)</f>
        <v>39.909799999999997</v>
      </c>
      <c r="G872" s="8">
        <f>CHOOSE( CONTROL!$C$31, 38.5478, 38.5449) * CHOOSE( CONTROL!$C$14, $D$10, 100%, $F$10)</f>
        <v>38.547800000000002</v>
      </c>
      <c r="H872" s="4">
        <f>CHOOSE( CONTROL!$C$31, 39.4768, 39.4739) * CHOOSE(CONTROL!$C$14, $D$10, 100%, $F$10)</f>
        <v>39.476799999999997</v>
      </c>
      <c r="I872" s="8">
        <f>CHOOSE( CONTROL!$C$31, 38.0009, 37.998) * CHOOSE(CONTROL!$C$14, $D$10, 100%, $F$10)</f>
        <v>38.000900000000001</v>
      </c>
      <c r="J872" s="4">
        <f>CHOOSE( CONTROL!$C$31, 37.8907, 37.8879) * CHOOSE(CONTROL!$C$14, $D$10, 100%, $F$10)</f>
        <v>37.890700000000002</v>
      </c>
      <c r="K872" s="4"/>
      <c r="L872" s="9">
        <v>30.7165</v>
      </c>
      <c r="M872" s="9">
        <v>12.063700000000001</v>
      </c>
      <c r="N872" s="9">
        <v>4.9444999999999997</v>
      </c>
      <c r="O872" s="9">
        <v>0.37409999999999999</v>
      </c>
      <c r="P872" s="9">
        <v>1.2183999999999999</v>
      </c>
      <c r="Q872" s="9">
        <v>19.688099999999999</v>
      </c>
      <c r="R872" s="9"/>
      <c r="S872" s="11"/>
    </row>
    <row r="873" spans="1:19" ht="15.75">
      <c r="A873" s="13">
        <v>68483</v>
      </c>
      <c r="B873" s="8">
        <f>CHOOSE( CONTROL!$C$31, 38.5982, 38.5952) * CHOOSE(CONTROL!$C$14, $D$10, 100%, $F$10)</f>
        <v>38.598199999999999</v>
      </c>
      <c r="C873" s="8">
        <f>CHOOSE( CONTROL!$C$31, 38.6062, 38.6032) * CHOOSE(CONTROL!$C$14, $D$10, 100%, $F$10)</f>
        <v>38.606200000000001</v>
      </c>
      <c r="D873" s="8">
        <f>CHOOSE( CONTROL!$C$31, 38.611, 38.6081) * CHOOSE( CONTROL!$C$14, $D$10, 100%, $F$10)</f>
        <v>38.610999999999997</v>
      </c>
      <c r="E873" s="12">
        <f>CHOOSE( CONTROL!$C$31, 38.608, 38.6051) * CHOOSE( CONTROL!$C$14, $D$10, 100%, $F$10)</f>
        <v>38.607999999999997</v>
      </c>
      <c r="F873" s="4">
        <f>CHOOSE( CONTROL!$C$31, 39.2797, 39.2768) * CHOOSE(CONTROL!$C$14, $D$10, 100%, $F$10)</f>
        <v>39.279699999999998</v>
      </c>
      <c r="G873" s="8">
        <f>CHOOSE( CONTROL!$C$31, 37.9285, 37.9256) * CHOOSE( CONTROL!$C$14, $D$10, 100%, $F$10)</f>
        <v>37.9285</v>
      </c>
      <c r="H873" s="4">
        <f>CHOOSE( CONTROL!$C$31, 38.8571, 38.8543) * CHOOSE(CONTROL!$C$14, $D$10, 100%, $F$10)</f>
        <v>38.857100000000003</v>
      </c>
      <c r="I873" s="8">
        <f>CHOOSE( CONTROL!$C$31, 37.3926, 37.3898) * CHOOSE(CONTROL!$C$14, $D$10, 100%, $F$10)</f>
        <v>37.392600000000002</v>
      </c>
      <c r="J873" s="4">
        <f>CHOOSE( CONTROL!$C$31, 37.2816, 37.2788) * CHOOSE(CONTROL!$C$14, $D$10, 100%, $F$10)</f>
        <v>37.281599999999997</v>
      </c>
      <c r="K873" s="4"/>
      <c r="L873" s="9">
        <v>29.7257</v>
      </c>
      <c r="M873" s="9">
        <v>11.6745</v>
      </c>
      <c r="N873" s="9">
        <v>4.7850000000000001</v>
      </c>
      <c r="O873" s="9">
        <v>0.36199999999999999</v>
      </c>
      <c r="P873" s="9">
        <v>1.1791</v>
      </c>
      <c r="Q873" s="9">
        <v>19.053000000000001</v>
      </c>
      <c r="R873" s="9"/>
      <c r="S873" s="11"/>
    </row>
    <row r="874" spans="1:19" ht="15.75">
      <c r="A874" s="13">
        <v>68514</v>
      </c>
      <c r="B874" s="8">
        <f>CHOOSE( CONTROL!$C$31, 40.2575, 40.2546) * CHOOSE(CONTROL!$C$14, $D$10, 100%, $F$10)</f>
        <v>40.2575</v>
      </c>
      <c r="C874" s="8">
        <f>CHOOSE( CONTROL!$C$31, 40.2655, 40.2626) * CHOOSE(CONTROL!$C$14, $D$10, 100%, $F$10)</f>
        <v>40.265500000000003</v>
      </c>
      <c r="D874" s="8">
        <f>CHOOSE( CONTROL!$C$31, 40.2707, 40.2677) * CHOOSE( CONTROL!$C$14, $D$10, 100%, $F$10)</f>
        <v>40.270699999999998</v>
      </c>
      <c r="E874" s="12">
        <f>CHOOSE( CONTROL!$C$31, 40.2676, 40.2646) * CHOOSE( CONTROL!$C$14, $D$10, 100%, $F$10)</f>
        <v>40.267600000000002</v>
      </c>
      <c r="F874" s="4">
        <f>CHOOSE( CONTROL!$C$31, 40.9391, 40.9361) * CHOOSE(CONTROL!$C$14, $D$10, 100%, $F$10)</f>
        <v>40.939100000000003</v>
      </c>
      <c r="G874" s="8">
        <f>CHOOSE( CONTROL!$C$31, 39.5607, 39.5578) * CHOOSE( CONTROL!$C$14, $D$10, 100%, $F$10)</f>
        <v>39.560699999999997</v>
      </c>
      <c r="H874" s="4">
        <f>CHOOSE( CONTROL!$C$31, 40.489, 40.4861) * CHOOSE(CONTROL!$C$14, $D$10, 100%, $F$10)</f>
        <v>40.488999999999997</v>
      </c>
      <c r="I874" s="8">
        <f>CHOOSE( CONTROL!$C$31, 38.9987, 38.9959) * CHOOSE(CONTROL!$C$14, $D$10, 100%, $F$10)</f>
        <v>38.998699999999999</v>
      </c>
      <c r="J874" s="4">
        <f>CHOOSE( CONTROL!$C$31, 38.8857, 38.8829) * CHOOSE(CONTROL!$C$14, $D$10, 100%, $F$10)</f>
        <v>38.8857</v>
      </c>
      <c r="K874" s="4"/>
      <c r="L874" s="9">
        <v>30.7165</v>
      </c>
      <c r="M874" s="9">
        <v>12.063700000000001</v>
      </c>
      <c r="N874" s="9">
        <v>4.9444999999999997</v>
      </c>
      <c r="O874" s="9">
        <v>0.37409999999999999</v>
      </c>
      <c r="P874" s="9">
        <v>1.2183999999999999</v>
      </c>
      <c r="Q874" s="9">
        <v>19.688099999999999</v>
      </c>
      <c r="R874" s="9"/>
      <c r="S874" s="11"/>
    </row>
    <row r="875" spans="1:19" ht="15.75">
      <c r="A875" s="13">
        <v>68545</v>
      </c>
      <c r="B875" s="8">
        <f>CHOOSE( CONTROL!$C$31, 37.1527, 37.1497) * CHOOSE(CONTROL!$C$14, $D$10, 100%, $F$10)</f>
        <v>37.152700000000003</v>
      </c>
      <c r="C875" s="8">
        <f>CHOOSE( CONTROL!$C$31, 37.1607, 37.1577) * CHOOSE(CONTROL!$C$14, $D$10, 100%, $F$10)</f>
        <v>37.160699999999999</v>
      </c>
      <c r="D875" s="8">
        <f>CHOOSE( CONTROL!$C$31, 37.1659, 37.163) * CHOOSE( CONTROL!$C$14, $D$10, 100%, $F$10)</f>
        <v>37.165900000000001</v>
      </c>
      <c r="E875" s="12">
        <f>CHOOSE( CONTROL!$C$31, 37.1628, 37.1599) * CHOOSE( CONTROL!$C$14, $D$10, 100%, $F$10)</f>
        <v>37.162799999999997</v>
      </c>
      <c r="F875" s="4">
        <f>CHOOSE( CONTROL!$C$31, 37.8342, 37.8313) * CHOOSE(CONTROL!$C$14, $D$10, 100%, $F$10)</f>
        <v>37.834200000000003</v>
      </c>
      <c r="G875" s="8">
        <f>CHOOSE( CONTROL!$C$31, 36.5075, 36.5046) * CHOOSE( CONTROL!$C$14, $D$10, 100%, $F$10)</f>
        <v>36.5075</v>
      </c>
      <c r="H875" s="4">
        <f>CHOOSE( CONTROL!$C$31, 37.4356, 37.4327) * CHOOSE(CONTROL!$C$14, $D$10, 100%, $F$10)</f>
        <v>37.435600000000001</v>
      </c>
      <c r="I875" s="8">
        <f>CHOOSE( CONTROL!$C$31, 35.9961, 35.9933) * CHOOSE(CONTROL!$C$14, $D$10, 100%, $F$10)</f>
        <v>35.996099999999998</v>
      </c>
      <c r="J875" s="4">
        <f>CHOOSE( CONTROL!$C$31, 35.8842, 35.8814) * CHOOSE(CONTROL!$C$14, $D$10, 100%, $F$10)</f>
        <v>35.8842</v>
      </c>
      <c r="K875" s="4"/>
      <c r="L875" s="9">
        <v>30.7165</v>
      </c>
      <c r="M875" s="9">
        <v>12.063700000000001</v>
      </c>
      <c r="N875" s="9">
        <v>4.9444999999999997</v>
      </c>
      <c r="O875" s="9">
        <v>0.37409999999999999</v>
      </c>
      <c r="P875" s="9">
        <v>1.2183999999999999</v>
      </c>
      <c r="Q875" s="9">
        <v>19.688099999999999</v>
      </c>
      <c r="R875" s="9"/>
      <c r="S875" s="11"/>
    </row>
    <row r="876" spans="1:19" ht="15.75">
      <c r="A876" s="13">
        <v>68575</v>
      </c>
      <c r="B876" s="8">
        <f>CHOOSE( CONTROL!$C$31, 36.3752, 36.3722) * CHOOSE(CONTROL!$C$14, $D$10, 100%, $F$10)</f>
        <v>36.3752</v>
      </c>
      <c r="C876" s="8">
        <f>CHOOSE( CONTROL!$C$31, 36.3832, 36.3803) * CHOOSE(CONTROL!$C$14, $D$10, 100%, $F$10)</f>
        <v>36.383200000000002</v>
      </c>
      <c r="D876" s="8">
        <f>CHOOSE( CONTROL!$C$31, 36.3884, 36.3854) * CHOOSE( CONTROL!$C$14, $D$10, 100%, $F$10)</f>
        <v>36.388399999999997</v>
      </c>
      <c r="E876" s="12">
        <f>CHOOSE( CONTROL!$C$31, 36.3853, 36.3823) * CHOOSE( CONTROL!$C$14, $D$10, 100%, $F$10)</f>
        <v>36.385300000000001</v>
      </c>
      <c r="F876" s="4">
        <f>CHOOSE( CONTROL!$C$31, 37.0567, 37.0538) * CHOOSE(CONTROL!$C$14, $D$10, 100%, $F$10)</f>
        <v>37.056699999999999</v>
      </c>
      <c r="G876" s="8">
        <f>CHOOSE( CONTROL!$C$31, 35.7428, 35.74) * CHOOSE( CONTROL!$C$14, $D$10, 100%, $F$10)</f>
        <v>35.742800000000003</v>
      </c>
      <c r="H876" s="4">
        <f>CHOOSE( CONTROL!$C$31, 36.671, 36.6681) * CHOOSE(CONTROL!$C$14, $D$10, 100%, $F$10)</f>
        <v>36.670999999999999</v>
      </c>
      <c r="I876" s="8">
        <f>CHOOSE( CONTROL!$C$31, 35.2441, 35.2413) * CHOOSE(CONTROL!$C$14, $D$10, 100%, $F$10)</f>
        <v>35.244100000000003</v>
      </c>
      <c r="J876" s="4">
        <f>CHOOSE( CONTROL!$C$31, 35.1326, 35.1298) * CHOOSE(CONTROL!$C$14, $D$10, 100%, $F$10)</f>
        <v>35.132599999999996</v>
      </c>
      <c r="K876" s="4"/>
      <c r="L876" s="9">
        <v>29.7257</v>
      </c>
      <c r="M876" s="9">
        <v>11.6745</v>
      </c>
      <c r="N876" s="9">
        <v>4.7850000000000001</v>
      </c>
      <c r="O876" s="9">
        <v>0.36199999999999999</v>
      </c>
      <c r="P876" s="9">
        <v>1.1791</v>
      </c>
      <c r="Q876" s="9">
        <v>19.053000000000001</v>
      </c>
      <c r="R876" s="9"/>
      <c r="S876" s="11"/>
    </row>
    <row r="877" spans="1:19" ht="15.75">
      <c r="A877" s="13">
        <v>68606</v>
      </c>
      <c r="B877" s="8">
        <f>37.9849 * CHOOSE(CONTROL!$C$14, $D$10, 100%, $F$10)</f>
        <v>37.984900000000003</v>
      </c>
      <c r="C877" s="8">
        <f>37.9902 * CHOOSE(CONTROL!$C$14, $D$10, 100%, $F$10)</f>
        <v>37.990200000000002</v>
      </c>
      <c r="D877" s="8">
        <f>38.0002 * CHOOSE( CONTROL!$C$14, $D$10, 100%, $F$10)</f>
        <v>38.0002</v>
      </c>
      <c r="E877" s="12">
        <f>37.9963 * CHOOSE( CONTROL!$C$14, $D$10, 100%, $F$10)</f>
        <v>37.996299999999998</v>
      </c>
      <c r="F877" s="4">
        <f>38.6681 * CHOOSE(CONTROL!$C$14, $D$10, 100%, $F$10)</f>
        <v>38.668100000000003</v>
      </c>
      <c r="G877" s="8">
        <f>37.3272 * CHOOSE( CONTROL!$C$14, $D$10, 100%, $F$10)</f>
        <v>37.327199999999998</v>
      </c>
      <c r="H877" s="4">
        <f>38.2557 * CHOOSE(CONTROL!$C$14, $D$10, 100%, $F$10)</f>
        <v>38.255699999999997</v>
      </c>
      <c r="I877" s="8">
        <f>36.8034 * CHOOSE(CONTROL!$C$14, $D$10, 100%, $F$10)</f>
        <v>36.803400000000003</v>
      </c>
      <c r="J877" s="4">
        <f>36.6904 * CHOOSE(CONTROL!$C$14, $D$10, 100%, $F$10)</f>
        <v>36.690399999999997</v>
      </c>
      <c r="K877" s="4"/>
      <c r="L877" s="9">
        <v>31.095300000000002</v>
      </c>
      <c r="M877" s="9">
        <v>12.063700000000001</v>
      </c>
      <c r="N877" s="9">
        <v>4.9444999999999997</v>
      </c>
      <c r="O877" s="9">
        <v>0.37409999999999999</v>
      </c>
      <c r="P877" s="9">
        <v>1.2183999999999999</v>
      </c>
      <c r="Q877" s="9">
        <v>19.688099999999999</v>
      </c>
      <c r="R877" s="9"/>
      <c r="S877" s="11"/>
    </row>
    <row r="878" spans="1:19" ht="15.75">
      <c r="A878" s="13">
        <v>68636</v>
      </c>
      <c r="B878" s="8">
        <f>40.9642 * CHOOSE(CONTROL!$C$14, $D$10, 100%, $F$10)</f>
        <v>40.964199999999998</v>
      </c>
      <c r="C878" s="8">
        <f>40.9693 * CHOOSE(CONTROL!$C$14, $D$10, 100%, $F$10)</f>
        <v>40.969299999999997</v>
      </c>
      <c r="D878" s="8">
        <f>40.9455 * CHOOSE( CONTROL!$C$14, $D$10, 100%, $F$10)</f>
        <v>40.945500000000003</v>
      </c>
      <c r="E878" s="12">
        <f>40.9537 * CHOOSE( CONTROL!$C$14, $D$10, 100%, $F$10)</f>
        <v>40.953699999999998</v>
      </c>
      <c r="F878" s="4">
        <f>41.6117 * CHOOSE(CONTROL!$C$14, $D$10, 100%, $F$10)</f>
        <v>41.611699999999999</v>
      </c>
      <c r="G878" s="8">
        <f>40.2673 * CHOOSE( CONTROL!$C$14, $D$10, 100%, $F$10)</f>
        <v>40.267299999999999</v>
      </c>
      <c r="H878" s="4">
        <f>41.1504 * CHOOSE(CONTROL!$C$14, $D$10, 100%, $F$10)</f>
        <v>41.150399999999998</v>
      </c>
      <c r="I878" s="8">
        <f>39.7159 * CHOOSE(CONTROL!$C$14, $D$10, 100%, $F$10)</f>
        <v>39.715899999999998</v>
      </c>
      <c r="J878" s="4">
        <f>39.5709 * CHOOSE(CONTROL!$C$14, $D$10, 100%, $F$10)</f>
        <v>39.570900000000002</v>
      </c>
      <c r="K878" s="4"/>
      <c r="L878" s="9">
        <v>28.360600000000002</v>
      </c>
      <c r="M878" s="9">
        <v>11.6745</v>
      </c>
      <c r="N878" s="9">
        <v>4.7850000000000001</v>
      </c>
      <c r="O878" s="9">
        <v>0.36199999999999999</v>
      </c>
      <c r="P878" s="9">
        <v>1.2509999999999999</v>
      </c>
      <c r="Q878" s="9">
        <v>19.053000000000001</v>
      </c>
      <c r="R878" s="9"/>
      <c r="S878" s="11"/>
    </row>
    <row r="879" spans="1:19" ht="15.75">
      <c r="A879" s="13">
        <v>68667</v>
      </c>
      <c r="B879" s="8">
        <f>40.8898 * CHOOSE(CONTROL!$C$14, $D$10, 100%, $F$10)</f>
        <v>40.889800000000001</v>
      </c>
      <c r="C879" s="8">
        <f>40.8949 * CHOOSE(CONTROL!$C$14, $D$10, 100%, $F$10)</f>
        <v>40.8949</v>
      </c>
      <c r="D879" s="8">
        <f>40.8725 * CHOOSE( CONTROL!$C$14, $D$10, 100%, $F$10)</f>
        <v>40.872500000000002</v>
      </c>
      <c r="E879" s="12">
        <f>40.8801 * CHOOSE( CONTROL!$C$14, $D$10, 100%, $F$10)</f>
        <v>40.880099999999999</v>
      </c>
      <c r="F879" s="4">
        <f>41.5372 * CHOOSE(CONTROL!$C$14, $D$10, 100%, $F$10)</f>
        <v>41.537199999999999</v>
      </c>
      <c r="G879" s="8">
        <f>40.1951 * CHOOSE( CONTROL!$C$14, $D$10, 100%, $F$10)</f>
        <v>40.195099999999996</v>
      </c>
      <c r="H879" s="4">
        <f>41.0772 * CHOOSE(CONTROL!$C$14, $D$10, 100%, $F$10)</f>
        <v>41.077199999999998</v>
      </c>
      <c r="I879" s="8">
        <f>39.6483 * CHOOSE(CONTROL!$C$14, $D$10, 100%, $F$10)</f>
        <v>39.648299999999999</v>
      </c>
      <c r="J879" s="4">
        <f>39.499 * CHOOSE(CONTROL!$C$14, $D$10, 100%, $F$10)</f>
        <v>39.499000000000002</v>
      </c>
      <c r="K879" s="4"/>
      <c r="L879" s="9">
        <v>29.306000000000001</v>
      </c>
      <c r="M879" s="9">
        <v>12.063700000000001</v>
      </c>
      <c r="N879" s="9">
        <v>4.9444999999999997</v>
      </c>
      <c r="O879" s="9">
        <v>0.37409999999999999</v>
      </c>
      <c r="P879" s="9">
        <v>1.2927</v>
      </c>
      <c r="Q879" s="9">
        <v>19.688099999999999</v>
      </c>
      <c r="R879" s="9"/>
      <c r="S879" s="11"/>
    </row>
    <row r="880" spans="1:19" ht="15.75">
      <c r="A880" s="13">
        <v>68698</v>
      </c>
      <c r="B880" s="8">
        <f>42.4514 * CHOOSE(CONTROL!$C$14, $D$10, 100%, $F$10)</f>
        <v>42.4514</v>
      </c>
      <c r="C880" s="8">
        <f>42.4565 * CHOOSE(CONTROL!$C$14, $D$10, 100%, $F$10)</f>
        <v>42.456499999999998</v>
      </c>
      <c r="D880" s="8">
        <f>42.4523 * CHOOSE( CONTROL!$C$14, $D$10, 100%, $F$10)</f>
        <v>42.452300000000001</v>
      </c>
      <c r="E880" s="12">
        <f>42.4533 * CHOOSE( CONTROL!$C$14, $D$10, 100%, $F$10)</f>
        <v>42.453299999999999</v>
      </c>
      <c r="F880" s="4">
        <f>43.1299 * CHOOSE(CONTROL!$C$14, $D$10, 100%, $F$10)</f>
        <v>43.129899999999999</v>
      </c>
      <c r="G880" s="8">
        <f>41.7451 * CHOOSE( CONTROL!$C$14, $D$10, 100%, $F$10)</f>
        <v>41.745100000000001</v>
      </c>
      <c r="H880" s="4">
        <f>42.6435 * CHOOSE(CONTROL!$C$14, $D$10, 100%, $F$10)</f>
        <v>42.643500000000003</v>
      </c>
      <c r="I880" s="8">
        <f>41.1377 * CHOOSE(CONTROL!$C$14, $D$10, 100%, $F$10)</f>
        <v>41.137700000000002</v>
      </c>
      <c r="J880" s="4">
        <f>41.0086 * CHOOSE(CONTROL!$C$14, $D$10, 100%, $F$10)</f>
        <v>41.008600000000001</v>
      </c>
      <c r="K880" s="4"/>
      <c r="L880" s="9">
        <v>29.306000000000001</v>
      </c>
      <c r="M880" s="9">
        <v>12.063700000000001</v>
      </c>
      <c r="N880" s="9">
        <v>4.9444999999999997</v>
      </c>
      <c r="O880" s="9">
        <v>0.37409999999999999</v>
      </c>
      <c r="P880" s="9">
        <v>1.2927</v>
      </c>
      <c r="Q880" s="9">
        <v>19.688099999999999</v>
      </c>
      <c r="R880" s="9"/>
      <c r="S880" s="11"/>
    </row>
    <row r="881" spans="1:19" ht="15.75">
      <c r="A881" s="13">
        <v>68727</v>
      </c>
      <c r="B881" s="8">
        <f>39.7089 * CHOOSE(CONTROL!$C$14, $D$10, 100%, $F$10)</f>
        <v>39.7089</v>
      </c>
      <c r="C881" s="8">
        <f>39.714 * CHOOSE(CONTROL!$C$14, $D$10, 100%, $F$10)</f>
        <v>39.713999999999999</v>
      </c>
      <c r="D881" s="8">
        <f>39.7039 * CHOOSE( CONTROL!$C$14, $D$10, 100%, $F$10)</f>
        <v>39.703899999999997</v>
      </c>
      <c r="E881" s="12">
        <f>39.707 * CHOOSE( CONTROL!$C$14, $D$10, 100%, $F$10)</f>
        <v>39.707000000000001</v>
      </c>
      <c r="F881" s="4">
        <f>40.3616 * CHOOSE(CONTROL!$C$14, $D$10, 100%, $F$10)</f>
        <v>40.361600000000003</v>
      </c>
      <c r="G881" s="8">
        <f>39.04 * CHOOSE( CONTROL!$C$14, $D$10, 100%, $F$10)</f>
        <v>39.04</v>
      </c>
      <c r="H881" s="4">
        <f>39.9211 * CHOOSE(CONTROL!$C$14, $D$10, 100%, $F$10)</f>
        <v>39.921100000000003</v>
      </c>
      <c r="I881" s="8">
        <f>38.4759 * CHOOSE(CONTROL!$C$14, $D$10, 100%, $F$10)</f>
        <v>38.475900000000003</v>
      </c>
      <c r="J881" s="4">
        <f>38.3575 * CHOOSE(CONTROL!$C$14, $D$10, 100%, $F$10)</f>
        <v>38.357500000000002</v>
      </c>
      <c r="K881" s="4"/>
      <c r="L881" s="9">
        <v>27.415299999999998</v>
      </c>
      <c r="M881" s="9">
        <v>11.285299999999999</v>
      </c>
      <c r="N881" s="9">
        <v>4.6254999999999997</v>
      </c>
      <c r="O881" s="9">
        <v>0.34989999999999999</v>
      </c>
      <c r="P881" s="9">
        <v>1.2093</v>
      </c>
      <c r="Q881" s="9">
        <v>18.417899999999999</v>
      </c>
      <c r="R881" s="9"/>
      <c r="S881" s="11"/>
    </row>
    <row r="882" spans="1:19" ht="15.75">
      <c r="A882" s="13">
        <v>68758</v>
      </c>
      <c r="B882" s="8">
        <f>38.8643 * CHOOSE(CONTROL!$C$14, $D$10, 100%, $F$10)</f>
        <v>38.8643</v>
      </c>
      <c r="C882" s="8">
        <f>38.8694 * CHOOSE(CONTROL!$C$14, $D$10, 100%, $F$10)</f>
        <v>38.869399999999999</v>
      </c>
      <c r="D882" s="8">
        <f>38.8528 * CHOOSE( CONTROL!$C$14, $D$10, 100%, $F$10)</f>
        <v>38.852800000000002</v>
      </c>
      <c r="E882" s="12">
        <f>38.8583 * CHOOSE( CONTROL!$C$14, $D$10, 100%, $F$10)</f>
        <v>38.8583</v>
      </c>
      <c r="F882" s="4">
        <f>39.5169 * CHOOSE(CONTROL!$C$14, $D$10, 100%, $F$10)</f>
        <v>39.5169</v>
      </c>
      <c r="G882" s="8">
        <f>38.2011 * CHOOSE( CONTROL!$C$14, $D$10, 100%, $F$10)</f>
        <v>38.201099999999997</v>
      </c>
      <c r="H882" s="4">
        <f>39.0904 * CHOOSE(CONTROL!$C$14, $D$10, 100%, $F$10)</f>
        <v>39.090400000000002</v>
      </c>
      <c r="I882" s="8">
        <f>37.6388 * CHOOSE(CONTROL!$C$14, $D$10, 100%, $F$10)</f>
        <v>37.638800000000003</v>
      </c>
      <c r="J882" s="4">
        <f>37.5409 * CHOOSE(CONTROL!$C$14, $D$10, 100%, $F$10)</f>
        <v>37.540900000000001</v>
      </c>
      <c r="K882" s="4"/>
      <c r="L882" s="9">
        <v>29.306000000000001</v>
      </c>
      <c r="M882" s="9">
        <v>12.063700000000001</v>
      </c>
      <c r="N882" s="9">
        <v>4.9444999999999997</v>
      </c>
      <c r="O882" s="9">
        <v>0.37409999999999999</v>
      </c>
      <c r="P882" s="9">
        <v>1.2927</v>
      </c>
      <c r="Q882" s="9">
        <v>19.688099999999999</v>
      </c>
      <c r="R882" s="9"/>
      <c r="S882" s="11"/>
    </row>
    <row r="883" spans="1:19" ht="15.75">
      <c r="A883" s="13">
        <v>68788</v>
      </c>
      <c r="B883" s="8">
        <f>39.4553 * CHOOSE(CONTROL!$C$14, $D$10, 100%, $F$10)</f>
        <v>39.455300000000001</v>
      </c>
      <c r="C883" s="8">
        <f>39.4598 * CHOOSE(CONTROL!$C$14, $D$10, 100%, $F$10)</f>
        <v>39.459800000000001</v>
      </c>
      <c r="D883" s="8">
        <f>39.4693 * CHOOSE( CONTROL!$C$14, $D$10, 100%, $F$10)</f>
        <v>39.469299999999997</v>
      </c>
      <c r="E883" s="12">
        <f>39.4656 * CHOOSE( CONTROL!$C$14, $D$10, 100%, $F$10)</f>
        <v>39.465600000000002</v>
      </c>
      <c r="F883" s="4">
        <f>40.1382 * CHOOSE(CONTROL!$C$14, $D$10, 100%, $F$10)</f>
        <v>40.138199999999998</v>
      </c>
      <c r="G883" s="8">
        <f>38.7714 * CHOOSE( CONTROL!$C$14, $D$10, 100%, $F$10)</f>
        <v>38.7714</v>
      </c>
      <c r="H883" s="4">
        <f>39.7014 * CHOOSE(CONTROL!$C$14, $D$10, 100%, $F$10)</f>
        <v>39.7014</v>
      </c>
      <c r="I883" s="8">
        <f>38.2206 * CHOOSE(CONTROL!$C$14, $D$10, 100%, $F$10)</f>
        <v>38.220599999999997</v>
      </c>
      <c r="J883" s="4">
        <f>38.1115 * CHOOSE(CONTROL!$C$14, $D$10, 100%, $F$10)</f>
        <v>38.111499999999999</v>
      </c>
      <c r="K883" s="4"/>
      <c r="L883" s="9">
        <v>30.092199999999998</v>
      </c>
      <c r="M883" s="9">
        <v>11.6745</v>
      </c>
      <c r="N883" s="9">
        <v>4.7850000000000001</v>
      </c>
      <c r="O883" s="9">
        <v>0.36199999999999999</v>
      </c>
      <c r="P883" s="9">
        <v>1.1791</v>
      </c>
      <c r="Q883" s="9">
        <v>19.053000000000001</v>
      </c>
      <c r="R883" s="9"/>
      <c r="S883" s="11"/>
    </row>
    <row r="884" spans="1:19" ht="15.75">
      <c r="A884" s="13">
        <v>68819</v>
      </c>
      <c r="B884" s="8">
        <f>CHOOSE( CONTROL!$C$31, 40.51, 40.5071) * CHOOSE(CONTROL!$C$14, $D$10, 100%, $F$10)</f>
        <v>40.51</v>
      </c>
      <c r="C884" s="8">
        <f>CHOOSE( CONTROL!$C$31, 40.5181, 40.5151) * CHOOSE(CONTROL!$C$14, $D$10, 100%, $F$10)</f>
        <v>40.518099999999997</v>
      </c>
      <c r="D884" s="8">
        <f>CHOOSE( CONTROL!$C$31, 40.5227, 40.5198) * CHOOSE( CONTROL!$C$14, $D$10, 100%, $F$10)</f>
        <v>40.5227</v>
      </c>
      <c r="E884" s="12">
        <f>CHOOSE( CONTROL!$C$31, 40.5198, 40.5169) * CHOOSE( CONTROL!$C$14, $D$10, 100%, $F$10)</f>
        <v>40.519799999999996</v>
      </c>
      <c r="F884" s="4">
        <f>CHOOSE( CONTROL!$C$31, 41.1916, 41.1887) * CHOOSE(CONTROL!$C$14, $D$10, 100%, $F$10)</f>
        <v>41.191600000000001</v>
      </c>
      <c r="G884" s="8">
        <f>CHOOSE( CONTROL!$C$31, 39.8083, 39.8054) * CHOOSE( CONTROL!$C$14, $D$10, 100%, $F$10)</f>
        <v>39.808300000000003</v>
      </c>
      <c r="H884" s="4">
        <f>CHOOSE( CONTROL!$C$31, 40.7373, 40.7344) * CHOOSE(CONTROL!$C$14, $D$10, 100%, $F$10)</f>
        <v>40.737299999999998</v>
      </c>
      <c r="I884" s="8">
        <f>CHOOSE( CONTROL!$C$31, 39.2406, 39.2377) * CHOOSE(CONTROL!$C$14, $D$10, 100%, $F$10)</f>
        <v>39.240600000000001</v>
      </c>
      <c r="J884" s="4">
        <f>CHOOSE( CONTROL!$C$31, 39.1298, 39.127) * CHOOSE(CONTROL!$C$14, $D$10, 100%, $F$10)</f>
        <v>39.129800000000003</v>
      </c>
      <c r="K884" s="4"/>
      <c r="L884" s="9">
        <v>30.7165</v>
      </c>
      <c r="M884" s="9">
        <v>12.063700000000001</v>
      </c>
      <c r="N884" s="9">
        <v>4.9444999999999997</v>
      </c>
      <c r="O884" s="9">
        <v>0.37409999999999999</v>
      </c>
      <c r="P884" s="9">
        <v>1.2183999999999999</v>
      </c>
      <c r="Q884" s="9">
        <v>19.688099999999999</v>
      </c>
      <c r="R884" s="9"/>
      <c r="S884" s="11"/>
    </row>
    <row r="885" spans="1:19" ht="15.75">
      <c r="A885" s="13">
        <v>68849</v>
      </c>
      <c r="B885" s="8">
        <f>CHOOSE( CONTROL!$C$31, 39.8593, 39.8564) * CHOOSE(CONTROL!$C$14, $D$10, 100%, $F$10)</f>
        <v>39.859299999999998</v>
      </c>
      <c r="C885" s="8">
        <f>CHOOSE( CONTROL!$C$31, 39.8673, 39.8644) * CHOOSE(CONTROL!$C$14, $D$10, 100%, $F$10)</f>
        <v>39.8673</v>
      </c>
      <c r="D885" s="8">
        <f>CHOOSE( CONTROL!$C$31, 39.8722, 39.8693) * CHOOSE( CONTROL!$C$14, $D$10, 100%, $F$10)</f>
        <v>39.872199999999999</v>
      </c>
      <c r="E885" s="12">
        <f>CHOOSE( CONTROL!$C$31, 39.8692, 39.8663) * CHOOSE( CONTROL!$C$14, $D$10, 100%, $F$10)</f>
        <v>39.869199999999999</v>
      </c>
      <c r="F885" s="4">
        <f>CHOOSE( CONTROL!$C$31, 40.5408, 40.5379) * CHOOSE(CONTROL!$C$14, $D$10, 100%, $F$10)</f>
        <v>40.540799999999997</v>
      </c>
      <c r="G885" s="8">
        <f>CHOOSE( CONTROL!$C$31, 39.1687, 39.1659) * CHOOSE( CONTROL!$C$14, $D$10, 100%, $F$10)</f>
        <v>39.168700000000001</v>
      </c>
      <c r="H885" s="4">
        <f>CHOOSE( CONTROL!$C$31, 40.0974, 40.0945) * CHOOSE(CONTROL!$C$14, $D$10, 100%, $F$10)</f>
        <v>40.0974</v>
      </c>
      <c r="I885" s="8">
        <f>CHOOSE( CONTROL!$C$31, 38.6124, 38.6096) * CHOOSE(CONTROL!$C$14, $D$10, 100%, $F$10)</f>
        <v>38.612400000000001</v>
      </c>
      <c r="J885" s="4">
        <f>CHOOSE( CONTROL!$C$31, 38.5008, 38.4979) * CHOOSE(CONTROL!$C$14, $D$10, 100%, $F$10)</f>
        <v>38.500799999999998</v>
      </c>
      <c r="K885" s="4"/>
      <c r="L885" s="9">
        <v>29.7257</v>
      </c>
      <c r="M885" s="9">
        <v>11.6745</v>
      </c>
      <c r="N885" s="9">
        <v>4.7850000000000001</v>
      </c>
      <c r="O885" s="9">
        <v>0.36199999999999999</v>
      </c>
      <c r="P885" s="9">
        <v>1.1791</v>
      </c>
      <c r="Q885" s="9">
        <v>19.053000000000001</v>
      </c>
      <c r="R885" s="9"/>
      <c r="S885" s="11"/>
    </row>
    <row r="886" spans="1:19" ht="15.75">
      <c r="A886" s="13">
        <v>68880</v>
      </c>
      <c r="B886" s="8">
        <f>CHOOSE( CONTROL!$C$31, 41.5729, 41.57) * CHOOSE(CONTROL!$C$14, $D$10, 100%, $F$10)</f>
        <v>41.572899999999997</v>
      </c>
      <c r="C886" s="8">
        <f>CHOOSE( CONTROL!$C$31, 41.581, 41.578) * CHOOSE(CONTROL!$C$14, $D$10, 100%, $F$10)</f>
        <v>41.581000000000003</v>
      </c>
      <c r="D886" s="8">
        <f>CHOOSE( CONTROL!$C$31, 41.5861, 41.5832) * CHOOSE( CONTROL!$C$14, $D$10, 100%, $F$10)</f>
        <v>41.586100000000002</v>
      </c>
      <c r="E886" s="12">
        <f>CHOOSE( CONTROL!$C$31, 41.583, 41.5801) * CHOOSE( CONTROL!$C$14, $D$10, 100%, $F$10)</f>
        <v>41.582999999999998</v>
      </c>
      <c r="F886" s="4">
        <f>CHOOSE( CONTROL!$C$31, 42.2545, 42.2516) * CHOOSE(CONTROL!$C$14, $D$10, 100%, $F$10)</f>
        <v>42.2545</v>
      </c>
      <c r="G886" s="8">
        <f>CHOOSE( CONTROL!$C$31, 40.8543, 40.8514) * CHOOSE( CONTROL!$C$14, $D$10, 100%, $F$10)</f>
        <v>40.854300000000002</v>
      </c>
      <c r="H886" s="4">
        <f>CHOOSE( CONTROL!$C$31, 41.7826, 41.7797) * CHOOSE(CONTROL!$C$14, $D$10, 100%, $F$10)</f>
        <v>41.782600000000002</v>
      </c>
      <c r="I886" s="8">
        <f>CHOOSE( CONTROL!$C$31, 40.271, 40.2681) * CHOOSE(CONTROL!$C$14, $D$10, 100%, $F$10)</f>
        <v>40.271000000000001</v>
      </c>
      <c r="J886" s="4">
        <f>CHOOSE( CONTROL!$C$31, 40.1573, 40.1545) * CHOOSE(CONTROL!$C$14, $D$10, 100%, $F$10)</f>
        <v>40.157299999999999</v>
      </c>
      <c r="K886" s="4"/>
      <c r="L886" s="9">
        <v>30.7165</v>
      </c>
      <c r="M886" s="9">
        <v>12.063700000000001</v>
      </c>
      <c r="N886" s="9">
        <v>4.9444999999999997</v>
      </c>
      <c r="O886" s="9">
        <v>0.37409999999999999</v>
      </c>
      <c r="P886" s="9">
        <v>1.2183999999999999</v>
      </c>
      <c r="Q886" s="9">
        <v>19.688099999999999</v>
      </c>
      <c r="R886" s="9"/>
      <c r="S886" s="11"/>
    </row>
    <row r="887" spans="1:19" ht="15.75">
      <c r="A887" s="13">
        <v>68911</v>
      </c>
      <c r="B887" s="8">
        <f>CHOOSE( CONTROL!$C$31, 38.3665, 38.3636) * CHOOSE(CONTROL!$C$14, $D$10, 100%, $F$10)</f>
        <v>38.366500000000002</v>
      </c>
      <c r="C887" s="8">
        <f>CHOOSE( CONTROL!$C$31, 38.3746, 38.3716) * CHOOSE(CONTROL!$C$14, $D$10, 100%, $F$10)</f>
        <v>38.374600000000001</v>
      </c>
      <c r="D887" s="8">
        <f>CHOOSE( CONTROL!$C$31, 38.3798, 38.3768) * CHOOSE( CONTROL!$C$14, $D$10, 100%, $F$10)</f>
        <v>38.379800000000003</v>
      </c>
      <c r="E887" s="12">
        <f>CHOOSE( CONTROL!$C$31, 38.3767, 38.3737) * CHOOSE( CONTROL!$C$14, $D$10, 100%, $F$10)</f>
        <v>38.3767</v>
      </c>
      <c r="F887" s="4">
        <f>CHOOSE( CONTROL!$C$31, 39.0481, 39.0452) * CHOOSE(CONTROL!$C$14, $D$10, 100%, $F$10)</f>
        <v>39.048099999999998</v>
      </c>
      <c r="G887" s="8">
        <f>CHOOSE( CONTROL!$C$31, 37.7012, 37.6983) * CHOOSE( CONTROL!$C$14, $D$10, 100%, $F$10)</f>
        <v>37.7012</v>
      </c>
      <c r="H887" s="4">
        <f>CHOOSE( CONTROL!$C$31, 38.6294, 38.6265) * CHOOSE(CONTROL!$C$14, $D$10, 100%, $F$10)</f>
        <v>38.629399999999997</v>
      </c>
      <c r="I887" s="8">
        <f>CHOOSE( CONTROL!$C$31, 37.1702, 37.1674) * CHOOSE(CONTROL!$C$14, $D$10, 100%, $F$10)</f>
        <v>37.170200000000001</v>
      </c>
      <c r="J887" s="4">
        <f>CHOOSE( CONTROL!$C$31, 37.0577, 37.0549) * CHOOSE(CONTROL!$C$14, $D$10, 100%, $F$10)</f>
        <v>37.057699999999997</v>
      </c>
      <c r="K887" s="4"/>
      <c r="L887" s="9">
        <v>30.7165</v>
      </c>
      <c r="M887" s="9">
        <v>12.063700000000001</v>
      </c>
      <c r="N887" s="9">
        <v>4.9444999999999997</v>
      </c>
      <c r="O887" s="9">
        <v>0.37409999999999999</v>
      </c>
      <c r="P887" s="9">
        <v>1.2183999999999999</v>
      </c>
      <c r="Q887" s="9">
        <v>19.688099999999999</v>
      </c>
      <c r="R887" s="9"/>
      <c r="S887" s="11"/>
    </row>
    <row r="888" spans="1:19" ht="15.75">
      <c r="A888" s="13">
        <v>68941</v>
      </c>
      <c r="B888" s="8">
        <f>CHOOSE( CONTROL!$C$31, 37.5636, 37.5607) * CHOOSE(CONTROL!$C$14, $D$10, 100%, $F$10)</f>
        <v>37.563600000000001</v>
      </c>
      <c r="C888" s="8">
        <f>CHOOSE( CONTROL!$C$31, 37.5716, 37.5687) * CHOOSE(CONTROL!$C$14, $D$10, 100%, $F$10)</f>
        <v>37.571599999999997</v>
      </c>
      <c r="D888" s="8">
        <f>CHOOSE( CONTROL!$C$31, 37.5768, 37.5739) * CHOOSE( CONTROL!$C$14, $D$10, 100%, $F$10)</f>
        <v>37.576799999999999</v>
      </c>
      <c r="E888" s="12">
        <f>CHOOSE( CONTROL!$C$31, 37.5737, 37.5708) * CHOOSE( CONTROL!$C$14, $D$10, 100%, $F$10)</f>
        <v>37.573700000000002</v>
      </c>
      <c r="F888" s="4">
        <f>CHOOSE( CONTROL!$C$31, 38.2452, 38.2422) * CHOOSE(CONTROL!$C$14, $D$10, 100%, $F$10)</f>
        <v>38.245199999999997</v>
      </c>
      <c r="G888" s="8">
        <f>CHOOSE( CONTROL!$C$31, 36.9116, 36.9087) * CHOOSE( CONTROL!$C$14, $D$10, 100%, $F$10)</f>
        <v>36.9116</v>
      </c>
      <c r="H888" s="4">
        <f>CHOOSE( CONTROL!$C$31, 37.8397, 37.8369) * CHOOSE(CONTROL!$C$14, $D$10, 100%, $F$10)</f>
        <v>37.839700000000001</v>
      </c>
      <c r="I888" s="8">
        <f>CHOOSE( CONTROL!$C$31, 36.3936, 36.3907) * CHOOSE(CONTROL!$C$14, $D$10, 100%, $F$10)</f>
        <v>36.393599999999999</v>
      </c>
      <c r="J888" s="4">
        <f>CHOOSE( CONTROL!$C$31, 36.2815, 36.2787) * CHOOSE(CONTROL!$C$14, $D$10, 100%, $F$10)</f>
        <v>36.281500000000001</v>
      </c>
      <c r="K888" s="4"/>
      <c r="L888" s="9">
        <v>29.7257</v>
      </c>
      <c r="M888" s="9">
        <v>11.6745</v>
      </c>
      <c r="N888" s="9">
        <v>4.7850000000000001</v>
      </c>
      <c r="O888" s="9">
        <v>0.36199999999999999</v>
      </c>
      <c r="P888" s="9">
        <v>1.1791</v>
      </c>
      <c r="Q888" s="9">
        <v>19.053000000000001</v>
      </c>
      <c r="R888" s="9"/>
      <c r="S888" s="11"/>
    </row>
    <row r="889" spans="1:19" ht="15.75">
      <c r="A889" s="13">
        <v>68972</v>
      </c>
      <c r="B889" s="8">
        <f>39.2261 * CHOOSE(CONTROL!$C$14, $D$10, 100%, $F$10)</f>
        <v>39.226100000000002</v>
      </c>
      <c r="C889" s="8">
        <f>39.2315 * CHOOSE(CONTROL!$C$14, $D$10, 100%, $F$10)</f>
        <v>39.231499999999997</v>
      </c>
      <c r="D889" s="8">
        <f>39.2415 * CHOOSE( CONTROL!$C$14, $D$10, 100%, $F$10)</f>
        <v>39.241500000000002</v>
      </c>
      <c r="E889" s="12">
        <f>39.2376 * CHOOSE( CONTROL!$C$14, $D$10, 100%, $F$10)</f>
        <v>39.2376</v>
      </c>
      <c r="F889" s="4">
        <f>39.9094 * CHOOSE(CONTROL!$C$14, $D$10, 100%, $F$10)</f>
        <v>39.909399999999998</v>
      </c>
      <c r="G889" s="8">
        <f>38.5479 * CHOOSE( CONTROL!$C$14, $D$10, 100%, $F$10)</f>
        <v>38.547899999999998</v>
      </c>
      <c r="H889" s="4">
        <f>39.4764 * CHOOSE(CONTROL!$C$14, $D$10, 100%, $F$10)</f>
        <v>39.476399999999998</v>
      </c>
      <c r="I889" s="8">
        <f>38.004 * CHOOSE(CONTROL!$C$14, $D$10, 100%, $F$10)</f>
        <v>38.003999999999998</v>
      </c>
      <c r="J889" s="4">
        <f>37.8903 * CHOOSE(CONTROL!$C$14, $D$10, 100%, $F$10)</f>
        <v>37.890300000000003</v>
      </c>
      <c r="K889" s="4"/>
      <c r="L889" s="9">
        <v>31.095300000000002</v>
      </c>
      <c r="M889" s="9">
        <v>12.063700000000001</v>
      </c>
      <c r="N889" s="9">
        <v>4.9444999999999997</v>
      </c>
      <c r="O889" s="9">
        <v>0.37409999999999999</v>
      </c>
      <c r="P889" s="9">
        <v>1.2183999999999999</v>
      </c>
      <c r="Q889" s="9">
        <v>19.688099999999999</v>
      </c>
      <c r="R889" s="9"/>
      <c r="S889" s="11"/>
    </row>
    <row r="890" spans="1:19" ht="15.75">
      <c r="A890" s="13">
        <v>69002</v>
      </c>
      <c r="B890" s="8">
        <f>42.3029 * CHOOSE(CONTROL!$C$14, $D$10, 100%, $F$10)</f>
        <v>42.302900000000001</v>
      </c>
      <c r="C890" s="8">
        <f>42.308 * CHOOSE(CONTROL!$C$14, $D$10, 100%, $F$10)</f>
        <v>42.308</v>
      </c>
      <c r="D890" s="8">
        <f>42.2842 * CHOOSE( CONTROL!$C$14, $D$10, 100%, $F$10)</f>
        <v>42.284199999999998</v>
      </c>
      <c r="E890" s="12">
        <f>42.2924 * CHOOSE( CONTROL!$C$14, $D$10, 100%, $F$10)</f>
        <v>42.292400000000001</v>
      </c>
      <c r="F890" s="4">
        <f>42.9504 * CHOOSE(CONTROL!$C$14, $D$10, 100%, $F$10)</f>
        <v>42.950400000000002</v>
      </c>
      <c r="G890" s="8">
        <f>41.5838 * CHOOSE( CONTROL!$C$14, $D$10, 100%, $F$10)</f>
        <v>41.583799999999997</v>
      </c>
      <c r="H890" s="4">
        <f>42.4669 * CHOOSE(CONTROL!$C$14, $D$10, 100%, $F$10)</f>
        <v>42.466900000000003</v>
      </c>
      <c r="I890" s="8">
        <f>41.0107 * CHOOSE(CONTROL!$C$14, $D$10, 100%, $F$10)</f>
        <v>41.0107</v>
      </c>
      <c r="J890" s="4">
        <f>40.865 * CHOOSE(CONTROL!$C$14, $D$10, 100%, $F$10)</f>
        <v>40.865000000000002</v>
      </c>
      <c r="K890" s="4"/>
      <c r="L890" s="9">
        <v>28.360600000000002</v>
      </c>
      <c r="M890" s="9">
        <v>11.6745</v>
      </c>
      <c r="N890" s="9">
        <v>4.7850000000000001</v>
      </c>
      <c r="O890" s="9">
        <v>0.36199999999999999</v>
      </c>
      <c r="P890" s="9">
        <v>1.2509999999999999</v>
      </c>
      <c r="Q890" s="9">
        <v>19.053000000000001</v>
      </c>
      <c r="R890" s="9"/>
      <c r="S890" s="11"/>
    </row>
    <row r="891" spans="1:19" ht="15.75">
      <c r="A891" s="13">
        <v>69033</v>
      </c>
      <c r="B891" s="8">
        <f>42.226 * CHOOSE(CONTROL!$C$14, $D$10, 100%, $F$10)</f>
        <v>42.225999999999999</v>
      </c>
      <c r="C891" s="8">
        <f>42.2311 * CHOOSE(CONTROL!$C$14, $D$10, 100%, $F$10)</f>
        <v>42.231099999999998</v>
      </c>
      <c r="D891" s="8">
        <f>42.2087 * CHOOSE( CONTROL!$C$14, $D$10, 100%, $F$10)</f>
        <v>42.2087</v>
      </c>
      <c r="E891" s="12">
        <f>42.2163 * CHOOSE( CONTROL!$C$14, $D$10, 100%, $F$10)</f>
        <v>42.216299999999997</v>
      </c>
      <c r="F891" s="4">
        <f>42.8735 * CHOOSE(CONTROL!$C$14, $D$10, 100%, $F$10)</f>
        <v>42.8735</v>
      </c>
      <c r="G891" s="8">
        <f>41.5092 * CHOOSE( CONTROL!$C$14, $D$10, 100%, $F$10)</f>
        <v>41.5092</v>
      </c>
      <c r="H891" s="4">
        <f>42.3913 * CHOOSE(CONTROL!$C$14, $D$10, 100%, $F$10)</f>
        <v>42.391300000000001</v>
      </c>
      <c r="I891" s="8">
        <f>40.9407 * CHOOSE(CONTROL!$C$14, $D$10, 100%, $F$10)</f>
        <v>40.9407</v>
      </c>
      <c r="J891" s="4">
        <f>40.7907 * CHOOSE(CONTROL!$C$14, $D$10, 100%, $F$10)</f>
        <v>40.790700000000001</v>
      </c>
      <c r="K891" s="4"/>
      <c r="L891" s="9">
        <v>29.306000000000001</v>
      </c>
      <c r="M891" s="9">
        <v>12.063700000000001</v>
      </c>
      <c r="N891" s="9">
        <v>4.9444999999999997</v>
      </c>
      <c r="O891" s="9">
        <v>0.37409999999999999</v>
      </c>
      <c r="P891" s="9">
        <v>1.2927</v>
      </c>
      <c r="Q891" s="9">
        <v>19.688099999999999</v>
      </c>
      <c r="R891" s="9"/>
      <c r="S891" s="11"/>
    </row>
    <row r="892" spans="1:19" ht="15.75">
      <c r="A892" s="13">
        <v>69064</v>
      </c>
      <c r="B892" s="8">
        <f>43.8387 * CHOOSE(CONTROL!$C$14, $D$10, 100%, $F$10)</f>
        <v>43.838700000000003</v>
      </c>
      <c r="C892" s="8">
        <f>43.8438 * CHOOSE(CONTROL!$C$14, $D$10, 100%, $F$10)</f>
        <v>43.843800000000002</v>
      </c>
      <c r="D892" s="8">
        <f>43.8396 * CHOOSE( CONTROL!$C$14, $D$10, 100%, $F$10)</f>
        <v>43.839599999999997</v>
      </c>
      <c r="E892" s="12">
        <f>43.8406 * CHOOSE( CONTROL!$C$14, $D$10, 100%, $F$10)</f>
        <v>43.840600000000002</v>
      </c>
      <c r="F892" s="4">
        <f>44.5172 * CHOOSE(CONTROL!$C$14, $D$10, 100%, $F$10)</f>
        <v>44.517200000000003</v>
      </c>
      <c r="G892" s="8">
        <f>43.1094 * CHOOSE( CONTROL!$C$14, $D$10, 100%, $F$10)</f>
        <v>43.109400000000001</v>
      </c>
      <c r="H892" s="4">
        <f>44.0078 * CHOOSE(CONTROL!$C$14, $D$10, 100%, $F$10)</f>
        <v>44.007800000000003</v>
      </c>
      <c r="I892" s="8">
        <f>42.4795 * CHOOSE(CONTROL!$C$14, $D$10, 100%, $F$10)</f>
        <v>42.479500000000002</v>
      </c>
      <c r="J892" s="4">
        <f>42.3497 * CHOOSE(CONTROL!$C$14, $D$10, 100%, $F$10)</f>
        <v>42.349699999999999</v>
      </c>
      <c r="K892" s="4"/>
      <c r="L892" s="9">
        <v>29.306000000000001</v>
      </c>
      <c r="M892" s="9">
        <v>12.063700000000001</v>
      </c>
      <c r="N892" s="9">
        <v>4.9444999999999997</v>
      </c>
      <c r="O892" s="9">
        <v>0.37409999999999999</v>
      </c>
      <c r="P892" s="9">
        <v>1.2927</v>
      </c>
      <c r="Q892" s="9">
        <v>19.688099999999999</v>
      </c>
      <c r="R892" s="9"/>
      <c r="S892" s="11"/>
    </row>
    <row r="893" spans="1:19" ht="15.75">
      <c r="A893" s="13">
        <v>69092</v>
      </c>
      <c r="B893" s="8">
        <f>41.0066 * CHOOSE(CONTROL!$C$14, $D$10, 100%, $F$10)</f>
        <v>41.006599999999999</v>
      </c>
      <c r="C893" s="8">
        <f>41.0117 * CHOOSE(CONTROL!$C$14, $D$10, 100%, $F$10)</f>
        <v>41.011699999999998</v>
      </c>
      <c r="D893" s="8">
        <f>41.0016 * CHOOSE( CONTROL!$C$14, $D$10, 100%, $F$10)</f>
        <v>41.001600000000003</v>
      </c>
      <c r="E893" s="12">
        <f>41.0047 * CHOOSE( CONTROL!$C$14, $D$10, 100%, $F$10)</f>
        <v>41.0047</v>
      </c>
      <c r="F893" s="4">
        <f>41.6592 * CHOOSE(CONTROL!$C$14, $D$10, 100%, $F$10)</f>
        <v>41.659199999999998</v>
      </c>
      <c r="G893" s="8">
        <f>40.3161 * CHOOSE( CONTROL!$C$14, $D$10, 100%, $F$10)</f>
        <v>40.316099999999999</v>
      </c>
      <c r="H893" s="4">
        <f>41.1972 * CHOOSE(CONTROL!$C$14, $D$10, 100%, $F$10)</f>
        <v>41.197200000000002</v>
      </c>
      <c r="I893" s="8">
        <f>39.731 * CHOOSE(CONTROL!$C$14, $D$10, 100%, $F$10)</f>
        <v>39.731000000000002</v>
      </c>
      <c r="J893" s="4">
        <f>39.6119 * CHOOSE(CONTROL!$C$14, $D$10, 100%, $F$10)</f>
        <v>39.611899999999999</v>
      </c>
      <c r="K893" s="4"/>
      <c r="L893" s="9">
        <v>26.469899999999999</v>
      </c>
      <c r="M893" s="9">
        <v>10.8962</v>
      </c>
      <c r="N893" s="9">
        <v>4.4660000000000002</v>
      </c>
      <c r="O893" s="9">
        <v>0.33789999999999998</v>
      </c>
      <c r="P893" s="9">
        <v>1.1676</v>
      </c>
      <c r="Q893" s="9">
        <v>17.782800000000002</v>
      </c>
      <c r="R893" s="9"/>
      <c r="S893" s="11"/>
    </row>
    <row r="894" spans="1:19" ht="15.75">
      <c r="A894" s="13">
        <v>69123</v>
      </c>
      <c r="B894" s="8">
        <f>40.1343 * CHOOSE(CONTROL!$C$14, $D$10, 100%, $F$10)</f>
        <v>40.134300000000003</v>
      </c>
      <c r="C894" s="8">
        <f>40.1394 * CHOOSE(CONTROL!$C$14, $D$10, 100%, $F$10)</f>
        <v>40.139400000000002</v>
      </c>
      <c r="D894" s="8">
        <f>40.1228 * CHOOSE( CONTROL!$C$14, $D$10, 100%, $F$10)</f>
        <v>40.122799999999998</v>
      </c>
      <c r="E894" s="12">
        <f>40.1283 * CHOOSE( CONTROL!$C$14, $D$10, 100%, $F$10)</f>
        <v>40.128300000000003</v>
      </c>
      <c r="F894" s="4">
        <f>40.7869 * CHOOSE(CONTROL!$C$14, $D$10, 100%, $F$10)</f>
        <v>40.786900000000003</v>
      </c>
      <c r="G894" s="8">
        <f>39.4501 * CHOOSE( CONTROL!$C$14, $D$10, 100%, $F$10)</f>
        <v>39.450099999999999</v>
      </c>
      <c r="H894" s="4">
        <f>40.3394 * CHOOSE(CONTROL!$C$14, $D$10, 100%, $F$10)</f>
        <v>40.339399999999998</v>
      </c>
      <c r="I894" s="8">
        <f>38.8672 * CHOOSE(CONTROL!$C$14, $D$10, 100%, $F$10)</f>
        <v>38.867199999999997</v>
      </c>
      <c r="J894" s="4">
        <f>38.7686 * CHOOSE(CONTROL!$C$14, $D$10, 100%, $F$10)</f>
        <v>38.768599999999999</v>
      </c>
      <c r="K894" s="4"/>
      <c r="L894" s="9">
        <v>29.306000000000001</v>
      </c>
      <c r="M894" s="9">
        <v>12.063700000000001</v>
      </c>
      <c r="N894" s="9">
        <v>4.9444999999999997</v>
      </c>
      <c r="O894" s="9">
        <v>0.37409999999999999</v>
      </c>
      <c r="P894" s="9">
        <v>1.2927</v>
      </c>
      <c r="Q894" s="9">
        <v>19.688099999999999</v>
      </c>
      <c r="R894" s="9"/>
      <c r="S894" s="11"/>
    </row>
    <row r="895" spans="1:19" ht="15.75">
      <c r="A895" s="13">
        <v>69153</v>
      </c>
      <c r="B895" s="8">
        <f>40.7446 * CHOOSE(CONTROL!$C$14, $D$10, 100%, $F$10)</f>
        <v>40.744599999999998</v>
      </c>
      <c r="C895" s="8">
        <f>40.7491 * CHOOSE(CONTROL!$C$14, $D$10, 100%, $F$10)</f>
        <v>40.749099999999999</v>
      </c>
      <c r="D895" s="8">
        <f>40.7587 * CHOOSE( CONTROL!$C$14, $D$10, 100%, $F$10)</f>
        <v>40.758699999999997</v>
      </c>
      <c r="E895" s="12">
        <f>40.755 * CHOOSE( CONTROL!$C$14, $D$10, 100%, $F$10)</f>
        <v>40.755000000000003</v>
      </c>
      <c r="F895" s="4">
        <f>41.4275 * CHOOSE(CONTROL!$C$14, $D$10, 100%, $F$10)</f>
        <v>41.427500000000002</v>
      </c>
      <c r="G895" s="8">
        <f>40.0394 * CHOOSE( CONTROL!$C$14, $D$10, 100%, $F$10)</f>
        <v>40.039400000000001</v>
      </c>
      <c r="H895" s="4">
        <f>40.9693 * CHOOSE(CONTROL!$C$14, $D$10, 100%, $F$10)</f>
        <v>40.969299999999997</v>
      </c>
      <c r="I895" s="8">
        <f>39.4677 * CHOOSE(CONTROL!$C$14, $D$10, 100%, $F$10)</f>
        <v>39.467700000000001</v>
      </c>
      <c r="J895" s="4">
        <f>39.3579 * CHOOSE(CONTROL!$C$14, $D$10, 100%, $F$10)</f>
        <v>39.357900000000001</v>
      </c>
      <c r="K895" s="4"/>
      <c r="L895" s="9">
        <v>30.092199999999998</v>
      </c>
      <c r="M895" s="9">
        <v>11.6745</v>
      </c>
      <c r="N895" s="9">
        <v>4.7850000000000001</v>
      </c>
      <c r="O895" s="9">
        <v>0.36199999999999999</v>
      </c>
      <c r="P895" s="9">
        <v>1.1791</v>
      </c>
      <c r="Q895" s="9">
        <v>19.053000000000001</v>
      </c>
      <c r="R895" s="9"/>
      <c r="S895" s="11"/>
    </row>
    <row r="896" spans="1:19" ht="15.75">
      <c r="A896" s="13">
        <v>69184</v>
      </c>
      <c r="B896" s="8">
        <f>CHOOSE( CONTROL!$C$31, 41.8337, 41.8308) * CHOOSE(CONTROL!$C$14, $D$10, 100%, $F$10)</f>
        <v>41.8337</v>
      </c>
      <c r="C896" s="8">
        <f>CHOOSE( CONTROL!$C$31, 41.8417, 41.8388) * CHOOSE(CONTROL!$C$14, $D$10, 100%, $F$10)</f>
        <v>41.841700000000003</v>
      </c>
      <c r="D896" s="8">
        <f>CHOOSE( CONTROL!$C$31, 41.8464, 41.8434) * CHOOSE( CONTROL!$C$14, $D$10, 100%, $F$10)</f>
        <v>41.846400000000003</v>
      </c>
      <c r="E896" s="12">
        <f>CHOOSE( CONTROL!$C$31, 41.8435, 41.8405) * CHOOSE( CONTROL!$C$14, $D$10, 100%, $F$10)</f>
        <v>41.843499999999999</v>
      </c>
      <c r="F896" s="4">
        <f>CHOOSE( CONTROL!$C$31, 42.5153, 42.5123) * CHOOSE(CONTROL!$C$14, $D$10, 100%, $F$10)</f>
        <v>42.515300000000003</v>
      </c>
      <c r="G896" s="8">
        <f>CHOOSE( CONTROL!$C$31, 41.11, 41.1072) * CHOOSE( CONTROL!$C$14, $D$10, 100%, $F$10)</f>
        <v>41.11</v>
      </c>
      <c r="H896" s="4">
        <f>CHOOSE( CONTROL!$C$31, 42.039, 42.0362) * CHOOSE(CONTROL!$C$14, $D$10, 100%, $F$10)</f>
        <v>42.039000000000001</v>
      </c>
      <c r="I896" s="8">
        <f>CHOOSE( CONTROL!$C$31, 40.5208, 40.518) * CHOOSE(CONTROL!$C$14, $D$10, 100%, $F$10)</f>
        <v>40.520800000000001</v>
      </c>
      <c r="J896" s="4">
        <f>CHOOSE( CONTROL!$C$31, 40.4094, 40.4066) * CHOOSE(CONTROL!$C$14, $D$10, 100%, $F$10)</f>
        <v>40.409399999999998</v>
      </c>
      <c r="K896" s="4"/>
      <c r="L896" s="9">
        <v>30.7165</v>
      </c>
      <c r="M896" s="9">
        <v>12.063700000000001</v>
      </c>
      <c r="N896" s="9">
        <v>4.9444999999999997</v>
      </c>
      <c r="O896" s="9">
        <v>0.37409999999999999</v>
      </c>
      <c r="P896" s="9">
        <v>1.2183999999999999</v>
      </c>
      <c r="Q896" s="9">
        <v>19.688099999999999</v>
      </c>
      <c r="R896" s="9"/>
      <c r="S896" s="11"/>
    </row>
    <row r="897" spans="1:19" ht="15.75">
      <c r="A897" s="13">
        <v>69214</v>
      </c>
      <c r="B897" s="8">
        <f>CHOOSE( CONTROL!$C$31, 41.1617, 41.1588) * CHOOSE(CONTROL!$C$14, $D$10, 100%, $F$10)</f>
        <v>41.161700000000003</v>
      </c>
      <c r="C897" s="8">
        <f>CHOOSE( CONTROL!$C$31, 41.1697, 41.1668) * CHOOSE(CONTROL!$C$14, $D$10, 100%, $F$10)</f>
        <v>41.169699999999999</v>
      </c>
      <c r="D897" s="8">
        <f>CHOOSE( CONTROL!$C$31, 41.1746, 41.1717) * CHOOSE( CONTROL!$C$14, $D$10, 100%, $F$10)</f>
        <v>41.174599999999998</v>
      </c>
      <c r="E897" s="12">
        <f>CHOOSE( CONTROL!$C$31, 41.1716, 41.1687) * CHOOSE( CONTROL!$C$14, $D$10, 100%, $F$10)</f>
        <v>41.171599999999998</v>
      </c>
      <c r="F897" s="4">
        <f>CHOOSE( CONTROL!$C$31, 41.8432, 41.8403) * CHOOSE(CONTROL!$C$14, $D$10, 100%, $F$10)</f>
        <v>41.843200000000003</v>
      </c>
      <c r="G897" s="8">
        <f>CHOOSE( CONTROL!$C$31, 40.4495, 40.4467) * CHOOSE( CONTROL!$C$14, $D$10, 100%, $F$10)</f>
        <v>40.4495</v>
      </c>
      <c r="H897" s="4">
        <f>CHOOSE( CONTROL!$C$31, 41.3782, 41.3753) * CHOOSE(CONTROL!$C$14, $D$10, 100%, $F$10)</f>
        <v>41.3782</v>
      </c>
      <c r="I897" s="8">
        <f>CHOOSE( CONTROL!$C$31, 39.8721, 39.8692) * CHOOSE(CONTROL!$C$14, $D$10, 100%, $F$10)</f>
        <v>39.872100000000003</v>
      </c>
      <c r="J897" s="4">
        <f>CHOOSE( CONTROL!$C$31, 39.7598, 39.757) * CHOOSE(CONTROL!$C$14, $D$10, 100%, $F$10)</f>
        <v>39.759799999999998</v>
      </c>
      <c r="K897" s="4"/>
      <c r="L897" s="9">
        <v>29.7257</v>
      </c>
      <c r="M897" s="9">
        <v>11.6745</v>
      </c>
      <c r="N897" s="9">
        <v>4.7850000000000001</v>
      </c>
      <c r="O897" s="9">
        <v>0.36199999999999999</v>
      </c>
      <c r="P897" s="9">
        <v>1.1791</v>
      </c>
      <c r="Q897" s="9">
        <v>19.053000000000001</v>
      </c>
      <c r="R897" s="9"/>
      <c r="S897" s="11"/>
    </row>
    <row r="898" spans="1:19" ht="15.75">
      <c r="A898" s="13">
        <v>69245</v>
      </c>
      <c r="B898" s="8">
        <f>CHOOSE( CONTROL!$C$31, 42.9314, 42.9285) * CHOOSE(CONTROL!$C$14, $D$10, 100%, $F$10)</f>
        <v>42.931399999999996</v>
      </c>
      <c r="C898" s="8">
        <f>CHOOSE( CONTROL!$C$31, 42.9394, 42.9365) * CHOOSE(CONTROL!$C$14, $D$10, 100%, $F$10)</f>
        <v>42.939399999999999</v>
      </c>
      <c r="D898" s="8">
        <f>CHOOSE( CONTROL!$C$31, 42.9445, 42.9416) * CHOOSE( CONTROL!$C$14, $D$10, 100%, $F$10)</f>
        <v>42.944499999999998</v>
      </c>
      <c r="E898" s="12">
        <f>CHOOSE( CONTROL!$C$31, 42.9414, 42.9385) * CHOOSE( CONTROL!$C$14, $D$10, 100%, $F$10)</f>
        <v>42.941400000000002</v>
      </c>
      <c r="F898" s="4">
        <f>CHOOSE( CONTROL!$C$31, 43.6129, 43.61) * CHOOSE(CONTROL!$C$14, $D$10, 100%, $F$10)</f>
        <v>43.612900000000003</v>
      </c>
      <c r="G898" s="8">
        <f>CHOOSE( CONTROL!$C$31, 42.1902, 42.1874) * CHOOSE( CONTROL!$C$14, $D$10, 100%, $F$10)</f>
        <v>42.190199999999997</v>
      </c>
      <c r="H898" s="4">
        <f>CHOOSE( CONTROL!$C$31, 43.1185, 43.1156) * CHOOSE(CONTROL!$C$14, $D$10, 100%, $F$10)</f>
        <v>43.118499999999997</v>
      </c>
      <c r="I898" s="8">
        <f>CHOOSE( CONTROL!$C$31, 41.5848, 41.582) * CHOOSE(CONTROL!$C$14, $D$10, 100%, $F$10)</f>
        <v>41.584800000000001</v>
      </c>
      <c r="J898" s="4">
        <f>CHOOSE( CONTROL!$C$31, 41.4705, 41.4677) * CHOOSE(CONTROL!$C$14, $D$10, 100%, $F$10)</f>
        <v>41.470500000000001</v>
      </c>
      <c r="K898" s="4"/>
      <c r="L898" s="9">
        <v>30.7165</v>
      </c>
      <c r="M898" s="9">
        <v>12.063700000000001</v>
      </c>
      <c r="N898" s="9">
        <v>4.9444999999999997</v>
      </c>
      <c r="O898" s="9">
        <v>0.37409999999999999</v>
      </c>
      <c r="P898" s="9">
        <v>1.2183999999999999</v>
      </c>
      <c r="Q898" s="9">
        <v>19.688099999999999</v>
      </c>
      <c r="R898" s="9"/>
      <c r="S898" s="11"/>
    </row>
    <row r="899" spans="1:19" ht="15.75">
      <c r="A899" s="13">
        <v>69276</v>
      </c>
      <c r="B899" s="8">
        <f>CHOOSE( CONTROL!$C$31, 39.6201, 39.6172) * CHOOSE(CONTROL!$C$14, $D$10, 100%, $F$10)</f>
        <v>39.620100000000001</v>
      </c>
      <c r="C899" s="8">
        <f>CHOOSE( CONTROL!$C$31, 39.6281, 39.6252) * CHOOSE(CONTROL!$C$14, $D$10, 100%, $F$10)</f>
        <v>39.628100000000003</v>
      </c>
      <c r="D899" s="8">
        <f>CHOOSE( CONTROL!$C$31, 39.6333, 39.6304) * CHOOSE( CONTROL!$C$14, $D$10, 100%, $F$10)</f>
        <v>39.633299999999998</v>
      </c>
      <c r="E899" s="12">
        <f>CHOOSE( CONTROL!$C$31, 39.6302, 39.6273) * CHOOSE( CONTROL!$C$14, $D$10, 100%, $F$10)</f>
        <v>39.630200000000002</v>
      </c>
      <c r="F899" s="4">
        <f>CHOOSE( CONTROL!$C$31, 40.3017, 40.2987) * CHOOSE(CONTROL!$C$14, $D$10, 100%, $F$10)</f>
        <v>40.301699999999997</v>
      </c>
      <c r="G899" s="8">
        <f>CHOOSE( CONTROL!$C$31, 38.934, 38.9311) * CHOOSE( CONTROL!$C$14, $D$10, 100%, $F$10)</f>
        <v>38.933999999999997</v>
      </c>
      <c r="H899" s="4">
        <f>CHOOSE( CONTROL!$C$31, 39.8621, 39.8593) * CHOOSE(CONTROL!$C$14, $D$10, 100%, $F$10)</f>
        <v>39.862099999999998</v>
      </c>
      <c r="I899" s="8">
        <f>CHOOSE( CONTROL!$C$31, 38.3826, 38.3798) * CHOOSE(CONTROL!$C$14, $D$10, 100%, $F$10)</f>
        <v>38.382599999999996</v>
      </c>
      <c r="J899" s="4">
        <f>CHOOSE( CONTROL!$C$31, 38.2695, 38.2667) * CHOOSE(CONTROL!$C$14, $D$10, 100%, $F$10)</f>
        <v>38.269500000000001</v>
      </c>
      <c r="K899" s="4"/>
      <c r="L899" s="9">
        <v>30.7165</v>
      </c>
      <c r="M899" s="9">
        <v>12.063700000000001</v>
      </c>
      <c r="N899" s="9">
        <v>4.9444999999999997</v>
      </c>
      <c r="O899" s="9">
        <v>0.37409999999999999</v>
      </c>
      <c r="P899" s="9">
        <v>1.2183999999999999</v>
      </c>
      <c r="Q899" s="9">
        <v>19.688099999999999</v>
      </c>
      <c r="R899" s="9"/>
      <c r="S899" s="11"/>
    </row>
    <row r="900" spans="1:19" ht="15.75">
      <c r="A900" s="13">
        <v>69306</v>
      </c>
      <c r="B900" s="8">
        <f>CHOOSE( CONTROL!$C$31, 38.7909, 38.788) * CHOOSE(CONTROL!$C$14, $D$10, 100%, $F$10)</f>
        <v>38.790900000000001</v>
      </c>
      <c r="C900" s="8">
        <f>CHOOSE( CONTROL!$C$31, 38.7989, 38.796) * CHOOSE(CONTROL!$C$14, $D$10, 100%, $F$10)</f>
        <v>38.798900000000003</v>
      </c>
      <c r="D900" s="8">
        <f>CHOOSE( CONTROL!$C$31, 38.8041, 38.8012) * CHOOSE( CONTROL!$C$14, $D$10, 100%, $F$10)</f>
        <v>38.804099999999998</v>
      </c>
      <c r="E900" s="12">
        <f>CHOOSE( CONTROL!$C$31, 38.801, 38.7981) * CHOOSE( CONTROL!$C$14, $D$10, 100%, $F$10)</f>
        <v>38.801000000000002</v>
      </c>
      <c r="F900" s="4">
        <f>CHOOSE( CONTROL!$C$31, 39.4725, 39.4696) * CHOOSE(CONTROL!$C$14, $D$10, 100%, $F$10)</f>
        <v>39.472499999999997</v>
      </c>
      <c r="G900" s="8">
        <f>CHOOSE( CONTROL!$C$31, 38.1186, 38.1157) * CHOOSE( CONTROL!$C$14, $D$10, 100%, $F$10)</f>
        <v>38.118600000000001</v>
      </c>
      <c r="H900" s="4">
        <f>CHOOSE( CONTROL!$C$31, 39.0467, 39.0438) * CHOOSE(CONTROL!$C$14, $D$10, 100%, $F$10)</f>
        <v>39.046700000000001</v>
      </c>
      <c r="I900" s="8">
        <f>CHOOSE( CONTROL!$C$31, 37.5806, 37.5778) * CHOOSE(CONTROL!$C$14, $D$10, 100%, $F$10)</f>
        <v>37.580599999999997</v>
      </c>
      <c r="J900" s="4">
        <f>CHOOSE( CONTROL!$C$31, 37.468, 37.4651) * CHOOSE(CONTROL!$C$14, $D$10, 100%, $F$10)</f>
        <v>37.468000000000004</v>
      </c>
      <c r="K900" s="4"/>
      <c r="L900" s="9">
        <v>29.7257</v>
      </c>
      <c r="M900" s="9">
        <v>11.6745</v>
      </c>
      <c r="N900" s="9">
        <v>4.7850000000000001</v>
      </c>
      <c r="O900" s="9">
        <v>0.36199999999999999</v>
      </c>
      <c r="P900" s="9">
        <v>1.1791</v>
      </c>
      <c r="Q900" s="9">
        <v>19.053000000000001</v>
      </c>
      <c r="R900" s="9"/>
      <c r="S900" s="11"/>
    </row>
    <row r="901" spans="1:19" ht="15.75">
      <c r="A901" s="13">
        <v>69337</v>
      </c>
      <c r="B901" s="8">
        <f>40.5079 * CHOOSE(CONTROL!$C$14, $D$10, 100%, $F$10)</f>
        <v>40.507899999999999</v>
      </c>
      <c r="C901" s="8">
        <f>40.5133 * CHOOSE(CONTROL!$C$14, $D$10, 100%, $F$10)</f>
        <v>40.513300000000001</v>
      </c>
      <c r="D901" s="8">
        <f>40.5233 * CHOOSE( CONTROL!$C$14, $D$10, 100%, $F$10)</f>
        <v>40.523299999999999</v>
      </c>
      <c r="E901" s="12">
        <f>40.5194 * CHOOSE( CONTROL!$C$14, $D$10, 100%, $F$10)</f>
        <v>40.519399999999997</v>
      </c>
      <c r="F901" s="4">
        <f>41.1912 * CHOOSE(CONTROL!$C$14, $D$10, 100%, $F$10)</f>
        <v>41.191200000000002</v>
      </c>
      <c r="G901" s="8">
        <f>39.8084 * CHOOSE( CONTROL!$C$14, $D$10, 100%, $F$10)</f>
        <v>39.808399999999999</v>
      </c>
      <c r="H901" s="4">
        <f>40.737 * CHOOSE(CONTROL!$C$14, $D$10, 100%, $F$10)</f>
        <v>40.737000000000002</v>
      </c>
      <c r="I901" s="8">
        <f>39.2437 * CHOOSE(CONTROL!$C$14, $D$10, 100%, $F$10)</f>
        <v>39.243699999999997</v>
      </c>
      <c r="J901" s="4">
        <f>39.1295 * CHOOSE(CONTROL!$C$14, $D$10, 100%, $F$10)</f>
        <v>39.1295</v>
      </c>
      <c r="K901" s="4"/>
      <c r="L901" s="9">
        <v>31.095300000000002</v>
      </c>
      <c r="M901" s="9">
        <v>12.063700000000001</v>
      </c>
      <c r="N901" s="9">
        <v>4.9444999999999997</v>
      </c>
      <c r="O901" s="9">
        <v>0.37409999999999999</v>
      </c>
      <c r="P901" s="9">
        <v>1.2183999999999999</v>
      </c>
      <c r="Q901" s="9">
        <v>19.688099999999999</v>
      </c>
      <c r="R901" s="9"/>
      <c r="S901" s="11"/>
    </row>
    <row r="902" spans="1:19" ht="15.75">
      <c r="A902" s="13">
        <v>69367</v>
      </c>
      <c r="B902" s="8">
        <f>43.6854 * CHOOSE(CONTROL!$C$14, $D$10, 100%, $F$10)</f>
        <v>43.685400000000001</v>
      </c>
      <c r="C902" s="8">
        <f>43.6905 * CHOOSE(CONTROL!$C$14, $D$10, 100%, $F$10)</f>
        <v>43.6905</v>
      </c>
      <c r="D902" s="8">
        <f>43.6667 * CHOOSE( CONTROL!$C$14, $D$10, 100%, $F$10)</f>
        <v>43.666699999999999</v>
      </c>
      <c r="E902" s="12">
        <f>43.6749 * CHOOSE( CONTROL!$C$14, $D$10, 100%, $F$10)</f>
        <v>43.674900000000001</v>
      </c>
      <c r="F902" s="4">
        <f>44.3329 * CHOOSE(CONTROL!$C$14, $D$10, 100%, $F$10)</f>
        <v>44.332900000000002</v>
      </c>
      <c r="G902" s="8">
        <f>42.9434 * CHOOSE( CONTROL!$C$14, $D$10, 100%, $F$10)</f>
        <v>42.943399999999997</v>
      </c>
      <c r="H902" s="4">
        <f>43.8265 * CHOOSE(CONTROL!$C$14, $D$10, 100%, $F$10)</f>
        <v>43.826500000000003</v>
      </c>
      <c r="I902" s="8">
        <f>42.3478 * CHOOSE(CONTROL!$C$14, $D$10, 100%, $F$10)</f>
        <v>42.347799999999999</v>
      </c>
      <c r="J902" s="4">
        <f>42.2015 * CHOOSE(CONTROL!$C$14, $D$10, 100%, $F$10)</f>
        <v>42.201500000000003</v>
      </c>
      <c r="K902" s="4"/>
      <c r="L902" s="9">
        <v>28.360600000000002</v>
      </c>
      <c r="M902" s="9">
        <v>11.6745</v>
      </c>
      <c r="N902" s="9">
        <v>4.7850000000000001</v>
      </c>
      <c r="O902" s="9">
        <v>0.36199999999999999</v>
      </c>
      <c r="P902" s="9">
        <v>1.2509999999999999</v>
      </c>
      <c r="Q902" s="9">
        <v>19.053000000000001</v>
      </c>
      <c r="R902" s="9"/>
      <c r="S902" s="11"/>
    </row>
    <row r="903" spans="1:19" ht="15.75">
      <c r="A903" s="13">
        <v>69398</v>
      </c>
      <c r="B903" s="8">
        <f>43.606 * CHOOSE(CONTROL!$C$14, $D$10, 100%, $F$10)</f>
        <v>43.606000000000002</v>
      </c>
      <c r="C903" s="8">
        <f>43.6111 * CHOOSE(CONTROL!$C$14, $D$10, 100%, $F$10)</f>
        <v>43.6111</v>
      </c>
      <c r="D903" s="8">
        <f>43.5887 * CHOOSE( CONTROL!$C$14, $D$10, 100%, $F$10)</f>
        <v>43.588700000000003</v>
      </c>
      <c r="E903" s="12">
        <f>43.5963 * CHOOSE( CONTROL!$C$14, $D$10, 100%, $F$10)</f>
        <v>43.596299999999999</v>
      </c>
      <c r="F903" s="4">
        <f>44.2535 * CHOOSE(CONTROL!$C$14, $D$10, 100%, $F$10)</f>
        <v>44.253500000000003</v>
      </c>
      <c r="G903" s="8">
        <f>42.8663 * CHOOSE( CONTROL!$C$14, $D$10, 100%, $F$10)</f>
        <v>42.866300000000003</v>
      </c>
      <c r="H903" s="4">
        <f>43.7484 * CHOOSE(CONTROL!$C$14, $D$10, 100%, $F$10)</f>
        <v>43.748399999999997</v>
      </c>
      <c r="I903" s="8">
        <f>42.2754 * CHOOSE(CONTROL!$C$14, $D$10, 100%, $F$10)</f>
        <v>42.275399999999998</v>
      </c>
      <c r="J903" s="4">
        <f>42.1247 * CHOOSE(CONTROL!$C$14, $D$10, 100%, $F$10)</f>
        <v>42.124699999999997</v>
      </c>
      <c r="K903" s="4"/>
      <c r="L903" s="9">
        <v>29.306000000000001</v>
      </c>
      <c r="M903" s="9">
        <v>12.063700000000001</v>
      </c>
      <c r="N903" s="9">
        <v>4.9444999999999997</v>
      </c>
      <c r="O903" s="9">
        <v>0.37409999999999999</v>
      </c>
      <c r="P903" s="9">
        <v>1.2927</v>
      </c>
      <c r="Q903" s="9">
        <v>19.688099999999999</v>
      </c>
      <c r="R903" s="9"/>
      <c r="S903" s="11"/>
    </row>
    <row r="904" spans="1:19" ht="15.75">
      <c r="A904" s="13">
        <v>69429</v>
      </c>
      <c r="B904" s="8">
        <f>45.2714 * CHOOSE(CONTROL!$C$14, $D$10, 100%, $F$10)</f>
        <v>45.2714</v>
      </c>
      <c r="C904" s="8">
        <f>45.2765 * CHOOSE(CONTROL!$C$14, $D$10, 100%, $F$10)</f>
        <v>45.276499999999999</v>
      </c>
      <c r="D904" s="8">
        <f>45.2723 * CHOOSE( CONTROL!$C$14, $D$10, 100%, $F$10)</f>
        <v>45.272300000000001</v>
      </c>
      <c r="E904" s="12">
        <f>45.2733 * CHOOSE( CONTROL!$C$14, $D$10, 100%, $F$10)</f>
        <v>45.273299999999999</v>
      </c>
      <c r="F904" s="4">
        <f>45.9499 * CHOOSE(CONTROL!$C$14, $D$10, 100%, $F$10)</f>
        <v>45.9499</v>
      </c>
      <c r="G904" s="8">
        <f>44.5183 * CHOOSE( CONTROL!$C$14, $D$10, 100%, $F$10)</f>
        <v>44.518300000000004</v>
      </c>
      <c r="H904" s="4">
        <f>45.4168 * CHOOSE(CONTROL!$C$14, $D$10, 100%, $F$10)</f>
        <v>45.416800000000002</v>
      </c>
      <c r="I904" s="8">
        <f>43.8652 * CHOOSE(CONTROL!$C$14, $D$10, 100%, $F$10)</f>
        <v>43.865200000000002</v>
      </c>
      <c r="J904" s="4">
        <f>43.7347 * CHOOSE(CONTROL!$C$14, $D$10, 100%, $F$10)</f>
        <v>43.734699999999997</v>
      </c>
      <c r="K904" s="4"/>
      <c r="L904" s="9">
        <v>29.306000000000001</v>
      </c>
      <c r="M904" s="9">
        <v>12.063700000000001</v>
      </c>
      <c r="N904" s="9">
        <v>4.9444999999999997</v>
      </c>
      <c r="O904" s="9">
        <v>0.37409999999999999</v>
      </c>
      <c r="P904" s="9">
        <v>1.2927</v>
      </c>
      <c r="Q904" s="9">
        <v>19.688099999999999</v>
      </c>
      <c r="R904" s="9"/>
      <c r="S904" s="11"/>
    </row>
    <row r="905" spans="1:19" ht="15.75">
      <c r="A905" s="13">
        <v>69457</v>
      </c>
      <c r="B905" s="8">
        <f>42.3467 * CHOOSE(CONTROL!$C$14, $D$10, 100%, $F$10)</f>
        <v>42.346699999999998</v>
      </c>
      <c r="C905" s="8">
        <f>42.3518 * CHOOSE(CONTROL!$C$14, $D$10, 100%, $F$10)</f>
        <v>42.351799999999997</v>
      </c>
      <c r="D905" s="8">
        <f>42.3416 * CHOOSE( CONTROL!$C$14, $D$10, 100%, $F$10)</f>
        <v>42.3416</v>
      </c>
      <c r="E905" s="12">
        <f>42.3448 * CHOOSE( CONTROL!$C$14, $D$10, 100%, $F$10)</f>
        <v>42.344799999999999</v>
      </c>
      <c r="F905" s="4">
        <f>42.9993 * CHOOSE(CONTROL!$C$14, $D$10, 100%, $F$10)</f>
        <v>42.999299999999998</v>
      </c>
      <c r="G905" s="8">
        <f>41.634 * CHOOSE( CONTROL!$C$14, $D$10, 100%, $F$10)</f>
        <v>41.634</v>
      </c>
      <c r="H905" s="4">
        <f>42.5151 * CHOOSE(CONTROL!$C$14, $D$10, 100%, $F$10)</f>
        <v>42.515099999999997</v>
      </c>
      <c r="I905" s="8">
        <f>41.0271 * CHOOSE(CONTROL!$C$14, $D$10, 100%, $F$10)</f>
        <v>41.027099999999997</v>
      </c>
      <c r="J905" s="4">
        <f>40.9073 * CHOOSE(CONTROL!$C$14, $D$10, 100%, $F$10)</f>
        <v>40.907299999999999</v>
      </c>
      <c r="K905" s="4"/>
      <c r="L905" s="9">
        <v>26.469899999999999</v>
      </c>
      <c r="M905" s="9">
        <v>10.8962</v>
      </c>
      <c r="N905" s="9">
        <v>4.4660000000000002</v>
      </c>
      <c r="O905" s="9">
        <v>0.33789999999999998</v>
      </c>
      <c r="P905" s="9">
        <v>1.1676</v>
      </c>
      <c r="Q905" s="9">
        <v>17.782800000000002</v>
      </c>
      <c r="R905" s="9"/>
      <c r="S905" s="11"/>
    </row>
    <row r="906" spans="1:19" ht="15.75">
      <c r="A906" s="13">
        <v>69488</v>
      </c>
      <c r="B906" s="8">
        <f>41.4458 * CHOOSE(CONTROL!$C$14, $D$10, 100%, $F$10)</f>
        <v>41.445799999999998</v>
      </c>
      <c r="C906" s="8">
        <f>41.451 * CHOOSE(CONTROL!$C$14, $D$10, 100%, $F$10)</f>
        <v>41.451000000000001</v>
      </c>
      <c r="D906" s="8">
        <f>41.4344 * CHOOSE( CONTROL!$C$14, $D$10, 100%, $F$10)</f>
        <v>41.434399999999997</v>
      </c>
      <c r="E906" s="12">
        <f>41.4399 * CHOOSE( CONTROL!$C$14, $D$10, 100%, $F$10)</f>
        <v>41.439900000000002</v>
      </c>
      <c r="F906" s="4">
        <f>42.0985 * CHOOSE(CONTROL!$C$14, $D$10, 100%, $F$10)</f>
        <v>42.098500000000001</v>
      </c>
      <c r="G906" s="8">
        <f>40.7399 * CHOOSE( CONTROL!$C$14, $D$10, 100%, $F$10)</f>
        <v>40.739899999999999</v>
      </c>
      <c r="H906" s="4">
        <f>41.6292 * CHOOSE(CONTROL!$C$14, $D$10, 100%, $F$10)</f>
        <v>41.629199999999997</v>
      </c>
      <c r="I906" s="8">
        <f>40.1357 * CHOOSE(CONTROL!$C$14, $D$10, 100%, $F$10)</f>
        <v>40.1357</v>
      </c>
      <c r="J906" s="4">
        <f>40.0365 * CHOOSE(CONTROL!$C$14, $D$10, 100%, $F$10)</f>
        <v>40.036499999999997</v>
      </c>
      <c r="K906" s="4"/>
      <c r="L906" s="9">
        <v>29.306000000000001</v>
      </c>
      <c r="M906" s="9">
        <v>12.063700000000001</v>
      </c>
      <c r="N906" s="9">
        <v>4.9444999999999997</v>
      </c>
      <c r="O906" s="9">
        <v>0.37409999999999999</v>
      </c>
      <c r="P906" s="9">
        <v>1.2927</v>
      </c>
      <c r="Q906" s="9">
        <v>19.688099999999999</v>
      </c>
      <c r="R906" s="9"/>
      <c r="S906" s="11"/>
    </row>
    <row r="907" spans="1:19" ht="15.75">
      <c r="A907" s="13">
        <v>69518</v>
      </c>
      <c r="B907" s="8">
        <f>42.0761 * CHOOSE(CONTROL!$C$14, $D$10, 100%, $F$10)</f>
        <v>42.076099999999997</v>
      </c>
      <c r="C907" s="8">
        <f>42.0806 * CHOOSE(CONTROL!$C$14, $D$10, 100%, $F$10)</f>
        <v>42.080599999999997</v>
      </c>
      <c r="D907" s="8">
        <f>42.0902 * CHOOSE( CONTROL!$C$14, $D$10, 100%, $F$10)</f>
        <v>42.090200000000003</v>
      </c>
      <c r="E907" s="12">
        <f>42.0865 * CHOOSE( CONTROL!$C$14, $D$10, 100%, $F$10)</f>
        <v>42.086500000000001</v>
      </c>
      <c r="F907" s="4">
        <f>42.759 * CHOOSE(CONTROL!$C$14, $D$10, 100%, $F$10)</f>
        <v>42.759</v>
      </c>
      <c r="G907" s="8">
        <f>41.3488 * CHOOSE( CONTROL!$C$14, $D$10, 100%, $F$10)</f>
        <v>41.348799999999997</v>
      </c>
      <c r="H907" s="4">
        <f>42.2787 * CHOOSE(CONTROL!$C$14, $D$10, 100%, $F$10)</f>
        <v>42.278700000000001</v>
      </c>
      <c r="I907" s="8">
        <f>40.7554 * CHOOSE(CONTROL!$C$14, $D$10, 100%, $F$10)</f>
        <v>40.755400000000002</v>
      </c>
      <c r="J907" s="4">
        <f>40.645 * CHOOSE(CONTROL!$C$14, $D$10, 100%, $F$10)</f>
        <v>40.645000000000003</v>
      </c>
      <c r="K907" s="4"/>
      <c r="L907" s="9">
        <v>30.092199999999998</v>
      </c>
      <c r="M907" s="9">
        <v>11.6745</v>
      </c>
      <c r="N907" s="9">
        <v>4.7850000000000001</v>
      </c>
      <c r="O907" s="9">
        <v>0.36199999999999999</v>
      </c>
      <c r="P907" s="9">
        <v>1.1791</v>
      </c>
      <c r="Q907" s="9">
        <v>19.053000000000001</v>
      </c>
      <c r="R907" s="9"/>
      <c r="S907" s="11"/>
    </row>
    <row r="908" spans="1:19" ht="15.75">
      <c r="A908" s="13">
        <v>69549</v>
      </c>
      <c r="B908" s="8">
        <f>CHOOSE( CONTROL!$C$31, 43.2007, 43.1978) * CHOOSE(CONTROL!$C$14, $D$10, 100%, $F$10)</f>
        <v>43.200699999999998</v>
      </c>
      <c r="C908" s="8">
        <f>CHOOSE( CONTROL!$C$31, 43.2087, 43.2058) * CHOOSE(CONTROL!$C$14, $D$10, 100%, $F$10)</f>
        <v>43.2087</v>
      </c>
      <c r="D908" s="8">
        <f>CHOOSE( CONTROL!$C$31, 43.2133, 43.2104) * CHOOSE( CONTROL!$C$14, $D$10, 100%, $F$10)</f>
        <v>43.213299999999997</v>
      </c>
      <c r="E908" s="12">
        <f>CHOOSE( CONTROL!$C$31, 43.2104, 43.2075) * CHOOSE( CONTROL!$C$14, $D$10, 100%, $F$10)</f>
        <v>43.2104</v>
      </c>
      <c r="F908" s="4">
        <f>CHOOSE( CONTROL!$C$31, 43.8822, 43.8793) * CHOOSE(CONTROL!$C$14, $D$10, 100%, $F$10)</f>
        <v>43.882199999999997</v>
      </c>
      <c r="G908" s="8">
        <f>CHOOSE( CONTROL!$C$31, 42.4543, 42.4514) * CHOOSE( CONTROL!$C$14, $D$10, 100%, $F$10)</f>
        <v>42.454300000000003</v>
      </c>
      <c r="H908" s="4">
        <f>CHOOSE( CONTROL!$C$31, 43.3833, 43.3805) * CHOOSE(CONTROL!$C$14, $D$10, 100%, $F$10)</f>
        <v>43.383299999999998</v>
      </c>
      <c r="I908" s="8">
        <f>CHOOSE( CONTROL!$C$31, 41.8429, 41.8401) * CHOOSE(CONTROL!$C$14, $D$10, 100%, $F$10)</f>
        <v>41.8429</v>
      </c>
      <c r="J908" s="4">
        <f>CHOOSE( CONTROL!$C$31, 41.7309, 41.728) * CHOOSE(CONTROL!$C$14, $D$10, 100%, $F$10)</f>
        <v>41.730899999999998</v>
      </c>
      <c r="K908" s="4"/>
      <c r="L908" s="9">
        <v>30.7165</v>
      </c>
      <c r="M908" s="9">
        <v>12.063700000000001</v>
      </c>
      <c r="N908" s="9">
        <v>4.9444999999999997</v>
      </c>
      <c r="O908" s="9">
        <v>0.37409999999999999</v>
      </c>
      <c r="P908" s="9">
        <v>1.2183999999999999</v>
      </c>
      <c r="Q908" s="9">
        <v>19.688099999999999</v>
      </c>
      <c r="R908" s="9"/>
      <c r="S908" s="11"/>
    </row>
    <row r="909" spans="1:19" ht="15.75">
      <c r="A909" s="13">
        <v>69579</v>
      </c>
      <c r="B909" s="8">
        <f>CHOOSE( CONTROL!$C$31, 42.5067, 42.5038) * CHOOSE(CONTROL!$C$14, $D$10, 100%, $F$10)</f>
        <v>42.506700000000002</v>
      </c>
      <c r="C909" s="8">
        <f>CHOOSE( CONTROL!$C$31, 42.5147, 42.5118) * CHOOSE(CONTROL!$C$14, $D$10, 100%, $F$10)</f>
        <v>42.514699999999998</v>
      </c>
      <c r="D909" s="8">
        <f>CHOOSE( CONTROL!$C$31, 42.5196, 42.5167) * CHOOSE( CONTROL!$C$14, $D$10, 100%, $F$10)</f>
        <v>42.519599999999997</v>
      </c>
      <c r="E909" s="12">
        <f>CHOOSE( CONTROL!$C$31, 42.5166, 42.5137) * CHOOSE( CONTROL!$C$14, $D$10, 100%, $F$10)</f>
        <v>42.516599999999997</v>
      </c>
      <c r="F909" s="4">
        <f>CHOOSE( CONTROL!$C$31, 43.1882, 43.1853) * CHOOSE(CONTROL!$C$14, $D$10, 100%, $F$10)</f>
        <v>43.188200000000002</v>
      </c>
      <c r="G909" s="8">
        <f>CHOOSE( CONTROL!$C$31, 41.7722, 41.7693) * CHOOSE( CONTROL!$C$14, $D$10, 100%, $F$10)</f>
        <v>41.772199999999998</v>
      </c>
      <c r="H909" s="4">
        <f>CHOOSE( CONTROL!$C$31, 42.7009, 42.698) * CHOOSE(CONTROL!$C$14, $D$10, 100%, $F$10)</f>
        <v>42.700899999999997</v>
      </c>
      <c r="I909" s="8">
        <f>CHOOSE( CONTROL!$C$31, 41.1729, 41.1701) * CHOOSE(CONTROL!$C$14, $D$10, 100%, $F$10)</f>
        <v>41.172899999999998</v>
      </c>
      <c r="J909" s="4">
        <f>CHOOSE( CONTROL!$C$31, 41.06, 41.0572) * CHOOSE(CONTROL!$C$14, $D$10, 100%, $F$10)</f>
        <v>41.06</v>
      </c>
      <c r="K909" s="4"/>
      <c r="L909" s="9">
        <v>29.7257</v>
      </c>
      <c r="M909" s="9">
        <v>11.6745</v>
      </c>
      <c r="N909" s="9">
        <v>4.7850000000000001</v>
      </c>
      <c r="O909" s="9">
        <v>0.36199999999999999</v>
      </c>
      <c r="P909" s="9">
        <v>1.1791</v>
      </c>
      <c r="Q909" s="9">
        <v>19.053000000000001</v>
      </c>
      <c r="R909" s="9"/>
      <c r="S909" s="11"/>
    </row>
    <row r="910" spans="1:19" ht="15.75">
      <c r="A910" s="13">
        <v>69610</v>
      </c>
      <c r="B910" s="8">
        <f>CHOOSE( CONTROL!$C$31, 44.3342, 44.3313) * CHOOSE(CONTROL!$C$14, $D$10, 100%, $F$10)</f>
        <v>44.334200000000003</v>
      </c>
      <c r="C910" s="8">
        <f>CHOOSE( CONTROL!$C$31, 44.3423, 44.3393) * CHOOSE(CONTROL!$C$14, $D$10, 100%, $F$10)</f>
        <v>44.342300000000002</v>
      </c>
      <c r="D910" s="8">
        <f>CHOOSE( CONTROL!$C$31, 44.3474, 44.3445) * CHOOSE( CONTROL!$C$14, $D$10, 100%, $F$10)</f>
        <v>44.3474</v>
      </c>
      <c r="E910" s="12">
        <f>CHOOSE( CONTROL!$C$31, 44.3443, 44.3414) * CHOOSE( CONTROL!$C$14, $D$10, 100%, $F$10)</f>
        <v>44.344299999999997</v>
      </c>
      <c r="F910" s="4">
        <f>CHOOSE( CONTROL!$C$31, 45.0158, 45.0129) * CHOOSE(CONTROL!$C$14, $D$10, 100%, $F$10)</f>
        <v>45.015799999999999</v>
      </c>
      <c r="G910" s="8">
        <f>CHOOSE( CONTROL!$C$31, 43.5698, 43.567) * CHOOSE( CONTROL!$C$14, $D$10, 100%, $F$10)</f>
        <v>43.569800000000001</v>
      </c>
      <c r="H910" s="4">
        <f>CHOOSE( CONTROL!$C$31, 44.4981, 44.4952) * CHOOSE(CONTROL!$C$14, $D$10, 100%, $F$10)</f>
        <v>44.498100000000001</v>
      </c>
      <c r="I910" s="8">
        <f>CHOOSE( CONTROL!$C$31, 42.9416, 42.9388) * CHOOSE(CONTROL!$C$14, $D$10, 100%, $F$10)</f>
        <v>42.941600000000001</v>
      </c>
      <c r="J910" s="4">
        <f>CHOOSE( CONTROL!$C$31, 42.8267, 42.8239) * CHOOSE(CONTROL!$C$14, $D$10, 100%, $F$10)</f>
        <v>42.826700000000002</v>
      </c>
      <c r="K910" s="4"/>
      <c r="L910" s="9">
        <v>30.7165</v>
      </c>
      <c r="M910" s="9">
        <v>12.063700000000001</v>
      </c>
      <c r="N910" s="9">
        <v>4.9444999999999997</v>
      </c>
      <c r="O910" s="9">
        <v>0.37409999999999999</v>
      </c>
      <c r="P910" s="9">
        <v>1.2183999999999999</v>
      </c>
      <c r="Q910" s="9">
        <v>19.688099999999999</v>
      </c>
      <c r="R910" s="9"/>
      <c r="S910" s="11"/>
    </row>
    <row r="911" spans="1:19" ht="15.75">
      <c r="A911" s="13">
        <v>69641</v>
      </c>
      <c r="B911" s="8">
        <f>CHOOSE( CONTROL!$C$31, 40.9147, 40.9118) * CHOOSE(CONTROL!$C$14, $D$10, 100%, $F$10)</f>
        <v>40.914700000000003</v>
      </c>
      <c r="C911" s="8">
        <f>CHOOSE( CONTROL!$C$31, 40.9227, 40.9198) * CHOOSE(CONTROL!$C$14, $D$10, 100%, $F$10)</f>
        <v>40.922699999999999</v>
      </c>
      <c r="D911" s="8">
        <f>CHOOSE( CONTROL!$C$31, 40.9279, 40.925) * CHOOSE( CONTROL!$C$14, $D$10, 100%, $F$10)</f>
        <v>40.927900000000001</v>
      </c>
      <c r="E911" s="12">
        <f>CHOOSE( CONTROL!$C$31, 40.9248, 40.9219) * CHOOSE( CONTROL!$C$14, $D$10, 100%, $F$10)</f>
        <v>40.924799999999998</v>
      </c>
      <c r="F911" s="4">
        <f>CHOOSE( CONTROL!$C$31, 41.5962, 41.5933) * CHOOSE(CONTROL!$C$14, $D$10, 100%, $F$10)</f>
        <v>41.596200000000003</v>
      </c>
      <c r="G911" s="8">
        <f>CHOOSE( CONTROL!$C$31, 40.2071, 40.2042) * CHOOSE( CONTROL!$C$14, $D$10, 100%, $F$10)</f>
        <v>40.207099999999997</v>
      </c>
      <c r="H911" s="4">
        <f>CHOOSE( CONTROL!$C$31, 41.1353, 41.1324) * CHOOSE(CONTROL!$C$14, $D$10, 100%, $F$10)</f>
        <v>41.135300000000001</v>
      </c>
      <c r="I911" s="8">
        <f>CHOOSE( CONTROL!$C$31, 39.6347, 39.6319) * CHOOSE(CONTROL!$C$14, $D$10, 100%, $F$10)</f>
        <v>39.634700000000002</v>
      </c>
      <c r="J911" s="4">
        <f>CHOOSE( CONTROL!$C$31, 39.521, 39.5182) * CHOOSE(CONTROL!$C$14, $D$10, 100%, $F$10)</f>
        <v>39.521000000000001</v>
      </c>
      <c r="K911" s="4"/>
      <c r="L911" s="9">
        <v>30.7165</v>
      </c>
      <c r="M911" s="9">
        <v>12.063700000000001</v>
      </c>
      <c r="N911" s="9">
        <v>4.9444999999999997</v>
      </c>
      <c r="O911" s="9">
        <v>0.37409999999999999</v>
      </c>
      <c r="P911" s="9">
        <v>1.2183999999999999</v>
      </c>
      <c r="Q911" s="9">
        <v>19.688099999999999</v>
      </c>
      <c r="R911" s="9"/>
      <c r="S911" s="11"/>
    </row>
    <row r="912" spans="1:19" ht="15.75">
      <c r="A912" s="13">
        <v>69671</v>
      </c>
      <c r="B912" s="8">
        <f>CHOOSE( CONTROL!$C$31, 40.0584, 40.0555) * CHOOSE(CONTROL!$C$14, $D$10, 100%, $F$10)</f>
        <v>40.058399999999999</v>
      </c>
      <c r="C912" s="8">
        <f>CHOOSE( CONTROL!$C$31, 40.0664, 40.0635) * CHOOSE(CONTROL!$C$14, $D$10, 100%, $F$10)</f>
        <v>40.066400000000002</v>
      </c>
      <c r="D912" s="8">
        <f>CHOOSE( CONTROL!$C$31, 40.0716, 40.0687) * CHOOSE( CONTROL!$C$14, $D$10, 100%, $F$10)</f>
        <v>40.071599999999997</v>
      </c>
      <c r="E912" s="12">
        <f>CHOOSE( CONTROL!$C$31, 40.0685, 40.0656) * CHOOSE( CONTROL!$C$14, $D$10, 100%, $F$10)</f>
        <v>40.0685</v>
      </c>
      <c r="F912" s="4">
        <f>CHOOSE( CONTROL!$C$31, 40.7399, 40.737) * CHOOSE(CONTROL!$C$14, $D$10, 100%, $F$10)</f>
        <v>40.739899999999999</v>
      </c>
      <c r="G912" s="8">
        <f>CHOOSE( CONTROL!$C$31, 39.365, 39.3621) * CHOOSE( CONTROL!$C$14, $D$10, 100%, $F$10)</f>
        <v>39.365000000000002</v>
      </c>
      <c r="H912" s="4">
        <f>CHOOSE( CONTROL!$C$31, 40.2932, 40.2903) * CHOOSE(CONTROL!$C$14, $D$10, 100%, $F$10)</f>
        <v>40.293199999999999</v>
      </c>
      <c r="I912" s="8">
        <f>CHOOSE( CONTROL!$C$31, 38.8065, 38.8036) * CHOOSE(CONTROL!$C$14, $D$10, 100%, $F$10)</f>
        <v>38.8065</v>
      </c>
      <c r="J912" s="4">
        <f>CHOOSE( CONTROL!$C$31, 38.6932, 38.6904) * CHOOSE(CONTROL!$C$14, $D$10, 100%, $F$10)</f>
        <v>38.693199999999997</v>
      </c>
      <c r="K912" s="4"/>
      <c r="L912" s="9">
        <v>29.7257</v>
      </c>
      <c r="M912" s="9">
        <v>11.6745</v>
      </c>
      <c r="N912" s="9">
        <v>4.7850000000000001</v>
      </c>
      <c r="O912" s="9">
        <v>0.36199999999999999</v>
      </c>
      <c r="P912" s="9">
        <v>1.1791</v>
      </c>
      <c r="Q912" s="9">
        <v>19.053000000000001</v>
      </c>
      <c r="R912" s="9"/>
      <c r="S912" s="11"/>
    </row>
    <row r="913" spans="1:19" ht="15.75">
      <c r="A913" s="13">
        <v>69702</v>
      </c>
      <c r="B913" s="8">
        <f>41.8317 * CHOOSE(CONTROL!$C$14, $D$10, 100%, $F$10)</f>
        <v>41.831699999999998</v>
      </c>
      <c r="C913" s="8">
        <f>41.8371 * CHOOSE(CONTROL!$C$14, $D$10, 100%, $F$10)</f>
        <v>41.8371</v>
      </c>
      <c r="D913" s="8">
        <f>41.8471 * CHOOSE( CONTROL!$C$14, $D$10, 100%, $F$10)</f>
        <v>41.847099999999998</v>
      </c>
      <c r="E913" s="12">
        <f>41.8432 * CHOOSE( CONTROL!$C$14, $D$10, 100%, $F$10)</f>
        <v>41.843200000000003</v>
      </c>
      <c r="F913" s="4">
        <f>42.515 * CHOOSE(CONTROL!$C$14, $D$10, 100%, $F$10)</f>
        <v>42.515000000000001</v>
      </c>
      <c r="G913" s="8">
        <f>41.1102 * CHOOSE( CONTROL!$C$14, $D$10, 100%, $F$10)</f>
        <v>41.110199999999999</v>
      </c>
      <c r="H913" s="4">
        <f>42.0388 * CHOOSE(CONTROL!$C$14, $D$10, 100%, $F$10)</f>
        <v>42.038800000000002</v>
      </c>
      <c r="I913" s="8">
        <f>40.5241 * CHOOSE(CONTROL!$C$14, $D$10, 100%, $F$10)</f>
        <v>40.524099999999997</v>
      </c>
      <c r="J913" s="4">
        <f>40.4091 * CHOOSE(CONTROL!$C$14, $D$10, 100%, $F$10)</f>
        <v>40.409100000000002</v>
      </c>
      <c r="K913" s="4"/>
      <c r="L913" s="9">
        <v>31.095300000000002</v>
      </c>
      <c r="M913" s="9">
        <v>12.063700000000001</v>
      </c>
      <c r="N913" s="9">
        <v>4.9444999999999997</v>
      </c>
      <c r="O913" s="9">
        <v>0.37409999999999999</v>
      </c>
      <c r="P913" s="9">
        <v>1.2183999999999999</v>
      </c>
      <c r="Q913" s="9">
        <v>19.688099999999999</v>
      </c>
      <c r="R913" s="9"/>
      <c r="S913" s="11"/>
    </row>
    <row r="914" spans="1:19" ht="15.75">
      <c r="A914" s="13">
        <v>69732</v>
      </c>
      <c r="B914" s="8">
        <f>45.1131 * CHOOSE(CONTROL!$C$14, $D$10, 100%, $F$10)</f>
        <v>45.113100000000003</v>
      </c>
      <c r="C914" s="8">
        <f>45.1182 * CHOOSE(CONTROL!$C$14, $D$10, 100%, $F$10)</f>
        <v>45.118200000000002</v>
      </c>
      <c r="D914" s="8">
        <f>45.0944 * CHOOSE( CONTROL!$C$14, $D$10, 100%, $F$10)</f>
        <v>45.0944</v>
      </c>
      <c r="E914" s="12">
        <f>45.1026 * CHOOSE( CONTROL!$C$14, $D$10, 100%, $F$10)</f>
        <v>45.102600000000002</v>
      </c>
      <c r="F914" s="4">
        <f>45.7605 * CHOOSE(CONTROL!$C$14, $D$10, 100%, $F$10)</f>
        <v>45.7605</v>
      </c>
      <c r="G914" s="8">
        <f>44.3474 * CHOOSE( CONTROL!$C$14, $D$10, 100%, $F$10)</f>
        <v>44.3474</v>
      </c>
      <c r="H914" s="4">
        <f>45.2305 * CHOOSE(CONTROL!$C$14, $D$10, 100%, $F$10)</f>
        <v>45.230499999999999</v>
      </c>
      <c r="I914" s="8">
        <f>43.7286 * CHOOSE(CONTROL!$C$14, $D$10, 100%, $F$10)</f>
        <v>43.7286</v>
      </c>
      <c r="J914" s="4">
        <f>43.5816 * CHOOSE(CONTROL!$C$14, $D$10, 100%, $F$10)</f>
        <v>43.581600000000002</v>
      </c>
      <c r="K914" s="4"/>
      <c r="L914" s="9">
        <v>28.360600000000002</v>
      </c>
      <c r="M914" s="9">
        <v>11.6745</v>
      </c>
      <c r="N914" s="9">
        <v>4.7850000000000001</v>
      </c>
      <c r="O914" s="9">
        <v>0.36199999999999999</v>
      </c>
      <c r="P914" s="9">
        <v>1.2509999999999999</v>
      </c>
      <c r="Q914" s="9">
        <v>19.053000000000001</v>
      </c>
      <c r="R914" s="9"/>
      <c r="S914" s="11"/>
    </row>
    <row r="915" spans="1:19" ht="15.75">
      <c r="A915" s="13">
        <v>69763</v>
      </c>
      <c r="B915" s="8">
        <f>45.0311 * CHOOSE(CONTROL!$C$14, $D$10, 100%, $F$10)</f>
        <v>45.031100000000002</v>
      </c>
      <c r="C915" s="8">
        <f>45.0362 * CHOOSE(CONTROL!$C$14, $D$10, 100%, $F$10)</f>
        <v>45.036200000000001</v>
      </c>
      <c r="D915" s="8">
        <f>45.0138 * CHOOSE( CONTROL!$C$14, $D$10, 100%, $F$10)</f>
        <v>45.013800000000003</v>
      </c>
      <c r="E915" s="12">
        <f>45.0214 * CHOOSE( CONTROL!$C$14, $D$10, 100%, $F$10)</f>
        <v>45.0214</v>
      </c>
      <c r="F915" s="4">
        <f>45.6785 * CHOOSE(CONTROL!$C$14, $D$10, 100%, $F$10)</f>
        <v>45.6785</v>
      </c>
      <c r="G915" s="8">
        <f>44.2678 * CHOOSE( CONTROL!$C$14, $D$10, 100%, $F$10)</f>
        <v>44.267800000000001</v>
      </c>
      <c r="H915" s="4">
        <f>45.1499 * CHOOSE(CONTROL!$C$14, $D$10, 100%, $F$10)</f>
        <v>45.149900000000002</v>
      </c>
      <c r="I915" s="8">
        <f>43.6537 * CHOOSE(CONTROL!$C$14, $D$10, 100%, $F$10)</f>
        <v>43.653700000000001</v>
      </c>
      <c r="J915" s="4">
        <f>43.5024 * CHOOSE(CONTROL!$C$14, $D$10, 100%, $F$10)</f>
        <v>43.502400000000002</v>
      </c>
      <c r="K915" s="4"/>
      <c r="L915" s="9">
        <v>29.306000000000001</v>
      </c>
      <c r="M915" s="9">
        <v>12.063700000000001</v>
      </c>
      <c r="N915" s="9">
        <v>4.9444999999999997</v>
      </c>
      <c r="O915" s="9">
        <v>0.37409999999999999</v>
      </c>
      <c r="P915" s="9">
        <v>1.2927</v>
      </c>
      <c r="Q915" s="9">
        <v>19.688099999999999</v>
      </c>
      <c r="R915" s="9"/>
      <c r="S915" s="11"/>
    </row>
    <row r="916" spans="1:19" ht="15.75">
      <c r="A916" s="13">
        <v>69794</v>
      </c>
      <c r="B916" s="8">
        <f>46.751 * CHOOSE(CONTROL!$C$14, $D$10, 100%, $F$10)</f>
        <v>46.750999999999998</v>
      </c>
      <c r="C916" s="8">
        <f>46.7561 * CHOOSE(CONTROL!$C$14, $D$10, 100%, $F$10)</f>
        <v>46.756100000000004</v>
      </c>
      <c r="D916" s="8">
        <f>46.7519 * CHOOSE( CONTROL!$C$14, $D$10, 100%, $F$10)</f>
        <v>46.751899999999999</v>
      </c>
      <c r="E916" s="12">
        <f>46.7529 * CHOOSE( CONTROL!$C$14, $D$10, 100%, $F$10)</f>
        <v>46.752899999999997</v>
      </c>
      <c r="F916" s="4">
        <f>47.4295 * CHOOSE(CONTROL!$C$14, $D$10, 100%, $F$10)</f>
        <v>47.429499999999997</v>
      </c>
      <c r="G916" s="8">
        <f>45.9734 * CHOOSE( CONTROL!$C$14, $D$10, 100%, $F$10)</f>
        <v>45.973399999999998</v>
      </c>
      <c r="H916" s="4">
        <f>46.8718 * CHOOSE(CONTROL!$C$14, $D$10, 100%, $F$10)</f>
        <v>46.8718</v>
      </c>
      <c r="I916" s="8">
        <f>45.2962 * CHOOSE(CONTROL!$C$14, $D$10, 100%, $F$10)</f>
        <v>45.296199999999999</v>
      </c>
      <c r="J916" s="4">
        <f>45.165 * CHOOSE(CONTROL!$C$14, $D$10, 100%, $F$10)</f>
        <v>45.164999999999999</v>
      </c>
      <c r="K916" s="4"/>
      <c r="L916" s="9">
        <v>29.306000000000001</v>
      </c>
      <c r="M916" s="9">
        <v>12.063700000000001</v>
      </c>
      <c r="N916" s="9">
        <v>4.9444999999999997</v>
      </c>
      <c r="O916" s="9">
        <v>0.37409999999999999</v>
      </c>
      <c r="P916" s="9">
        <v>1.2927</v>
      </c>
      <c r="Q916" s="9">
        <v>19.688099999999999</v>
      </c>
      <c r="R916" s="9"/>
      <c r="S916" s="11"/>
    </row>
    <row r="917" spans="1:19" ht="15.75">
      <c r="A917" s="13">
        <v>69822</v>
      </c>
      <c r="B917" s="8">
        <f>43.7306 * CHOOSE(CONTROL!$C$14, $D$10, 100%, $F$10)</f>
        <v>43.730600000000003</v>
      </c>
      <c r="C917" s="8">
        <f>43.7357 * CHOOSE(CONTROL!$C$14, $D$10, 100%, $F$10)</f>
        <v>43.735700000000001</v>
      </c>
      <c r="D917" s="8">
        <f>43.7256 * CHOOSE( CONTROL!$C$14, $D$10, 100%, $F$10)</f>
        <v>43.7256</v>
      </c>
      <c r="E917" s="12">
        <f>43.7287 * CHOOSE( CONTROL!$C$14, $D$10, 100%, $F$10)</f>
        <v>43.728700000000003</v>
      </c>
      <c r="F917" s="4">
        <f>44.3832 * CHOOSE(CONTROL!$C$14, $D$10, 100%, $F$10)</f>
        <v>44.383200000000002</v>
      </c>
      <c r="G917" s="8">
        <f>42.9949 * CHOOSE( CONTROL!$C$14, $D$10, 100%, $F$10)</f>
        <v>42.994900000000001</v>
      </c>
      <c r="H917" s="4">
        <f>43.876 * CHOOSE(CONTROL!$C$14, $D$10, 100%, $F$10)</f>
        <v>43.875999999999998</v>
      </c>
      <c r="I917" s="8">
        <f>42.3655 * CHOOSE(CONTROL!$C$14, $D$10, 100%, $F$10)</f>
        <v>42.365499999999997</v>
      </c>
      <c r="J917" s="4">
        <f>42.2452 * CHOOSE(CONTROL!$C$14, $D$10, 100%, $F$10)</f>
        <v>42.245199999999997</v>
      </c>
      <c r="K917" s="4"/>
      <c r="L917" s="9">
        <v>26.469899999999999</v>
      </c>
      <c r="M917" s="9">
        <v>10.8962</v>
      </c>
      <c r="N917" s="9">
        <v>4.4660000000000002</v>
      </c>
      <c r="O917" s="9">
        <v>0.33789999999999998</v>
      </c>
      <c r="P917" s="9">
        <v>1.1676</v>
      </c>
      <c r="Q917" s="9">
        <v>17.782800000000002</v>
      </c>
      <c r="R917" s="9"/>
      <c r="S917" s="11"/>
    </row>
    <row r="918" spans="1:19" ht="15.75">
      <c r="A918" s="13">
        <v>69853</v>
      </c>
      <c r="B918" s="8">
        <f>42.8003 * CHOOSE(CONTROL!$C$14, $D$10, 100%, $F$10)</f>
        <v>42.8003</v>
      </c>
      <c r="C918" s="8">
        <f>42.8054 * CHOOSE(CONTROL!$C$14, $D$10, 100%, $F$10)</f>
        <v>42.805399999999999</v>
      </c>
      <c r="D918" s="8">
        <f>42.7888 * CHOOSE( CONTROL!$C$14, $D$10, 100%, $F$10)</f>
        <v>42.788800000000002</v>
      </c>
      <c r="E918" s="12">
        <f>42.7943 * CHOOSE( CONTROL!$C$14, $D$10, 100%, $F$10)</f>
        <v>42.7943</v>
      </c>
      <c r="F918" s="4">
        <f>43.4529 * CHOOSE(CONTROL!$C$14, $D$10, 100%, $F$10)</f>
        <v>43.4529</v>
      </c>
      <c r="G918" s="8">
        <f>42.0719 * CHOOSE( CONTROL!$C$14, $D$10, 100%, $F$10)</f>
        <v>42.071899999999999</v>
      </c>
      <c r="H918" s="4">
        <f>42.9612 * CHOOSE(CONTROL!$C$14, $D$10, 100%, $F$10)</f>
        <v>42.961199999999998</v>
      </c>
      <c r="I918" s="8">
        <f>41.4457 * CHOOSE(CONTROL!$C$14, $D$10, 100%, $F$10)</f>
        <v>41.445700000000002</v>
      </c>
      <c r="J918" s="4">
        <f>41.3459 * CHOOSE(CONTROL!$C$14, $D$10, 100%, $F$10)</f>
        <v>41.3459</v>
      </c>
      <c r="K918" s="4"/>
      <c r="L918" s="9">
        <v>29.306000000000001</v>
      </c>
      <c r="M918" s="9">
        <v>12.063700000000001</v>
      </c>
      <c r="N918" s="9">
        <v>4.9444999999999997</v>
      </c>
      <c r="O918" s="9">
        <v>0.37409999999999999</v>
      </c>
      <c r="P918" s="9">
        <v>1.2927</v>
      </c>
      <c r="Q918" s="9">
        <v>19.688099999999999</v>
      </c>
      <c r="R918" s="9"/>
      <c r="S918" s="11"/>
    </row>
    <row r="919" spans="1:19" ht="15.75">
      <c r="A919" s="13">
        <v>69883</v>
      </c>
      <c r="B919" s="8">
        <f>43.4511 * CHOOSE(CONTROL!$C$14, $D$10, 100%, $F$10)</f>
        <v>43.451099999999997</v>
      </c>
      <c r="C919" s="8">
        <f>43.4557 * CHOOSE(CONTROL!$C$14, $D$10, 100%, $F$10)</f>
        <v>43.4557</v>
      </c>
      <c r="D919" s="8">
        <f>43.4652 * CHOOSE( CONTROL!$C$14, $D$10, 100%, $F$10)</f>
        <v>43.465200000000003</v>
      </c>
      <c r="E919" s="12">
        <f>43.4615 * CHOOSE( CONTROL!$C$14, $D$10, 100%, $F$10)</f>
        <v>43.461500000000001</v>
      </c>
      <c r="F919" s="4">
        <f>44.134 * CHOOSE(CONTROL!$C$14, $D$10, 100%, $F$10)</f>
        <v>44.134</v>
      </c>
      <c r="G919" s="8">
        <f>42.701 * CHOOSE( CONTROL!$C$14, $D$10, 100%, $F$10)</f>
        <v>42.701000000000001</v>
      </c>
      <c r="H919" s="4">
        <f>43.631 * CHOOSE(CONTROL!$C$14, $D$10, 100%, $F$10)</f>
        <v>43.631</v>
      </c>
      <c r="I919" s="8">
        <f>42.0854 * CHOOSE(CONTROL!$C$14, $D$10, 100%, $F$10)</f>
        <v>42.0854</v>
      </c>
      <c r="J919" s="4">
        <f>41.9743 * CHOOSE(CONTROL!$C$14, $D$10, 100%, $F$10)</f>
        <v>41.974299999999999</v>
      </c>
      <c r="K919" s="4"/>
      <c r="L919" s="9">
        <v>30.092199999999998</v>
      </c>
      <c r="M919" s="9">
        <v>11.6745</v>
      </c>
      <c r="N919" s="9">
        <v>4.7850000000000001</v>
      </c>
      <c r="O919" s="9">
        <v>0.36199999999999999</v>
      </c>
      <c r="P919" s="9">
        <v>1.1791</v>
      </c>
      <c r="Q919" s="9">
        <v>19.053000000000001</v>
      </c>
      <c r="R919" s="9"/>
      <c r="S919" s="11"/>
    </row>
    <row r="920" spans="1:19" ht="15.75">
      <c r="A920" s="13">
        <v>69914</v>
      </c>
      <c r="B920" s="8">
        <f>CHOOSE( CONTROL!$C$31, 44.6124, 44.6094) * CHOOSE(CONTROL!$C$14, $D$10, 100%, $F$10)</f>
        <v>44.612400000000001</v>
      </c>
      <c r="C920" s="8">
        <f>CHOOSE( CONTROL!$C$31, 44.6204, 44.6174) * CHOOSE(CONTROL!$C$14, $D$10, 100%, $F$10)</f>
        <v>44.620399999999997</v>
      </c>
      <c r="D920" s="8">
        <f>CHOOSE( CONTROL!$C$31, 44.625, 44.6221) * CHOOSE( CONTROL!$C$14, $D$10, 100%, $F$10)</f>
        <v>44.625</v>
      </c>
      <c r="E920" s="12">
        <f>CHOOSE( CONTROL!$C$31, 44.6221, 44.6192) * CHOOSE( CONTROL!$C$14, $D$10, 100%, $F$10)</f>
        <v>44.622100000000003</v>
      </c>
      <c r="F920" s="4">
        <f>CHOOSE( CONTROL!$C$31, 45.2939, 45.291) * CHOOSE(CONTROL!$C$14, $D$10, 100%, $F$10)</f>
        <v>45.293900000000001</v>
      </c>
      <c r="G920" s="8">
        <f>CHOOSE( CONTROL!$C$31, 43.8426, 43.8397) * CHOOSE( CONTROL!$C$14, $D$10, 100%, $F$10)</f>
        <v>43.842599999999997</v>
      </c>
      <c r="H920" s="4">
        <f>CHOOSE( CONTROL!$C$31, 44.7716, 44.7687) * CHOOSE(CONTROL!$C$14, $D$10, 100%, $F$10)</f>
        <v>44.771599999999999</v>
      </c>
      <c r="I920" s="8">
        <f>CHOOSE( CONTROL!$C$31, 43.2082, 43.2054) * CHOOSE(CONTROL!$C$14, $D$10, 100%, $F$10)</f>
        <v>43.208199999999998</v>
      </c>
      <c r="J920" s="4">
        <f>CHOOSE( CONTROL!$C$31, 43.0955, 43.0927) * CHOOSE(CONTROL!$C$14, $D$10, 100%, $F$10)</f>
        <v>43.095500000000001</v>
      </c>
      <c r="K920" s="4"/>
      <c r="L920" s="9">
        <v>30.7165</v>
      </c>
      <c r="M920" s="9">
        <v>12.063700000000001</v>
      </c>
      <c r="N920" s="9">
        <v>4.9444999999999997</v>
      </c>
      <c r="O920" s="9">
        <v>0.37409999999999999</v>
      </c>
      <c r="P920" s="9">
        <v>1.2183999999999999</v>
      </c>
      <c r="Q920" s="9">
        <v>19.688099999999999</v>
      </c>
      <c r="R920" s="9"/>
      <c r="S920" s="11"/>
    </row>
    <row r="921" spans="1:19" ht="15.75">
      <c r="A921" s="13">
        <v>69944</v>
      </c>
      <c r="B921" s="8">
        <f>CHOOSE( CONTROL!$C$31, 43.8957, 43.8927) * CHOOSE(CONTROL!$C$14, $D$10, 100%, $F$10)</f>
        <v>43.895699999999998</v>
      </c>
      <c r="C921" s="8">
        <f>CHOOSE( CONTROL!$C$31, 43.9037, 43.9007) * CHOOSE(CONTROL!$C$14, $D$10, 100%, $F$10)</f>
        <v>43.903700000000001</v>
      </c>
      <c r="D921" s="8">
        <f>CHOOSE( CONTROL!$C$31, 43.9086, 43.9056) * CHOOSE( CONTROL!$C$14, $D$10, 100%, $F$10)</f>
        <v>43.9086</v>
      </c>
      <c r="E921" s="12">
        <f>CHOOSE( CONTROL!$C$31, 43.9056, 43.9026) * CHOOSE( CONTROL!$C$14, $D$10, 100%, $F$10)</f>
        <v>43.9056</v>
      </c>
      <c r="F921" s="4">
        <f>CHOOSE( CONTROL!$C$31, 44.5772, 44.5743) * CHOOSE(CONTROL!$C$14, $D$10, 100%, $F$10)</f>
        <v>44.577199999999998</v>
      </c>
      <c r="G921" s="8">
        <f>CHOOSE( CONTROL!$C$31, 43.1382, 43.1353) * CHOOSE( CONTROL!$C$14, $D$10, 100%, $F$10)</f>
        <v>43.138199999999998</v>
      </c>
      <c r="H921" s="4">
        <f>CHOOSE( CONTROL!$C$31, 44.0668, 44.0639) * CHOOSE(CONTROL!$C$14, $D$10, 100%, $F$10)</f>
        <v>44.066800000000001</v>
      </c>
      <c r="I921" s="8">
        <f>CHOOSE( CONTROL!$C$31, 42.5163, 42.5135) * CHOOSE(CONTROL!$C$14, $D$10, 100%, $F$10)</f>
        <v>42.516300000000001</v>
      </c>
      <c r="J921" s="4">
        <f>CHOOSE( CONTROL!$C$31, 42.4027, 42.3999) * CHOOSE(CONTROL!$C$14, $D$10, 100%, $F$10)</f>
        <v>42.402700000000003</v>
      </c>
      <c r="K921" s="4"/>
      <c r="L921" s="9">
        <v>29.7257</v>
      </c>
      <c r="M921" s="9">
        <v>11.6745</v>
      </c>
      <c r="N921" s="9">
        <v>4.7850000000000001</v>
      </c>
      <c r="O921" s="9">
        <v>0.36199999999999999</v>
      </c>
      <c r="P921" s="9">
        <v>1.1791</v>
      </c>
      <c r="Q921" s="9">
        <v>19.053000000000001</v>
      </c>
      <c r="R921" s="9"/>
      <c r="S921" s="11"/>
    </row>
    <row r="922" spans="1:19" ht="15.75">
      <c r="A922" s="13">
        <v>69975</v>
      </c>
      <c r="B922" s="8">
        <f>CHOOSE( CONTROL!$C$31, 45.783, 45.7801) * CHOOSE(CONTROL!$C$14, $D$10, 100%, $F$10)</f>
        <v>45.783000000000001</v>
      </c>
      <c r="C922" s="8">
        <f>CHOOSE( CONTROL!$C$31, 45.791, 45.7881) * CHOOSE(CONTROL!$C$14, $D$10, 100%, $F$10)</f>
        <v>45.790999999999997</v>
      </c>
      <c r="D922" s="8">
        <f>CHOOSE( CONTROL!$C$31, 45.7961, 45.7932) * CHOOSE( CONTROL!$C$14, $D$10, 100%, $F$10)</f>
        <v>45.796100000000003</v>
      </c>
      <c r="E922" s="12">
        <f>CHOOSE( CONTROL!$C$31, 45.793, 45.7901) * CHOOSE( CONTROL!$C$14, $D$10, 100%, $F$10)</f>
        <v>45.792999999999999</v>
      </c>
      <c r="F922" s="4">
        <f>CHOOSE( CONTROL!$C$31, 46.4645, 46.4616) * CHOOSE(CONTROL!$C$14, $D$10, 100%, $F$10)</f>
        <v>46.464500000000001</v>
      </c>
      <c r="G922" s="8">
        <f>CHOOSE( CONTROL!$C$31, 44.9946, 44.9917) * CHOOSE( CONTROL!$C$14, $D$10, 100%, $F$10)</f>
        <v>44.994599999999998</v>
      </c>
      <c r="H922" s="4">
        <f>CHOOSE( CONTROL!$C$31, 45.9228, 45.92) * CHOOSE(CONTROL!$C$14, $D$10, 100%, $F$10)</f>
        <v>45.922800000000002</v>
      </c>
      <c r="I922" s="8">
        <f>CHOOSE( CONTROL!$C$31, 44.3428, 44.34) * CHOOSE(CONTROL!$C$14, $D$10, 100%, $F$10)</f>
        <v>44.342799999999997</v>
      </c>
      <c r="J922" s="4">
        <f>CHOOSE( CONTROL!$C$31, 44.2272, 44.2244) * CHOOSE(CONTROL!$C$14, $D$10, 100%, $F$10)</f>
        <v>44.227200000000003</v>
      </c>
      <c r="K922" s="4"/>
      <c r="L922" s="9">
        <v>30.7165</v>
      </c>
      <c r="M922" s="9">
        <v>12.063700000000001</v>
      </c>
      <c r="N922" s="9">
        <v>4.9444999999999997</v>
      </c>
      <c r="O922" s="9">
        <v>0.37409999999999999</v>
      </c>
      <c r="P922" s="9">
        <v>1.2183999999999999</v>
      </c>
      <c r="Q922" s="9">
        <v>19.688099999999999</v>
      </c>
      <c r="R922" s="9"/>
      <c r="S922" s="11"/>
    </row>
    <row r="923" spans="1:19" ht="15.75">
      <c r="A923" s="13">
        <v>70006</v>
      </c>
      <c r="B923" s="8">
        <f>CHOOSE( CONTROL!$C$31, 42.2516, 42.2487) * CHOOSE(CONTROL!$C$14, $D$10, 100%, $F$10)</f>
        <v>42.251600000000003</v>
      </c>
      <c r="C923" s="8">
        <f>CHOOSE( CONTROL!$C$31, 42.2596, 42.2567) * CHOOSE(CONTROL!$C$14, $D$10, 100%, $F$10)</f>
        <v>42.259599999999999</v>
      </c>
      <c r="D923" s="8">
        <f>CHOOSE( CONTROL!$C$31, 42.2648, 42.2619) * CHOOSE( CONTROL!$C$14, $D$10, 100%, $F$10)</f>
        <v>42.264800000000001</v>
      </c>
      <c r="E923" s="12">
        <f>CHOOSE( CONTROL!$C$31, 42.2617, 42.2588) * CHOOSE( CONTROL!$C$14, $D$10, 100%, $F$10)</f>
        <v>42.261699999999998</v>
      </c>
      <c r="F923" s="4">
        <f>CHOOSE( CONTROL!$C$31, 42.9331, 42.9302) * CHOOSE(CONTROL!$C$14, $D$10, 100%, $F$10)</f>
        <v>42.933100000000003</v>
      </c>
      <c r="G923" s="8">
        <f>CHOOSE( CONTROL!$C$31, 41.5218, 41.519) * CHOOSE( CONTROL!$C$14, $D$10, 100%, $F$10)</f>
        <v>41.521799999999999</v>
      </c>
      <c r="H923" s="4">
        <f>CHOOSE( CONTROL!$C$31, 42.45, 42.4471) * CHOOSE(CONTROL!$C$14, $D$10, 100%, $F$10)</f>
        <v>42.45</v>
      </c>
      <c r="I923" s="8">
        <f>CHOOSE( CONTROL!$C$31, 40.9277, 40.9249) * CHOOSE(CONTROL!$C$14, $D$10, 100%, $F$10)</f>
        <v>40.927700000000002</v>
      </c>
      <c r="J923" s="4">
        <f>CHOOSE( CONTROL!$C$31, 40.8134, 40.8106) * CHOOSE(CONTROL!$C$14, $D$10, 100%, $F$10)</f>
        <v>40.813400000000001</v>
      </c>
      <c r="K923" s="4"/>
      <c r="L923" s="9">
        <v>30.7165</v>
      </c>
      <c r="M923" s="9">
        <v>12.063700000000001</v>
      </c>
      <c r="N923" s="9">
        <v>4.9444999999999997</v>
      </c>
      <c r="O923" s="9">
        <v>0.37409999999999999</v>
      </c>
      <c r="P923" s="9">
        <v>1.2183999999999999</v>
      </c>
      <c r="Q923" s="9">
        <v>19.688099999999999</v>
      </c>
      <c r="R923" s="9"/>
      <c r="S923" s="11"/>
    </row>
    <row r="924" spans="1:19" ht="15.75">
      <c r="A924" s="13">
        <v>70036</v>
      </c>
      <c r="B924" s="8">
        <f>CHOOSE( CONTROL!$C$31, 41.3673, 41.3644) * CHOOSE(CONTROL!$C$14, $D$10, 100%, $F$10)</f>
        <v>41.3673</v>
      </c>
      <c r="C924" s="8">
        <f>CHOOSE( CONTROL!$C$31, 41.3753, 41.3724) * CHOOSE(CONTROL!$C$14, $D$10, 100%, $F$10)</f>
        <v>41.375300000000003</v>
      </c>
      <c r="D924" s="8">
        <f>CHOOSE( CONTROL!$C$31, 41.3805, 41.3776) * CHOOSE( CONTROL!$C$14, $D$10, 100%, $F$10)</f>
        <v>41.380499999999998</v>
      </c>
      <c r="E924" s="12">
        <f>CHOOSE( CONTROL!$C$31, 41.3774, 41.3745) * CHOOSE( CONTROL!$C$14, $D$10, 100%, $F$10)</f>
        <v>41.377400000000002</v>
      </c>
      <c r="F924" s="4">
        <f>CHOOSE( CONTROL!$C$31, 42.0488, 42.0459) * CHOOSE(CONTROL!$C$14, $D$10, 100%, $F$10)</f>
        <v>42.0488</v>
      </c>
      <c r="G924" s="8">
        <f>CHOOSE( CONTROL!$C$31, 40.6522, 40.6493) * CHOOSE( CONTROL!$C$14, $D$10, 100%, $F$10)</f>
        <v>40.652200000000001</v>
      </c>
      <c r="H924" s="4">
        <f>CHOOSE( CONTROL!$C$31, 41.5804, 41.5775) * CHOOSE(CONTROL!$C$14, $D$10, 100%, $F$10)</f>
        <v>41.580399999999997</v>
      </c>
      <c r="I924" s="8">
        <f>CHOOSE( CONTROL!$C$31, 40.0724, 40.0696) * CHOOSE(CONTROL!$C$14, $D$10, 100%, $F$10)</f>
        <v>40.072400000000002</v>
      </c>
      <c r="J924" s="4">
        <f>CHOOSE( CONTROL!$C$31, 39.9585, 39.9557) * CHOOSE(CONTROL!$C$14, $D$10, 100%, $F$10)</f>
        <v>39.958500000000001</v>
      </c>
      <c r="K924" s="4"/>
      <c r="L924" s="9">
        <v>29.7257</v>
      </c>
      <c r="M924" s="9">
        <v>11.6745</v>
      </c>
      <c r="N924" s="9">
        <v>4.7850000000000001</v>
      </c>
      <c r="O924" s="9">
        <v>0.36199999999999999</v>
      </c>
      <c r="P924" s="9">
        <v>1.1791</v>
      </c>
      <c r="Q924" s="9">
        <v>19.053000000000001</v>
      </c>
      <c r="R924" s="9"/>
      <c r="S924" s="11"/>
    </row>
    <row r="925" spans="1:19" ht="15.75">
      <c r="A925" s="13">
        <v>70067</v>
      </c>
      <c r="B925" s="8">
        <f>43.1988 * CHOOSE(CONTROL!$C$14, $D$10, 100%, $F$10)</f>
        <v>43.198799999999999</v>
      </c>
      <c r="C925" s="8">
        <f>43.2041 * CHOOSE(CONTROL!$C$14, $D$10, 100%, $F$10)</f>
        <v>43.204099999999997</v>
      </c>
      <c r="D925" s="8">
        <f>43.2141 * CHOOSE( CONTROL!$C$14, $D$10, 100%, $F$10)</f>
        <v>43.214100000000002</v>
      </c>
      <c r="E925" s="12">
        <f>43.2102 * CHOOSE( CONTROL!$C$14, $D$10, 100%, $F$10)</f>
        <v>43.2102</v>
      </c>
      <c r="F925" s="4">
        <f>43.882 * CHOOSE(CONTROL!$C$14, $D$10, 100%, $F$10)</f>
        <v>43.881999999999998</v>
      </c>
      <c r="G925" s="8">
        <f>42.4546 * CHOOSE( CONTROL!$C$14, $D$10, 100%, $F$10)</f>
        <v>42.454599999999999</v>
      </c>
      <c r="H925" s="4">
        <f>43.3831 * CHOOSE(CONTROL!$C$14, $D$10, 100%, $F$10)</f>
        <v>43.383099999999999</v>
      </c>
      <c r="I925" s="8">
        <f>41.8462 * CHOOSE(CONTROL!$C$14, $D$10, 100%, $F$10)</f>
        <v>41.846200000000003</v>
      </c>
      <c r="J925" s="4">
        <f>41.7307 * CHOOSE(CONTROL!$C$14, $D$10, 100%, $F$10)</f>
        <v>41.730699999999999</v>
      </c>
      <c r="K925" s="4"/>
      <c r="L925" s="9">
        <v>31.095300000000002</v>
      </c>
      <c r="M925" s="9">
        <v>12.063700000000001</v>
      </c>
      <c r="N925" s="9">
        <v>4.9444999999999997</v>
      </c>
      <c r="O925" s="9">
        <v>0.37409999999999999</v>
      </c>
      <c r="P925" s="9">
        <v>1.2183999999999999</v>
      </c>
      <c r="Q925" s="9">
        <v>19.688099999999999</v>
      </c>
      <c r="R925" s="9"/>
      <c r="S925" s="11"/>
    </row>
    <row r="926" spans="1:19" ht="15.75">
      <c r="A926" s="13">
        <v>70097</v>
      </c>
      <c r="B926" s="8">
        <f>46.5874 * CHOOSE(CONTROL!$C$14, $D$10, 100%, $F$10)</f>
        <v>46.587400000000002</v>
      </c>
      <c r="C926" s="8">
        <f>46.5926 * CHOOSE(CONTROL!$C$14, $D$10, 100%, $F$10)</f>
        <v>46.592599999999997</v>
      </c>
      <c r="D926" s="8">
        <f>46.5688 * CHOOSE( CONTROL!$C$14, $D$10, 100%, $F$10)</f>
        <v>46.568800000000003</v>
      </c>
      <c r="E926" s="12">
        <f>46.5769 * CHOOSE( CONTROL!$C$14, $D$10, 100%, $F$10)</f>
        <v>46.576900000000002</v>
      </c>
      <c r="F926" s="4">
        <f>47.2349 * CHOOSE(CONTROL!$C$14, $D$10, 100%, $F$10)</f>
        <v>47.234900000000003</v>
      </c>
      <c r="G926" s="8">
        <f>45.7973 * CHOOSE( CONTROL!$C$14, $D$10, 100%, $F$10)</f>
        <v>45.7973</v>
      </c>
      <c r="H926" s="4">
        <f>46.6804 * CHOOSE(CONTROL!$C$14, $D$10, 100%, $F$10)</f>
        <v>46.680399999999999</v>
      </c>
      <c r="I926" s="8">
        <f>45.1546 * CHOOSE(CONTROL!$C$14, $D$10, 100%, $F$10)</f>
        <v>45.154600000000002</v>
      </c>
      <c r="J926" s="4">
        <f>45.0069 * CHOOSE(CONTROL!$C$14, $D$10, 100%, $F$10)</f>
        <v>45.006900000000002</v>
      </c>
      <c r="K926" s="4"/>
      <c r="L926" s="9">
        <v>28.360600000000002</v>
      </c>
      <c r="M926" s="9">
        <v>11.6745</v>
      </c>
      <c r="N926" s="9">
        <v>4.7850000000000001</v>
      </c>
      <c r="O926" s="9">
        <v>0.36199999999999999</v>
      </c>
      <c r="P926" s="9">
        <v>1.2509999999999999</v>
      </c>
      <c r="Q926" s="9">
        <v>19.053000000000001</v>
      </c>
      <c r="R926" s="9"/>
      <c r="S926" s="11"/>
    </row>
    <row r="927" spans="1:19" ht="15.75">
      <c r="A927" s="13">
        <v>70128</v>
      </c>
      <c r="B927" s="8">
        <f>46.5028 * CHOOSE(CONTROL!$C$14, $D$10, 100%, $F$10)</f>
        <v>46.502800000000001</v>
      </c>
      <c r="C927" s="8">
        <f>46.5079 * CHOOSE(CONTROL!$C$14, $D$10, 100%, $F$10)</f>
        <v>46.507899999999999</v>
      </c>
      <c r="D927" s="8">
        <f>46.4855 * CHOOSE( CONTROL!$C$14, $D$10, 100%, $F$10)</f>
        <v>46.485500000000002</v>
      </c>
      <c r="E927" s="12">
        <f>46.4931 * CHOOSE( CONTROL!$C$14, $D$10, 100%, $F$10)</f>
        <v>46.493099999999998</v>
      </c>
      <c r="F927" s="4">
        <f>47.1502 * CHOOSE(CONTROL!$C$14, $D$10, 100%, $F$10)</f>
        <v>47.150199999999998</v>
      </c>
      <c r="G927" s="8">
        <f>45.715 * CHOOSE( CONTROL!$C$14, $D$10, 100%, $F$10)</f>
        <v>45.715000000000003</v>
      </c>
      <c r="H927" s="4">
        <f>46.5972 * CHOOSE(CONTROL!$C$14, $D$10, 100%, $F$10)</f>
        <v>46.597200000000001</v>
      </c>
      <c r="I927" s="8">
        <f>45.0771 * CHOOSE(CONTROL!$C$14, $D$10, 100%, $F$10)</f>
        <v>45.077100000000002</v>
      </c>
      <c r="J927" s="4">
        <f>44.9251 * CHOOSE(CONTROL!$C$14, $D$10, 100%, $F$10)</f>
        <v>44.9251</v>
      </c>
      <c r="K927" s="4"/>
      <c r="L927" s="9">
        <v>29.306000000000001</v>
      </c>
      <c r="M927" s="9">
        <v>12.063700000000001</v>
      </c>
      <c r="N927" s="9">
        <v>4.9444999999999997</v>
      </c>
      <c r="O927" s="9">
        <v>0.37409999999999999</v>
      </c>
      <c r="P927" s="9">
        <v>1.2927</v>
      </c>
      <c r="Q927" s="9">
        <v>19.688099999999999</v>
      </c>
      <c r="R927" s="9"/>
      <c r="S927" s="11"/>
    </row>
    <row r="928" spans="1:19" ht="15.75">
      <c r="A928" s="13">
        <v>70159</v>
      </c>
      <c r="B928" s="8">
        <f>48.2789 * CHOOSE(CONTROL!$C$14, $D$10, 100%, $F$10)</f>
        <v>48.2789</v>
      </c>
      <c r="C928" s="8">
        <f>48.284 * CHOOSE(CONTROL!$C$14, $D$10, 100%, $F$10)</f>
        <v>48.283999999999999</v>
      </c>
      <c r="D928" s="8">
        <f>48.2798 * CHOOSE( CONTROL!$C$14, $D$10, 100%, $F$10)</f>
        <v>48.279800000000002</v>
      </c>
      <c r="E928" s="12">
        <f>48.2808 * CHOOSE( CONTROL!$C$14, $D$10, 100%, $F$10)</f>
        <v>48.280799999999999</v>
      </c>
      <c r="F928" s="4">
        <f>48.9574 * CHOOSE(CONTROL!$C$14, $D$10, 100%, $F$10)</f>
        <v>48.9574</v>
      </c>
      <c r="G928" s="8">
        <f>47.476 * CHOOSE( CONTROL!$C$14, $D$10, 100%, $F$10)</f>
        <v>47.475999999999999</v>
      </c>
      <c r="H928" s="4">
        <f>48.3744 * CHOOSE(CONTROL!$C$14, $D$10, 100%, $F$10)</f>
        <v>48.374400000000001</v>
      </c>
      <c r="I928" s="8">
        <f>46.774 * CHOOSE(CONTROL!$C$14, $D$10, 100%, $F$10)</f>
        <v>46.774000000000001</v>
      </c>
      <c r="J928" s="4">
        <f>46.6421 * CHOOSE(CONTROL!$C$14, $D$10, 100%, $F$10)</f>
        <v>46.642099999999999</v>
      </c>
      <c r="K928" s="4"/>
      <c r="L928" s="9">
        <v>29.306000000000001</v>
      </c>
      <c r="M928" s="9">
        <v>12.063700000000001</v>
      </c>
      <c r="N928" s="9">
        <v>4.9444999999999997</v>
      </c>
      <c r="O928" s="9">
        <v>0.37409999999999999</v>
      </c>
      <c r="P928" s="9">
        <v>1.2927</v>
      </c>
      <c r="Q928" s="9">
        <v>19.688099999999999</v>
      </c>
      <c r="R928" s="9"/>
      <c r="S928" s="11"/>
    </row>
    <row r="929" spans="1:19" ht="15.75">
      <c r="A929" s="13">
        <v>70188</v>
      </c>
      <c r="B929" s="8">
        <f>45.1597 * CHOOSE(CONTROL!$C$14, $D$10, 100%, $F$10)</f>
        <v>45.159700000000001</v>
      </c>
      <c r="C929" s="8">
        <f>45.1648 * CHOOSE(CONTROL!$C$14, $D$10, 100%, $F$10)</f>
        <v>45.1648</v>
      </c>
      <c r="D929" s="8">
        <f>45.1547 * CHOOSE( CONTROL!$C$14, $D$10, 100%, $F$10)</f>
        <v>45.154699999999998</v>
      </c>
      <c r="E929" s="12">
        <f>45.1578 * CHOOSE( CONTROL!$C$14, $D$10, 100%, $F$10)</f>
        <v>45.157800000000002</v>
      </c>
      <c r="F929" s="4">
        <f>45.8124 * CHOOSE(CONTROL!$C$14, $D$10, 100%, $F$10)</f>
        <v>45.812399999999997</v>
      </c>
      <c r="G929" s="8">
        <f>44.4004 * CHOOSE( CONTROL!$C$14, $D$10, 100%, $F$10)</f>
        <v>44.400399999999998</v>
      </c>
      <c r="H929" s="4">
        <f>45.2815 * CHOOSE(CONTROL!$C$14, $D$10, 100%, $F$10)</f>
        <v>45.281500000000001</v>
      </c>
      <c r="I929" s="8">
        <f>43.7478 * CHOOSE(CONTROL!$C$14, $D$10, 100%, $F$10)</f>
        <v>43.747799999999998</v>
      </c>
      <c r="J929" s="4">
        <f>43.6267 * CHOOSE(CONTROL!$C$14, $D$10, 100%, $F$10)</f>
        <v>43.6267</v>
      </c>
      <c r="K929" s="4"/>
      <c r="L929" s="9">
        <v>27.415299999999998</v>
      </c>
      <c r="M929" s="9">
        <v>11.285299999999999</v>
      </c>
      <c r="N929" s="9">
        <v>4.6254999999999997</v>
      </c>
      <c r="O929" s="9">
        <v>0.34989999999999999</v>
      </c>
      <c r="P929" s="9">
        <v>1.2093</v>
      </c>
      <c r="Q929" s="9">
        <v>18.417899999999999</v>
      </c>
      <c r="R929" s="9"/>
      <c r="S929" s="11"/>
    </row>
    <row r="930" spans="1:19" ht="15.75">
      <c r="A930" s="13">
        <v>70219</v>
      </c>
      <c r="B930" s="8">
        <f>44.199 * CHOOSE(CONTROL!$C$14, $D$10, 100%, $F$10)</f>
        <v>44.198999999999998</v>
      </c>
      <c r="C930" s="8">
        <f>44.2041 * CHOOSE(CONTROL!$C$14, $D$10, 100%, $F$10)</f>
        <v>44.204099999999997</v>
      </c>
      <c r="D930" s="8">
        <f>44.1875 * CHOOSE( CONTROL!$C$14, $D$10, 100%, $F$10)</f>
        <v>44.1875</v>
      </c>
      <c r="E930" s="12">
        <f>44.193 * CHOOSE( CONTROL!$C$14, $D$10, 100%, $F$10)</f>
        <v>44.192999999999998</v>
      </c>
      <c r="F930" s="4">
        <f>44.8517 * CHOOSE(CONTROL!$C$14, $D$10, 100%, $F$10)</f>
        <v>44.851700000000001</v>
      </c>
      <c r="G930" s="8">
        <f>43.4474 * CHOOSE( CONTROL!$C$14, $D$10, 100%, $F$10)</f>
        <v>43.447400000000002</v>
      </c>
      <c r="H930" s="4">
        <f>44.3367 * CHOOSE(CONTROL!$C$14, $D$10, 100%, $F$10)</f>
        <v>44.3367</v>
      </c>
      <c r="I930" s="8">
        <f>42.7985 * CHOOSE(CONTROL!$C$14, $D$10, 100%, $F$10)</f>
        <v>42.798499999999997</v>
      </c>
      <c r="J930" s="4">
        <f>42.698 * CHOOSE(CONTROL!$C$14, $D$10, 100%, $F$10)</f>
        <v>42.698</v>
      </c>
      <c r="K930" s="4"/>
      <c r="L930" s="9">
        <v>29.306000000000001</v>
      </c>
      <c r="M930" s="9">
        <v>12.063700000000001</v>
      </c>
      <c r="N930" s="9">
        <v>4.9444999999999997</v>
      </c>
      <c r="O930" s="9">
        <v>0.37409999999999999</v>
      </c>
      <c r="P930" s="9">
        <v>1.2927</v>
      </c>
      <c r="Q930" s="9">
        <v>19.688099999999999</v>
      </c>
      <c r="R930" s="9"/>
      <c r="S930" s="11"/>
    </row>
    <row r="931" spans="1:19" ht="15.75">
      <c r="A931" s="13">
        <v>70249</v>
      </c>
      <c r="B931" s="8">
        <f>44.8711 * CHOOSE(CONTROL!$C$14, $D$10, 100%, $F$10)</f>
        <v>44.871099999999998</v>
      </c>
      <c r="C931" s="8">
        <f>44.8757 * CHOOSE(CONTROL!$C$14, $D$10, 100%, $F$10)</f>
        <v>44.875700000000002</v>
      </c>
      <c r="D931" s="8">
        <f>44.8852 * CHOOSE( CONTROL!$C$14, $D$10, 100%, $F$10)</f>
        <v>44.885199999999998</v>
      </c>
      <c r="E931" s="12">
        <f>44.8815 * CHOOSE( CONTROL!$C$14, $D$10, 100%, $F$10)</f>
        <v>44.881500000000003</v>
      </c>
      <c r="F931" s="4">
        <f>45.554 * CHOOSE(CONTROL!$C$14, $D$10, 100%, $F$10)</f>
        <v>45.554000000000002</v>
      </c>
      <c r="G931" s="8">
        <f>44.0975 * CHOOSE( CONTROL!$C$14, $D$10, 100%, $F$10)</f>
        <v>44.097499999999997</v>
      </c>
      <c r="H931" s="4">
        <f>45.0274 * CHOOSE(CONTROL!$C$14, $D$10, 100%, $F$10)</f>
        <v>45.0274</v>
      </c>
      <c r="I931" s="8">
        <f>43.4588 * CHOOSE(CONTROL!$C$14, $D$10, 100%, $F$10)</f>
        <v>43.458799999999997</v>
      </c>
      <c r="J931" s="4">
        <f>43.347 * CHOOSE(CONTROL!$C$14, $D$10, 100%, $F$10)</f>
        <v>43.347000000000001</v>
      </c>
      <c r="K931" s="4"/>
      <c r="L931" s="9">
        <v>30.092199999999998</v>
      </c>
      <c r="M931" s="9">
        <v>11.6745</v>
      </c>
      <c r="N931" s="9">
        <v>4.7850000000000001</v>
      </c>
      <c r="O931" s="9">
        <v>0.36199999999999999</v>
      </c>
      <c r="P931" s="9">
        <v>1.1791</v>
      </c>
      <c r="Q931" s="9">
        <v>19.053000000000001</v>
      </c>
      <c r="R931" s="9"/>
      <c r="S931" s="11"/>
    </row>
    <row r="932" spans="1:19" ht="15.75">
      <c r="A932" s="13">
        <v>70280</v>
      </c>
      <c r="B932" s="8">
        <f>CHOOSE( CONTROL!$C$31, 46.0702, 46.0673) * CHOOSE(CONTROL!$C$14, $D$10, 100%, $F$10)</f>
        <v>46.0702</v>
      </c>
      <c r="C932" s="8">
        <f>CHOOSE( CONTROL!$C$31, 46.0782, 46.0753) * CHOOSE(CONTROL!$C$14, $D$10, 100%, $F$10)</f>
        <v>46.078200000000002</v>
      </c>
      <c r="D932" s="8">
        <f>CHOOSE( CONTROL!$C$31, 46.0828, 46.0799) * CHOOSE( CONTROL!$C$14, $D$10, 100%, $F$10)</f>
        <v>46.082799999999999</v>
      </c>
      <c r="E932" s="12">
        <f>CHOOSE( CONTROL!$C$31, 46.0799, 46.077) * CHOOSE( CONTROL!$C$14, $D$10, 100%, $F$10)</f>
        <v>46.079900000000002</v>
      </c>
      <c r="F932" s="4">
        <f>CHOOSE( CONTROL!$C$31, 46.7517, 46.7488) * CHOOSE(CONTROL!$C$14, $D$10, 100%, $F$10)</f>
        <v>46.7517</v>
      </c>
      <c r="G932" s="8">
        <f>CHOOSE( CONTROL!$C$31, 45.2763, 45.2734) * CHOOSE( CONTROL!$C$14, $D$10, 100%, $F$10)</f>
        <v>45.276299999999999</v>
      </c>
      <c r="H932" s="4">
        <f>CHOOSE( CONTROL!$C$31, 46.2053, 46.2024) * CHOOSE(CONTROL!$C$14, $D$10, 100%, $F$10)</f>
        <v>46.205300000000001</v>
      </c>
      <c r="I932" s="8">
        <f>CHOOSE( CONTROL!$C$31, 44.6182, 44.6154) * CHOOSE(CONTROL!$C$14, $D$10, 100%, $F$10)</f>
        <v>44.618200000000002</v>
      </c>
      <c r="J932" s="4">
        <f>CHOOSE( CONTROL!$C$31, 44.5048, 44.502) * CHOOSE(CONTROL!$C$14, $D$10, 100%, $F$10)</f>
        <v>44.504800000000003</v>
      </c>
      <c r="K932" s="4"/>
      <c r="L932" s="9">
        <v>30.7165</v>
      </c>
      <c r="M932" s="9">
        <v>12.063700000000001</v>
      </c>
      <c r="N932" s="9">
        <v>4.9444999999999997</v>
      </c>
      <c r="O932" s="9">
        <v>0.37409999999999999</v>
      </c>
      <c r="P932" s="9">
        <v>1.2183999999999999</v>
      </c>
      <c r="Q932" s="9">
        <v>19.688099999999999</v>
      </c>
      <c r="R932" s="9"/>
      <c r="S932" s="11"/>
    </row>
    <row r="933" spans="1:19" ht="15.75">
      <c r="A933" s="13">
        <v>70310</v>
      </c>
      <c r="B933" s="8">
        <f>CHOOSE( CONTROL!$C$31, 45.3301, 45.3271) * CHOOSE(CONTROL!$C$14, $D$10, 100%, $F$10)</f>
        <v>45.330100000000002</v>
      </c>
      <c r="C933" s="8">
        <f>CHOOSE( CONTROL!$C$31, 45.3381, 45.3351) * CHOOSE(CONTROL!$C$14, $D$10, 100%, $F$10)</f>
        <v>45.338099999999997</v>
      </c>
      <c r="D933" s="8">
        <f>CHOOSE( CONTROL!$C$31, 45.343, 45.34) * CHOOSE( CONTROL!$C$14, $D$10, 100%, $F$10)</f>
        <v>45.343000000000004</v>
      </c>
      <c r="E933" s="12">
        <f>CHOOSE( CONTROL!$C$31, 45.34, 45.337) * CHOOSE( CONTROL!$C$14, $D$10, 100%, $F$10)</f>
        <v>45.34</v>
      </c>
      <c r="F933" s="4">
        <f>CHOOSE( CONTROL!$C$31, 46.0116, 46.0087) * CHOOSE(CONTROL!$C$14, $D$10, 100%, $F$10)</f>
        <v>46.011600000000001</v>
      </c>
      <c r="G933" s="8">
        <f>CHOOSE( CONTROL!$C$31, 44.5488, 44.5459) * CHOOSE( CONTROL!$C$14, $D$10, 100%, $F$10)</f>
        <v>44.5488</v>
      </c>
      <c r="H933" s="4">
        <f>CHOOSE( CONTROL!$C$31, 45.4774, 45.4745) * CHOOSE(CONTROL!$C$14, $D$10, 100%, $F$10)</f>
        <v>45.477400000000003</v>
      </c>
      <c r="I933" s="8">
        <f>CHOOSE( CONTROL!$C$31, 43.9036, 43.9008) * CHOOSE(CONTROL!$C$14, $D$10, 100%, $F$10)</f>
        <v>43.903599999999997</v>
      </c>
      <c r="J933" s="4">
        <f>CHOOSE( CONTROL!$C$31, 43.7893, 43.7865) * CHOOSE(CONTROL!$C$14, $D$10, 100%, $F$10)</f>
        <v>43.789299999999997</v>
      </c>
      <c r="K933" s="4"/>
      <c r="L933" s="9">
        <v>29.7257</v>
      </c>
      <c r="M933" s="9">
        <v>11.6745</v>
      </c>
      <c r="N933" s="9">
        <v>4.7850000000000001</v>
      </c>
      <c r="O933" s="9">
        <v>0.36199999999999999</v>
      </c>
      <c r="P933" s="9">
        <v>1.1791</v>
      </c>
      <c r="Q933" s="9">
        <v>19.053000000000001</v>
      </c>
      <c r="R933" s="9"/>
      <c r="S933" s="11"/>
    </row>
    <row r="934" spans="1:19" ht="15.75">
      <c r="A934" s="13">
        <v>70341</v>
      </c>
      <c r="B934" s="8">
        <f>CHOOSE( CONTROL!$C$31, 47.2791, 47.2762) * CHOOSE(CONTROL!$C$14, $D$10, 100%, $F$10)</f>
        <v>47.2791</v>
      </c>
      <c r="C934" s="8">
        <f>CHOOSE( CONTROL!$C$31, 47.2871, 47.2842) * CHOOSE(CONTROL!$C$14, $D$10, 100%, $F$10)</f>
        <v>47.287100000000002</v>
      </c>
      <c r="D934" s="8">
        <f>CHOOSE( CONTROL!$C$31, 47.2922, 47.2893) * CHOOSE( CONTROL!$C$14, $D$10, 100%, $F$10)</f>
        <v>47.292200000000001</v>
      </c>
      <c r="E934" s="12">
        <f>CHOOSE( CONTROL!$C$31, 47.2891, 47.2862) * CHOOSE( CONTROL!$C$14, $D$10, 100%, $F$10)</f>
        <v>47.289099999999998</v>
      </c>
      <c r="F934" s="4">
        <f>CHOOSE( CONTROL!$C$31, 47.9607, 47.9577) * CHOOSE(CONTROL!$C$14, $D$10, 100%, $F$10)</f>
        <v>47.960700000000003</v>
      </c>
      <c r="G934" s="8">
        <f>CHOOSE( CONTROL!$C$31, 46.4659, 46.463) * CHOOSE( CONTROL!$C$14, $D$10, 100%, $F$10)</f>
        <v>46.465899999999998</v>
      </c>
      <c r="H934" s="4">
        <f>CHOOSE( CONTROL!$C$31, 47.3941, 47.3913) * CHOOSE(CONTROL!$C$14, $D$10, 100%, $F$10)</f>
        <v>47.394100000000002</v>
      </c>
      <c r="I934" s="8">
        <f>CHOOSE( CONTROL!$C$31, 45.7899, 45.787) * CHOOSE(CONTROL!$C$14, $D$10, 100%, $F$10)</f>
        <v>45.789900000000003</v>
      </c>
      <c r="J934" s="4">
        <f>CHOOSE( CONTROL!$C$31, 45.6735, 45.6707) * CHOOSE(CONTROL!$C$14, $D$10, 100%, $F$10)</f>
        <v>45.673499999999997</v>
      </c>
      <c r="K934" s="4"/>
      <c r="L934" s="9">
        <v>30.7165</v>
      </c>
      <c r="M934" s="9">
        <v>12.063700000000001</v>
      </c>
      <c r="N934" s="9">
        <v>4.9444999999999997</v>
      </c>
      <c r="O934" s="9">
        <v>0.37409999999999999</v>
      </c>
      <c r="P934" s="9">
        <v>1.2183999999999999</v>
      </c>
      <c r="Q934" s="9">
        <v>19.688099999999999</v>
      </c>
      <c r="R934" s="9"/>
      <c r="S934" s="11"/>
    </row>
    <row r="935" spans="1:19" ht="15.75">
      <c r="A935" s="13">
        <v>70372</v>
      </c>
      <c r="B935" s="8">
        <f>CHOOSE( CONTROL!$C$31, 43.6322, 43.6293) * CHOOSE(CONTROL!$C$14, $D$10, 100%, $F$10)</f>
        <v>43.632199999999997</v>
      </c>
      <c r="C935" s="8">
        <f>CHOOSE( CONTROL!$C$31, 43.6402, 43.6373) * CHOOSE(CONTROL!$C$14, $D$10, 100%, $F$10)</f>
        <v>43.6402</v>
      </c>
      <c r="D935" s="8">
        <f>CHOOSE( CONTROL!$C$31, 43.6454, 43.6425) * CHOOSE( CONTROL!$C$14, $D$10, 100%, $F$10)</f>
        <v>43.645400000000002</v>
      </c>
      <c r="E935" s="12">
        <f>CHOOSE( CONTROL!$C$31, 43.6423, 43.6394) * CHOOSE( CONTROL!$C$14, $D$10, 100%, $F$10)</f>
        <v>43.642299999999999</v>
      </c>
      <c r="F935" s="4">
        <f>CHOOSE( CONTROL!$C$31, 44.3138, 44.3108) * CHOOSE(CONTROL!$C$14, $D$10, 100%, $F$10)</f>
        <v>44.313800000000001</v>
      </c>
      <c r="G935" s="8">
        <f>CHOOSE( CONTROL!$C$31, 42.8796, 42.8767) * CHOOSE( CONTROL!$C$14, $D$10, 100%, $F$10)</f>
        <v>42.879600000000003</v>
      </c>
      <c r="H935" s="4">
        <f>CHOOSE( CONTROL!$C$31, 43.8077, 43.8049) * CHOOSE(CONTROL!$C$14, $D$10, 100%, $F$10)</f>
        <v>43.807699999999997</v>
      </c>
      <c r="I935" s="8">
        <f>CHOOSE( CONTROL!$C$31, 42.2631, 42.2602) * CHOOSE(CONTROL!$C$14, $D$10, 100%, $F$10)</f>
        <v>42.263100000000001</v>
      </c>
      <c r="J935" s="4">
        <f>CHOOSE( CONTROL!$C$31, 42.148, 42.1452) * CHOOSE(CONTROL!$C$14, $D$10, 100%, $F$10)</f>
        <v>42.148000000000003</v>
      </c>
      <c r="K935" s="4"/>
      <c r="L935" s="9">
        <v>30.7165</v>
      </c>
      <c r="M935" s="9">
        <v>12.063700000000001</v>
      </c>
      <c r="N935" s="9">
        <v>4.9444999999999997</v>
      </c>
      <c r="O935" s="9">
        <v>0.37409999999999999</v>
      </c>
      <c r="P935" s="9">
        <v>1.2183999999999999</v>
      </c>
      <c r="Q935" s="9">
        <v>19.688099999999999</v>
      </c>
      <c r="R935" s="9"/>
      <c r="S935" s="11"/>
    </row>
    <row r="936" spans="1:19" ht="15.75">
      <c r="A936" s="13">
        <v>70402</v>
      </c>
      <c r="B936" s="8">
        <f>CHOOSE( CONTROL!$C$31, 42.719, 42.7161) * CHOOSE(CONTROL!$C$14, $D$10, 100%, $F$10)</f>
        <v>42.719000000000001</v>
      </c>
      <c r="C936" s="8">
        <f>CHOOSE( CONTROL!$C$31, 42.727, 42.7241) * CHOOSE(CONTROL!$C$14, $D$10, 100%, $F$10)</f>
        <v>42.726999999999997</v>
      </c>
      <c r="D936" s="8">
        <f>CHOOSE( CONTROL!$C$31, 42.7322, 42.7293) * CHOOSE( CONTROL!$C$14, $D$10, 100%, $F$10)</f>
        <v>42.732199999999999</v>
      </c>
      <c r="E936" s="12">
        <f>CHOOSE( CONTROL!$C$31, 42.7291, 42.7262) * CHOOSE( CONTROL!$C$14, $D$10, 100%, $F$10)</f>
        <v>42.729100000000003</v>
      </c>
      <c r="F936" s="4">
        <f>CHOOSE( CONTROL!$C$31, 43.4006, 43.3976) * CHOOSE(CONTROL!$C$14, $D$10, 100%, $F$10)</f>
        <v>43.400599999999997</v>
      </c>
      <c r="G936" s="8">
        <f>CHOOSE( CONTROL!$C$31, 41.9815, 41.9786) * CHOOSE( CONTROL!$C$14, $D$10, 100%, $F$10)</f>
        <v>41.981499999999997</v>
      </c>
      <c r="H936" s="4">
        <f>CHOOSE( CONTROL!$C$31, 42.9097, 42.9068) * CHOOSE(CONTROL!$C$14, $D$10, 100%, $F$10)</f>
        <v>42.909700000000001</v>
      </c>
      <c r="I936" s="8">
        <f>CHOOSE( CONTROL!$C$31, 41.3798, 41.3769) * CHOOSE(CONTROL!$C$14, $D$10, 100%, $F$10)</f>
        <v>41.379800000000003</v>
      </c>
      <c r="J936" s="4">
        <f>CHOOSE( CONTROL!$C$31, 41.2652, 41.2624) * CHOOSE(CONTROL!$C$14, $D$10, 100%, $F$10)</f>
        <v>41.2652</v>
      </c>
      <c r="K936" s="4"/>
      <c r="L936" s="9">
        <v>29.7257</v>
      </c>
      <c r="M936" s="9">
        <v>11.6745</v>
      </c>
      <c r="N936" s="9">
        <v>4.7850000000000001</v>
      </c>
      <c r="O936" s="9">
        <v>0.36199999999999999</v>
      </c>
      <c r="P936" s="9">
        <v>1.1791</v>
      </c>
      <c r="Q936" s="9">
        <v>19.053000000000001</v>
      </c>
      <c r="R936" s="9"/>
      <c r="S936" s="11"/>
    </row>
    <row r="937" spans="1:19" ht="15.75">
      <c r="A937" s="13">
        <v>70433</v>
      </c>
      <c r="B937" s="8">
        <f>44.6105 * CHOOSE(CONTROL!$C$14, $D$10, 100%, $F$10)</f>
        <v>44.610500000000002</v>
      </c>
      <c r="C937" s="8">
        <f>44.6159 * CHOOSE(CONTROL!$C$14, $D$10, 100%, $F$10)</f>
        <v>44.615900000000003</v>
      </c>
      <c r="D937" s="8">
        <f>44.6259 * CHOOSE( CONTROL!$C$14, $D$10, 100%, $F$10)</f>
        <v>44.625900000000001</v>
      </c>
      <c r="E937" s="12">
        <f>44.622 * CHOOSE( CONTROL!$C$14, $D$10, 100%, $F$10)</f>
        <v>44.622</v>
      </c>
      <c r="F937" s="4">
        <f>45.2938 * CHOOSE(CONTROL!$C$14, $D$10, 100%, $F$10)</f>
        <v>45.293799999999997</v>
      </c>
      <c r="G937" s="8">
        <f>43.843 * CHOOSE( CONTROL!$C$14, $D$10, 100%, $F$10)</f>
        <v>43.843000000000004</v>
      </c>
      <c r="H937" s="4">
        <f>44.7715 * CHOOSE(CONTROL!$C$14, $D$10, 100%, $F$10)</f>
        <v>44.771500000000003</v>
      </c>
      <c r="I937" s="8">
        <f>43.2117 * CHOOSE(CONTROL!$C$14, $D$10, 100%, $F$10)</f>
        <v>43.2117</v>
      </c>
      <c r="J937" s="4">
        <f>43.0954 * CHOOSE(CONTROL!$C$14, $D$10, 100%, $F$10)</f>
        <v>43.095399999999998</v>
      </c>
      <c r="K937" s="4"/>
      <c r="L937" s="9">
        <v>31.095300000000002</v>
      </c>
      <c r="M937" s="9">
        <v>12.063700000000001</v>
      </c>
      <c r="N937" s="9">
        <v>4.9444999999999997</v>
      </c>
      <c r="O937" s="9">
        <v>0.37409999999999999</v>
      </c>
      <c r="P937" s="9">
        <v>1.2183999999999999</v>
      </c>
      <c r="Q937" s="9">
        <v>19.688099999999999</v>
      </c>
      <c r="R937" s="9"/>
      <c r="S937" s="11"/>
    </row>
    <row r="938" spans="1:19" ht="15.75">
      <c r="A938" s="13">
        <v>70463</v>
      </c>
      <c r="B938" s="8">
        <f>48.11 * CHOOSE(CONTROL!$C$14, $D$10, 100%, $F$10)</f>
        <v>48.11</v>
      </c>
      <c r="C938" s="8">
        <f>48.1152 * CHOOSE(CONTROL!$C$14, $D$10, 100%, $F$10)</f>
        <v>48.115200000000002</v>
      </c>
      <c r="D938" s="8">
        <f>48.0914 * CHOOSE( CONTROL!$C$14, $D$10, 100%, $F$10)</f>
        <v>48.0914</v>
      </c>
      <c r="E938" s="12">
        <f>48.0995 * CHOOSE( CONTROL!$C$14, $D$10, 100%, $F$10)</f>
        <v>48.099499999999999</v>
      </c>
      <c r="F938" s="4">
        <f>48.7575 * CHOOSE(CONTROL!$C$14, $D$10, 100%, $F$10)</f>
        <v>48.7575</v>
      </c>
      <c r="G938" s="8">
        <f>47.2947 * CHOOSE( CONTROL!$C$14, $D$10, 100%, $F$10)</f>
        <v>47.294699999999999</v>
      </c>
      <c r="H938" s="4">
        <f>48.1778 * CHOOSE(CONTROL!$C$14, $D$10, 100%, $F$10)</f>
        <v>48.177799999999998</v>
      </c>
      <c r="I938" s="8">
        <f>46.6272 * CHOOSE(CONTROL!$C$14, $D$10, 100%, $F$10)</f>
        <v>46.627200000000002</v>
      </c>
      <c r="J938" s="4">
        <f>46.4788 * CHOOSE(CONTROL!$C$14, $D$10, 100%, $F$10)</f>
        <v>46.4788</v>
      </c>
      <c r="K938" s="4"/>
      <c r="L938" s="9">
        <v>28.360600000000002</v>
      </c>
      <c r="M938" s="9">
        <v>11.6745</v>
      </c>
      <c r="N938" s="9">
        <v>4.7850000000000001</v>
      </c>
      <c r="O938" s="9">
        <v>0.36199999999999999</v>
      </c>
      <c r="P938" s="9">
        <v>1.2509999999999999</v>
      </c>
      <c r="Q938" s="9">
        <v>19.053000000000001</v>
      </c>
      <c r="R938" s="9"/>
      <c r="S938" s="11"/>
    </row>
    <row r="939" spans="1:19" ht="15.75">
      <c r="A939" s="13">
        <v>70494</v>
      </c>
      <c r="B939" s="8">
        <f>48.0226 * CHOOSE(CONTROL!$C$14, $D$10, 100%, $F$10)</f>
        <v>48.022599999999997</v>
      </c>
      <c r="C939" s="8">
        <f>48.0277 * CHOOSE(CONTROL!$C$14, $D$10, 100%, $F$10)</f>
        <v>48.027700000000003</v>
      </c>
      <c r="D939" s="8">
        <f>48.0053 * CHOOSE( CONTROL!$C$14, $D$10, 100%, $F$10)</f>
        <v>48.005299999999998</v>
      </c>
      <c r="E939" s="12">
        <f>48.0129 * CHOOSE( CONTROL!$C$14, $D$10, 100%, $F$10)</f>
        <v>48.012900000000002</v>
      </c>
      <c r="F939" s="4">
        <f>48.6701 * CHOOSE(CONTROL!$C$14, $D$10, 100%, $F$10)</f>
        <v>48.670099999999998</v>
      </c>
      <c r="G939" s="8">
        <f>47.2097 * CHOOSE( CONTROL!$C$14, $D$10, 100%, $F$10)</f>
        <v>47.209699999999998</v>
      </c>
      <c r="H939" s="4">
        <f>48.0918 * CHOOSE(CONTROL!$C$14, $D$10, 100%, $F$10)</f>
        <v>48.091799999999999</v>
      </c>
      <c r="I939" s="8">
        <f>46.5471 * CHOOSE(CONTROL!$C$14, $D$10, 100%, $F$10)</f>
        <v>46.5471</v>
      </c>
      <c r="J939" s="4">
        <f>46.3943 * CHOOSE(CONTROL!$C$14, $D$10, 100%, $F$10)</f>
        <v>46.394300000000001</v>
      </c>
      <c r="K939" s="4"/>
      <c r="L939" s="9">
        <v>29.306000000000001</v>
      </c>
      <c r="M939" s="9">
        <v>12.063700000000001</v>
      </c>
      <c r="N939" s="9">
        <v>4.9444999999999997</v>
      </c>
      <c r="O939" s="9">
        <v>0.37409999999999999</v>
      </c>
      <c r="P939" s="9">
        <v>1.2927</v>
      </c>
      <c r="Q939" s="9">
        <v>19.688099999999999</v>
      </c>
      <c r="R939" s="9"/>
      <c r="S939" s="11"/>
    </row>
    <row r="940" spans="1:19" ht="15.75">
      <c r="A940" s="13">
        <v>70525</v>
      </c>
      <c r="B940" s="8">
        <f>49.8568 * CHOOSE(CONTROL!$C$14, $D$10, 100%, $F$10)</f>
        <v>49.8568</v>
      </c>
      <c r="C940" s="8">
        <f>49.862 * CHOOSE(CONTROL!$C$14, $D$10, 100%, $F$10)</f>
        <v>49.862000000000002</v>
      </c>
      <c r="D940" s="8">
        <f>49.8578 * CHOOSE( CONTROL!$C$14, $D$10, 100%, $F$10)</f>
        <v>49.857799999999997</v>
      </c>
      <c r="E940" s="12">
        <f>49.8588 * CHOOSE( CONTROL!$C$14, $D$10, 100%, $F$10)</f>
        <v>49.858800000000002</v>
      </c>
      <c r="F940" s="4">
        <f>50.5353 * CHOOSE(CONTROL!$C$14, $D$10, 100%, $F$10)</f>
        <v>50.535299999999999</v>
      </c>
      <c r="G940" s="8">
        <f>49.0277 * CHOOSE( CONTROL!$C$14, $D$10, 100%, $F$10)</f>
        <v>49.027700000000003</v>
      </c>
      <c r="H940" s="4">
        <f>49.9261 * CHOOSE(CONTROL!$C$14, $D$10, 100%, $F$10)</f>
        <v>49.926099999999998</v>
      </c>
      <c r="I940" s="8">
        <f>48.3001 * CHOOSE(CONTROL!$C$14, $D$10, 100%, $F$10)</f>
        <v>48.3001</v>
      </c>
      <c r="J940" s="4">
        <f>48.1674 * CHOOSE(CONTROL!$C$14, $D$10, 100%, $F$10)</f>
        <v>48.167400000000001</v>
      </c>
      <c r="K940" s="4"/>
      <c r="L940" s="9">
        <v>29.306000000000001</v>
      </c>
      <c r="M940" s="9">
        <v>12.063700000000001</v>
      </c>
      <c r="N940" s="9">
        <v>4.9444999999999997</v>
      </c>
      <c r="O940" s="9">
        <v>0.37409999999999999</v>
      </c>
      <c r="P940" s="9">
        <v>1.2927</v>
      </c>
      <c r="Q940" s="9">
        <v>19.688099999999999</v>
      </c>
      <c r="R940" s="9"/>
      <c r="S940" s="11"/>
    </row>
    <row r="941" spans="1:19" ht="15.75">
      <c r="A941" s="13">
        <v>70553</v>
      </c>
      <c r="B941" s="8">
        <f>46.6356 * CHOOSE(CONTROL!$C$14, $D$10, 100%, $F$10)</f>
        <v>46.635599999999997</v>
      </c>
      <c r="C941" s="8">
        <f>46.6407 * CHOOSE(CONTROL!$C$14, $D$10, 100%, $F$10)</f>
        <v>46.640700000000002</v>
      </c>
      <c r="D941" s="8">
        <f>46.6306 * CHOOSE( CONTROL!$C$14, $D$10, 100%, $F$10)</f>
        <v>46.630600000000001</v>
      </c>
      <c r="E941" s="12">
        <f>46.6337 * CHOOSE( CONTROL!$C$14, $D$10, 100%, $F$10)</f>
        <v>46.633699999999997</v>
      </c>
      <c r="F941" s="4">
        <f>47.2883 * CHOOSE(CONTROL!$C$14, $D$10, 100%, $F$10)</f>
        <v>47.2883</v>
      </c>
      <c r="G941" s="8">
        <f>45.8518 * CHOOSE( CONTROL!$C$14, $D$10, 100%, $F$10)</f>
        <v>45.851799999999997</v>
      </c>
      <c r="H941" s="4">
        <f>46.7329 * CHOOSE(CONTROL!$C$14, $D$10, 100%, $F$10)</f>
        <v>46.732900000000001</v>
      </c>
      <c r="I941" s="8">
        <f>45.1753 * CHOOSE(CONTROL!$C$14, $D$10, 100%, $F$10)</f>
        <v>45.1753</v>
      </c>
      <c r="J941" s="4">
        <f>45.0535 * CHOOSE(CONTROL!$C$14, $D$10, 100%, $F$10)</f>
        <v>45.0535</v>
      </c>
      <c r="K941" s="4"/>
      <c r="L941" s="9">
        <v>26.469899999999999</v>
      </c>
      <c r="M941" s="9">
        <v>10.8962</v>
      </c>
      <c r="N941" s="9">
        <v>4.4660000000000002</v>
      </c>
      <c r="O941" s="9">
        <v>0.33789999999999998</v>
      </c>
      <c r="P941" s="9">
        <v>1.1676</v>
      </c>
      <c r="Q941" s="9">
        <v>17.782800000000002</v>
      </c>
      <c r="R941" s="9"/>
      <c r="S941" s="11"/>
    </row>
    <row r="942" spans="1:19" ht="15.75">
      <c r="A942" s="13">
        <v>70584</v>
      </c>
      <c r="B942" s="8">
        <f>45.6435 * CHOOSE(CONTROL!$C$14, $D$10, 100%, $F$10)</f>
        <v>45.643500000000003</v>
      </c>
      <c r="C942" s="8">
        <f>45.6486 * CHOOSE(CONTROL!$C$14, $D$10, 100%, $F$10)</f>
        <v>45.648600000000002</v>
      </c>
      <c r="D942" s="8">
        <f>45.632 * CHOOSE( CONTROL!$C$14, $D$10, 100%, $F$10)</f>
        <v>45.631999999999998</v>
      </c>
      <c r="E942" s="12">
        <f>45.6375 * CHOOSE( CONTROL!$C$14, $D$10, 100%, $F$10)</f>
        <v>45.637500000000003</v>
      </c>
      <c r="F942" s="4">
        <f>46.2962 * CHOOSE(CONTROL!$C$14, $D$10, 100%, $F$10)</f>
        <v>46.296199999999999</v>
      </c>
      <c r="G942" s="8">
        <f>44.8679 * CHOOSE( CONTROL!$C$14, $D$10, 100%, $F$10)</f>
        <v>44.867899999999999</v>
      </c>
      <c r="H942" s="4">
        <f>45.7572 * CHOOSE(CONTROL!$C$14, $D$10, 100%, $F$10)</f>
        <v>45.757199999999997</v>
      </c>
      <c r="I942" s="8">
        <f>44.1956 * CHOOSE(CONTROL!$C$14, $D$10, 100%, $F$10)</f>
        <v>44.195599999999999</v>
      </c>
      <c r="J942" s="4">
        <f>44.0944 * CHOOSE(CONTROL!$C$14, $D$10, 100%, $F$10)</f>
        <v>44.0944</v>
      </c>
      <c r="K942" s="4"/>
      <c r="L942" s="9">
        <v>29.306000000000001</v>
      </c>
      <c r="M942" s="9">
        <v>12.063700000000001</v>
      </c>
      <c r="N942" s="9">
        <v>4.9444999999999997</v>
      </c>
      <c r="O942" s="9">
        <v>0.37409999999999999</v>
      </c>
      <c r="P942" s="9">
        <v>1.2927</v>
      </c>
      <c r="Q942" s="9">
        <v>19.688099999999999</v>
      </c>
      <c r="R942" s="9"/>
      <c r="S942" s="11"/>
    </row>
    <row r="943" spans="1:19" ht="15.75">
      <c r="A943" s="13">
        <v>70614</v>
      </c>
      <c r="B943" s="8">
        <f>46.3375 * CHOOSE(CONTROL!$C$14, $D$10, 100%, $F$10)</f>
        <v>46.337499999999999</v>
      </c>
      <c r="C943" s="8">
        <f>46.3421 * CHOOSE(CONTROL!$C$14, $D$10, 100%, $F$10)</f>
        <v>46.342100000000002</v>
      </c>
      <c r="D943" s="8">
        <f>46.3516 * CHOOSE( CONTROL!$C$14, $D$10, 100%, $F$10)</f>
        <v>46.351599999999998</v>
      </c>
      <c r="E943" s="12">
        <f>46.3479 * CHOOSE( CONTROL!$C$14, $D$10, 100%, $F$10)</f>
        <v>46.347900000000003</v>
      </c>
      <c r="F943" s="4">
        <f>47.0205 * CHOOSE(CONTROL!$C$14, $D$10, 100%, $F$10)</f>
        <v>47.020499999999998</v>
      </c>
      <c r="G943" s="8">
        <f>45.5396 * CHOOSE( CONTROL!$C$14, $D$10, 100%, $F$10)</f>
        <v>45.5396</v>
      </c>
      <c r="H943" s="4">
        <f>46.4695 * CHOOSE(CONTROL!$C$14, $D$10, 100%, $F$10)</f>
        <v>46.469499999999996</v>
      </c>
      <c r="I943" s="8">
        <f>44.8771 * CHOOSE(CONTROL!$C$14, $D$10, 100%, $F$10)</f>
        <v>44.877099999999999</v>
      </c>
      <c r="J943" s="4">
        <f>44.7646 * CHOOSE(CONTROL!$C$14, $D$10, 100%, $F$10)</f>
        <v>44.764600000000002</v>
      </c>
      <c r="K943" s="4"/>
      <c r="L943" s="9">
        <v>30.092199999999998</v>
      </c>
      <c r="M943" s="9">
        <v>11.6745</v>
      </c>
      <c r="N943" s="9">
        <v>4.7850000000000001</v>
      </c>
      <c r="O943" s="9">
        <v>0.36199999999999999</v>
      </c>
      <c r="P943" s="9">
        <v>1.1791</v>
      </c>
      <c r="Q943" s="9">
        <v>19.053000000000001</v>
      </c>
      <c r="R943" s="9"/>
      <c r="S943" s="11"/>
    </row>
    <row r="944" spans="1:19" ht="15.75">
      <c r="A944" s="13">
        <v>70645</v>
      </c>
      <c r="B944" s="8">
        <f>CHOOSE( CONTROL!$C$31, 47.5757, 47.5728) * CHOOSE(CONTROL!$C$14, $D$10, 100%, $F$10)</f>
        <v>47.575699999999998</v>
      </c>
      <c r="C944" s="8">
        <f>CHOOSE( CONTROL!$C$31, 47.5837, 47.5808) * CHOOSE(CONTROL!$C$14, $D$10, 100%, $F$10)</f>
        <v>47.5837</v>
      </c>
      <c r="D944" s="8">
        <f>CHOOSE( CONTROL!$C$31, 47.5883, 47.5854) * CHOOSE( CONTROL!$C$14, $D$10, 100%, $F$10)</f>
        <v>47.588299999999997</v>
      </c>
      <c r="E944" s="12">
        <f>CHOOSE( CONTROL!$C$31, 47.5854, 47.5825) * CHOOSE( CONTROL!$C$14, $D$10, 100%, $F$10)</f>
        <v>47.5854</v>
      </c>
      <c r="F944" s="4">
        <f>CHOOSE( CONTROL!$C$31, 48.2573, 48.2543) * CHOOSE(CONTROL!$C$14, $D$10, 100%, $F$10)</f>
        <v>48.257300000000001</v>
      </c>
      <c r="G944" s="8">
        <f>CHOOSE( CONTROL!$C$31, 46.7568, 46.7539) * CHOOSE( CONTROL!$C$14, $D$10, 100%, $F$10)</f>
        <v>46.756799999999998</v>
      </c>
      <c r="H944" s="4">
        <f>CHOOSE( CONTROL!$C$31, 47.6858, 47.6829) * CHOOSE(CONTROL!$C$14, $D$10, 100%, $F$10)</f>
        <v>47.6858</v>
      </c>
      <c r="I944" s="8">
        <f>CHOOSE( CONTROL!$C$31, 46.0743, 46.0715) * CHOOSE(CONTROL!$C$14, $D$10, 100%, $F$10)</f>
        <v>46.074300000000001</v>
      </c>
      <c r="J944" s="4">
        <f>CHOOSE( CONTROL!$C$31, 45.9602, 45.9574) * CHOOSE(CONTROL!$C$14, $D$10, 100%, $F$10)</f>
        <v>45.9602</v>
      </c>
      <c r="K944" s="4"/>
      <c r="L944" s="9">
        <v>30.7165</v>
      </c>
      <c r="M944" s="9">
        <v>12.063700000000001</v>
      </c>
      <c r="N944" s="9">
        <v>4.9444999999999997</v>
      </c>
      <c r="O944" s="9">
        <v>0.37409999999999999</v>
      </c>
      <c r="P944" s="9">
        <v>1.2183999999999999</v>
      </c>
      <c r="Q944" s="9">
        <v>19.688099999999999</v>
      </c>
      <c r="R944" s="9"/>
      <c r="S944" s="11"/>
    </row>
    <row r="945" spans="1:19" ht="15.75">
      <c r="A945" s="13">
        <v>70675</v>
      </c>
      <c r="B945" s="8">
        <f>CHOOSE( CONTROL!$C$31, 46.8114, 46.8084) * CHOOSE(CONTROL!$C$14, $D$10, 100%, $F$10)</f>
        <v>46.811399999999999</v>
      </c>
      <c r="C945" s="8">
        <f>CHOOSE( CONTROL!$C$31, 46.8194, 46.8165) * CHOOSE(CONTROL!$C$14, $D$10, 100%, $F$10)</f>
        <v>46.819400000000002</v>
      </c>
      <c r="D945" s="8">
        <f>CHOOSE( CONTROL!$C$31, 46.8243, 46.8213) * CHOOSE( CONTROL!$C$14, $D$10, 100%, $F$10)</f>
        <v>46.824300000000001</v>
      </c>
      <c r="E945" s="12">
        <f>CHOOSE( CONTROL!$C$31, 46.8213, 46.8183) * CHOOSE( CONTROL!$C$14, $D$10, 100%, $F$10)</f>
        <v>46.821300000000001</v>
      </c>
      <c r="F945" s="4">
        <f>CHOOSE( CONTROL!$C$31, 47.4929, 47.49) * CHOOSE(CONTROL!$C$14, $D$10, 100%, $F$10)</f>
        <v>47.492899999999999</v>
      </c>
      <c r="G945" s="8">
        <f>CHOOSE( CONTROL!$C$31, 46.0055, 46.0026) * CHOOSE( CONTROL!$C$14, $D$10, 100%, $F$10)</f>
        <v>46.005499999999998</v>
      </c>
      <c r="H945" s="4">
        <f>CHOOSE( CONTROL!$C$31, 46.9342, 46.9313) * CHOOSE(CONTROL!$C$14, $D$10, 100%, $F$10)</f>
        <v>46.934199999999997</v>
      </c>
      <c r="I945" s="8">
        <f>CHOOSE( CONTROL!$C$31, 45.3363, 45.3335) * CHOOSE(CONTROL!$C$14, $D$10, 100%, $F$10)</f>
        <v>45.336300000000001</v>
      </c>
      <c r="J945" s="4">
        <f>CHOOSE( CONTROL!$C$31, 45.2213, 45.2185) * CHOOSE(CONTROL!$C$14, $D$10, 100%, $F$10)</f>
        <v>45.221299999999999</v>
      </c>
      <c r="K945" s="4"/>
      <c r="L945" s="9">
        <v>29.7257</v>
      </c>
      <c r="M945" s="9">
        <v>11.6745</v>
      </c>
      <c r="N945" s="9">
        <v>4.7850000000000001</v>
      </c>
      <c r="O945" s="9">
        <v>0.36199999999999999</v>
      </c>
      <c r="P945" s="9">
        <v>1.1791</v>
      </c>
      <c r="Q945" s="9">
        <v>19.053000000000001</v>
      </c>
      <c r="R945" s="9"/>
      <c r="S945" s="11"/>
    </row>
    <row r="946" spans="1:19" ht="15.75">
      <c r="A946" s="13">
        <v>70706</v>
      </c>
      <c r="B946" s="8">
        <f>CHOOSE( CONTROL!$C$31, 48.8242, 48.8212) * CHOOSE(CONTROL!$C$14, $D$10, 100%, $F$10)</f>
        <v>48.824199999999998</v>
      </c>
      <c r="C946" s="8">
        <f>CHOOSE( CONTROL!$C$31, 48.8322, 48.8292) * CHOOSE(CONTROL!$C$14, $D$10, 100%, $F$10)</f>
        <v>48.8322</v>
      </c>
      <c r="D946" s="8">
        <f>CHOOSE( CONTROL!$C$31, 48.8373, 48.8344) * CHOOSE( CONTROL!$C$14, $D$10, 100%, $F$10)</f>
        <v>48.837299999999999</v>
      </c>
      <c r="E946" s="12">
        <f>CHOOSE( CONTROL!$C$31, 48.8342, 48.8313) * CHOOSE( CONTROL!$C$14, $D$10, 100%, $F$10)</f>
        <v>48.834200000000003</v>
      </c>
      <c r="F946" s="4">
        <f>CHOOSE( CONTROL!$C$31, 49.5057, 49.5028) * CHOOSE(CONTROL!$C$14, $D$10, 100%, $F$10)</f>
        <v>49.505699999999997</v>
      </c>
      <c r="G946" s="8">
        <f>CHOOSE( CONTROL!$C$31, 47.9853, 47.9824) * CHOOSE( CONTROL!$C$14, $D$10, 100%, $F$10)</f>
        <v>47.985300000000002</v>
      </c>
      <c r="H946" s="4">
        <f>CHOOSE( CONTROL!$C$31, 48.9136, 48.9107) * CHOOSE(CONTROL!$C$14, $D$10, 100%, $F$10)</f>
        <v>48.913600000000002</v>
      </c>
      <c r="I946" s="8">
        <f>CHOOSE( CONTROL!$C$31, 47.2842, 47.2814) * CHOOSE(CONTROL!$C$14, $D$10, 100%, $F$10)</f>
        <v>47.284199999999998</v>
      </c>
      <c r="J946" s="4">
        <f>CHOOSE( CONTROL!$C$31, 47.1671, 47.1643) * CHOOSE(CONTROL!$C$14, $D$10, 100%, $F$10)</f>
        <v>47.167099999999998</v>
      </c>
      <c r="K946" s="4"/>
      <c r="L946" s="9">
        <v>30.7165</v>
      </c>
      <c r="M946" s="9">
        <v>12.063700000000001</v>
      </c>
      <c r="N946" s="9">
        <v>4.9444999999999997</v>
      </c>
      <c r="O946" s="9">
        <v>0.37409999999999999</v>
      </c>
      <c r="P946" s="9">
        <v>1.2183999999999999</v>
      </c>
      <c r="Q946" s="9">
        <v>19.688099999999999</v>
      </c>
      <c r="R946" s="9"/>
      <c r="S946" s="11"/>
    </row>
    <row r="947" spans="1:19" ht="15.75">
      <c r="A947" s="13">
        <v>70737</v>
      </c>
      <c r="B947" s="8">
        <f>CHOOSE( CONTROL!$C$31, 45.058, 45.0551) * CHOOSE(CONTROL!$C$14, $D$10, 100%, $F$10)</f>
        <v>45.058</v>
      </c>
      <c r="C947" s="8">
        <f>CHOOSE( CONTROL!$C$31, 45.066, 45.0631) * CHOOSE(CONTROL!$C$14, $D$10, 100%, $F$10)</f>
        <v>45.066000000000003</v>
      </c>
      <c r="D947" s="8">
        <f>CHOOSE( CONTROL!$C$31, 45.0712, 45.0683) * CHOOSE( CONTROL!$C$14, $D$10, 100%, $F$10)</f>
        <v>45.071199999999997</v>
      </c>
      <c r="E947" s="12">
        <f>CHOOSE( CONTROL!$C$31, 45.0681, 45.0652) * CHOOSE( CONTROL!$C$14, $D$10, 100%, $F$10)</f>
        <v>45.068100000000001</v>
      </c>
      <c r="F947" s="4">
        <f>CHOOSE( CONTROL!$C$31, 45.7396, 45.7366) * CHOOSE(CONTROL!$C$14, $D$10, 100%, $F$10)</f>
        <v>45.739600000000003</v>
      </c>
      <c r="G947" s="8">
        <f>CHOOSE( CONTROL!$C$31, 44.2817, 44.2789) * CHOOSE( CONTROL!$C$14, $D$10, 100%, $F$10)</f>
        <v>44.281700000000001</v>
      </c>
      <c r="H947" s="4">
        <f>CHOOSE( CONTROL!$C$31, 45.2099, 45.207) * CHOOSE(CONTROL!$C$14, $D$10, 100%, $F$10)</f>
        <v>45.209899999999998</v>
      </c>
      <c r="I947" s="8">
        <f>CHOOSE( CONTROL!$C$31, 43.6421, 43.6392) * CHOOSE(CONTROL!$C$14, $D$10, 100%, $F$10)</f>
        <v>43.642099999999999</v>
      </c>
      <c r="J947" s="4">
        <f>CHOOSE( CONTROL!$C$31, 43.5263, 43.5235) * CHOOSE(CONTROL!$C$14, $D$10, 100%, $F$10)</f>
        <v>43.526299999999999</v>
      </c>
      <c r="K947" s="4"/>
      <c r="L947" s="9">
        <v>30.7165</v>
      </c>
      <c r="M947" s="9">
        <v>12.063700000000001</v>
      </c>
      <c r="N947" s="9">
        <v>4.9444999999999997</v>
      </c>
      <c r="O947" s="9">
        <v>0.37409999999999999</v>
      </c>
      <c r="P947" s="9">
        <v>1.2183999999999999</v>
      </c>
      <c r="Q947" s="9">
        <v>19.688099999999999</v>
      </c>
      <c r="R947" s="9"/>
      <c r="S947" s="11"/>
    </row>
    <row r="948" spans="1:19" ht="15.75">
      <c r="A948" s="13">
        <v>70767</v>
      </c>
      <c r="B948" s="8">
        <f>CHOOSE( CONTROL!$C$31, 44.1149, 44.112) * CHOOSE(CONTROL!$C$14, $D$10, 100%, $F$10)</f>
        <v>44.114899999999999</v>
      </c>
      <c r="C948" s="8">
        <f>CHOOSE( CONTROL!$C$31, 44.1229, 44.12) * CHOOSE(CONTROL!$C$14, $D$10, 100%, $F$10)</f>
        <v>44.122900000000001</v>
      </c>
      <c r="D948" s="8">
        <f>CHOOSE( CONTROL!$C$31, 44.1281, 44.1252) * CHOOSE( CONTROL!$C$14, $D$10, 100%, $F$10)</f>
        <v>44.128100000000003</v>
      </c>
      <c r="E948" s="12">
        <f>CHOOSE( CONTROL!$C$31, 44.125, 44.1221) * CHOOSE( CONTROL!$C$14, $D$10, 100%, $F$10)</f>
        <v>44.125</v>
      </c>
      <c r="F948" s="4">
        <f>CHOOSE( CONTROL!$C$31, 44.7965, 44.7935) * CHOOSE(CONTROL!$C$14, $D$10, 100%, $F$10)</f>
        <v>44.796500000000002</v>
      </c>
      <c r="G948" s="8">
        <f>CHOOSE( CONTROL!$C$31, 43.3543, 43.3514) * CHOOSE( CONTROL!$C$14, $D$10, 100%, $F$10)</f>
        <v>43.354300000000002</v>
      </c>
      <c r="H948" s="4">
        <f>CHOOSE( CONTROL!$C$31, 44.2824, 44.2795) * CHOOSE(CONTROL!$C$14, $D$10, 100%, $F$10)</f>
        <v>44.282400000000003</v>
      </c>
      <c r="I948" s="8">
        <f>CHOOSE( CONTROL!$C$31, 42.7299, 42.727) * CHOOSE(CONTROL!$C$14, $D$10, 100%, $F$10)</f>
        <v>42.729900000000001</v>
      </c>
      <c r="J948" s="4">
        <f>CHOOSE( CONTROL!$C$31, 42.6147, 42.6118) * CHOOSE(CONTROL!$C$14, $D$10, 100%, $F$10)</f>
        <v>42.614699999999999</v>
      </c>
      <c r="K948" s="4"/>
      <c r="L948" s="9">
        <v>29.7257</v>
      </c>
      <c r="M948" s="9">
        <v>11.6745</v>
      </c>
      <c r="N948" s="9">
        <v>4.7850000000000001</v>
      </c>
      <c r="O948" s="9">
        <v>0.36199999999999999</v>
      </c>
      <c r="P948" s="9">
        <v>1.1791</v>
      </c>
      <c r="Q948" s="9">
        <v>19.053000000000001</v>
      </c>
      <c r="R948" s="9"/>
      <c r="S948" s="11"/>
    </row>
    <row r="949" spans="1:19" ht="15.75">
      <c r="A949" s="13">
        <v>70798</v>
      </c>
      <c r="B949" s="8">
        <f>46.0684 * CHOOSE(CONTROL!$C$14, $D$10, 100%, $F$10)</f>
        <v>46.068399999999997</v>
      </c>
      <c r="C949" s="8">
        <f>46.0738 * CHOOSE(CONTROL!$C$14, $D$10, 100%, $F$10)</f>
        <v>46.073799999999999</v>
      </c>
      <c r="D949" s="8">
        <f>46.0838 * CHOOSE( CONTROL!$C$14, $D$10, 100%, $F$10)</f>
        <v>46.083799999999997</v>
      </c>
      <c r="E949" s="12">
        <f>46.0799 * CHOOSE( CONTROL!$C$14, $D$10, 100%, $F$10)</f>
        <v>46.079900000000002</v>
      </c>
      <c r="F949" s="4">
        <f>46.7517 * CHOOSE(CONTROL!$C$14, $D$10, 100%, $F$10)</f>
        <v>46.7517</v>
      </c>
      <c r="G949" s="8">
        <f>45.2767 * CHOOSE( CONTROL!$C$14, $D$10, 100%, $F$10)</f>
        <v>45.276699999999998</v>
      </c>
      <c r="H949" s="4">
        <f>46.2052 * CHOOSE(CONTROL!$C$14, $D$10, 100%, $F$10)</f>
        <v>46.205199999999998</v>
      </c>
      <c r="I949" s="8">
        <f>44.6218 * CHOOSE(CONTROL!$C$14, $D$10, 100%, $F$10)</f>
        <v>44.6218</v>
      </c>
      <c r="J949" s="4">
        <f>44.5048 * CHOOSE(CONTROL!$C$14, $D$10, 100%, $F$10)</f>
        <v>44.504800000000003</v>
      </c>
      <c r="K949" s="4"/>
      <c r="L949" s="9">
        <v>31.095300000000002</v>
      </c>
      <c r="M949" s="9">
        <v>12.063700000000001</v>
      </c>
      <c r="N949" s="9">
        <v>4.9444999999999997</v>
      </c>
      <c r="O949" s="9">
        <v>0.37409999999999999</v>
      </c>
      <c r="P949" s="9">
        <v>1.2183999999999999</v>
      </c>
      <c r="Q949" s="9">
        <v>19.688099999999999</v>
      </c>
      <c r="R949" s="9"/>
      <c r="S949" s="11"/>
    </row>
    <row r="950" spans="1:19" ht="15.75">
      <c r="A950" s="13">
        <v>70828</v>
      </c>
      <c r="B950" s="8">
        <f>49.6824 * CHOOSE(CONTROL!$C$14, $D$10, 100%, $F$10)</f>
        <v>49.682400000000001</v>
      </c>
      <c r="C950" s="8">
        <f>49.6876 * CHOOSE(CONTROL!$C$14, $D$10, 100%, $F$10)</f>
        <v>49.687600000000003</v>
      </c>
      <c r="D950" s="8">
        <f>49.6638 * CHOOSE( CONTROL!$C$14, $D$10, 100%, $F$10)</f>
        <v>49.663800000000002</v>
      </c>
      <c r="E950" s="12">
        <f>49.6719 * CHOOSE( CONTROL!$C$14, $D$10, 100%, $F$10)</f>
        <v>49.671900000000001</v>
      </c>
      <c r="F950" s="4">
        <f>50.3299 * CHOOSE(CONTROL!$C$14, $D$10, 100%, $F$10)</f>
        <v>50.329900000000002</v>
      </c>
      <c r="G950" s="8">
        <f>48.841 * CHOOSE( CONTROL!$C$14, $D$10, 100%, $F$10)</f>
        <v>48.841000000000001</v>
      </c>
      <c r="H950" s="4">
        <f>49.7241 * CHOOSE(CONTROL!$C$14, $D$10, 100%, $F$10)</f>
        <v>49.7241</v>
      </c>
      <c r="I950" s="8">
        <f>48.148 * CHOOSE(CONTROL!$C$14, $D$10, 100%, $F$10)</f>
        <v>48.148000000000003</v>
      </c>
      <c r="J950" s="4">
        <f>47.9988 * CHOOSE(CONTROL!$C$14, $D$10, 100%, $F$10)</f>
        <v>47.998800000000003</v>
      </c>
      <c r="K950" s="4"/>
      <c r="L950" s="9">
        <v>28.360600000000002</v>
      </c>
      <c r="M950" s="9">
        <v>11.6745</v>
      </c>
      <c r="N950" s="9">
        <v>4.7850000000000001</v>
      </c>
      <c r="O950" s="9">
        <v>0.36199999999999999</v>
      </c>
      <c r="P950" s="9">
        <v>1.2509999999999999</v>
      </c>
      <c r="Q950" s="9">
        <v>19.053000000000001</v>
      </c>
      <c r="R950" s="9"/>
      <c r="S950" s="11"/>
    </row>
    <row r="951" spans="1:19" ht="15.75">
      <c r="A951" s="13">
        <v>70859</v>
      </c>
      <c r="B951" s="8">
        <f>49.5921 * CHOOSE(CONTROL!$C$14, $D$10, 100%, $F$10)</f>
        <v>49.592100000000002</v>
      </c>
      <c r="C951" s="8">
        <f>49.5972 * CHOOSE(CONTROL!$C$14, $D$10, 100%, $F$10)</f>
        <v>49.597200000000001</v>
      </c>
      <c r="D951" s="8">
        <f>49.5748 * CHOOSE( CONTROL!$C$14, $D$10, 100%, $F$10)</f>
        <v>49.574800000000003</v>
      </c>
      <c r="E951" s="12">
        <f>49.5824 * CHOOSE( CONTROL!$C$14, $D$10, 100%, $F$10)</f>
        <v>49.5824</v>
      </c>
      <c r="F951" s="4">
        <f>50.2396 * CHOOSE(CONTROL!$C$14, $D$10, 100%, $F$10)</f>
        <v>50.239600000000003</v>
      </c>
      <c r="G951" s="8">
        <f>48.7532 * CHOOSE( CONTROL!$C$14, $D$10, 100%, $F$10)</f>
        <v>48.7532</v>
      </c>
      <c r="H951" s="4">
        <f>49.6353 * CHOOSE(CONTROL!$C$14, $D$10, 100%, $F$10)</f>
        <v>49.635300000000001</v>
      </c>
      <c r="I951" s="8">
        <f>48.0651 * CHOOSE(CONTROL!$C$14, $D$10, 100%, $F$10)</f>
        <v>48.065100000000001</v>
      </c>
      <c r="J951" s="4">
        <f>47.9115 * CHOOSE(CONTROL!$C$14, $D$10, 100%, $F$10)</f>
        <v>47.911499999999997</v>
      </c>
      <c r="K951" s="4"/>
      <c r="L951" s="9">
        <v>29.306000000000001</v>
      </c>
      <c r="M951" s="9">
        <v>12.063700000000001</v>
      </c>
      <c r="N951" s="9">
        <v>4.9444999999999997</v>
      </c>
      <c r="O951" s="9">
        <v>0.37409999999999999</v>
      </c>
      <c r="P951" s="9">
        <v>1.2927</v>
      </c>
      <c r="Q951" s="9">
        <v>19.688099999999999</v>
      </c>
      <c r="R951" s="9"/>
      <c r="S951" s="11"/>
    </row>
    <row r="952" spans="1:19" ht="15.75">
      <c r="A952" s="13">
        <v>70890</v>
      </c>
      <c r="B952" s="8">
        <f>51.4864 * CHOOSE(CONTROL!$C$14, $D$10, 100%, $F$10)</f>
        <v>51.486400000000003</v>
      </c>
      <c r="C952" s="8">
        <f>51.4915 * CHOOSE(CONTROL!$C$14, $D$10, 100%, $F$10)</f>
        <v>51.491500000000002</v>
      </c>
      <c r="D952" s="8">
        <f>51.4873 * CHOOSE( CONTROL!$C$14, $D$10, 100%, $F$10)</f>
        <v>51.487299999999998</v>
      </c>
      <c r="E952" s="12">
        <f>51.4883 * CHOOSE( CONTROL!$C$14, $D$10, 100%, $F$10)</f>
        <v>51.488300000000002</v>
      </c>
      <c r="F952" s="4">
        <f>52.1649 * CHOOSE(CONTROL!$C$14, $D$10, 100%, $F$10)</f>
        <v>52.164900000000003</v>
      </c>
      <c r="G952" s="8">
        <f>50.6302 * CHOOSE( CONTROL!$C$14, $D$10, 100%, $F$10)</f>
        <v>50.630200000000002</v>
      </c>
      <c r="H952" s="4">
        <f>51.5286 * CHOOSE(CONTROL!$C$14, $D$10, 100%, $F$10)</f>
        <v>51.528599999999997</v>
      </c>
      <c r="I952" s="8">
        <f>49.8762 * CHOOSE(CONTROL!$C$14, $D$10, 100%, $F$10)</f>
        <v>49.876199999999997</v>
      </c>
      <c r="J952" s="4">
        <f>49.7427 * CHOOSE(CONTROL!$C$14, $D$10, 100%, $F$10)</f>
        <v>49.742699999999999</v>
      </c>
      <c r="K952" s="4"/>
      <c r="L952" s="9">
        <v>29.306000000000001</v>
      </c>
      <c r="M952" s="9">
        <v>12.063700000000001</v>
      </c>
      <c r="N952" s="9">
        <v>4.9444999999999997</v>
      </c>
      <c r="O952" s="9">
        <v>0.37409999999999999</v>
      </c>
      <c r="P952" s="9">
        <v>1.2927</v>
      </c>
      <c r="Q952" s="9">
        <v>19.688099999999999</v>
      </c>
      <c r="R952" s="9"/>
      <c r="S952" s="11"/>
    </row>
    <row r="953" spans="1:19" ht="15.75">
      <c r="A953" s="13">
        <v>70918</v>
      </c>
      <c r="B953" s="8">
        <f>48.1598 * CHOOSE(CONTROL!$C$14, $D$10, 100%, $F$10)</f>
        <v>48.159799999999997</v>
      </c>
      <c r="C953" s="8">
        <f>48.1649 * CHOOSE(CONTROL!$C$14, $D$10, 100%, $F$10)</f>
        <v>48.164900000000003</v>
      </c>
      <c r="D953" s="8">
        <f>48.1548 * CHOOSE( CONTROL!$C$14, $D$10, 100%, $F$10)</f>
        <v>48.154800000000002</v>
      </c>
      <c r="E953" s="12">
        <f>48.1579 * CHOOSE( CONTROL!$C$14, $D$10, 100%, $F$10)</f>
        <v>48.157899999999998</v>
      </c>
      <c r="F953" s="4">
        <f>48.8124 * CHOOSE(CONTROL!$C$14, $D$10, 100%, $F$10)</f>
        <v>48.812399999999997</v>
      </c>
      <c r="G953" s="8">
        <f>47.3507 * CHOOSE( CONTROL!$C$14, $D$10, 100%, $F$10)</f>
        <v>47.350700000000003</v>
      </c>
      <c r="H953" s="4">
        <f>48.2318 * CHOOSE(CONTROL!$C$14, $D$10, 100%, $F$10)</f>
        <v>48.2318</v>
      </c>
      <c r="I953" s="8">
        <f>46.6494 * CHOOSE(CONTROL!$C$14, $D$10, 100%, $F$10)</f>
        <v>46.6494</v>
      </c>
      <c r="J953" s="4">
        <f>46.5269 * CHOOSE(CONTROL!$C$14, $D$10, 100%, $F$10)</f>
        <v>46.526899999999998</v>
      </c>
      <c r="K953" s="4"/>
      <c r="L953" s="9">
        <v>26.469899999999999</v>
      </c>
      <c r="M953" s="9">
        <v>10.8962</v>
      </c>
      <c r="N953" s="9">
        <v>4.4660000000000002</v>
      </c>
      <c r="O953" s="9">
        <v>0.33789999999999998</v>
      </c>
      <c r="P953" s="9">
        <v>1.1676</v>
      </c>
      <c r="Q953" s="9">
        <v>17.782800000000002</v>
      </c>
      <c r="R953" s="9"/>
      <c r="S953" s="11"/>
    </row>
    <row r="954" spans="1:19" ht="15.75">
      <c r="A954" s="13">
        <v>70949</v>
      </c>
      <c r="B954" s="8">
        <f>47.1352 * CHOOSE(CONTROL!$C$14, $D$10, 100%, $F$10)</f>
        <v>47.135199999999998</v>
      </c>
      <c r="C954" s="8">
        <f>47.1404 * CHOOSE(CONTROL!$C$14, $D$10, 100%, $F$10)</f>
        <v>47.1404</v>
      </c>
      <c r="D954" s="8">
        <f>47.1238 * CHOOSE( CONTROL!$C$14, $D$10, 100%, $F$10)</f>
        <v>47.123800000000003</v>
      </c>
      <c r="E954" s="12">
        <f>47.1293 * CHOOSE( CONTROL!$C$14, $D$10, 100%, $F$10)</f>
        <v>47.129300000000001</v>
      </c>
      <c r="F954" s="4">
        <f>47.7879 * CHOOSE(CONTROL!$C$14, $D$10, 100%, $F$10)</f>
        <v>47.7879</v>
      </c>
      <c r="G954" s="8">
        <f>46.3349 * CHOOSE( CONTROL!$C$14, $D$10, 100%, $F$10)</f>
        <v>46.334899999999998</v>
      </c>
      <c r="H954" s="4">
        <f>47.2242 * CHOOSE(CONTROL!$C$14, $D$10, 100%, $F$10)</f>
        <v>47.224200000000003</v>
      </c>
      <c r="I954" s="8">
        <f>45.6384 * CHOOSE(CONTROL!$C$14, $D$10, 100%, $F$10)</f>
        <v>45.638399999999997</v>
      </c>
      <c r="J954" s="4">
        <f>45.5365 * CHOOSE(CONTROL!$C$14, $D$10, 100%, $F$10)</f>
        <v>45.536499999999997</v>
      </c>
      <c r="K954" s="4"/>
      <c r="L954" s="9">
        <v>29.306000000000001</v>
      </c>
      <c r="M954" s="9">
        <v>12.063700000000001</v>
      </c>
      <c r="N954" s="9">
        <v>4.9444999999999997</v>
      </c>
      <c r="O954" s="9">
        <v>0.37409999999999999</v>
      </c>
      <c r="P954" s="9">
        <v>1.2927</v>
      </c>
      <c r="Q954" s="9">
        <v>19.688099999999999</v>
      </c>
      <c r="R954" s="9"/>
      <c r="S954" s="11"/>
    </row>
    <row r="955" spans="1:19" ht="15.75">
      <c r="A955" s="13">
        <v>70979</v>
      </c>
      <c r="B955" s="8">
        <f>47.8519 * CHOOSE(CONTROL!$C$14, $D$10, 100%, $F$10)</f>
        <v>47.851900000000001</v>
      </c>
      <c r="C955" s="8">
        <f>47.8565 * CHOOSE(CONTROL!$C$14, $D$10, 100%, $F$10)</f>
        <v>47.856499999999997</v>
      </c>
      <c r="D955" s="8">
        <f>47.866 * CHOOSE( CONTROL!$C$14, $D$10, 100%, $F$10)</f>
        <v>47.866</v>
      </c>
      <c r="E955" s="12">
        <f>47.8623 * CHOOSE( CONTROL!$C$14, $D$10, 100%, $F$10)</f>
        <v>47.862299999999998</v>
      </c>
      <c r="F955" s="4">
        <f>48.5349 * CHOOSE(CONTROL!$C$14, $D$10, 100%, $F$10)</f>
        <v>48.5349</v>
      </c>
      <c r="G955" s="8">
        <f>47.0289 * CHOOSE( CONTROL!$C$14, $D$10, 100%, $F$10)</f>
        <v>47.0289</v>
      </c>
      <c r="H955" s="4">
        <f>47.9588 * CHOOSE(CONTROL!$C$14, $D$10, 100%, $F$10)</f>
        <v>47.958799999999997</v>
      </c>
      <c r="I955" s="8">
        <f>46.3418 * CHOOSE(CONTROL!$C$14, $D$10, 100%, $F$10)</f>
        <v>46.341799999999999</v>
      </c>
      <c r="J955" s="4">
        <f>46.2286 * CHOOSE(CONTROL!$C$14, $D$10, 100%, $F$10)</f>
        <v>46.2286</v>
      </c>
      <c r="K955" s="4"/>
      <c r="L955" s="9">
        <v>30.092199999999998</v>
      </c>
      <c r="M955" s="9">
        <v>11.6745</v>
      </c>
      <c r="N955" s="9">
        <v>4.7850000000000001</v>
      </c>
      <c r="O955" s="9">
        <v>0.36199999999999999</v>
      </c>
      <c r="P955" s="9">
        <v>1.1791</v>
      </c>
      <c r="Q955" s="9">
        <v>19.053000000000001</v>
      </c>
      <c r="R955" s="9"/>
      <c r="S955" s="11"/>
    </row>
    <row r="956" spans="1:19" ht="15.75">
      <c r="A956" s="13">
        <v>71010</v>
      </c>
      <c r="B956" s="8">
        <f>CHOOSE( CONTROL!$C$31, 49.1305, 49.1275) * CHOOSE(CONTROL!$C$14, $D$10, 100%, $F$10)</f>
        <v>49.130499999999998</v>
      </c>
      <c r="C956" s="8">
        <f>CHOOSE( CONTROL!$C$31, 49.1385, 49.1355) * CHOOSE(CONTROL!$C$14, $D$10, 100%, $F$10)</f>
        <v>49.138500000000001</v>
      </c>
      <c r="D956" s="8">
        <f>CHOOSE( CONTROL!$C$31, 49.1431, 49.1402) * CHOOSE( CONTROL!$C$14, $D$10, 100%, $F$10)</f>
        <v>49.143099999999997</v>
      </c>
      <c r="E956" s="12">
        <f>CHOOSE( CONTROL!$C$31, 49.1402, 49.1373) * CHOOSE( CONTROL!$C$14, $D$10, 100%, $F$10)</f>
        <v>49.1402</v>
      </c>
      <c r="F956" s="4">
        <f>CHOOSE( CONTROL!$C$31, 49.812, 49.8091) * CHOOSE(CONTROL!$C$14, $D$10, 100%, $F$10)</f>
        <v>49.811999999999998</v>
      </c>
      <c r="G956" s="8">
        <f>CHOOSE( CONTROL!$C$31, 48.2858, 48.2829) * CHOOSE( CONTROL!$C$14, $D$10, 100%, $F$10)</f>
        <v>48.285800000000002</v>
      </c>
      <c r="H956" s="4">
        <f>CHOOSE( CONTROL!$C$31, 49.2148, 49.2119) * CHOOSE(CONTROL!$C$14, $D$10, 100%, $F$10)</f>
        <v>49.214799999999997</v>
      </c>
      <c r="I956" s="8">
        <f>CHOOSE( CONTROL!$C$31, 47.5781, 47.5752) * CHOOSE(CONTROL!$C$14, $D$10, 100%, $F$10)</f>
        <v>47.578099999999999</v>
      </c>
      <c r="J956" s="4">
        <f>CHOOSE( CONTROL!$C$31, 47.4632, 47.4604) * CHOOSE(CONTROL!$C$14, $D$10, 100%, $F$10)</f>
        <v>47.463200000000001</v>
      </c>
      <c r="K956" s="4"/>
      <c r="L956" s="9">
        <v>30.7165</v>
      </c>
      <c r="M956" s="9">
        <v>12.063700000000001</v>
      </c>
      <c r="N956" s="9">
        <v>4.9444999999999997</v>
      </c>
      <c r="O956" s="9">
        <v>0.37409999999999999</v>
      </c>
      <c r="P956" s="9">
        <v>1.2183999999999999</v>
      </c>
      <c r="Q956" s="9">
        <v>19.688099999999999</v>
      </c>
      <c r="R956" s="9"/>
      <c r="S956" s="11"/>
    </row>
    <row r="957" spans="1:19" ht="15.75">
      <c r="A957" s="13">
        <v>71040</v>
      </c>
      <c r="B957" s="8">
        <f>CHOOSE( CONTROL!$C$31, 48.3411, 48.3382) * CHOOSE(CONTROL!$C$14, $D$10, 100%, $F$10)</f>
        <v>48.341099999999997</v>
      </c>
      <c r="C957" s="8">
        <f>CHOOSE( CONTROL!$C$31, 48.3491, 48.3462) * CHOOSE(CONTROL!$C$14, $D$10, 100%, $F$10)</f>
        <v>48.3491</v>
      </c>
      <c r="D957" s="8">
        <f>CHOOSE( CONTROL!$C$31, 48.354, 48.3511) * CHOOSE( CONTROL!$C$14, $D$10, 100%, $F$10)</f>
        <v>48.353999999999999</v>
      </c>
      <c r="E957" s="12">
        <f>CHOOSE( CONTROL!$C$31, 48.351, 48.3481) * CHOOSE( CONTROL!$C$14, $D$10, 100%, $F$10)</f>
        <v>48.350999999999999</v>
      </c>
      <c r="F957" s="4">
        <f>CHOOSE( CONTROL!$C$31, 49.0227, 49.0197) * CHOOSE(CONTROL!$C$14, $D$10, 100%, $F$10)</f>
        <v>49.0227</v>
      </c>
      <c r="G957" s="8">
        <f>CHOOSE( CONTROL!$C$31, 47.5099, 47.507) * CHOOSE( CONTROL!$C$14, $D$10, 100%, $F$10)</f>
        <v>47.509900000000002</v>
      </c>
      <c r="H957" s="4">
        <f>CHOOSE( CONTROL!$C$31, 48.4385, 48.4357) * CHOOSE(CONTROL!$C$14, $D$10, 100%, $F$10)</f>
        <v>48.438499999999998</v>
      </c>
      <c r="I957" s="8">
        <f>CHOOSE( CONTROL!$C$31, 46.8159, 46.8131) * CHOOSE(CONTROL!$C$14, $D$10, 100%, $F$10)</f>
        <v>46.815899999999999</v>
      </c>
      <c r="J957" s="4">
        <f>CHOOSE( CONTROL!$C$31, 46.7001, 46.6973) * CHOOSE(CONTROL!$C$14, $D$10, 100%, $F$10)</f>
        <v>46.700099999999999</v>
      </c>
      <c r="K957" s="4"/>
      <c r="L957" s="9">
        <v>29.7257</v>
      </c>
      <c r="M957" s="9">
        <v>11.6745</v>
      </c>
      <c r="N957" s="9">
        <v>4.7850000000000001</v>
      </c>
      <c r="O957" s="9">
        <v>0.36199999999999999</v>
      </c>
      <c r="P957" s="9">
        <v>1.1791</v>
      </c>
      <c r="Q957" s="9">
        <v>19.053000000000001</v>
      </c>
      <c r="R957" s="9"/>
      <c r="S957" s="11"/>
    </row>
    <row r="958" spans="1:19" ht="15.75">
      <c r="A958" s="13">
        <v>71071</v>
      </c>
      <c r="B958" s="8">
        <f>CHOOSE( CONTROL!$C$31, 50.4197, 50.4168) * CHOOSE(CONTROL!$C$14, $D$10, 100%, $F$10)</f>
        <v>50.419699999999999</v>
      </c>
      <c r="C958" s="8">
        <f>CHOOSE( CONTROL!$C$31, 50.4278, 50.4248) * CHOOSE(CONTROL!$C$14, $D$10, 100%, $F$10)</f>
        <v>50.427799999999998</v>
      </c>
      <c r="D958" s="8">
        <f>CHOOSE( CONTROL!$C$31, 50.4329, 50.4299) * CHOOSE( CONTROL!$C$14, $D$10, 100%, $F$10)</f>
        <v>50.432899999999997</v>
      </c>
      <c r="E958" s="12">
        <f>CHOOSE( CONTROL!$C$31, 50.4298, 50.4268) * CHOOSE( CONTROL!$C$14, $D$10, 100%, $F$10)</f>
        <v>50.4298</v>
      </c>
      <c r="F958" s="4">
        <f>CHOOSE( CONTROL!$C$31, 51.1013, 51.0984) * CHOOSE(CONTROL!$C$14, $D$10, 100%, $F$10)</f>
        <v>51.101300000000002</v>
      </c>
      <c r="G958" s="8">
        <f>CHOOSE( CONTROL!$C$31, 49.5544, 49.5515) * CHOOSE( CONTROL!$C$14, $D$10, 100%, $F$10)</f>
        <v>49.554400000000001</v>
      </c>
      <c r="H958" s="4">
        <f>CHOOSE( CONTROL!$C$31, 50.4827, 50.4798) * CHOOSE(CONTROL!$C$14, $D$10, 100%, $F$10)</f>
        <v>50.482700000000001</v>
      </c>
      <c r="I958" s="8">
        <f>CHOOSE( CONTROL!$C$31, 48.8274, 48.8246) * CHOOSE(CONTROL!$C$14, $D$10, 100%, $F$10)</f>
        <v>48.827399999999997</v>
      </c>
      <c r="J958" s="4">
        <f>CHOOSE( CONTROL!$C$31, 48.7095, 48.7067) * CHOOSE(CONTROL!$C$14, $D$10, 100%, $F$10)</f>
        <v>48.709499999999998</v>
      </c>
      <c r="K958" s="4"/>
      <c r="L958" s="9">
        <v>30.7165</v>
      </c>
      <c r="M958" s="9">
        <v>12.063700000000001</v>
      </c>
      <c r="N958" s="9">
        <v>4.9444999999999997</v>
      </c>
      <c r="O958" s="9">
        <v>0.37409999999999999</v>
      </c>
      <c r="P958" s="9">
        <v>1.2183999999999999</v>
      </c>
      <c r="Q958" s="9">
        <v>19.688099999999999</v>
      </c>
      <c r="R958" s="9"/>
      <c r="S958" s="11"/>
    </row>
    <row r="959" spans="1:19" ht="15.75">
      <c r="A959" s="13">
        <v>71102</v>
      </c>
      <c r="B959" s="8">
        <f>CHOOSE( CONTROL!$C$31, 46.5304, 46.5275) * CHOOSE(CONTROL!$C$14, $D$10, 100%, $F$10)</f>
        <v>46.5304</v>
      </c>
      <c r="C959" s="8">
        <f>CHOOSE( CONTROL!$C$31, 46.5384, 46.5355) * CHOOSE(CONTROL!$C$14, $D$10, 100%, $F$10)</f>
        <v>46.538400000000003</v>
      </c>
      <c r="D959" s="8">
        <f>CHOOSE( CONTROL!$C$31, 46.5436, 46.5407) * CHOOSE( CONTROL!$C$14, $D$10, 100%, $F$10)</f>
        <v>46.543599999999998</v>
      </c>
      <c r="E959" s="12">
        <f>CHOOSE( CONTROL!$C$31, 46.5405, 46.5376) * CHOOSE( CONTROL!$C$14, $D$10, 100%, $F$10)</f>
        <v>46.540500000000002</v>
      </c>
      <c r="F959" s="4">
        <f>CHOOSE( CONTROL!$C$31, 47.212, 47.209) * CHOOSE(CONTROL!$C$14, $D$10, 100%, $F$10)</f>
        <v>47.212000000000003</v>
      </c>
      <c r="G959" s="8">
        <f>CHOOSE( CONTROL!$C$31, 45.7297, 45.7268) * CHOOSE( CONTROL!$C$14, $D$10, 100%, $F$10)</f>
        <v>45.729700000000001</v>
      </c>
      <c r="H959" s="4">
        <f>CHOOSE( CONTROL!$C$31, 46.6579, 46.655) * CHOOSE(CONTROL!$C$14, $D$10, 100%, $F$10)</f>
        <v>46.657899999999998</v>
      </c>
      <c r="I959" s="8">
        <f>CHOOSE( CONTROL!$C$31, 45.0662, 45.0633) * CHOOSE(CONTROL!$C$14, $D$10, 100%, $F$10)</f>
        <v>45.066200000000002</v>
      </c>
      <c r="J959" s="4">
        <f>CHOOSE( CONTROL!$C$31, 44.9497, 44.9469) * CHOOSE(CONTROL!$C$14, $D$10, 100%, $F$10)</f>
        <v>44.9497</v>
      </c>
      <c r="K959" s="4"/>
      <c r="L959" s="9">
        <v>30.7165</v>
      </c>
      <c r="M959" s="9">
        <v>12.063700000000001</v>
      </c>
      <c r="N959" s="9">
        <v>4.9444999999999997</v>
      </c>
      <c r="O959" s="9">
        <v>0.37409999999999999</v>
      </c>
      <c r="P959" s="9">
        <v>1.2183999999999999</v>
      </c>
      <c r="Q959" s="9">
        <v>19.688099999999999</v>
      </c>
      <c r="R959" s="9"/>
      <c r="S959" s="11"/>
    </row>
    <row r="960" spans="1:19" ht="15.75">
      <c r="A960" s="13">
        <v>71132</v>
      </c>
      <c r="B960" s="8">
        <f>CHOOSE( CONTROL!$C$31, 45.5565, 45.5536) * CHOOSE(CONTROL!$C$14, $D$10, 100%, $F$10)</f>
        <v>45.5565</v>
      </c>
      <c r="C960" s="8">
        <f>CHOOSE( CONTROL!$C$31, 45.5645, 45.5616) * CHOOSE(CONTROL!$C$14, $D$10, 100%, $F$10)</f>
        <v>45.564500000000002</v>
      </c>
      <c r="D960" s="8">
        <f>CHOOSE( CONTROL!$C$31, 45.5697, 45.5668) * CHOOSE( CONTROL!$C$14, $D$10, 100%, $F$10)</f>
        <v>45.569699999999997</v>
      </c>
      <c r="E960" s="12">
        <f>CHOOSE( CONTROL!$C$31, 45.5666, 45.5637) * CHOOSE( CONTROL!$C$14, $D$10, 100%, $F$10)</f>
        <v>45.566600000000001</v>
      </c>
      <c r="F960" s="4">
        <f>CHOOSE( CONTROL!$C$31, 46.238, 46.2351) * CHOOSE(CONTROL!$C$14, $D$10, 100%, $F$10)</f>
        <v>46.238</v>
      </c>
      <c r="G960" s="8">
        <f>CHOOSE( CONTROL!$C$31, 44.7719, 44.769) * CHOOSE( CONTROL!$C$14, $D$10, 100%, $F$10)</f>
        <v>44.771900000000002</v>
      </c>
      <c r="H960" s="4">
        <f>CHOOSE( CONTROL!$C$31, 45.7001, 45.6972) * CHOOSE(CONTROL!$C$14, $D$10, 100%, $F$10)</f>
        <v>45.700099999999999</v>
      </c>
      <c r="I960" s="8">
        <f>CHOOSE( CONTROL!$C$31, 44.1241, 44.1213) * CHOOSE(CONTROL!$C$14, $D$10, 100%, $F$10)</f>
        <v>44.124099999999999</v>
      </c>
      <c r="J960" s="4">
        <f>CHOOSE( CONTROL!$C$31, 44.0082, 44.0054) * CHOOSE(CONTROL!$C$14, $D$10, 100%, $F$10)</f>
        <v>44.008200000000002</v>
      </c>
      <c r="K960" s="4"/>
      <c r="L960" s="9">
        <v>29.7257</v>
      </c>
      <c r="M960" s="9">
        <v>11.6745</v>
      </c>
      <c r="N960" s="9">
        <v>4.7850000000000001</v>
      </c>
      <c r="O960" s="9">
        <v>0.36199999999999999</v>
      </c>
      <c r="P960" s="9">
        <v>1.1791</v>
      </c>
      <c r="Q960" s="9">
        <v>19.053000000000001</v>
      </c>
      <c r="R960" s="9"/>
      <c r="S960" s="11"/>
    </row>
    <row r="961" spans="1:19" ht="15.75">
      <c r="A961" s="13">
        <v>71163</v>
      </c>
      <c r="B961" s="8">
        <f>47.5741 * CHOOSE(CONTROL!$C$14, $D$10, 100%, $F$10)</f>
        <v>47.574100000000001</v>
      </c>
      <c r="C961" s="8">
        <f>47.5794 * CHOOSE(CONTROL!$C$14, $D$10, 100%, $F$10)</f>
        <v>47.5794</v>
      </c>
      <c r="D961" s="8">
        <f>47.5894 * CHOOSE( CONTROL!$C$14, $D$10, 100%, $F$10)</f>
        <v>47.589399999999998</v>
      </c>
      <c r="E961" s="12">
        <f>47.5855 * CHOOSE( CONTROL!$C$14, $D$10, 100%, $F$10)</f>
        <v>47.585500000000003</v>
      </c>
      <c r="F961" s="4">
        <f>48.2573 * CHOOSE(CONTROL!$C$14, $D$10, 100%, $F$10)</f>
        <v>48.257300000000001</v>
      </c>
      <c r="G961" s="8">
        <f>46.7574 * CHOOSE( CONTROL!$C$14, $D$10, 100%, $F$10)</f>
        <v>46.757399999999997</v>
      </c>
      <c r="H961" s="4">
        <f>47.6859 * CHOOSE(CONTROL!$C$14, $D$10, 100%, $F$10)</f>
        <v>47.685899999999997</v>
      </c>
      <c r="I961" s="8">
        <f>46.078 * CHOOSE(CONTROL!$C$14, $D$10, 100%, $F$10)</f>
        <v>46.078000000000003</v>
      </c>
      <c r="J961" s="4">
        <f>45.9603 * CHOOSE(CONTROL!$C$14, $D$10, 100%, $F$10)</f>
        <v>45.960299999999997</v>
      </c>
      <c r="K961" s="4"/>
      <c r="L961" s="9">
        <v>31.095300000000002</v>
      </c>
      <c r="M961" s="9">
        <v>12.063700000000001</v>
      </c>
      <c r="N961" s="9">
        <v>4.9444999999999997</v>
      </c>
      <c r="O961" s="9">
        <v>0.37409999999999999</v>
      </c>
      <c r="P961" s="9">
        <v>1.2183999999999999</v>
      </c>
      <c r="Q961" s="9">
        <v>19.688099999999999</v>
      </c>
      <c r="R961" s="9"/>
      <c r="S961" s="11"/>
    </row>
    <row r="962" spans="1:19" ht="15.75">
      <c r="A962" s="13">
        <v>71193</v>
      </c>
      <c r="B962" s="8">
        <f>51.3062 * CHOOSE(CONTROL!$C$14, $D$10, 100%, $F$10)</f>
        <v>51.306199999999997</v>
      </c>
      <c r="C962" s="8">
        <f>51.3114 * CHOOSE(CONTROL!$C$14, $D$10, 100%, $F$10)</f>
        <v>51.311399999999999</v>
      </c>
      <c r="D962" s="8">
        <f>51.2876 * CHOOSE( CONTROL!$C$14, $D$10, 100%, $F$10)</f>
        <v>51.287599999999998</v>
      </c>
      <c r="E962" s="12">
        <f>51.2957 * CHOOSE( CONTROL!$C$14, $D$10, 100%, $F$10)</f>
        <v>51.295699999999997</v>
      </c>
      <c r="F962" s="4">
        <f>51.9537 * CHOOSE(CONTROL!$C$14, $D$10, 100%, $F$10)</f>
        <v>51.953699999999998</v>
      </c>
      <c r="G962" s="8">
        <f>50.4379 * CHOOSE( CONTROL!$C$14, $D$10, 100%, $F$10)</f>
        <v>50.437899999999999</v>
      </c>
      <c r="H962" s="4">
        <f>51.321 * CHOOSE(CONTROL!$C$14, $D$10, 100%, $F$10)</f>
        <v>51.320999999999998</v>
      </c>
      <c r="I962" s="8">
        <f>49.7185 * CHOOSE(CONTROL!$C$14, $D$10, 100%, $F$10)</f>
        <v>49.718499999999999</v>
      </c>
      <c r="J962" s="4">
        <f>49.5686 * CHOOSE(CONTROL!$C$14, $D$10, 100%, $F$10)</f>
        <v>49.568600000000004</v>
      </c>
      <c r="K962" s="4"/>
      <c r="L962" s="9">
        <v>28.360600000000002</v>
      </c>
      <c r="M962" s="9">
        <v>11.6745</v>
      </c>
      <c r="N962" s="9">
        <v>4.7850000000000001</v>
      </c>
      <c r="O962" s="9">
        <v>0.36199999999999999</v>
      </c>
      <c r="P962" s="9">
        <v>1.2509999999999999</v>
      </c>
      <c r="Q962" s="9">
        <v>19.053000000000001</v>
      </c>
      <c r="R962" s="9"/>
      <c r="S962" s="11"/>
    </row>
    <row r="963" spans="1:19" ht="15.75">
      <c r="A963" s="13">
        <v>71224</v>
      </c>
      <c r="B963" s="8">
        <f>51.213 * CHOOSE(CONTROL!$C$14, $D$10, 100%, $F$10)</f>
        <v>51.213000000000001</v>
      </c>
      <c r="C963" s="8">
        <f>51.2181 * CHOOSE(CONTROL!$C$14, $D$10, 100%, $F$10)</f>
        <v>51.2181</v>
      </c>
      <c r="D963" s="8">
        <f>51.1957 * CHOOSE( CONTROL!$C$14, $D$10, 100%, $F$10)</f>
        <v>51.195700000000002</v>
      </c>
      <c r="E963" s="12">
        <f>51.2033 * CHOOSE( CONTROL!$C$14, $D$10, 100%, $F$10)</f>
        <v>51.203299999999999</v>
      </c>
      <c r="F963" s="4">
        <f>51.8605 * CHOOSE(CONTROL!$C$14, $D$10, 100%, $F$10)</f>
        <v>51.860500000000002</v>
      </c>
      <c r="G963" s="8">
        <f>50.3472 * CHOOSE( CONTROL!$C$14, $D$10, 100%, $F$10)</f>
        <v>50.347200000000001</v>
      </c>
      <c r="H963" s="4">
        <f>51.2293 * CHOOSE(CONTROL!$C$14, $D$10, 100%, $F$10)</f>
        <v>51.229300000000002</v>
      </c>
      <c r="I963" s="8">
        <f>49.6328 * CHOOSE(CONTROL!$C$14, $D$10, 100%, $F$10)</f>
        <v>49.632800000000003</v>
      </c>
      <c r="J963" s="4">
        <f>49.4784 * CHOOSE(CONTROL!$C$14, $D$10, 100%, $F$10)</f>
        <v>49.478400000000001</v>
      </c>
      <c r="K963" s="4"/>
      <c r="L963" s="9">
        <v>29.306000000000001</v>
      </c>
      <c r="M963" s="9">
        <v>12.063700000000001</v>
      </c>
      <c r="N963" s="9">
        <v>4.9444999999999997</v>
      </c>
      <c r="O963" s="9">
        <v>0.37409999999999999</v>
      </c>
      <c r="P963" s="9">
        <v>1.2927</v>
      </c>
      <c r="Q963" s="9">
        <v>19.688099999999999</v>
      </c>
      <c r="R963" s="9"/>
      <c r="S963" s="11"/>
    </row>
    <row r="964" spans="1:19" ht="15.75">
      <c r="A964" s="13">
        <v>71255</v>
      </c>
      <c r="B964" s="8">
        <f>53.1692 * CHOOSE(CONTROL!$C$14, $D$10, 100%, $F$10)</f>
        <v>53.169199999999996</v>
      </c>
      <c r="C964" s="8">
        <f>53.1743 * CHOOSE(CONTROL!$C$14, $D$10, 100%, $F$10)</f>
        <v>53.174300000000002</v>
      </c>
      <c r="D964" s="8">
        <f>53.1701 * CHOOSE( CONTROL!$C$14, $D$10, 100%, $F$10)</f>
        <v>53.170099999999998</v>
      </c>
      <c r="E964" s="12">
        <f>53.1711 * CHOOSE( CONTROL!$C$14, $D$10, 100%, $F$10)</f>
        <v>53.171100000000003</v>
      </c>
      <c r="F964" s="4">
        <f>53.8477 * CHOOSE(CONTROL!$C$14, $D$10, 100%, $F$10)</f>
        <v>53.847700000000003</v>
      </c>
      <c r="G964" s="8">
        <f>52.2851 * CHOOSE( CONTROL!$C$14, $D$10, 100%, $F$10)</f>
        <v>52.2851</v>
      </c>
      <c r="H964" s="4">
        <f>53.1835 * CHOOSE(CONTROL!$C$14, $D$10, 100%, $F$10)</f>
        <v>53.183500000000002</v>
      </c>
      <c r="I964" s="8">
        <f>51.5037 * CHOOSE(CONTROL!$C$14, $D$10, 100%, $F$10)</f>
        <v>51.503700000000002</v>
      </c>
      <c r="J964" s="4">
        <f>51.3695 * CHOOSE(CONTROL!$C$14, $D$10, 100%, $F$10)</f>
        <v>51.369500000000002</v>
      </c>
      <c r="K964" s="4"/>
      <c r="L964" s="9">
        <v>29.306000000000001</v>
      </c>
      <c r="M964" s="9">
        <v>12.063700000000001</v>
      </c>
      <c r="N964" s="9">
        <v>4.9444999999999997</v>
      </c>
      <c r="O964" s="9">
        <v>0.37409999999999999</v>
      </c>
      <c r="P964" s="9">
        <v>1.2927</v>
      </c>
      <c r="Q964" s="9">
        <v>19.688099999999999</v>
      </c>
      <c r="R964" s="9"/>
      <c r="S964" s="11"/>
    </row>
    <row r="965" spans="1:19" ht="15.75">
      <c r="A965" s="13">
        <v>71283</v>
      </c>
      <c r="B965" s="8">
        <f>49.7338 * CHOOSE(CONTROL!$C$14, $D$10, 100%, $F$10)</f>
        <v>49.733800000000002</v>
      </c>
      <c r="C965" s="8">
        <f>49.7389 * CHOOSE(CONTROL!$C$14, $D$10, 100%, $F$10)</f>
        <v>49.738900000000001</v>
      </c>
      <c r="D965" s="8">
        <f>49.7288 * CHOOSE( CONTROL!$C$14, $D$10, 100%, $F$10)</f>
        <v>49.7288</v>
      </c>
      <c r="E965" s="12">
        <f>49.7319 * CHOOSE( CONTROL!$C$14, $D$10, 100%, $F$10)</f>
        <v>49.731900000000003</v>
      </c>
      <c r="F965" s="4">
        <f>50.3865 * CHOOSE(CONTROL!$C$14, $D$10, 100%, $F$10)</f>
        <v>50.386499999999998</v>
      </c>
      <c r="G965" s="8">
        <f>48.8986 * CHOOSE( CONTROL!$C$14, $D$10, 100%, $F$10)</f>
        <v>48.898600000000002</v>
      </c>
      <c r="H965" s="4">
        <f>49.7797 * CHOOSE(CONTROL!$C$14, $D$10, 100%, $F$10)</f>
        <v>49.779699999999998</v>
      </c>
      <c r="I965" s="8">
        <f>48.1718 * CHOOSE(CONTROL!$C$14, $D$10, 100%, $F$10)</f>
        <v>48.171799999999998</v>
      </c>
      <c r="J965" s="4">
        <f>48.0485 * CHOOSE(CONTROL!$C$14, $D$10, 100%, $F$10)</f>
        <v>48.048499999999997</v>
      </c>
      <c r="K965" s="4"/>
      <c r="L965" s="9">
        <v>26.469899999999999</v>
      </c>
      <c r="M965" s="9">
        <v>10.8962</v>
      </c>
      <c r="N965" s="9">
        <v>4.4660000000000002</v>
      </c>
      <c r="O965" s="9">
        <v>0.33789999999999998</v>
      </c>
      <c r="P965" s="9">
        <v>1.1676</v>
      </c>
      <c r="Q965" s="9">
        <v>17.782800000000002</v>
      </c>
      <c r="R965" s="9"/>
      <c r="S965" s="11"/>
    </row>
    <row r="966" spans="1:19" ht="15.75">
      <c r="A966" s="13">
        <v>71314</v>
      </c>
      <c r="B966" s="8">
        <f>48.6757 * CHOOSE(CONTROL!$C$14, $D$10, 100%, $F$10)</f>
        <v>48.675699999999999</v>
      </c>
      <c r="C966" s="8">
        <f>48.6809 * CHOOSE(CONTROL!$C$14, $D$10, 100%, $F$10)</f>
        <v>48.680900000000001</v>
      </c>
      <c r="D966" s="8">
        <f>48.6643 * CHOOSE( CONTROL!$C$14, $D$10, 100%, $F$10)</f>
        <v>48.664299999999997</v>
      </c>
      <c r="E966" s="12">
        <f>48.6698 * CHOOSE( CONTROL!$C$14, $D$10, 100%, $F$10)</f>
        <v>48.669800000000002</v>
      </c>
      <c r="F966" s="4">
        <f>49.3284 * CHOOSE(CONTROL!$C$14, $D$10, 100%, $F$10)</f>
        <v>49.328400000000002</v>
      </c>
      <c r="G966" s="8">
        <f>47.8499 * CHOOSE( CONTROL!$C$14, $D$10, 100%, $F$10)</f>
        <v>47.849899999999998</v>
      </c>
      <c r="H966" s="4">
        <f>48.7392 * CHOOSE(CONTROL!$C$14, $D$10, 100%, $F$10)</f>
        <v>48.739199999999997</v>
      </c>
      <c r="I966" s="8">
        <f>47.1283 * CHOOSE(CONTROL!$C$14, $D$10, 100%, $F$10)</f>
        <v>47.128300000000003</v>
      </c>
      <c r="J966" s="4">
        <f>47.0257 * CHOOSE(CONTROL!$C$14, $D$10, 100%, $F$10)</f>
        <v>47.025700000000001</v>
      </c>
      <c r="K966" s="4"/>
      <c r="L966" s="9">
        <v>29.306000000000001</v>
      </c>
      <c r="M966" s="9">
        <v>12.063700000000001</v>
      </c>
      <c r="N966" s="9">
        <v>4.9444999999999997</v>
      </c>
      <c r="O966" s="9">
        <v>0.37409999999999999</v>
      </c>
      <c r="P966" s="9">
        <v>1.2927</v>
      </c>
      <c r="Q966" s="9">
        <v>19.688099999999999</v>
      </c>
      <c r="R966" s="9"/>
      <c r="S966" s="11"/>
    </row>
    <row r="967" spans="1:19" ht="15.75">
      <c r="A967" s="13">
        <v>71344</v>
      </c>
      <c r="B967" s="8">
        <f>49.4159 * CHOOSE(CONTROL!$C$14, $D$10, 100%, $F$10)</f>
        <v>49.415900000000001</v>
      </c>
      <c r="C967" s="8">
        <f>49.4204 * CHOOSE(CONTROL!$C$14, $D$10, 100%, $F$10)</f>
        <v>49.420400000000001</v>
      </c>
      <c r="D967" s="8">
        <f>49.4299 * CHOOSE( CONTROL!$C$14, $D$10, 100%, $F$10)</f>
        <v>49.429900000000004</v>
      </c>
      <c r="E967" s="12">
        <f>49.4262 * CHOOSE( CONTROL!$C$14, $D$10, 100%, $F$10)</f>
        <v>49.426200000000001</v>
      </c>
      <c r="F967" s="4">
        <f>50.0988 * CHOOSE(CONTROL!$C$14, $D$10, 100%, $F$10)</f>
        <v>50.098799999999997</v>
      </c>
      <c r="G967" s="8">
        <f>48.5669 * CHOOSE( CONTROL!$C$14, $D$10, 100%, $F$10)</f>
        <v>48.566899999999997</v>
      </c>
      <c r="H967" s="4">
        <f>49.4968 * CHOOSE(CONTROL!$C$14, $D$10, 100%, $F$10)</f>
        <v>49.4968</v>
      </c>
      <c r="I967" s="8">
        <f>47.8544 * CHOOSE(CONTROL!$C$14, $D$10, 100%, $F$10)</f>
        <v>47.854399999999998</v>
      </c>
      <c r="J967" s="4">
        <f>47.7404 * CHOOSE(CONTROL!$C$14, $D$10, 100%, $F$10)</f>
        <v>47.740400000000001</v>
      </c>
      <c r="K967" s="4"/>
      <c r="L967" s="9">
        <v>30.092199999999998</v>
      </c>
      <c r="M967" s="9">
        <v>11.6745</v>
      </c>
      <c r="N967" s="9">
        <v>4.7850000000000001</v>
      </c>
      <c r="O967" s="9">
        <v>0.36199999999999999</v>
      </c>
      <c r="P967" s="9">
        <v>1.1791</v>
      </c>
      <c r="Q967" s="9">
        <v>19.053000000000001</v>
      </c>
      <c r="R967" s="9"/>
      <c r="S967" s="11"/>
    </row>
    <row r="968" spans="1:19" ht="15.75">
      <c r="A968" s="13">
        <v>71375</v>
      </c>
      <c r="B968" s="8">
        <f>CHOOSE( CONTROL!$C$31, 50.7361, 50.7331) * CHOOSE(CONTROL!$C$14, $D$10, 100%, $F$10)</f>
        <v>50.7361</v>
      </c>
      <c r="C968" s="8">
        <f>CHOOSE( CONTROL!$C$31, 50.7441, 50.7411) * CHOOSE(CONTROL!$C$14, $D$10, 100%, $F$10)</f>
        <v>50.744100000000003</v>
      </c>
      <c r="D968" s="8">
        <f>CHOOSE( CONTROL!$C$31, 50.7487, 50.7458) * CHOOSE( CONTROL!$C$14, $D$10, 100%, $F$10)</f>
        <v>50.748699999999999</v>
      </c>
      <c r="E968" s="12">
        <f>CHOOSE( CONTROL!$C$31, 50.7458, 50.7429) * CHOOSE( CONTROL!$C$14, $D$10, 100%, $F$10)</f>
        <v>50.745800000000003</v>
      </c>
      <c r="F968" s="4">
        <f>CHOOSE( CONTROL!$C$31, 51.4176, 51.4147) * CHOOSE(CONTROL!$C$14, $D$10, 100%, $F$10)</f>
        <v>51.4176</v>
      </c>
      <c r="G968" s="8">
        <f>CHOOSE( CONTROL!$C$31, 49.8647, 49.8619) * CHOOSE( CONTROL!$C$14, $D$10, 100%, $F$10)</f>
        <v>49.864699999999999</v>
      </c>
      <c r="H968" s="4">
        <f>CHOOSE( CONTROL!$C$31, 50.7938, 50.7909) * CHOOSE(CONTROL!$C$14, $D$10, 100%, $F$10)</f>
        <v>50.793799999999997</v>
      </c>
      <c r="I968" s="8">
        <f>CHOOSE( CONTROL!$C$31, 49.131, 49.1282) * CHOOSE(CONTROL!$C$14, $D$10, 100%, $F$10)</f>
        <v>49.131</v>
      </c>
      <c r="J968" s="4">
        <f>CHOOSE( CONTROL!$C$31, 49.0153, 49.0125) * CHOOSE(CONTROL!$C$14, $D$10, 100%, $F$10)</f>
        <v>49.015300000000003</v>
      </c>
      <c r="K968" s="4"/>
      <c r="L968" s="9">
        <v>30.7165</v>
      </c>
      <c r="M968" s="9">
        <v>12.063700000000001</v>
      </c>
      <c r="N968" s="9">
        <v>4.9444999999999997</v>
      </c>
      <c r="O968" s="9">
        <v>0.37409999999999999</v>
      </c>
      <c r="P968" s="9">
        <v>1.2183999999999999</v>
      </c>
      <c r="Q968" s="9">
        <v>19.688099999999999</v>
      </c>
      <c r="R968" s="9"/>
      <c r="S968" s="11"/>
    </row>
    <row r="969" spans="1:19" ht="15.75">
      <c r="A969" s="13">
        <v>71405</v>
      </c>
      <c r="B969" s="8">
        <f>CHOOSE( CONTROL!$C$31, 49.9209, 49.918) * CHOOSE(CONTROL!$C$14, $D$10, 100%, $F$10)</f>
        <v>49.920900000000003</v>
      </c>
      <c r="C969" s="8">
        <f>CHOOSE( CONTROL!$C$31, 49.9289, 49.926) * CHOOSE(CONTROL!$C$14, $D$10, 100%, $F$10)</f>
        <v>49.928899999999999</v>
      </c>
      <c r="D969" s="8">
        <f>CHOOSE( CONTROL!$C$31, 49.9338, 49.9309) * CHOOSE( CONTROL!$C$14, $D$10, 100%, $F$10)</f>
        <v>49.933799999999998</v>
      </c>
      <c r="E969" s="12">
        <f>CHOOSE( CONTROL!$C$31, 49.9308, 49.9279) * CHOOSE( CONTROL!$C$14, $D$10, 100%, $F$10)</f>
        <v>49.930799999999998</v>
      </c>
      <c r="F969" s="4">
        <f>CHOOSE( CONTROL!$C$31, 50.6024, 50.5995) * CHOOSE(CONTROL!$C$14, $D$10, 100%, $F$10)</f>
        <v>50.602400000000003</v>
      </c>
      <c r="G969" s="8">
        <f>CHOOSE( CONTROL!$C$31, 49.0635, 49.0606) * CHOOSE( CONTROL!$C$14, $D$10, 100%, $F$10)</f>
        <v>49.063499999999998</v>
      </c>
      <c r="H969" s="4">
        <f>CHOOSE( CONTROL!$C$31, 49.9921, 49.9893) * CHOOSE(CONTROL!$C$14, $D$10, 100%, $F$10)</f>
        <v>49.992100000000001</v>
      </c>
      <c r="I969" s="8">
        <f>CHOOSE( CONTROL!$C$31, 48.3438, 48.341) * CHOOSE(CONTROL!$C$14, $D$10, 100%, $F$10)</f>
        <v>48.343800000000002</v>
      </c>
      <c r="J969" s="4">
        <f>CHOOSE( CONTROL!$C$31, 48.2273, 48.2245) * CHOOSE(CONTROL!$C$14, $D$10, 100%, $F$10)</f>
        <v>48.2273</v>
      </c>
      <c r="K969" s="4"/>
      <c r="L969" s="9">
        <v>29.7257</v>
      </c>
      <c r="M969" s="9">
        <v>11.6745</v>
      </c>
      <c r="N969" s="9">
        <v>4.7850000000000001</v>
      </c>
      <c r="O969" s="9">
        <v>0.36199999999999999</v>
      </c>
      <c r="P969" s="9">
        <v>1.1791</v>
      </c>
      <c r="Q969" s="9">
        <v>19.053000000000001</v>
      </c>
      <c r="R969" s="9"/>
      <c r="S969" s="11"/>
    </row>
    <row r="970" spans="1:19" ht="15.75">
      <c r="A970" s="13">
        <v>71436</v>
      </c>
      <c r="B970" s="8">
        <f>CHOOSE( CONTROL!$C$31, 52.0675, 52.0646) * CHOOSE(CONTROL!$C$14, $D$10, 100%, $F$10)</f>
        <v>52.067500000000003</v>
      </c>
      <c r="C970" s="8">
        <f>CHOOSE( CONTROL!$C$31, 52.0755, 52.0726) * CHOOSE(CONTROL!$C$14, $D$10, 100%, $F$10)</f>
        <v>52.075499999999998</v>
      </c>
      <c r="D970" s="8">
        <f>CHOOSE( CONTROL!$C$31, 52.0806, 52.0777) * CHOOSE( CONTROL!$C$14, $D$10, 100%, $F$10)</f>
        <v>52.080599999999997</v>
      </c>
      <c r="E970" s="12">
        <f>CHOOSE( CONTROL!$C$31, 52.0775, 52.0746) * CHOOSE( CONTROL!$C$14, $D$10, 100%, $F$10)</f>
        <v>52.077500000000001</v>
      </c>
      <c r="F970" s="4">
        <f>CHOOSE( CONTROL!$C$31, 52.749, 52.7461) * CHOOSE(CONTROL!$C$14, $D$10, 100%, $F$10)</f>
        <v>52.749000000000002</v>
      </c>
      <c r="G970" s="8">
        <f>CHOOSE( CONTROL!$C$31, 51.1749, 51.172) * CHOOSE( CONTROL!$C$14, $D$10, 100%, $F$10)</f>
        <v>51.174900000000001</v>
      </c>
      <c r="H970" s="4">
        <f>CHOOSE( CONTROL!$C$31, 52.1031, 52.1003) * CHOOSE(CONTROL!$C$14, $D$10, 100%, $F$10)</f>
        <v>52.103099999999998</v>
      </c>
      <c r="I970" s="8">
        <f>CHOOSE( CONTROL!$C$31, 50.4211, 50.4183) * CHOOSE(CONTROL!$C$14, $D$10, 100%, $F$10)</f>
        <v>50.421100000000003</v>
      </c>
      <c r="J970" s="4">
        <f>CHOOSE( CONTROL!$C$31, 50.3024, 50.2996) * CHOOSE(CONTROL!$C$14, $D$10, 100%, $F$10)</f>
        <v>50.302399999999999</v>
      </c>
      <c r="K970" s="4"/>
      <c r="L970" s="9">
        <v>30.7165</v>
      </c>
      <c r="M970" s="9">
        <v>12.063700000000001</v>
      </c>
      <c r="N970" s="9">
        <v>4.9444999999999997</v>
      </c>
      <c r="O970" s="9">
        <v>0.37409999999999999</v>
      </c>
      <c r="P970" s="9">
        <v>1.2183999999999999</v>
      </c>
      <c r="Q970" s="9">
        <v>19.688099999999999</v>
      </c>
      <c r="R970" s="9"/>
      <c r="S970" s="11"/>
    </row>
    <row r="971" spans="1:19" ht="15.75">
      <c r="A971" s="13">
        <v>71467</v>
      </c>
      <c r="B971" s="8">
        <f>CHOOSE( CONTROL!$C$31, 48.051, 48.0481) * CHOOSE(CONTROL!$C$14, $D$10, 100%, $F$10)</f>
        <v>48.051000000000002</v>
      </c>
      <c r="C971" s="8">
        <f>CHOOSE( CONTROL!$C$31, 48.059, 48.0561) * CHOOSE(CONTROL!$C$14, $D$10, 100%, $F$10)</f>
        <v>48.058999999999997</v>
      </c>
      <c r="D971" s="8">
        <f>CHOOSE( CONTROL!$C$31, 48.0642, 48.0613) * CHOOSE( CONTROL!$C$14, $D$10, 100%, $F$10)</f>
        <v>48.0642</v>
      </c>
      <c r="E971" s="12">
        <f>CHOOSE( CONTROL!$C$31, 48.0611, 48.0582) * CHOOSE( CONTROL!$C$14, $D$10, 100%, $F$10)</f>
        <v>48.061100000000003</v>
      </c>
      <c r="F971" s="4">
        <f>CHOOSE( CONTROL!$C$31, 48.7325, 48.7296) * CHOOSE(CONTROL!$C$14, $D$10, 100%, $F$10)</f>
        <v>48.732500000000002</v>
      </c>
      <c r="G971" s="8">
        <f>CHOOSE( CONTROL!$C$31, 47.2251, 47.2222) * CHOOSE( CONTROL!$C$14, $D$10, 100%, $F$10)</f>
        <v>47.225099999999998</v>
      </c>
      <c r="H971" s="4">
        <f>CHOOSE( CONTROL!$C$31, 48.1532, 48.1503) * CHOOSE(CONTROL!$C$14, $D$10, 100%, $F$10)</f>
        <v>48.153199999999998</v>
      </c>
      <c r="I971" s="8">
        <f>CHOOSE( CONTROL!$C$31, 46.5368, 46.534) * CHOOSE(CONTROL!$C$14, $D$10, 100%, $F$10)</f>
        <v>46.536799999999999</v>
      </c>
      <c r="J971" s="4">
        <f>CHOOSE( CONTROL!$C$31, 46.4197, 46.4168) * CHOOSE(CONTROL!$C$14, $D$10, 100%, $F$10)</f>
        <v>46.419699999999999</v>
      </c>
      <c r="K971" s="4"/>
      <c r="L971" s="9">
        <v>30.7165</v>
      </c>
      <c r="M971" s="9">
        <v>12.063700000000001</v>
      </c>
      <c r="N971" s="9">
        <v>4.9444999999999997</v>
      </c>
      <c r="O971" s="9">
        <v>0.37409999999999999</v>
      </c>
      <c r="P971" s="9">
        <v>1.2183999999999999</v>
      </c>
      <c r="Q971" s="9">
        <v>19.688099999999999</v>
      </c>
      <c r="R971" s="9"/>
      <c r="S971" s="11"/>
    </row>
    <row r="972" spans="1:19" ht="15.75">
      <c r="A972" s="13">
        <v>71497</v>
      </c>
      <c r="B972" s="8">
        <f>CHOOSE( CONTROL!$C$31, 47.0452, 47.0423) * CHOOSE(CONTROL!$C$14, $D$10, 100%, $F$10)</f>
        <v>47.045200000000001</v>
      </c>
      <c r="C972" s="8">
        <f>CHOOSE( CONTROL!$C$31, 47.0532, 47.0503) * CHOOSE(CONTROL!$C$14, $D$10, 100%, $F$10)</f>
        <v>47.053199999999997</v>
      </c>
      <c r="D972" s="8">
        <f>CHOOSE( CONTROL!$C$31, 47.0584, 47.0555) * CHOOSE( CONTROL!$C$14, $D$10, 100%, $F$10)</f>
        <v>47.058399999999999</v>
      </c>
      <c r="E972" s="12">
        <f>CHOOSE( CONTROL!$C$31, 47.0553, 47.0524) * CHOOSE( CONTROL!$C$14, $D$10, 100%, $F$10)</f>
        <v>47.055300000000003</v>
      </c>
      <c r="F972" s="4">
        <f>CHOOSE( CONTROL!$C$31, 47.7268, 47.7238) * CHOOSE(CONTROL!$C$14, $D$10, 100%, $F$10)</f>
        <v>47.726799999999997</v>
      </c>
      <c r="G972" s="8">
        <f>CHOOSE( CONTROL!$C$31, 46.236, 46.2331) * CHOOSE( CONTROL!$C$14, $D$10, 100%, $F$10)</f>
        <v>46.235999999999997</v>
      </c>
      <c r="H972" s="4">
        <f>CHOOSE( CONTROL!$C$31, 47.1641, 47.1612) * CHOOSE(CONTROL!$C$14, $D$10, 100%, $F$10)</f>
        <v>47.164099999999998</v>
      </c>
      <c r="I972" s="8">
        <f>CHOOSE( CONTROL!$C$31, 45.564, 45.5612) * CHOOSE(CONTROL!$C$14, $D$10, 100%, $F$10)</f>
        <v>45.564</v>
      </c>
      <c r="J972" s="4">
        <f>CHOOSE( CONTROL!$C$31, 45.4474, 45.4445) * CHOOSE(CONTROL!$C$14, $D$10, 100%, $F$10)</f>
        <v>45.447400000000002</v>
      </c>
      <c r="K972" s="4"/>
      <c r="L972" s="9">
        <v>29.7257</v>
      </c>
      <c r="M972" s="9">
        <v>11.6745</v>
      </c>
      <c r="N972" s="9">
        <v>4.7850000000000001</v>
      </c>
      <c r="O972" s="9">
        <v>0.36199999999999999</v>
      </c>
      <c r="P972" s="9">
        <v>1.1791</v>
      </c>
      <c r="Q972" s="9">
        <v>19.053000000000001</v>
      </c>
      <c r="R972" s="9"/>
      <c r="S972" s="11"/>
    </row>
    <row r="973" spans="1:19" ht="15.75">
      <c r="A973" s="13">
        <v>71528</v>
      </c>
      <c r="B973" s="8">
        <f>49.1289 * CHOOSE(CONTROL!$C$14, $D$10, 100%, $F$10)</f>
        <v>49.128900000000002</v>
      </c>
      <c r="C973" s="8">
        <f>49.1343 * CHOOSE(CONTROL!$C$14, $D$10, 100%, $F$10)</f>
        <v>49.134300000000003</v>
      </c>
      <c r="D973" s="8">
        <f>49.1443 * CHOOSE( CONTROL!$C$14, $D$10, 100%, $F$10)</f>
        <v>49.144300000000001</v>
      </c>
      <c r="E973" s="12">
        <f>49.1404 * CHOOSE( CONTROL!$C$14, $D$10, 100%, $F$10)</f>
        <v>49.1404</v>
      </c>
      <c r="F973" s="4">
        <f>49.8122 * CHOOSE(CONTROL!$C$14, $D$10, 100%, $F$10)</f>
        <v>49.812199999999997</v>
      </c>
      <c r="G973" s="8">
        <f>48.2864 * CHOOSE( CONTROL!$C$14, $D$10, 100%, $F$10)</f>
        <v>48.2864</v>
      </c>
      <c r="H973" s="4">
        <f>49.215 * CHOOSE(CONTROL!$C$14, $D$10, 100%, $F$10)</f>
        <v>49.215000000000003</v>
      </c>
      <c r="I973" s="8">
        <f>47.5818 * CHOOSE(CONTROL!$C$14, $D$10, 100%, $F$10)</f>
        <v>47.581800000000001</v>
      </c>
      <c r="J973" s="4">
        <f>47.4633 * CHOOSE(CONTROL!$C$14, $D$10, 100%, $F$10)</f>
        <v>47.463299999999997</v>
      </c>
      <c r="K973" s="4"/>
      <c r="L973" s="9">
        <v>31.095300000000002</v>
      </c>
      <c r="M973" s="9">
        <v>12.063700000000001</v>
      </c>
      <c r="N973" s="9">
        <v>4.9444999999999997</v>
      </c>
      <c r="O973" s="9">
        <v>0.37409999999999999</v>
      </c>
      <c r="P973" s="9">
        <v>1.2183999999999999</v>
      </c>
      <c r="Q973" s="9">
        <v>19.688099999999999</v>
      </c>
      <c r="R973" s="9"/>
      <c r="S973" s="11"/>
    </row>
    <row r="974" spans="1:19" ht="15.75">
      <c r="A974" s="13">
        <v>71558</v>
      </c>
      <c r="B974" s="8">
        <f>52.9832 * CHOOSE(CONTROL!$C$14, $D$10, 100%, $F$10)</f>
        <v>52.983199999999997</v>
      </c>
      <c r="C974" s="8">
        <f>52.9883 * CHOOSE(CONTROL!$C$14, $D$10, 100%, $F$10)</f>
        <v>52.988300000000002</v>
      </c>
      <c r="D974" s="8">
        <f>52.9645 * CHOOSE( CONTROL!$C$14, $D$10, 100%, $F$10)</f>
        <v>52.964500000000001</v>
      </c>
      <c r="E974" s="12">
        <f>52.9727 * CHOOSE( CONTROL!$C$14, $D$10, 100%, $F$10)</f>
        <v>52.972700000000003</v>
      </c>
      <c r="F974" s="4">
        <f>53.6306 * CHOOSE(CONTROL!$C$14, $D$10, 100%, $F$10)</f>
        <v>53.630600000000001</v>
      </c>
      <c r="G974" s="8">
        <f>52.087 * CHOOSE( CONTROL!$C$14, $D$10, 100%, $F$10)</f>
        <v>52.087000000000003</v>
      </c>
      <c r="H974" s="4">
        <f>52.9701 * CHOOSE(CONTROL!$C$14, $D$10, 100%, $F$10)</f>
        <v>52.970100000000002</v>
      </c>
      <c r="I974" s="8">
        <f>51.3404 * CHOOSE(CONTROL!$C$14, $D$10, 100%, $F$10)</f>
        <v>51.340400000000002</v>
      </c>
      <c r="J974" s="4">
        <f>51.1897 * CHOOSE(CONTROL!$C$14, $D$10, 100%, $F$10)</f>
        <v>51.189700000000002</v>
      </c>
      <c r="K974" s="4"/>
      <c r="L974" s="9">
        <v>28.360600000000002</v>
      </c>
      <c r="M974" s="9">
        <v>11.6745</v>
      </c>
      <c r="N974" s="9">
        <v>4.7850000000000001</v>
      </c>
      <c r="O974" s="9">
        <v>0.36199999999999999</v>
      </c>
      <c r="P974" s="9">
        <v>1.2509999999999999</v>
      </c>
      <c r="Q974" s="9">
        <v>19.053000000000001</v>
      </c>
      <c r="R974" s="9"/>
      <c r="S974" s="11"/>
    </row>
    <row r="975" spans="1:19" ht="15.75">
      <c r="A975" s="13">
        <v>71589</v>
      </c>
      <c r="B975" s="8">
        <f>52.8869 * CHOOSE(CONTROL!$C$14, $D$10, 100%, $F$10)</f>
        <v>52.886899999999997</v>
      </c>
      <c r="C975" s="8">
        <f>52.892 * CHOOSE(CONTROL!$C$14, $D$10, 100%, $F$10)</f>
        <v>52.892000000000003</v>
      </c>
      <c r="D975" s="8">
        <f>52.8696 * CHOOSE( CONTROL!$C$14, $D$10, 100%, $F$10)</f>
        <v>52.869599999999998</v>
      </c>
      <c r="E975" s="12">
        <f>52.8772 * CHOOSE( CONTROL!$C$14, $D$10, 100%, $F$10)</f>
        <v>52.877200000000002</v>
      </c>
      <c r="F975" s="4">
        <f>53.5343 * CHOOSE(CONTROL!$C$14, $D$10, 100%, $F$10)</f>
        <v>53.534300000000002</v>
      </c>
      <c r="G975" s="8">
        <f>51.9933 * CHOOSE( CONTROL!$C$14, $D$10, 100%, $F$10)</f>
        <v>51.993299999999998</v>
      </c>
      <c r="H975" s="4">
        <f>52.8754 * CHOOSE(CONTROL!$C$14, $D$10, 100%, $F$10)</f>
        <v>52.875399999999999</v>
      </c>
      <c r="I975" s="8">
        <f>51.2517 * CHOOSE(CONTROL!$C$14, $D$10, 100%, $F$10)</f>
        <v>51.2517</v>
      </c>
      <c r="J975" s="4">
        <f>51.0966 * CHOOSE(CONTROL!$C$14, $D$10, 100%, $F$10)</f>
        <v>51.096600000000002</v>
      </c>
      <c r="K975" s="4"/>
      <c r="L975" s="9">
        <v>29.306000000000001</v>
      </c>
      <c r="M975" s="9">
        <v>12.063700000000001</v>
      </c>
      <c r="N975" s="9">
        <v>4.9444999999999997</v>
      </c>
      <c r="O975" s="9">
        <v>0.37409999999999999</v>
      </c>
      <c r="P975" s="9">
        <v>1.2927</v>
      </c>
      <c r="Q975" s="9">
        <v>19.688099999999999</v>
      </c>
      <c r="R975" s="9"/>
      <c r="S975" s="11"/>
    </row>
    <row r="976" spans="1:19" ht="15.75">
      <c r="A976" s="13">
        <v>71620</v>
      </c>
      <c r="B976" s="8">
        <f>54.907 * CHOOSE(CONTROL!$C$14, $D$10, 100%, $F$10)</f>
        <v>54.906999999999996</v>
      </c>
      <c r="C976" s="8">
        <f>54.9121 * CHOOSE(CONTROL!$C$14, $D$10, 100%, $F$10)</f>
        <v>54.912100000000002</v>
      </c>
      <c r="D976" s="8">
        <f>54.9079 * CHOOSE( CONTROL!$C$14, $D$10, 100%, $F$10)</f>
        <v>54.907899999999998</v>
      </c>
      <c r="E976" s="12">
        <f>54.9089 * CHOOSE( CONTROL!$C$14, $D$10, 100%, $F$10)</f>
        <v>54.908900000000003</v>
      </c>
      <c r="F976" s="4">
        <f>55.5855 * CHOOSE(CONTROL!$C$14, $D$10, 100%, $F$10)</f>
        <v>55.585500000000003</v>
      </c>
      <c r="G976" s="8">
        <f>53.9941 * CHOOSE( CONTROL!$C$14, $D$10, 100%, $F$10)</f>
        <v>53.994100000000003</v>
      </c>
      <c r="H976" s="4">
        <f>54.8926 * CHOOSE(CONTROL!$C$14, $D$10, 100%, $F$10)</f>
        <v>54.892600000000002</v>
      </c>
      <c r="I976" s="8">
        <f>53.1846 * CHOOSE(CONTROL!$C$14, $D$10, 100%, $F$10)</f>
        <v>53.184600000000003</v>
      </c>
      <c r="J976" s="4">
        <f>53.0494 * CHOOSE(CONTROL!$C$14, $D$10, 100%, $F$10)</f>
        <v>53.049399999999999</v>
      </c>
      <c r="K976" s="4"/>
      <c r="L976" s="9">
        <v>29.306000000000001</v>
      </c>
      <c r="M976" s="9">
        <v>12.063700000000001</v>
      </c>
      <c r="N976" s="9">
        <v>4.9444999999999997</v>
      </c>
      <c r="O976" s="9">
        <v>0.37409999999999999</v>
      </c>
      <c r="P976" s="9">
        <v>1.2927</v>
      </c>
      <c r="Q976" s="9">
        <v>19.688099999999999</v>
      </c>
      <c r="R976" s="9"/>
      <c r="S976" s="11"/>
    </row>
    <row r="977" spans="1:19" ht="15.75">
      <c r="A977" s="13">
        <v>71649</v>
      </c>
      <c r="B977" s="8">
        <f>51.3593 * CHOOSE(CONTROL!$C$14, $D$10, 100%, $F$10)</f>
        <v>51.359299999999998</v>
      </c>
      <c r="C977" s="8">
        <f>51.3644 * CHOOSE(CONTROL!$C$14, $D$10, 100%, $F$10)</f>
        <v>51.364400000000003</v>
      </c>
      <c r="D977" s="8">
        <f>51.3543 * CHOOSE( CONTROL!$C$14, $D$10, 100%, $F$10)</f>
        <v>51.354300000000002</v>
      </c>
      <c r="E977" s="12">
        <f>51.3574 * CHOOSE( CONTROL!$C$14, $D$10, 100%, $F$10)</f>
        <v>51.357399999999998</v>
      </c>
      <c r="F977" s="4">
        <f>52.012 * CHOOSE(CONTROL!$C$14, $D$10, 100%, $F$10)</f>
        <v>52.012</v>
      </c>
      <c r="G977" s="8">
        <f>50.4972 * CHOOSE( CONTROL!$C$14, $D$10, 100%, $F$10)</f>
        <v>50.497199999999999</v>
      </c>
      <c r="H977" s="4">
        <f>51.3783 * CHOOSE(CONTROL!$C$14, $D$10, 100%, $F$10)</f>
        <v>51.378300000000003</v>
      </c>
      <c r="I977" s="8">
        <f>49.744 * CHOOSE(CONTROL!$C$14, $D$10, 100%, $F$10)</f>
        <v>49.744</v>
      </c>
      <c r="J977" s="4">
        <f>49.6199 * CHOOSE(CONTROL!$C$14, $D$10, 100%, $F$10)</f>
        <v>49.619900000000001</v>
      </c>
      <c r="K977" s="4"/>
      <c r="L977" s="9">
        <v>27.415299999999998</v>
      </c>
      <c r="M977" s="9">
        <v>11.285299999999999</v>
      </c>
      <c r="N977" s="9">
        <v>4.6254999999999997</v>
      </c>
      <c r="O977" s="9">
        <v>0.34989999999999999</v>
      </c>
      <c r="P977" s="9">
        <v>1.2093</v>
      </c>
      <c r="Q977" s="9">
        <v>18.417899999999999</v>
      </c>
      <c r="R977" s="9"/>
      <c r="S977" s="11"/>
    </row>
    <row r="978" spans="1:19" ht="15.75">
      <c r="A978" s="13">
        <v>71680</v>
      </c>
      <c r="B978" s="8">
        <f>50.2666 * CHOOSE(CONTROL!$C$14, $D$10, 100%, $F$10)</f>
        <v>50.266599999999997</v>
      </c>
      <c r="C978" s="8">
        <f>50.2718 * CHOOSE(CONTROL!$C$14, $D$10, 100%, $F$10)</f>
        <v>50.271799999999999</v>
      </c>
      <c r="D978" s="8">
        <f>50.2552 * CHOOSE( CONTROL!$C$14, $D$10, 100%, $F$10)</f>
        <v>50.255200000000002</v>
      </c>
      <c r="E978" s="12">
        <f>50.2607 * CHOOSE( CONTROL!$C$14, $D$10, 100%, $F$10)</f>
        <v>50.2607</v>
      </c>
      <c r="F978" s="4">
        <f>50.9193 * CHOOSE(CONTROL!$C$14, $D$10, 100%, $F$10)</f>
        <v>50.9193</v>
      </c>
      <c r="G978" s="8">
        <f>49.4144 * CHOOSE( CONTROL!$C$14, $D$10, 100%, $F$10)</f>
        <v>49.414400000000001</v>
      </c>
      <c r="H978" s="4">
        <f>50.3037 * CHOOSE(CONTROL!$C$14, $D$10, 100%, $F$10)</f>
        <v>50.303699999999999</v>
      </c>
      <c r="I978" s="8">
        <f>48.667 * CHOOSE(CONTROL!$C$14, $D$10, 100%, $F$10)</f>
        <v>48.667000000000002</v>
      </c>
      <c r="J978" s="4">
        <f>48.5636 * CHOOSE(CONTROL!$C$14, $D$10, 100%, $F$10)</f>
        <v>48.563600000000001</v>
      </c>
      <c r="K978" s="4"/>
      <c r="L978" s="9">
        <v>29.306000000000001</v>
      </c>
      <c r="M978" s="9">
        <v>12.063700000000001</v>
      </c>
      <c r="N978" s="9">
        <v>4.9444999999999997</v>
      </c>
      <c r="O978" s="9">
        <v>0.37409999999999999</v>
      </c>
      <c r="P978" s="9">
        <v>1.2927</v>
      </c>
      <c r="Q978" s="9">
        <v>19.688099999999999</v>
      </c>
      <c r="R978" s="9"/>
      <c r="S978" s="11"/>
    </row>
    <row r="979" spans="1:19" ht="15.75">
      <c r="A979" s="13">
        <v>71710</v>
      </c>
      <c r="B979" s="8">
        <f>51.0309 * CHOOSE(CONTROL!$C$14, $D$10, 100%, $F$10)</f>
        <v>51.030900000000003</v>
      </c>
      <c r="C979" s="8">
        <f>51.0355 * CHOOSE(CONTROL!$C$14, $D$10, 100%, $F$10)</f>
        <v>51.035499999999999</v>
      </c>
      <c r="D979" s="8">
        <f>51.045 * CHOOSE( CONTROL!$C$14, $D$10, 100%, $F$10)</f>
        <v>51.045000000000002</v>
      </c>
      <c r="E979" s="12">
        <f>51.0413 * CHOOSE( CONTROL!$C$14, $D$10, 100%, $F$10)</f>
        <v>51.0413</v>
      </c>
      <c r="F979" s="4">
        <f>51.7139 * CHOOSE(CONTROL!$C$14, $D$10, 100%, $F$10)</f>
        <v>51.713900000000002</v>
      </c>
      <c r="G979" s="8">
        <f>50.1552 * CHOOSE( CONTROL!$C$14, $D$10, 100%, $F$10)</f>
        <v>50.155200000000001</v>
      </c>
      <c r="H979" s="4">
        <f>51.0851 * CHOOSE(CONTROL!$C$14, $D$10, 100%, $F$10)</f>
        <v>51.085099999999997</v>
      </c>
      <c r="I979" s="8">
        <f>49.4164 * CHOOSE(CONTROL!$C$14, $D$10, 100%, $F$10)</f>
        <v>49.416400000000003</v>
      </c>
      <c r="J979" s="4">
        <f>49.3017 * CHOOSE(CONTROL!$C$14, $D$10, 100%, $F$10)</f>
        <v>49.301699999999997</v>
      </c>
      <c r="K979" s="4"/>
      <c r="L979" s="9">
        <v>30.092199999999998</v>
      </c>
      <c r="M979" s="9">
        <v>11.6745</v>
      </c>
      <c r="N979" s="9">
        <v>4.7850000000000001</v>
      </c>
      <c r="O979" s="9">
        <v>0.36199999999999999</v>
      </c>
      <c r="P979" s="9">
        <v>1.1791</v>
      </c>
      <c r="Q979" s="9">
        <v>19.053000000000001</v>
      </c>
      <c r="R979" s="9"/>
      <c r="S979" s="11"/>
    </row>
    <row r="980" spans="1:19" ht="15.75">
      <c r="A980" s="13">
        <v>71741</v>
      </c>
      <c r="B980" s="8">
        <f>CHOOSE( CONTROL!$C$31, 52.3942, 52.3912) * CHOOSE(CONTROL!$C$14, $D$10, 100%, $F$10)</f>
        <v>52.394199999999998</v>
      </c>
      <c r="C980" s="8">
        <f>CHOOSE( CONTROL!$C$31, 52.4022, 52.3992) * CHOOSE(CONTROL!$C$14, $D$10, 100%, $F$10)</f>
        <v>52.402200000000001</v>
      </c>
      <c r="D980" s="8">
        <f>CHOOSE( CONTROL!$C$31, 52.4068, 52.4039) * CHOOSE( CONTROL!$C$14, $D$10, 100%, $F$10)</f>
        <v>52.406799999999997</v>
      </c>
      <c r="E980" s="12">
        <f>CHOOSE( CONTROL!$C$31, 52.4039, 52.401) * CHOOSE( CONTROL!$C$14, $D$10, 100%, $F$10)</f>
        <v>52.4039</v>
      </c>
      <c r="F980" s="4">
        <f>CHOOSE( CONTROL!$C$31, 53.0757, 53.0728) * CHOOSE(CONTROL!$C$14, $D$10, 100%, $F$10)</f>
        <v>53.075699999999998</v>
      </c>
      <c r="G980" s="8">
        <f>CHOOSE( CONTROL!$C$31, 51.4954, 51.4925) * CHOOSE( CONTROL!$C$14, $D$10, 100%, $F$10)</f>
        <v>51.495399999999997</v>
      </c>
      <c r="H980" s="4">
        <f>CHOOSE( CONTROL!$C$31, 52.4244, 52.4215) * CHOOSE(CONTROL!$C$14, $D$10, 100%, $F$10)</f>
        <v>52.424399999999999</v>
      </c>
      <c r="I980" s="8">
        <f>CHOOSE( CONTROL!$C$31, 50.7347, 50.7318) * CHOOSE(CONTROL!$C$14, $D$10, 100%, $F$10)</f>
        <v>50.734699999999997</v>
      </c>
      <c r="J980" s="4">
        <f>CHOOSE( CONTROL!$C$31, 50.6182, 50.6154) * CHOOSE(CONTROL!$C$14, $D$10, 100%, $F$10)</f>
        <v>50.618200000000002</v>
      </c>
      <c r="K980" s="4"/>
      <c r="L980" s="9">
        <v>30.7165</v>
      </c>
      <c r="M980" s="9">
        <v>12.063700000000001</v>
      </c>
      <c r="N980" s="9">
        <v>4.9444999999999997</v>
      </c>
      <c r="O980" s="9">
        <v>0.37409999999999999</v>
      </c>
      <c r="P980" s="9">
        <v>1.2183999999999999</v>
      </c>
      <c r="Q980" s="9">
        <v>19.688099999999999</v>
      </c>
      <c r="R980" s="9"/>
      <c r="S980" s="11"/>
    </row>
    <row r="981" spans="1:19" ht="15.75">
      <c r="A981" s="13">
        <v>71771</v>
      </c>
      <c r="B981" s="8">
        <f>CHOOSE( CONTROL!$C$31, 51.5523, 51.5494) * CHOOSE(CONTROL!$C$14, $D$10, 100%, $F$10)</f>
        <v>51.552300000000002</v>
      </c>
      <c r="C981" s="8">
        <f>CHOOSE( CONTROL!$C$31, 51.5604, 51.5574) * CHOOSE(CONTROL!$C$14, $D$10, 100%, $F$10)</f>
        <v>51.560400000000001</v>
      </c>
      <c r="D981" s="8">
        <f>CHOOSE( CONTROL!$C$31, 51.5652, 51.5623) * CHOOSE( CONTROL!$C$14, $D$10, 100%, $F$10)</f>
        <v>51.565199999999997</v>
      </c>
      <c r="E981" s="12">
        <f>CHOOSE( CONTROL!$C$31, 51.5622, 51.5593) * CHOOSE( CONTROL!$C$14, $D$10, 100%, $F$10)</f>
        <v>51.562199999999997</v>
      </c>
      <c r="F981" s="4">
        <f>CHOOSE( CONTROL!$C$31, 52.2339, 52.231) * CHOOSE(CONTROL!$C$14, $D$10, 100%, $F$10)</f>
        <v>52.233899999999998</v>
      </c>
      <c r="G981" s="8">
        <f>CHOOSE( CONTROL!$C$31, 50.6679, 50.665) * CHOOSE( CONTROL!$C$14, $D$10, 100%, $F$10)</f>
        <v>50.667900000000003</v>
      </c>
      <c r="H981" s="4">
        <f>CHOOSE( CONTROL!$C$31, 51.5965, 51.5936) * CHOOSE(CONTROL!$C$14, $D$10, 100%, $F$10)</f>
        <v>51.596499999999999</v>
      </c>
      <c r="I981" s="8">
        <f>CHOOSE( CONTROL!$C$31, 49.9217, 49.9189) * CHOOSE(CONTROL!$C$14, $D$10, 100%, $F$10)</f>
        <v>49.921700000000001</v>
      </c>
      <c r="J981" s="4">
        <f>CHOOSE( CONTROL!$C$31, 49.8044, 49.8016) * CHOOSE(CONTROL!$C$14, $D$10, 100%, $F$10)</f>
        <v>49.804400000000001</v>
      </c>
      <c r="K981" s="4"/>
      <c r="L981" s="9">
        <v>29.7257</v>
      </c>
      <c r="M981" s="9">
        <v>11.6745</v>
      </c>
      <c r="N981" s="9">
        <v>4.7850000000000001</v>
      </c>
      <c r="O981" s="9">
        <v>0.36199999999999999</v>
      </c>
      <c r="P981" s="9">
        <v>1.1791</v>
      </c>
      <c r="Q981" s="9">
        <v>19.053000000000001</v>
      </c>
      <c r="R981" s="9"/>
      <c r="S981" s="11"/>
    </row>
    <row r="982" spans="1:19" ht="15.75">
      <c r="A982" s="13">
        <v>71802</v>
      </c>
      <c r="B982" s="8">
        <f>CHOOSE( CONTROL!$C$31, 53.7691, 53.7662) * CHOOSE(CONTROL!$C$14, $D$10, 100%, $F$10)</f>
        <v>53.769100000000002</v>
      </c>
      <c r="C982" s="8">
        <f>CHOOSE( CONTROL!$C$31, 53.7772, 53.7742) * CHOOSE(CONTROL!$C$14, $D$10, 100%, $F$10)</f>
        <v>53.777200000000001</v>
      </c>
      <c r="D982" s="8">
        <f>CHOOSE( CONTROL!$C$31, 53.7823, 53.7794) * CHOOSE( CONTROL!$C$14, $D$10, 100%, $F$10)</f>
        <v>53.782299999999999</v>
      </c>
      <c r="E982" s="12">
        <f>CHOOSE( CONTROL!$C$31, 53.7792, 53.7763) * CHOOSE( CONTROL!$C$14, $D$10, 100%, $F$10)</f>
        <v>53.779200000000003</v>
      </c>
      <c r="F982" s="4">
        <f>CHOOSE( CONTROL!$C$31, 54.4507, 54.4478) * CHOOSE(CONTROL!$C$14, $D$10, 100%, $F$10)</f>
        <v>54.450699999999998</v>
      </c>
      <c r="G982" s="8">
        <f>CHOOSE( CONTROL!$C$31, 52.8483, 52.8454) * CHOOSE( CONTROL!$C$14, $D$10, 100%, $F$10)</f>
        <v>52.848300000000002</v>
      </c>
      <c r="H982" s="4">
        <f>CHOOSE( CONTROL!$C$31, 53.7766, 53.7737) * CHOOSE(CONTROL!$C$14, $D$10, 100%, $F$10)</f>
        <v>53.776600000000002</v>
      </c>
      <c r="I982" s="8">
        <f>CHOOSE( CONTROL!$C$31, 52.0669, 52.0641) * CHOOSE(CONTROL!$C$14, $D$10, 100%, $F$10)</f>
        <v>52.066899999999997</v>
      </c>
      <c r="J982" s="4">
        <f>CHOOSE( CONTROL!$C$31, 51.9474, 51.9446) * CHOOSE(CONTROL!$C$14, $D$10, 100%, $F$10)</f>
        <v>51.947400000000002</v>
      </c>
      <c r="K982" s="4"/>
      <c r="L982" s="9">
        <v>30.7165</v>
      </c>
      <c r="M982" s="9">
        <v>12.063700000000001</v>
      </c>
      <c r="N982" s="9">
        <v>4.9444999999999997</v>
      </c>
      <c r="O982" s="9">
        <v>0.37409999999999999</v>
      </c>
      <c r="P982" s="9">
        <v>1.2183999999999999</v>
      </c>
      <c r="Q982" s="9">
        <v>19.688099999999999</v>
      </c>
      <c r="R982" s="9"/>
      <c r="S982" s="11"/>
    </row>
    <row r="983" spans="1:19" ht="15.75">
      <c r="A983" s="13">
        <v>71833</v>
      </c>
      <c r="B983" s="8">
        <f>CHOOSE( CONTROL!$C$31, 49.6213, 49.6184) * CHOOSE(CONTROL!$C$14, $D$10, 100%, $F$10)</f>
        <v>49.621299999999998</v>
      </c>
      <c r="C983" s="8">
        <f>CHOOSE( CONTROL!$C$31, 49.6293, 49.6264) * CHOOSE(CONTROL!$C$14, $D$10, 100%, $F$10)</f>
        <v>49.629300000000001</v>
      </c>
      <c r="D983" s="8">
        <f>CHOOSE( CONTROL!$C$31, 49.6345, 49.6316) * CHOOSE( CONTROL!$C$14, $D$10, 100%, $F$10)</f>
        <v>49.634500000000003</v>
      </c>
      <c r="E983" s="12">
        <f>CHOOSE( CONTROL!$C$31, 49.6314, 49.6285) * CHOOSE( CONTROL!$C$14, $D$10, 100%, $F$10)</f>
        <v>49.631399999999999</v>
      </c>
      <c r="F983" s="4">
        <f>CHOOSE( CONTROL!$C$31, 50.3028, 50.2999) * CHOOSE(CONTROL!$C$14, $D$10, 100%, $F$10)</f>
        <v>50.302799999999998</v>
      </c>
      <c r="G983" s="8">
        <f>CHOOSE( CONTROL!$C$31, 48.7693, 48.7665) * CHOOSE( CONTROL!$C$14, $D$10, 100%, $F$10)</f>
        <v>48.769300000000001</v>
      </c>
      <c r="H983" s="4">
        <f>CHOOSE( CONTROL!$C$31, 49.6975, 49.6946) * CHOOSE(CONTROL!$C$14, $D$10, 100%, $F$10)</f>
        <v>49.697499999999998</v>
      </c>
      <c r="I983" s="8">
        <f>CHOOSE( CONTROL!$C$31, 48.0556, 48.0528) * CHOOSE(CONTROL!$C$14, $D$10, 100%, $F$10)</f>
        <v>48.055599999999998</v>
      </c>
      <c r="J983" s="4">
        <f>CHOOSE( CONTROL!$C$31, 47.9377, 47.9348) * CHOOSE(CONTROL!$C$14, $D$10, 100%, $F$10)</f>
        <v>47.9377</v>
      </c>
      <c r="K983" s="4"/>
      <c r="L983" s="9">
        <v>30.7165</v>
      </c>
      <c r="M983" s="9">
        <v>12.063700000000001</v>
      </c>
      <c r="N983" s="9">
        <v>4.9444999999999997</v>
      </c>
      <c r="O983" s="9">
        <v>0.37409999999999999</v>
      </c>
      <c r="P983" s="9">
        <v>1.2183999999999999</v>
      </c>
      <c r="Q983" s="9">
        <v>19.688099999999999</v>
      </c>
      <c r="R983" s="9"/>
      <c r="S983" s="11"/>
    </row>
    <row r="984" spans="1:19" ht="15.75">
      <c r="A984" s="13">
        <v>71863</v>
      </c>
      <c r="B984" s="8">
        <f>CHOOSE( CONTROL!$C$31, 48.5826, 48.5797) * CHOOSE(CONTROL!$C$14, $D$10, 100%, $F$10)</f>
        <v>48.582599999999999</v>
      </c>
      <c r="C984" s="8">
        <f>CHOOSE( CONTROL!$C$31, 48.5906, 48.5877) * CHOOSE(CONTROL!$C$14, $D$10, 100%, $F$10)</f>
        <v>48.590600000000002</v>
      </c>
      <c r="D984" s="8">
        <f>CHOOSE( CONTROL!$C$31, 48.5958, 48.5929) * CHOOSE( CONTROL!$C$14, $D$10, 100%, $F$10)</f>
        <v>48.595799999999997</v>
      </c>
      <c r="E984" s="12">
        <f>CHOOSE( CONTROL!$C$31, 48.5927, 48.5898) * CHOOSE( CONTROL!$C$14, $D$10, 100%, $F$10)</f>
        <v>48.592700000000001</v>
      </c>
      <c r="F984" s="4">
        <f>CHOOSE( CONTROL!$C$31, 49.2642, 49.2612) * CHOOSE(CONTROL!$C$14, $D$10, 100%, $F$10)</f>
        <v>49.264200000000002</v>
      </c>
      <c r="G984" s="8">
        <f>CHOOSE( CONTROL!$C$31, 47.7479, 47.745) * CHOOSE( CONTROL!$C$14, $D$10, 100%, $F$10)</f>
        <v>47.747900000000001</v>
      </c>
      <c r="H984" s="4">
        <f>CHOOSE( CONTROL!$C$31, 48.676, 48.6731) * CHOOSE(CONTROL!$C$14, $D$10, 100%, $F$10)</f>
        <v>48.676000000000002</v>
      </c>
      <c r="I984" s="8">
        <f>CHOOSE( CONTROL!$C$31, 47.0509, 47.0481) * CHOOSE(CONTROL!$C$14, $D$10, 100%, $F$10)</f>
        <v>47.050899999999999</v>
      </c>
      <c r="J984" s="4">
        <f>CHOOSE( CONTROL!$C$31, 46.9336, 46.9307) * CHOOSE(CONTROL!$C$14, $D$10, 100%, $F$10)</f>
        <v>46.933599999999998</v>
      </c>
      <c r="K984" s="4"/>
      <c r="L984" s="9">
        <v>29.7257</v>
      </c>
      <c r="M984" s="9">
        <v>11.6745</v>
      </c>
      <c r="N984" s="9">
        <v>4.7850000000000001</v>
      </c>
      <c r="O984" s="9">
        <v>0.36199999999999999</v>
      </c>
      <c r="P984" s="9">
        <v>1.1791</v>
      </c>
      <c r="Q984" s="9">
        <v>19.053000000000001</v>
      </c>
      <c r="R984" s="9"/>
      <c r="S984" s="11"/>
    </row>
    <row r="985" spans="1:19" ht="15.75">
      <c r="A985" s="13">
        <v>71894</v>
      </c>
      <c r="B985" s="8">
        <f>50.7346 * CHOOSE(CONTROL!$C$14, $D$10, 100%, $F$10)</f>
        <v>50.7346</v>
      </c>
      <c r="C985" s="8">
        <f>50.74 * CHOOSE(CONTROL!$C$14, $D$10, 100%, $F$10)</f>
        <v>50.74</v>
      </c>
      <c r="D985" s="8">
        <f>50.75 * CHOOSE( CONTROL!$C$14, $D$10, 100%, $F$10)</f>
        <v>50.75</v>
      </c>
      <c r="E985" s="12">
        <f>50.7461 * CHOOSE( CONTROL!$C$14, $D$10, 100%, $F$10)</f>
        <v>50.746099999999998</v>
      </c>
      <c r="F985" s="4">
        <f>51.4179 * CHOOSE(CONTROL!$C$14, $D$10, 100%, $F$10)</f>
        <v>51.417900000000003</v>
      </c>
      <c r="G985" s="8">
        <f>49.8655 * CHOOSE( CONTROL!$C$14, $D$10, 100%, $F$10)</f>
        <v>49.865499999999997</v>
      </c>
      <c r="H985" s="4">
        <f>50.794 * CHOOSE(CONTROL!$C$14, $D$10, 100%, $F$10)</f>
        <v>50.793999999999997</v>
      </c>
      <c r="I985" s="8">
        <f>49.1348 * CHOOSE(CONTROL!$C$14, $D$10, 100%, $F$10)</f>
        <v>49.134799999999998</v>
      </c>
      <c r="J985" s="4">
        <f>49.0156 * CHOOSE(CONTROL!$C$14, $D$10, 100%, $F$10)</f>
        <v>49.015599999999999</v>
      </c>
      <c r="K985" s="4"/>
      <c r="L985" s="9">
        <v>31.095300000000002</v>
      </c>
      <c r="M985" s="9">
        <v>12.063700000000001</v>
      </c>
      <c r="N985" s="9">
        <v>4.9444999999999997</v>
      </c>
      <c r="O985" s="9">
        <v>0.37409999999999999</v>
      </c>
      <c r="P985" s="9">
        <v>1.2183999999999999</v>
      </c>
      <c r="Q985" s="9">
        <v>19.688099999999999</v>
      </c>
      <c r="R985" s="9"/>
      <c r="S985" s="11"/>
    </row>
    <row r="986" spans="1:19" ht="15.75">
      <c r="A986" s="13">
        <v>71924</v>
      </c>
      <c r="B986" s="8">
        <f>54.7149 * CHOOSE(CONTROL!$C$14, $D$10, 100%, $F$10)</f>
        <v>54.7149</v>
      </c>
      <c r="C986" s="8">
        <f>54.72 * CHOOSE(CONTROL!$C$14, $D$10, 100%, $F$10)</f>
        <v>54.72</v>
      </c>
      <c r="D986" s="8">
        <f>54.6963 * CHOOSE( CONTROL!$C$14, $D$10, 100%, $F$10)</f>
        <v>54.696300000000001</v>
      </c>
      <c r="E986" s="12">
        <f>54.7044 * CHOOSE( CONTROL!$C$14, $D$10, 100%, $F$10)</f>
        <v>54.7044</v>
      </c>
      <c r="F986" s="4">
        <f>55.3624 * CHOOSE(CONTROL!$C$14, $D$10, 100%, $F$10)</f>
        <v>55.362400000000001</v>
      </c>
      <c r="G986" s="8">
        <f>53.79 * CHOOSE( CONTROL!$C$14, $D$10, 100%, $F$10)</f>
        <v>53.79</v>
      </c>
      <c r="H986" s="4">
        <f>54.6731 * CHOOSE(CONTROL!$C$14, $D$10, 100%, $F$10)</f>
        <v>54.673099999999998</v>
      </c>
      <c r="I986" s="8">
        <f>53.0154 * CHOOSE(CONTROL!$C$14, $D$10, 100%, $F$10)</f>
        <v>53.0154</v>
      </c>
      <c r="J986" s="4">
        <f>52.8637 * CHOOSE(CONTROL!$C$14, $D$10, 100%, $F$10)</f>
        <v>52.863700000000001</v>
      </c>
      <c r="K986" s="4"/>
      <c r="L986" s="9">
        <v>28.360600000000002</v>
      </c>
      <c r="M986" s="9">
        <v>11.6745</v>
      </c>
      <c r="N986" s="9">
        <v>4.7850000000000001</v>
      </c>
      <c r="O986" s="9">
        <v>0.36199999999999999</v>
      </c>
      <c r="P986" s="9">
        <v>1.2509999999999999</v>
      </c>
      <c r="Q986" s="9">
        <v>19.053000000000001</v>
      </c>
      <c r="R986" s="9"/>
      <c r="S986" s="11"/>
    </row>
    <row r="987" spans="1:19" ht="15.75">
      <c r="A987" s="13">
        <v>71955</v>
      </c>
      <c r="B987" s="8">
        <f>54.6155 * CHOOSE(CONTROL!$C$14, $D$10, 100%, $F$10)</f>
        <v>54.615499999999997</v>
      </c>
      <c r="C987" s="8">
        <f>54.6206 * CHOOSE(CONTROL!$C$14, $D$10, 100%, $F$10)</f>
        <v>54.620600000000003</v>
      </c>
      <c r="D987" s="8">
        <f>54.5982 * CHOOSE( CONTROL!$C$14, $D$10, 100%, $F$10)</f>
        <v>54.598199999999999</v>
      </c>
      <c r="E987" s="12">
        <f>54.6058 * CHOOSE( CONTROL!$C$14, $D$10, 100%, $F$10)</f>
        <v>54.605800000000002</v>
      </c>
      <c r="F987" s="4">
        <f>55.2629 * CHOOSE(CONTROL!$C$14, $D$10, 100%, $F$10)</f>
        <v>55.262900000000002</v>
      </c>
      <c r="G987" s="8">
        <f>53.6932 * CHOOSE( CONTROL!$C$14, $D$10, 100%, $F$10)</f>
        <v>53.693199999999997</v>
      </c>
      <c r="H987" s="4">
        <f>54.5753 * CHOOSE(CONTROL!$C$14, $D$10, 100%, $F$10)</f>
        <v>54.575299999999999</v>
      </c>
      <c r="I987" s="8">
        <f>52.9236 * CHOOSE(CONTROL!$C$14, $D$10, 100%, $F$10)</f>
        <v>52.9236</v>
      </c>
      <c r="J987" s="4">
        <f>52.7676 * CHOOSE(CONTROL!$C$14, $D$10, 100%, $F$10)</f>
        <v>52.767600000000002</v>
      </c>
      <c r="K987" s="4"/>
      <c r="L987" s="9">
        <v>29.306000000000001</v>
      </c>
      <c r="M987" s="9">
        <v>12.063700000000001</v>
      </c>
      <c r="N987" s="9">
        <v>4.9444999999999997</v>
      </c>
      <c r="O987" s="9">
        <v>0.37409999999999999</v>
      </c>
      <c r="P987" s="9">
        <v>1.2927</v>
      </c>
      <c r="Q987" s="9">
        <v>19.688099999999999</v>
      </c>
      <c r="R987" s="9"/>
      <c r="S987" s="11"/>
    </row>
    <row r="988" spans="1:19" ht="15.75">
      <c r="A988" s="13">
        <v>71986</v>
      </c>
      <c r="B988" s="8">
        <f>56.7017 * CHOOSE(CONTROL!$C$14, $D$10, 100%, $F$10)</f>
        <v>56.701700000000002</v>
      </c>
      <c r="C988" s="8">
        <f>56.7068 * CHOOSE(CONTROL!$C$14, $D$10, 100%, $F$10)</f>
        <v>56.706800000000001</v>
      </c>
      <c r="D988" s="8">
        <f>56.7026 * CHOOSE( CONTROL!$C$14, $D$10, 100%, $F$10)</f>
        <v>56.702599999999997</v>
      </c>
      <c r="E988" s="12">
        <f>56.7036 * CHOOSE( CONTROL!$C$14, $D$10, 100%, $F$10)</f>
        <v>56.703600000000002</v>
      </c>
      <c r="F988" s="4">
        <f>57.3802 * CHOOSE(CONTROL!$C$14, $D$10, 100%, $F$10)</f>
        <v>57.380200000000002</v>
      </c>
      <c r="G988" s="8">
        <f>55.7591 * CHOOSE( CONTROL!$C$14, $D$10, 100%, $F$10)</f>
        <v>55.759099999999997</v>
      </c>
      <c r="H988" s="4">
        <f>56.6575 * CHOOSE(CONTROL!$C$14, $D$10, 100%, $F$10)</f>
        <v>56.657499999999999</v>
      </c>
      <c r="I988" s="8">
        <f>54.9203 * CHOOSE(CONTROL!$C$14, $D$10, 100%, $F$10)</f>
        <v>54.920299999999997</v>
      </c>
      <c r="J988" s="4">
        <f>54.7843 * CHOOSE(CONTROL!$C$14, $D$10, 100%, $F$10)</f>
        <v>54.784300000000002</v>
      </c>
      <c r="K988" s="4"/>
      <c r="L988" s="9">
        <v>29.306000000000001</v>
      </c>
      <c r="M988" s="9">
        <v>12.063700000000001</v>
      </c>
      <c r="N988" s="9">
        <v>4.9444999999999997</v>
      </c>
      <c r="O988" s="9">
        <v>0.37409999999999999</v>
      </c>
      <c r="P988" s="9">
        <v>1.2927</v>
      </c>
      <c r="Q988" s="9">
        <v>19.688099999999999</v>
      </c>
      <c r="R988" s="9"/>
      <c r="S988" s="11"/>
    </row>
    <row r="989" spans="1:19" ht="15.75">
      <c r="A989" s="13">
        <v>72014</v>
      </c>
      <c r="B989" s="8">
        <f>53.038 * CHOOSE(CONTROL!$C$14, $D$10, 100%, $F$10)</f>
        <v>53.037999999999997</v>
      </c>
      <c r="C989" s="8">
        <f>53.0431 * CHOOSE(CONTROL!$C$14, $D$10, 100%, $F$10)</f>
        <v>53.043100000000003</v>
      </c>
      <c r="D989" s="8">
        <f>53.033 * CHOOSE( CONTROL!$C$14, $D$10, 100%, $F$10)</f>
        <v>53.033000000000001</v>
      </c>
      <c r="E989" s="12">
        <f>53.0361 * CHOOSE( CONTROL!$C$14, $D$10, 100%, $F$10)</f>
        <v>53.036099999999998</v>
      </c>
      <c r="F989" s="4">
        <f>53.6906 * CHOOSE(CONTROL!$C$14, $D$10, 100%, $F$10)</f>
        <v>53.690600000000003</v>
      </c>
      <c r="G989" s="8">
        <f>52.148 * CHOOSE( CONTROL!$C$14, $D$10, 100%, $F$10)</f>
        <v>52.148000000000003</v>
      </c>
      <c r="H989" s="4">
        <f>53.0291 * CHOOSE(CONTROL!$C$14, $D$10, 100%, $F$10)</f>
        <v>53.0291</v>
      </c>
      <c r="I989" s="8">
        <f>51.3675 * CHOOSE(CONTROL!$C$14, $D$10, 100%, $F$10)</f>
        <v>51.3675</v>
      </c>
      <c r="J989" s="4">
        <f>51.2426 * CHOOSE(CONTROL!$C$14, $D$10, 100%, $F$10)</f>
        <v>51.242600000000003</v>
      </c>
      <c r="K989" s="4"/>
      <c r="L989" s="9">
        <v>26.469899999999999</v>
      </c>
      <c r="M989" s="9">
        <v>10.8962</v>
      </c>
      <c r="N989" s="9">
        <v>4.4660000000000002</v>
      </c>
      <c r="O989" s="9">
        <v>0.33789999999999998</v>
      </c>
      <c r="P989" s="9">
        <v>1.1676</v>
      </c>
      <c r="Q989" s="9">
        <v>17.782800000000002</v>
      </c>
      <c r="R989" s="9"/>
      <c r="S989" s="11"/>
    </row>
    <row r="990" spans="1:19" ht="15.75">
      <c r="A990" s="13">
        <v>72045</v>
      </c>
      <c r="B990" s="8">
        <f>51.9096 * CHOOSE(CONTROL!$C$14, $D$10, 100%, $F$10)</f>
        <v>51.909599999999998</v>
      </c>
      <c r="C990" s="8">
        <f>51.9147 * CHOOSE(CONTROL!$C$14, $D$10, 100%, $F$10)</f>
        <v>51.914700000000003</v>
      </c>
      <c r="D990" s="8">
        <f>51.8981 * CHOOSE( CONTROL!$C$14, $D$10, 100%, $F$10)</f>
        <v>51.898099999999999</v>
      </c>
      <c r="E990" s="12">
        <f>51.9036 * CHOOSE( CONTROL!$C$14, $D$10, 100%, $F$10)</f>
        <v>51.903599999999997</v>
      </c>
      <c r="F990" s="4">
        <f>52.5622 * CHOOSE(CONTROL!$C$14, $D$10, 100%, $F$10)</f>
        <v>52.562199999999997</v>
      </c>
      <c r="G990" s="8">
        <f>51.0301 * CHOOSE( CONTROL!$C$14, $D$10, 100%, $F$10)</f>
        <v>51.030099999999997</v>
      </c>
      <c r="H990" s="4">
        <f>51.9194 * CHOOSE(CONTROL!$C$14, $D$10, 100%, $F$10)</f>
        <v>51.919400000000003</v>
      </c>
      <c r="I990" s="8">
        <f>50.256 * CHOOSE(CONTROL!$C$14, $D$10, 100%, $F$10)</f>
        <v>50.256</v>
      </c>
      <c r="J990" s="4">
        <f>50.1518 * CHOOSE(CONTROL!$C$14, $D$10, 100%, $F$10)</f>
        <v>50.151800000000001</v>
      </c>
      <c r="K990" s="4"/>
      <c r="L990" s="9">
        <v>29.306000000000001</v>
      </c>
      <c r="M990" s="9">
        <v>12.063700000000001</v>
      </c>
      <c r="N990" s="9">
        <v>4.9444999999999997</v>
      </c>
      <c r="O990" s="9">
        <v>0.37409999999999999</v>
      </c>
      <c r="P990" s="9">
        <v>1.2927</v>
      </c>
      <c r="Q990" s="9">
        <v>19.688099999999999</v>
      </c>
      <c r="R990" s="9"/>
      <c r="S990" s="11"/>
    </row>
    <row r="991" spans="1:19" ht="15.75">
      <c r="A991" s="13">
        <v>72075</v>
      </c>
      <c r="B991" s="8">
        <f>52.6988 * CHOOSE(CONTROL!$C$14, $D$10, 100%, $F$10)</f>
        <v>52.698799999999999</v>
      </c>
      <c r="C991" s="8">
        <f>52.7034 * CHOOSE(CONTROL!$C$14, $D$10, 100%, $F$10)</f>
        <v>52.703400000000002</v>
      </c>
      <c r="D991" s="8">
        <f>52.7129 * CHOOSE( CONTROL!$C$14, $D$10, 100%, $F$10)</f>
        <v>52.712899999999998</v>
      </c>
      <c r="E991" s="12">
        <f>52.7092 * CHOOSE( CONTROL!$C$14, $D$10, 100%, $F$10)</f>
        <v>52.709200000000003</v>
      </c>
      <c r="F991" s="4">
        <f>53.3817 * CHOOSE(CONTROL!$C$14, $D$10, 100%, $F$10)</f>
        <v>53.381700000000002</v>
      </c>
      <c r="G991" s="8">
        <f>51.7954 * CHOOSE( CONTROL!$C$14, $D$10, 100%, $F$10)</f>
        <v>51.795400000000001</v>
      </c>
      <c r="H991" s="4">
        <f>52.7253 * CHOOSE(CONTROL!$C$14, $D$10, 100%, $F$10)</f>
        <v>52.725299999999997</v>
      </c>
      <c r="I991" s="8">
        <f>51.0296 * CHOOSE(CONTROL!$C$14, $D$10, 100%, $F$10)</f>
        <v>51.029600000000002</v>
      </c>
      <c r="J991" s="4">
        <f>50.914 * CHOOSE(CONTROL!$C$14, $D$10, 100%, $F$10)</f>
        <v>50.914000000000001</v>
      </c>
      <c r="K991" s="4"/>
      <c r="L991" s="9">
        <v>30.092199999999998</v>
      </c>
      <c r="M991" s="9">
        <v>11.6745</v>
      </c>
      <c r="N991" s="9">
        <v>4.7850000000000001</v>
      </c>
      <c r="O991" s="9">
        <v>0.36199999999999999</v>
      </c>
      <c r="P991" s="9">
        <v>1.1791</v>
      </c>
      <c r="Q991" s="9">
        <v>19.053000000000001</v>
      </c>
      <c r="R991" s="9"/>
      <c r="S991" s="11"/>
    </row>
    <row r="992" spans="1:19" ht="15.75">
      <c r="A992" s="13">
        <v>72106</v>
      </c>
      <c r="B992" s="8">
        <f>CHOOSE( CONTROL!$C$31, 54.1065, 54.1036) * CHOOSE(CONTROL!$C$14, $D$10, 100%, $F$10)</f>
        <v>54.106499999999997</v>
      </c>
      <c r="C992" s="8">
        <f>CHOOSE( CONTROL!$C$31, 54.1145, 54.1116) * CHOOSE(CONTROL!$C$14, $D$10, 100%, $F$10)</f>
        <v>54.1145</v>
      </c>
      <c r="D992" s="8">
        <f>CHOOSE( CONTROL!$C$31, 54.1191, 54.1162) * CHOOSE( CONTROL!$C$14, $D$10, 100%, $F$10)</f>
        <v>54.119100000000003</v>
      </c>
      <c r="E992" s="12">
        <f>CHOOSE( CONTROL!$C$31, 54.1162, 54.1133) * CHOOSE( CONTROL!$C$14, $D$10, 100%, $F$10)</f>
        <v>54.116199999999999</v>
      </c>
      <c r="F992" s="4">
        <f>CHOOSE( CONTROL!$C$31, 54.788, 54.7851) * CHOOSE(CONTROL!$C$14, $D$10, 100%, $F$10)</f>
        <v>54.787999999999997</v>
      </c>
      <c r="G992" s="8">
        <f>CHOOSE( CONTROL!$C$31, 53.1793, 53.1764) * CHOOSE( CONTROL!$C$14, $D$10, 100%, $F$10)</f>
        <v>53.179299999999998</v>
      </c>
      <c r="H992" s="4">
        <f>CHOOSE( CONTROL!$C$31, 54.1083, 54.1054) * CHOOSE(CONTROL!$C$14, $D$10, 100%, $F$10)</f>
        <v>54.1083</v>
      </c>
      <c r="I992" s="8">
        <f>CHOOSE( CONTROL!$C$31, 52.3908, 52.388) * CHOOSE(CONTROL!$C$14, $D$10, 100%, $F$10)</f>
        <v>52.390799999999999</v>
      </c>
      <c r="J992" s="4">
        <f>CHOOSE( CONTROL!$C$31, 52.2735, 52.2707) * CHOOSE(CONTROL!$C$14, $D$10, 100%, $F$10)</f>
        <v>52.273499999999999</v>
      </c>
      <c r="K992" s="4"/>
      <c r="L992" s="9">
        <v>30.7165</v>
      </c>
      <c r="M992" s="9">
        <v>12.063700000000001</v>
      </c>
      <c r="N992" s="9">
        <v>4.9444999999999997</v>
      </c>
      <c r="O992" s="9">
        <v>0.37409999999999999</v>
      </c>
      <c r="P992" s="9">
        <v>1.2183999999999999</v>
      </c>
      <c r="Q992" s="9">
        <v>19.688099999999999</v>
      </c>
      <c r="R992" s="9"/>
      <c r="S992" s="11"/>
    </row>
    <row r="993" spans="1:19" ht="15.75">
      <c r="A993" s="13">
        <v>72136</v>
      </c>
      <c r="B993" s="8">
        <f>CHOOSE( CONTROL!$C$31, 53.2371, 53.2342) * CHOOSE(CONTROL!$C$14, $D$10, 100%, $F$10)</f>
        <v>53.237099999999998</v>
      </c>
      <c r="C993" s="8">
        <f>CHOOSE( CONTROL!$C$31, 53.2452, 53.2422) * CHOOSE(CONTROL!$C$14, $D$10, 100%, $F$10)</f>
        <v>53.245199999999997</v>
      </c>
      <c r="D993" s="8">
        <f>CHOOSE( CONTROL!$C$31, 53.25, 53.2471) * CHOOSE( CONTROL!$C$14, $D$10, 100%, $F$10)</f>
        <v>53.25</v>
      </c>
      <c r="E993" s="12">
        <f>CHOOSE( CONTROL!$C$31, 53.247, 53.2441) * CHOOSE( CONTROL!$C$14, $D$10, 100%, $F$10)</f>
        <v>53.247</v>
      </c>
      <c r="F993" s="4">
        <f>CHOOSE( CONTROL!$C$31, 53.9187, 53.9158) * CHOOSE(CONTROL!$C$14, $D$10, 100%, $F$10)</f>
        <v>53.918700000000001</v>
      </c>
      <c r="G993" s="8">
        <f>CHOOSE( CONTROL!$C$31, 52.3248, 52.3219) * CHOOSE( CONTROL!$C$14, $D$10, 100%, $F$10)</f>
        <v>52.324800000000003</v>
      </c>
      <c r="H993" s="4">
        <f>CHOOSE( CONTROL!$C$31, 53.2534, 53.2505) * CHOOSE(CONTROL!$C$14, $D$10, 100%, $F$10)</f>
        <v>53.253399999999999</v>
      </c>
      <c r="I993" s="8">
        <f>CHOOSE( CONTROL!$C$31, 51.5512, 51.5484) * CHOOSE(CONTROL!$C$14, $D$10, 100%, $F$10)</f>
        <v>51.551200000000001</v>
      </c>
      <c r="J993" s="4">
        <f>CHOOSE( CONTROL!$C$31, 51.4331, 51.4303) * CHOOSE(CONTROL!$C$14, $D$10, 100%, $F$10)</f>
        <v>51.433100000000003</v>
      </c>
      <c r="K993" s="4"/>
      <c r="L993" s="9">
        <v>29.7257</v>
      </c>
      <c r="M993" s="9">
        <v>11.6745</v>
      </c>
      <c r="N993" s="9">
        <v>4.7850000000000001</v>
      </c>
      <c r="O993" s="9">
        <v>0.36199999999999999</v>
      </c>
      <c r="P993" s="9">
        <v>1.1791</v>
      </c>
      <c r="Q993" s="9">
        <v>19.053000000000001</v>
      </c>
      <c r="R993" s="9"/>
      <c r="S993" s="11"/>
    </row>
    <row r="994" spans="1:19" ht="15.75">
      <c r="A994" s="13">
        <v>72167</v>
      </c>
      <c r="B994" s="8">
        <f>CHOOSE( CONTROL!$C$31, 55.5264, 55.5235) * CHOOSE(CONTROL!$C$14, $D$10, 100%, $F$10)</f>
        <v>55.526400000000002</v>
      </c>
      <c r="C994" s="8">
        <f>CHOOSE( CONTROL!$C$31, 55.5345, 55.5315) * CHOOSE(CONTROL!$C$14, $D$10, 100%, $F$10)</f>
        <v>55.534500000000001</v>
      </c>
      <c r="D994" s="8">
        <f>CHOOSE( CONTROL!$C$31, 55.5396, 55.5367) * CHOOSE( CONTROL!$C$14, $D$10, 100%, $F$10)</f>
        <v>55.5396</v>
      </c>
      <c r="E994" s="12">
        <f>CHOOSE( CONTROL!$C$31, 55.5365, 55.5336) * CHOOSE( CONTROL!$C$14, $D$10, 100%, $F$10)</f>
        <v>55.536499999999997</v>
      </c>
      <c r="F994" s="4">
        <f>CHOOSE( CONTROL!$C$31, 56.208, 56.2051) * CHOOSE(CONTROL!$C$14, $D$10, 100%, $F$10)</f>
        <v>56.207999999999998</v>
      </c>
      <c r="G994" s="8">
        <f>CHOOSE( CONTROL!$C$31, 54.5764, 54.5736) * CHOOSE( CONTROL!$C$14, $D$10, 100%, $F$10)</f>
        <v>54.5764</v>
      </c>
      <c r="H994" s="4">
        <f>CHOOSE( CONTROL!$C$31, 55.5047, 55.5018) * CHOOSE(CONTROL!$C$14, $D$10, 100%, $F$10)</f>
        <v>55.5047</v>
      </c>
      <c r="I994" s="8">
        <f>CHOOSE( CONTROL!$C$31, 53.7666, 53.7637) * CHOOSE(CONTROL!$C$14, $D$10, 100%, $F$10)</f>
        <v>53.766599999999997</v>
      </c>
      <c r="J994" s="4">
        <f>CHOOSE( CONTROL!$C$31, 53.6462, 53.6434) * CHOOSE(CONTROL!$C$14, $D$10, 100%, $F$10)</f>
        <v>53.6462</v>
      </c>
      <c r="K994" s="4"/>
      <c r="L994" s="9">
        <v>30.7165</v>
      </c>
      <c r="M994" s="9">
        <v>12.063700000000001</v>
      </c>
      <c r="N994" s="9">
        <v>4.9444999999999997</v>
      </c>
      <c r="O994" s="9">
        <v>0.37409999999999999</v>
      </c>
      <c r="P994" s="9">
        <v>1.2183999999999999</v>
      </c>
      <c r="Q994" s="9">
        <v>19.688099999999999</v>
      </c>
      <c r="R994" s="9"/>
      <c r="S994" s="11"/>
    </row>
    <row r="995" spans="1:19" ht="15.75">
      <c r="A995" s="13">
        <v>72198</v>
      </c>
      <c r="B995" s="8">
        <f>CHOOSE( CONTROL!$C$31, 51.2429, 51.24) * CHOOSE(CONTROL!$C$14, $D$10, 100%, $F$10)</f>
        <v>51.242899999999999</v>
      </c>
      <c r="C995" s="8">
        <f>CHOOSE( CONTROL!$C$31, 51.2509, 51.248) * CHOOSE(CONTROL!$C$14, $D$10, 100%, $F$10)</f>
        <v>51.250900000000001</v>
      </c>
      <c r="D995" s="8">
        <f>CHOOSE( CONTROL!$C$31, 51.2562, 51.2532) * CHOOSE( CONTROL!$C$14, $D$10, 100%, $F$10)</f>
        <v>51.2562</v>
      </c>
      <c r="E995" s="12">
        <f>CHOOSE( CONTROL!$C$31, 51.2531, 51.2501) * CHOOSE( CONTROL!$C$14, $D$10, 100%, $F$10)</f>
        <v>51.253100000000003</v>
      </c>
      <c r="F995" s="4">
        <f>CHOOSE( CONTROL!$C$31, 51.9245, 51.9216) * CHOOSE(CONTROL!$C$14, $D$10, 100%, $F$10)</f>
        <v>51.924500000000002</v>
      </c>
      <c r="G995" s="8">
        <f>CHOOSE( CONTROL!$C$31, 50.3641, 50.3612) * CHOOSE( CONTROL!$C$14, $D$10, 100%, $F$10)</f>
        <v>50.364100000000001</v>
      </c>
      <c r="H995" s="4">
        <f>CHOOSE( CONTROL!$C$31, 51.2922, 51.2894) * CHOOSE(CONTROL!$C$14, $D$10, 100%, $F$10)</f>
        <v>51.292200000000001</v>
      </c>
      <c r="I995" s="8">
        <f>CHOOSE( CONTROL!$C$31, 49.624, 49.6212) * CHOOSE(CONTROL!$C$14, $D$10, 100%, $F$10)</f>
        <v>49.624000000000002</v>
      </c>
      <c r="J995" s="4">
        <f>CHOOSE( CONTROL!$C$31, 49.5053, 49.5025) * CHOOSE(CONTROL!$C$14, $D$10, 100%, $F$10)</f>
        <v>49.505299999999998</v>
      </c>
      <c r="K995" s="4"/>
      <c r="L995" s="9">
        <v>30.7165</v>
      </c>
      <c r="M995" s="9">
        <v>12.063700000000001</v>
      </c>
      <c r="N995" s="9">
        <v>4.9444999999999997</v>
      </c>
      <c r="O995" s="9">
        <v>0.37409999999999999</v>
      </c>
      <c r="P995" s="9">
        <v>1.2183999999999999</v>
      </c>
      <c r="Q995" s="9">
        <v>19.688099999999999</v>
      </c>
      <c r="R995" s="9"/>
      <c r="S995" s="11"/>
    </row>
    <row r="996" spans="1:19" ht="15.75">
      <c r="A996" s="13">
        <v>72228</v>
      </c>
      <c r="B996" s="8">
        <f>CHOOSE( CONTROL!$C$31, 50.1703, 50.1674) * CHOOSE(CONTROL!$C$14, $D$10, 100%, $F$10)</f>
        <v>50.170299999999997</v>
      </c>
      <c r="C996" s="8">
        <f>CHOOSE( CONTROL!$C$31, 50.1783, 50.1754) * CHOOSE(CONTROL!$C$14, $D$10, 100%, $F$10)</f>
        <v>50.1783</v>
      </c>
      <c r="D996" s="8">
        <f>CHOOSE( CONTROL!$C$31, 50.1835, 50.1806) * CHOOSE( CONTROL!$C$14, $D$10, 100%, $F$10)</f>
        <v>50.183500000000002</v>
      </c>
      <c r="E996" s="12">
        <f>CHOOSE( CONTROL!$C$31, 50.1804, 50.1775) * CHOOSE( CONTROL!$C$14, $D$10, 100%, $F$10)</f>
        <v>50.180399999999999</v>
      </c>
      <c r="F996" s="4">
        <f>CHOOSE( CONTROL!$C$31, 50.8518, 50.8489) * CHOOSE(CONTROL!$C$14, $D$10, 100%, $F$10)</f>
        <v>50.851799999999997</v>
      </c>
      <c r="G996" s="8">
        <f>CHOOSE( CONTROL!$C$31, 49.3092, 49.3063) * CHOOSE( CONTROL!$C$14, $D$10, 100%, $F$10)</f>
        <v>49.309199999999997</v>
      </c>
      <c r="H996" s="4">
        <f>CHOOSE( CONTROL!$C$31, 50.2374, 50.2345) * CHOOSE(CONTROL!$C$14, $D$10, 100%, $F$10)</f>
        <v>50.237400000000001</v>
      </c>
      <c r="I996" s="8">
        <f>CHOOSE( CONTROL!$C$31, 48.5865, 48.5837) * CHOOSE(CONTROL!$C$14, $D$10, 100%, $F$10)</f>
        <v>48.586500000000001</v>
      </c>
      <c r="J996" s="4">
        <f>CHOOSE( CONTROL!$C$31, 48.4684, 48.4656) * CHOOSE(CONTROL!$C$14, $D$10, 100%, $F$10)</f>
        <v>48.468400000000003</v>
      </c>
      <c r="K996" s="4"/>
      <c r="L996" s="9">
        <v>29.7257</v>
      </c>
      <c r="M996" s="9">
        <v>11.6745</v>
      </c>
      <c r="N996" s="9">
        <v>4.7850000000000001</v>
      </c>
      <c r="O996" s="9">
        <v>0.36199999999999999</v>
      </c>
      <c r="P996" s="9">
        <v>1.1791</v>
      </c>
      <c r="Q996" s="9">
        <v>19.053000000000001</v>
      </c>
      <c r="R996" s="9"/>
      <c r="S996" s="11"/>
    </row>
    <row r="997" spans="1:19" ht="15.75">
      <c r="A997" s="13">
        <v>72259</v>
      </c>
      <c r="B997" s="8">
        <f>52.3928 * CHOOSE(CONTROL!$C$14, $D$10, 100%, $F$10)</f>
        <v>52.392800000000001</v>
      </c>
      <c r="C997" s="8">
        <f>52.3982 * CHOOSE(CONTROL!$C$14, $D$10, 100%, $F$10)</f>
        <v>52.398200000000003</v>
      </c>
      <c r="D997" s="8">
        <f>52.4082 * CHOOSE( CONTROL!$C$14, $D$10, 100%, $F$10)</f>
        <v>52.408200000000001</v>
      </c>
      <c r="E997" s="12">
        <f>52.4043 * CHOOSE( CONTROL!$C$14, $D$10, 100%, $F$10)</f>
        <v>52.404299999999999</v>
      </c>
      <c r="F997" s="4">
        <f>53.0761 * CHOOSE(CONTROL!$C$14, $D$10, 100%, $F$10)</f>
        <v>53.076099999999997</v>
      </c>
      <c r="G997" s="8">
        <f>51.4962 * CHOOSE( CONTROL!$C$14, $D$10, 100%, $F$10)</f>
        <v>51.496200000000002</v>
      </c>
      <c r="H997" s="4">
        <f>52.4247 * CHOOSE(CONTROL!$C$14, $D$10, 100%, $F$10)</f>
        <v>52.424700000000001</v>
      </c>
      <c r="I997" s="8">
        <f>50.7386 * CHOOSE(CONTROL!$C$14, $D$10, 100%, $F$10)</f>
        <v>50.738599999999998</v>
      </c>
      <c r="J997" s="4">
        <f>50.6186 * CHOOSE(CONTROL!$C$14, $D$10, 100%, $F$10)</f>
        <v>50.618600000000001</v>
      </c>
      <c r="K997" s="4"/>
      <c r="L997" s="9">
        <v>31.095300000000002</v>
      </c>
      <c r="M997" s="9">
        <v>12.063700000000001</v>
      </c>
      <c r="N997" s="9">
        <v>4.9444999999999997</v>
      </c>
      <c r="O997" s="9">
        <v>0.37409999999999999</v>
      </c>
      <c r="P997" s="9">
        <v>1.2183999999999999</v>
      </c>
      <c r="Q997" s="9">
        <v>19.688099999999999</v>
      </c>
      <c r="R997" s="9"/>
      <c r="S997" s="11"/>
    </row>
    <row r="998" spans="1:19" ht="15.75">
      <c r="A998" s="13">
        <v>72289</v>
      </c>
      <c r="B998" s="8">
        <f>56.5033 * CHOOSE(CONTROL!$C$14, $D$10, 100%, $F$10)</f>
        <v>56.503300000000003</v>
      </c>
      <c r="C998" s="8">
        <f>56.5084 * CHOOSE(CONTROL!$C$14, $D$10, 100%, $F$10)</f>
        <v>56.508400000000002</v>
      </c>
      <c r="D998" s="8">
        <f>56.4846 * CHOOSE( CONTROL!$C$14, $D$10, 100%, $F$10)</f>
        <v>56.4846</v>
      </c>
      <c r="E998" s="12">
        <f>56.4928 * CHOOSE( CONTROL!$C$14, $D$10, 100%, $F$10)</f>
        <v>56.492800000000003</v>
      </c>
      <c r="F998" s="4">
        <f>57.1508 * CHOOSE(CONTROL!$C$14, $D$10, 100%, $F$10)</f>
        <v>57.150799999999997</v>
      </c>
      <c r="G998" s="8">
        <f>55.5488 * CHOOSE( CONTROL!$C$14, $D$10, 100%, $F$10)</f>
        <v>55.5488</v>
      </c>
      <c r="H998" s="4">
        <f>56.4319 * CHOOSE(CONTROL!$C$14, $D$10, 100%, $F$10)</f>
        <v>56.431899999999999</v>
      </c>
      <c r="I998" s="8">
        <f>54.7451 * CHOOSE(CONTROL!$C$14, $D$10, 100%, $F$10)</f>
        <v>54.745100000000001</v>
      </c>
      <c r="J998" s="4">
        <f>54.5926 * CHOOSE(CONTROL!$C$14, $D$10, 100%, $F$10)</f>
        <v>54.592599999999997</v>
      </c>
      <c r="K998" s="4"/>
      <c r="L998" s="9">
        <v>28.360600000000002</v>
      </c>
      <c r="M998" s="9">
        <v>11.6745</v>
      </c>
      <c r="N998" s="9">
        <v>4.7850000000000001</v>
      </c>
      <c r="O998" s="9">
        <v>0.36199999999999999</v>
      </c>
      <c r="P998" s="9">
        <v>1.2509999999999999</v>
      </c>
      <c r="Q998" s="9">
        <v>19.053000000000001</v>
      </c>
      <c r="R998" s="9"/>
      <c r="S998" s="11"/>
    </row>
    <row r="999" spans="1:19" ht="15.75">
      <c r="A999" s="13">
        <v>72320</v>
      </c>
      <c r="B999" s="8">
        <f>56.4006 * CHOOSE(CONTROL!$C$14, $D$10, 100%, $F$10)</f>
        <v>56.400599999999997</v>
      </c>
      <c r="C999" s="8">
        <f>56.4057 * CHOOSE(CONTROL!$C$14, $D$10, 100%, $F$10)</f>
        <v>56.405700000000003</v>
      </c>
      <c r="D999" s="8">
        <f>56.3833 * CHOOSE( CONTROL!$C$14, $D$10, 100%, $F$10)</f>
        <v>56.383299999999998</v>
      </c>
      <c r="E999" s="12">
        <f>56.3909 * CHOOSE( CONTROL!$C$14, $D$10, 100%, $F$10)</f>
        <v>56.390900000000002</v>
      </c>
      <c r="F999" s="4">
        <f>57.0481 * CHOOSE(CONTROL!$C$14, $D$10, 100%, $F$10)</f>
        <v>57.048099999999998</v>
      </c>
      <c r="G999" s="8">
        <f>55.4488 * CHOOSE( CONTROL!$C$14, $D$10, 100%, $F$10)</f>
        <v>55.448799999999999</v>
      </c>
      <c r="H999" s="4">
        <f>56.3309 * CHOOSE(CONTROL!$C$14, $D$10, 100%, $F$10)</f>
        <v>56.3309</v>
      </c>
      <c r="I999" s="8">
        <f>54.6501 * CHOOSE(CONTROL!$C$14, $D$10, 100%, $F$10)</f>
        <v>54.650100000000002</v>
      </c>
      <c r="J999" s="4">
        <f>54.4933 * CHOOSE(CONTROL!$C$14, $D$10, 100%, $F$10)</f>
        <v>54.493299999999998</v>
      </c>
      <c r="K999" s="4"/>
      <c r="L999" s="9">
        <v>29.306000000000001</v>
      </c>
      <c r="M999" s="9">
        <v>12.063700000000001</v>
      </c>
      <c r="N999" s="9">
        <v>4.9444999999999997</v>
      </c>
      <c r="O999" s="9">
        <v>0.37409999999999999</v>
      </c>
      <c r="P999" s="9">
        <v>1.2927</v>
      </c>
      <c r="Q999" s="9">
        <v>19.688099999999999</v>
      </c>
      <c r="R999" s="9"/>
      <c r="S999" s="11"/>
    </row>
    <row r="1000" spans="1:19" ht="15.75">
      <c r="A1000" s="13">
        <v>72351</v>
      </c>
      <c r="B1000" s="8">
        <f>58.5551 * CHOOSE(CONTROL!$C$14, $D$10, 100%, $F$10)</f>
        <v>58.555100000000003</v>
      </c>
      <c r="C1000" s="8">
        <f>58.5602 * CHOOSE(CONTROL!$C$14, $D$10, 100%, $F$10)</f>
        <v>58.560200000000002</v>
      </c>
      <c r="D1000" s="8">
        <f>58.556 * CHOOSE( CONTROL!$C$14, $D$10, 100%, $F$10)</f>
        <v>58.555999999999997</v>
      </c>
      <c r="E1000" s="12">
        <f>58.557 * CHOOSE( CONTROL!$C$14, $D$10, 100%, $F$10)</f>
        <v>58.557000000000002</v>
      </c>
      <c r="F1000" s="4">
        <f>59.2336 * CHOOSE(CONTROL!$C$14, $D$10, 100%, $F$10)</f>
        <v>59.233600000000003</v>
      </c>
      <c r="G1000" s="8">
        <f>57.5817 * CHOOSE( CONTROL!$C$14, $D$10, 100%, $F$10)</f>
        <v>57.581699999999998</v>
      </c>
      <c r="H1000" s="4">
        <f>58.4801 * CHOOSE(CONTROL!$C$14, $D$10, 100%, $F$10)</f>
        <v>58.4801</v>
      </c>
      <c r="I1000" s="8">
        <f>56.7129 * CHOOSE(CONTROL!$C$14, $D$10, 100%, $F$10)</f>
        <v>56.712899999999998</v>
      </c>
      <c r="J1000" s="4">
        <f>56.576 * CHOOSE(CONTROL!$C$14, $D$10, 100%, $F$10)</f>
        <v>56.576000000000001</v>
      </c>
      <c r="K1000" s="4"/>
      <c r="L1000" s="9">
        <v>29.306000000000001</v>
      </c>
      <c r="M1000" s="9">
        <v>12.063700000000001</v>
      </c>
      <c r="N1000" s="9">
        <v>4.9444999999999997</v>
      </c>
      <c r="O1000" s="9">
        <v>0.37409999999999999</v>
      </c>
      <c r="P1000" s="9">
        <v>1.2927</v>
      </c>
      <c r="Q1000" s="9">
        <v>19.688099999999999</v>
      </c>
      <c r="R1000" s="9"/>
      <c r="S1000" s="11"/>
    </row>
    <row r="1001" spans="1:19" ht="15.75">
      <c r="A1001" s="13">
        <v>72379</v>
      </c>
      <c r="B1001" s="8">
        <f>54.7715 * CHOOSE(CONTROL!$C$14, $D$10, 100%, $F$10)</f>
        <v>54.771500000000003</v>
      </c>
      <c r="C1001" s="8">
        <f>54.7766 * CHOOSE(CONTROL!$C$14, $D$10, 100%, $F$10)</f>
        <v>54.776600000000002</v>
      </c>
      <c r="D1001" s="8">
        <f>54.7665 * CHOOSE( CONTROL!$C$14, $D$10, 100%, $F$10)</f>
        <v>54.766500000000001</v>
      </c>
      <c r="E1001" s="12">
        <f>54.7696 * CHOOSE( CONTROL!$C$14, $D$10, 100%, $F$10)</f>
        <v>54.769599999999997</v>
      </c>
      <c r="F1001" s="4">
        <f>55.4242 * CHOOSE(CONTROL!$C$14, $D$10, 100%, $F$10)</f>
        <v>55.424199999999999</v>
      </c>
      <c r="G1001" s="8">
        <f>53.8528 * CHOOSE( CONTROL!$C$14, $D$10, 100%, $F$10)</f>
        <v>53.852800000000002</v>
      </c>
      <c r="H1001" s="4">
        <f>54.7339 * CHOOSE(CONTROL!$C$14, $D$10, 100%, $F$10)</f>
        <v>54.733899999999998</v>
      </c>
      <c r="I1001" s="8">
        <f>53.0442 * CHOOSE(CONTROL!$C$14, $D$10, 100%, $F$10)</f>
        <v>53.044199999999996</v>
      </c>
      <c r="J1001" s="4">
        <f>52.9185 * CHOOSE(CONTROL!$C$14, $D$10, 100%, $F$10)</f>
        <v>52.918500000000002</v>
      </c>
      <c r="K1001" s="4"/>
      <c r="L1001" s="9">
        <v>26.469899999999999</v>
      </c>
      <c r="M1001" s="9">
        <v>10.8962</v>
      </c>
      <c r="N1001" s="9">
        <v>4.4660000000000002</v>
      </c>
      <c r="O1001" s="9">
        <v>0.33789999999999998</v>
      </c>
      <c r="P1001" s="9">
        <v>1.1676</v>
      </c>
      <c r="Q1001" s="9">
        <v>17.782800000000002</v>
      </c>
      <c r="R1001" s="9"/>
      <c r="S1001" s="11"/>
    </row>
    <row r="1002" spans="1:19" ht="15.75">
      <c r="A1002" s="13">
        <v>72410</v>
      </c>
      <c r="B1002" s="8">
        <f>53.6062 * CHOOSE(CONTROL!$C$14, $D$10, 100%, $F$10)</f>
        <v>53.606200000000001</v>
      </c>
      <c r="C1002" s="8">
        <f>53.6113 * CHOOSE(CONTROL!$C$14, $D$10, 100%, $F$10)</f>
        <v>53.6113</v>
      </c>
      <c r="D1002" s="8">
        <f>53.5947 * CHOOSE( CONTROL!$C$14, $D$10, 100%, $F$10)</f>
        <v>53.594700000000003</v>
      </c>
      <c r="E1002" s="12">
        <f>53.6002 * CHOOSE( CONTROL!$C$14, $D$10, 100%, $F$10)</f>
        <v>53.600200000000001</v>
      </c>
      <c r="F1002" s="4">
        <f>54.2588 * CHOOSE(CONTROL!$C$14, $D$10, 100%, $F$10)</f>
        <v>54.258800000000001</v>
      </c>
      <c r="G1002" s="8">
        <f>52.6986 * CHOOSE( CONTROL!$C$14, $D$10, 100%, $F$10)</f>
        <v>52.698599999999999</v>
      </c>
      <c r="H1002" s="4">
        <f>53.5879 * CHOOSE(CONTROL!$C$14, $D$10, 100%, $F$10)</f>
        <v>53.587899999999998</v>
      </c>
      <c r="I1002" s="8">
        <f>51.897 * CHOOSE(CONTROL!$C$14, $D$10, 100%, $F$10)</f>
        <v>51.896999999999998</v>
      </c>
      <c r="J1002" s="4">
        <f>51.7919 * CHOOSE(CONTROL!$C$14, $D$10, 100%, $F$10)</f>
        <v>51.791899999999998</v>
      </c>
      <c r="K1002" s="4"/>
      <c r="L1002" s="9">
        <v>29.306000000000001</v>
      </c>
      <c r="M1002" s="9">
        <v>12.063700000000001</v>
      </c>
      <c r="N1002" s="9">
        <v>4.9444999999999997</v>
      </c>
      <c r="O1002" s="9">
        <v>0.37409999999999999</v>
      </c>
      <c r="P1002" s="9">
        <v>1.2927</v>
      </c>
      <c r="Q1002" s="9">
        <v>19.688099999999999</v>
      </c>
      <c r="R1002" s="9"/>
      <c r="S1002" s="11"/>
    </row>
    <row r="1003" spans="1:19" ht="15.75">
      <c r="A1003" s="13">
        <v>72440</v>
      </c>
      <c r="B1003" s="8">
        <f>54.4213 * CHOOSE(CONTROL!$C$14, $D$10, 100%, $F$10)</f>
        <v>54.421300000000002</v>
      </c>
      <c r="C1003" s="8">
        <f>54.4258 * CHOOSE(CONTROL!$C$14, $D$10, 100%, $F$10)</f>
        <v>54.425800000000002</v>
      </c>
      <c r="D1003" s="8">
        <f>54.4353 * CHOOSE( CONTROL!$C$14, $D$10, 100%, $F$10)</f>
        <v>54.435299999999998</v>
      </c>
      <c r="E1003" s="12">
        <f>54.4316 * CHOOSE( CONTROL!$C$14, $D$10, 100%, $F$10)</f>
        <v>54.431600000000003</v>
      </c>
      <c r="F1003" s="4">
        <f>55.1042 * CHOOSE(CONTROL!$C$14, $D$10, 100%, $F$10)</f>
        <v>55.104199999999999</v>
      </c>
      <c r="G1003" s="8">
        <f>53.4893 * CHOOSE( CONTROL!$C$14, $D$10, 100%, $F$10)</f>
        <v>53.4893</v>
      </c>
      <c r="H1003" s="4">
        <f>54.4192 * CHOOSE(CONTROL!$C$14, $D$10, 100%, $F$10)</f>
        <v>54.419199999999996</v>
      </c>
      <c r="I1003" s="8">
        <f>52.6955 * CHOOSE(CONTROL!$C$14, $D$10, 100%, $F$10)</f>
        <v>52.695500000000003</v>
      </c>
      <c r="J1003" s="4">
        <f>52.5791 * CHOOSE(CONTROL!$C$14, $D$10, 100%, $F$10)</f>
        <v>52.579099999999997</v>
      </c>
      <c r="K1003" s="4"/>
      <c r="L1003" s="9">
        <v>30.092199999999998</v>
      </c>
      <c r="M1003" s="9">
        <v>11.6745</v>
      </c>
      <c r="N1003" s="9">
        <v>4.7850000000000001</v>
      </c>
      <c r="O1003" s="9">
        <v>0.36199999999999999</v>
      </c>
      <c r="P1003" s="9">
        <v>1.1791</v>
      </c>
      <c r="Q1003" s="9">
        <v>19.053000000000001</v>
      </c>
      <c r="R1003" s="9"/>
      <c r="S1003" s="11"/>
    </row>
    <row r="1004" spans="1:19" ht="15.75">
      <c r="A1004" s="13">
        <v>72471</v>
      </c>
      <c r="B1004" s="8">
        <f>CHOOSE( CONTROL!$C$31, 55.8748, 55.8719) * CHOOSE(CONTROL!$C$14, $D$10, 100%, $F$10)</f>
        <v>55.8748</v>
      </c>
      <c r="C1004" s="8">
        <f>CHOOSE( CONTROL!$C$31, 55.8828, 55.8799) * CHOOSE(CONTROL!$C$14, $D$10, 100%, $F$10)</f>
        <v>55.882800000000003</v>
      </c>
      <c r="D1004" s="8">
        <f>CHOOSE( CONTROL!$C$31, 55.8875, 55.8845) * CHOOSE( CONTROL!$C$14, $D$10, 100%, $F$10)</f>
        <v>55.887500000000003</v>
      </c>
      <c r="E1004" s="12">
        <f>CHOOSE( CONTROL!$C$31, 55.8846, 55.8816) * CHOOSE( CONTROL!$C$14, $D$10, 100%, $F$10)</f>
        <v>55.884599999999999</v>
      </c>
      <c r="F1004" s="4">
        <f>CHOOSE( CONTROL!$C$31, 56.5564, 56.5534) * CHOOSE(CONTROL!$C$14, $D$10, 100%, $F$10)</f>
        <v>56.556399999999996</v>
      </c>
      <c r="G1004" s="8">
        <f>CHOOSE( CONTROL!$C$31, 54.9183, 54.9154) * CHOOSE( CONTROL!$C$14, $D$10, 100%, $F$10)</f>
        <v>54.918300000000002</v>
      </c>
      <c r="H1004" s="4">
        <f>CHOOSE( CONTROL!$C$31, 55.8473, 55.8444) * CHOOSE(CONTROL!$C$14, $D$10, 100%, $F$10)</f>
        <v>55.847299999999997</v>
      </c>
      <c r="I1004" s="8">
        <f>CHOOSE( CONTROL!$C$31, 54.1011, 54.0983) * CHOOSE(CONTROL!$C$14, $D$10, 100%, $F$10)</f>
        <v>54.101100000000002</v>
      </c>
      <c r="J1004" s="4">
        <f>CHOOSE( CONTROL!$C$31, 53.983, 53.9801) * CHOOSE(CONTROL!$C$14, $D$10, 100%, $F$10)</f>
        <v>53.982999999999997</v>
      </c>
      <c r="K1004" s="4"/>
      <c r="L1004" s="9">
        <v>30.7165</v>
      </c>
      <c r="M1004" s="9">
        <v>12.063700000000001</v>
      </c>
      <c r="N1004" s="9">
        <v>4.9444999999999997</v>
      </c>
      <c r="O1004" s="9">
        <v>0.37409999999999999</v>
      </c>
      <c r="P1004" s="9">
        <v>1.2183999999999999</v>
      </c>
      <c r="Q1004" s="9">
        <v>19.688099999999999</v>
      </c>
      <c r="R1004" s="9"/>
      <c r="S1004" s="11"/>
    </row>
    <row r="1005" spans="1:19" ht="15.75">
      <c r="A1005" s="13">
        <v>72501</v>
      </c>
      <c r="B1005" s="8">
        <f>CHOOSE( CONTROL!$C$31, 54.977, 54.9741) * CHOOSE(CONTROL!$C$14, $D$10, 100%, $F$10)</f>
        <v>54.976999999999997</v>
      </c>
      <c r="C1005" s="8">
        <f>CHOOSE( CONTROL!$C$31, 54.9851, 54.9821) * CHOOSE(CONTROL!$C$14, $D$10, 100%, $F$10)</f>
        <v>54.985100000000003</v>
      </c>
      <c r="D1005" s="8">
        <f>CHOOSE( CONTROL!$C$31, 54.9899, 54.987) * CHOOSE( CONTROL!$C$14, $D$10, 100%, $F$10)</f>
        <v>54.989899999999999</v>
      </c>
      <c r="E1005" s="12">
        <f>CHOOSE( CONTROL!$C$31, 54.9869, 54.984) * CHOOSE( CONTROL!$C$14, $D$10, 100%, $F$10)</f>
        <v>54.986899999999999</v>
      </c>
      <c r="F1005" s="4">
        <f>CHOOSE( CONTROL!$C$31, 55.6586, 55.6557) * CHOOSE(CONTROL!$C$14, $D$10, 100%, $F$10)</f>
        <v>55.6586</v>
      </c>
      <c r="G1005" s="8">
        <f>CHOOSE( CONTROL!$C$31, 54.0358, 54.0329) * CHOOSE( CONTROL!$C$14, $D$10, 100%, $F$10)</f>
        <v>54.035800000000002</v>
      </c>
      <c r="H1005" s="4">
        <f>CHOOSE( CONTROL!$C$31, 54.9644, 54.9616) * CHOOSE(CONTROL!$C$14, $D$10, 100%, $F$10)</f>
        <v>54.964399999999998</v>
      </c>
      <c r="I1005" s="8">
        <f>CHOOSE( CONTROL!$C$31, 53.234, 53.2312) * CHOOSE(CONTROL!$C$14, $D$10, 100%, $F$10)</f>
        <v>53.234000000000002</v>
      </c>
      <c r="J1005" s="4">
        <f>CHOOSE( CONTROL!$C$31, 53.1151, 53.1123) * CHOOSE(CONTROL!$C$14, $D$10, 100%, $F$10)</f>
        <v>53.115099999999998</v>
      </c>
      <c r="K1005" s="4"/>
      <c r="L1005" s="9">
        <v>29.7257</v>
      </c>
      <c r="M1005" s="9">
        <v>11.6745</v>
      </c>
      <c r="N1005" s="9">
        <v>4.7850000000000001</v>
      </c>
      <c r="O1005" s="9">
        <v>0.36199999999999999</v>
      </c>
      <c r="P1005" s="9">
        <v>1.1791</v>
      </c>
      <c r="Q1005" s="9">
        <v>19.053000000000001</v>
      </c>
      <c r="R1005" s="9"/>
      <c r="S1005" s="11"/>
    </row>
    <row r="1006" spans="1:19" ht="15.75">
      <c r="A1006" s="13">
        <v>72532</v>
      </c>
      <c r="B1006" s="8">
        <f>CHOOSE( CONTROL!$C$31, 57.3412, 57.3383) * CHOOSE(CONTROL!$C$14, $D$10, 100%, $F$10)</f>
        <v>57.341200000000001</v>
      </c>
      <c r="C1006" s="8">
        <f>CHOOSE( CONTROL!$C$31, 57.3492, 57.3463) * CHOOSE(CONTROL!$C$14, $D$10, 100%, $F$10)</f>
        <v>57.349200000000003</v>
      </c>
      <c r="D1006" s="8">
        <f>CHOOSE( CONTROL!$C$31, 57.3543, 57.3514) * CHOOSE( CONTROL!$C$14, $D$10, 100%, $F$10)</f>
        <v>57.354300000000002</v>
      </c>
      <c r="E1006" s="12">
        <f>CHOOSE( CONTROL!$C$31, 57.3512, 57.3483) * CHOOSE( CONTROL!$C$14, $D$10, 100%, $F$10)</f>
        <v>57.351199999999999</v>
      </c>
      <c r="F1006" s="4">
        <f>CHOOSE( CONTROL!$C$31, 58.0228, 58.0198) * CHOOSE(CONTROL!$C$14, $D$10, 100%, $F$10)</f>
        <v>58.022799999999997</v>
      </c>
      <c r="G1006" s="8">
        <f>CHOOSE( CONTROL!$C$31, 56.3611, 56.3582) * CHOOSE( CONTROL!$C$14, $D$10, 100%, $F$10)</f>
        <v>56.3611</v>
      </c>
      <c r="H1006" s="4">
        <f>CHOOSE( CONTROL!$C$31, 57.2894, 57.2865) * CHOOSE(CONTROL!$C$14, $D$10, 100%, $F$10)</f>
        <v>57.289400000000001</v>
      </c>
      <c r="I1006" s="8">
        <f>CHOOSE( CONTROL!$C$31, 55.5218, 55.5189) * CHOOSE(CONTROL!$C$14, $D$10, 100%, $F$10)</f>
        <v>55.521799999999999</v>
      </c>
      <c r="J1006" s="4">
        <f>CHOOSE( CONTROL!$C$31, 55.4005, 55.3977) * CHOOSE(CONTROL!$C$14, $D$10, 100%, $F$10)</f>
        <v>55.400500000000001</v>
      </c>
      <c r="K1006" s="4"/>
      <c r="L1006" s="9">
        <v>30.7165</v>
      </c>
      <c r="M1006" s="9">
        <v>12.063700000000001</v>
      </c>
      <c r="N1006" s="9">
        <v>4.9444999999999997</v>
      </c>
      <c r="O1006" s="9">
        <v>0.37409999999999999</v>
      </c>
      <c r="P1006" s="9">
        <v>1.2183999999999999</v>
      </c>
      <c r="Q1006" s="9">
        <v>19.688099999999999</v>
      </c>
      <c r="R1006" s="9"/>
      <c r="S1006" s="11"/>
    </row>
    <row r="1007" spans="1:19" ht="15.75">
      <c r="A1007" s="13">
        <v>72563</v>
      </c>
      <c r="B1007" s="8">
        <f>CHOOSE( CONTROL!$C$31, 52.9176, 52.9147) * CHOOSE(CONTROL!$C$14, $D$10, 100%, $F$10)</f>
        <v>52.9176</v>
      </c>
      <c r="C1007" s="8">
        <f>CHOOSE( CONTROL!$C$31, 52.9256, 52.9227) * CHOOSE(CONTROL!$C$14, $D$10, 100%, $F$10)</f>
        <v>52.925600000000003</v>
      </c>
      <c r="D1007" s="8">
        <f>CHOOSE( CONTROL!$C$31, 52.9308, 52.9279) * CHOOSE( CONTROL!$C$14, $D$10, 100%, $F$10)</f>
        <v>52.930799999999998</v>
      </c>
      <c r="E1007" s="12">
        <f>CHOOSE( CONTROL!$C$31, 52.9277, 52.9248) * CHOOSE( CONTROL!$C$14, $D$10, 100%, $F$10)</f>
        <v>52.927700000000002</v>
      </c>
      <c r="F1007" s="4">
        <f>CHOOSE( CONTROL!$C$31, 53.5992, 53.5962) * CHOOSE(CONTROL!$C$14, $D$10, 100%, $F$10)</f>
        <v>53.599200000000003</v>
      </c>
      <c r="G1007" s="8">
        <f>CHOOSE( CONTROL!$C$31, 52.011, 52.0081) * CHOOSE( CONTROL!$C$14, $D$10, 100%, $F$10)</f>
        <v>52.011000000000003</v>
      </c>
      <c r="H1007" s="4">
        <f>CHOOSE( CONTROL!$C$31, 52.9391, 52.9363) * CHOOSE(CONTROL!$C$14, $D$10, 100%, $F$10)</f>
        <v>52.939100000000003</v>
      </c>
      <c r="I1007" s="8">
        <f>CHOOSE( CONTROL!$C$31, 51.2437, 51.2409) * CHOOSE(CONTROL!$C$14, $D$10, 100%, $F$10)</f>
        <v>51.243699999999997</v>
      </c>
      <c r="J1007" s="4">
        <f>CHOOSE( CONTROL!$C$31, 51.1242, 51.1214) * CHOOSE(CONTROL!$C$14, $D$10, 100%, $F$10)</f>
        <v>51.124200000000002</v>
      </c>
      <c r="K1007" s="4"/>
      <c r="L1007" s="9">
        <v>30.7165</v>
      </c>
      <c r="M1007" s="9">
        <v>12.063700000000001</v>
      </c>
      <c r="N1007" s="9">
        <v>4.9444999999999997</v>
      </c>
      <c r="O1007" s="9">
        <v>0.37409999999999999</v>
      </c>
      <c r="P1007" s="9">
        <v>1.2183999999999999</v>
      </c>
      <c r="Q1007" s="9">
        <v>19.688099999999999</v>
      </c>
      <c r="R1007" s="9"/>
      <c r="S1007" s="11"/>
    </row>
    <row r="1008" spans="1:19" ht="15.75">
      <c r="A1008" s="13">
        <v>72593</v>
      </c>
      <c r="B1008" s="8">
        <f>CHOOSE( CONTROL!$C$31, 51.8099, 51.807) * CHOOSE(CONTROL!$C$14, $D$10, 100%, $F$10)</f>
        <v>51.809899999999999</v>
      </c>
      <c r="C1008" s="8">
        <f>CHOOSE( CONTROL!$C$31, 51.8179, 51.815) * CHOOSE(CONTROL!$C$14, $D$10, 100%, $F$10)</f>
        <v>51.817900000000002</v>
      </c>
      <c r="D1008" s="8">
        <f>CHOOSE( CONTROL!$C$31, 51.8231, 51.8202) * CHOOSE( CONTROL!$C$14, $D$10, 100%, $F$10)</f>
        <v>51.823099999999997</v>
      </c>
      <c r="E1008" s="12">
        <f>CHOOSE( CONTROL!$C$31, 51.82, 51.8171) * CHOOSE( CONTROL!$C$14, $D$10, 100%, $F$10)</f>
        <v>51.82</v>
      </c>
      <c r="F1008" s="4">
        <f>CHOOSE( CONTROL!$C$31, 52.4914, 52.4885) * CHOOSE(CONTROL!$C$14, $D$10, 100%, $F$10)</f>
        <v>52.491399999999999</v>
      </c>
      <c r="G1008" s="8">
        <f>CHOOSE( CONTROL!$C$31, 50.9216, 50.9188) * CHOOSE( CONTROL!$C$14, $D$10, 100%, $F$10)</f>
        <v>50.921599999999998</v>
      </c>
      <c r="H1008" s="4">
        <f>CHOOSE( CONTROL!$C$31, 51.8498, 51.8469) * CHOOSE(CONTROL!$C$14, $D$10, 100%, $F$10)</f>
        <v>51.849800000000002</v>
      </c>
      <c r="I1008" s="8">
        <f>CHOOSE( CONTROL!$C$31, 50.1723, 50.1695) * CHOOSE(CONTROL!$C$14, $D$10, 100%, $F$10)</f>
        <v>50.1723</v>
      </c>
      <c r="J1008" s="4">
        <f>CHOOSE( CONTROL!$C$31, 50.0534, 50.0506) * CHOOSE(CONTROL!$C$14, $D$10, 100%, $F$10)</f>
        <v>50.053400000000003</v>
      </c>
      <c r="K1008" s="4"/>
      <c r="L1008" s="9">
        <v>29.7257</v>
      </c>
      <c r="M1008" s="9">
        <v>11.6745</v>
      </c>
      <c r="N1008" s="9">
        <v>4.7850000000000001</v>
      </c>
      <c r="O1008" s="9">
        <v>0.36199999999999999</v>
      </c>
      <c r="P1008" s="9">
        <v>1.1791</v>
      </c>
      <c r="Q1008" s="9">
        <v>19.053000000000001</v>
      </c>
      <c r="R1008" s="9"/>
      <c r="S1008" s="11"/>
    </row>
    <row r="1009" spans="1:19" ht="15.75">
      <c r="A1009" s="13">
        <v>72624</v>
      </c>
      <c r="B1009" s="8">
        <f>54.1052 * CHOOSE(CONTROL!$C$14, $D$10, 100%, $F$10)</f>
        <v>54.105200000000004</v>
      </c>
      <c r="C1009" s="8">
        <f>54.1106 * CHOOSE(CONTROL!$C$14, $D$10, 100%, $F$10)</f>
        <v>54.110599999999998</v>
      </c>
      <c r="D1009" s="8">
        <f>54.1206 * CHOOSE( CONTROL!$C$14, $D$10, 100%, $F$10)</f>
        <v>54.120600000000003</v>
      </c>
      <c r="E1009" s="12">
        <f>54.1167 * CHOOSE( CONTROL!$C$14, $D$10, 100%, $F$10)</f>
        <v>54.116700000000002</v>
      </c>
      <c r="F1009" s="4">
        <f>54.7885 * CHOOSE(CONTROL!$C$14, $D$10, 100%, $F$10)</f>
        <v>54.788499999999999</v>
      </c>
      <c r="G1009" s="8">
        <f>53.1803 * CHOOSE( CONTROL!$C$14, $D$10, 100%, $F$10)</f>
        <v>53.180300000000003</v>
      </c>
      <c r="H1009" s="4">
        <f>54.1088 * CHOOSE(CONTROL!$C$14, $D$10, 100%, $F$10)</f>
        <v>54.108800000000002</v>
      </c>
      <c r="I1009" s="8">
        <f>52.3948 * CHOOSE(CONTROL!$C$14, $D$10, 100%, $F$10)</f>
        <v>52.394799999999996</v>
      </c>
      <c r="J1009" s="4">
        <f>52.274 * CHOOSE(CONTROL!$C$14, $D$10, 100%, $F$10)</f>
        <v>52.274000000000001</v>
      </c>
      <c r="K1009" s="4"/>
      <c r="L1009" s="9">
        <v>31.095300000000002</v>
      </c>
      <c r="M1009" s="9">
        <v>12.063700000000001</v>
      </c>
      <c r="N1009" s="9">
        <v>4.9444999999999997</v>
      </c>
      <c r="O1009" s="9">
        <v>0.37409999999999999</v>
      </c>
      <c r="P1009" s="9">
        <v>1.2183999999999999</v>
      </c>
      <c r="Q1009" s="9">
        <v>19.688099999999999</v>
      </c>
      <c r="R1009" s="9"/>
      <c r="S1009" s="11"/>
    </row>
    <row r="1010" spans="1:19" ht="15.75">
      <c r="A1010" s="13">
        <v>72654</v>
      </c>
      <c r="B1010" s="8">
        <f>58.3502 * CHOOSE(CONTROL!$C$14, $D$10, 100%, $F$10)</f>
        <v>58.350200000000001</v>
      </c>
      <c r="C1010" s="8">
        <f>58.3553 * CHOOSE(CONTROL!$C$14, $D$10, 100%, $F$10)</f>
        <v>58.3553</v>
      </c>
      <c r="D1010" s="8">
        <f>58.3315 * CHOOSE( CONTROL!$C$14, $D$10, 100%, $F$10)</f>
        <v>58.331499999999998</v>
      </c>
      <c r="E1010" s="12">
        <f>58.3397 * CHOOSE( CONTROL!$C$14, $D$10, 100%, $F$10)</f>
        <v>58.339700000000001</v>
      </c>
      <c r="F1010" s="4">
        <f>58.9977 * CHOOSE(CONTROL!$C$14, $D$10, 100%, $F$10)</f>
        <v>58.997700000000002</v>
      </c>
      <c r="G1010" s="8">
        <f>57.365 * CHOOSE( CONTROL!$C$14, $D$10, 100%, $F$10)</f>
        <v>57.365000000000002</v>
      </c>
      <c r="H1010" s="4">
        <f>58.2481 * CHOOSE(CONTROL!$C$14, $D$10, 100%, $F$10)</f>
        <v>58.248100000000001</v>
      </c>
      <c r="I1010" s="8">
        <f>56.5313 * CHOOSE(CONTROL!$C$14, $D$10, 100%, $F$10)</f>
        <v>56.531300000000002</v>
      </c>
      <c r="J1010" s="4">
        <f>56.378 * CHOOSE(CONTROL!$C$14, $D$10, 100%, $F$10)</f>
        <v>56.378</v>
      </c>
      <c r="K1010" s="4"/>
      <c r="L1010" s="9">
        <v>28.360600000000002</v>
      </c>
      <c r="M1010" s="9">
        <v>11.6745</v>
      </c>
      <c r="N1010" s="9">
        <v>4.7850000000000001</v>
      </c>
      <c r="O1010" s="9">
        <v>0.36199999999999999</v>
      </c>
      <c r="P1010" s="9">
        <v>1.2509999999999999</v>
      </c>
      <c r="Q1010" s="9">
        <v>19.053000000000001</v>
      </c>
      <c r="R1010" s="9"/>
      <c r="S1010" s="11"/>
    </row>
    <row r="1011" spans="1:19" ht="15.75">
      <c r="A1011" s="13">
        <v>72685</v>
      </c>
      <c r="B1011" s="8">
        <f>58.2441 * CHOOSE(CONTROL!$C$14, $D$10, 100%, $F$10)</f>
        <v>58.244100000000003</v>
      </c>
      <c r="C1011" s="8">
        <f>58.2492 * CHOOSE(CONTROL!$C$14, $D$10, 100%, $F$10)</f>
        <v>58.249200000000002</v>
      </c>
      <c r="D1011" s="8">
        <f>58.2268 * CHOOSE( CONTROL!$C$14, $D$10, 100%, $F$10)</f>
        <v>58.226799999999997</v>
      </c>
      <c r="E1011" s="12">
        <f>58.2344 * CHOOSE( CONTROL!$C$14, $D$10, 100%, $F$10)</f>
        <v>58.234400000000001</v>
      </c>
      <c r="F1011" s="4">
        <f>58.8916 * CHOOSE(CONTROL!$C$14, $D$10, 100%, $F$10)</f>
        <v>58.891599999999997</v>
      </c>
      <c r="G1011" s="8">
        <f>57.2617 * CHOOSE( CONTROL!$C$14, $D$10, 100%, $F$10)</f>
        <v>57.261699999999998</v>
      </c>
      <c r="H1011" s="4">
        <f>58.1438 * CHOOSE(CONTROL!$C$14, $D$10, 100%, $F$10)</f>
        <v>58.143799999999999</v>
      </c>
      <c r="I1011" s="8">
        <f>56.4332 * CHOOSE(CONTROL!$C$14, $D$10, 100%, $F$10)</f>
        <v>56.433199999999999</v>
      </c>
      <c r="J1011" s="4">
        <f>56.2754 * CHOOSE(CONTROL!$C$14, $D$10, 100%, $F$10)</f>
        <v>56.275399999999998</v>
      </c>
      <c r="K1011" s="4"/>
      <c r="L1011" s="9">
        <v>29.306000000000001</v>
      </c>
      <c r="M1011" s="9">
        <v>12.063700000000001</v>
      </c>
      <c r="N1011" s="9">
        <v>4.9444999999999997</v>
      </c>
      <c r="O1011" s="9">
        <v>0.37409999999999999</v>
      </c>
      <c r="P1011" s="9">
        <v>1.2927</v>
      </c>
      <c r="Q1011" s="9">
        <v>19.688099999999999</v>
      </c>
      <c r="R1011" s="9"/>
      <c r="S1011" s="11"/>
    </row>
    <row r="1012" spans="1:19" ht="15.75">
      <c r="A1012" s="13">
        <v>72716</v>
      </c>
      <c r="B1012" s="8">
        <f>60.469 * CHOOSE(CONTROL!$C$14, $D$10, 100%, $F$10)</f>
        <v>60.469000000000001</v>
      </c>
      <c r="C1012" s="8">
        <f>60.4741 * CHOOSE(CONTROL!$C$14, $D$10, 100%, $F$10)</f>
        <v>60.4741</v>
      </c>
      <c r="D1012" s="8">
        <f>60.47 * CHOOSE( CONTROL!$C$14, $D$10, 100%, $F$10)</f>
        <v>60.47</v>
      </c>
      <c r="E1012" s="12">
        <f>60.471 * CHOOSE( CONTROL!$C$14, $D$10, 100%, $F$10)</f>
        <v>60.470999999999997</v>
      </c>
      <c r="F1012" s="4">
        <f>61.1475 * CHOOSE(CONTROL!$C$14, $D$10, 100%, $F$10)</f>
        <v>61.147500000000001</v>
      </c>
      <c r="G1012" s="8">
        <f>59.4639 * CHOOSE( CONTROL!$C$14, $D$10, 100%, $F$10)</f>
        <v>59.463900000000002</v>
      </c>
      <c r="H1012" s="4">
        <f>60.3624 * CHOOSE(CONTROL!$C$14, $D$10, 100%, $F$10)</f>
        <v>60.362400000000001</v>
      </c>
      <c r="I1012" s="8">
        <f>58.5641 * CHOOSE(CONTROL!$C$14, $D$10, 100%, $F$10)</f>
        <v>58.564100000000003</v>
      </c>
      <c r="J1012" s="4">
        <f>58.4262 * CHOOSE(CONTROL!$C$14, $D$10, 100%, $F$10)</f>
        <v>58.426200000000001</v>
      </c>
      <c r="K1012" s="4"/>
      <c r="L1012" s="9">
        <v>29.306000000000001</v>
      </c>
      <c r="M1012" s="9">
        <v>12.063700000000001</v>
      </c>
      <c r="N1012" s="9">
        <v>4.9444999999999997</v>
      </c>
      <c r="O1012" s="9">
        <v>0.37409999999999999</v>
      </c>
      <c r="P1012" s="9">
        <v>1.2927</v>
      </c>
      <c r="Q1012" s="9">
        <v>19.688099999999999</v>
      </c>
      <c r="R1012" s="9"/>
      <c r="S1012" s="11"/>
    </row>
    <row r="1013" spans="1:19" ht="15.75">
      <c r="A1013" s="13">
        <v>72744</v>
      </c>
      <c r="B1013" s="8">
        <f>56.5618 * CHOOSE(CONTROL!$C$14, $D$10, 100%, $F$10)</f>
        <v>56.561799999999998</v>
      </c>
      <c r="C1013" s="8">
        <f>56.5669 * CHOOSE(CONTROL!$C$14, $D$10, 100%, $F$10)</f>
        <v>56.566899999999997</v>
      </c>
      <c r="D1013" s="8">
        <f>56.5568 * CHOOSE( CONTROL!$C$14, $D$10, 100%, $F$10)</f>
        <v>56.556800000000003</v>
      </c>
      <c r="E1013" s="12">
        <f>56.5599 * CHOOSE( CONTROL!$C$14, $D$10, 100%, $F$10)</f>
        <v>56.559899999999999</v>
      </c>
      <c r="F1013" s="4">
        <f>57.2144 * CHOOSE(CONTROL!$C$14, $D$10, 100%, $F$10)</f>
        <v>57.214399999999998</v>
      </c>
      <c r="G1013" s="8">
        <f>55.6134 * CHOOSE( CONTROL!$C$14, $D$10, 100%, $F$10)</f>
        <v>55.613399999999999</v>
      </c>
      <c r="H1013" s="4">
        <f>56.4944 * CHOOSE(CONTROL!$C$14, $D$10, 100%, $F$10)</f>
        <v>56.494399999999999</v>
      </c>
      <c r="I1013" s="8">
        <f>54.7757 * CHOOSE(CONTROL!$C$14, $D$10, 100%, $F$10)</f>
        <v>54.775700000000001</v>
      </c>
      <c r="J1013" s="4">
        <f>54.6491 * CHOOSE(CONTROL!$C$14, $D$10, 100%, $F$10)</f>
        <v>54.649099999999997</v>
      </c>
      <c r="K1013" s="4"/>
      <c r="L1013" s="9">
        <v>26.469899999999999</v>
      </c>
      <c r="M1013" s="9">
        <v>10.8962</v>
      </c>
      <c r="N1013" s="9">
        <v>4.4660000000000002</v>
      </c>
      <c r="O1013" s="9">
        <v>0.33789999999999998</v>
      </c>
      <c r="P1013" s="9">
        <v>1.1676</v>
      </c>
      <c r="Q1013" s="9">
        <v>17.782800000000002</v>
      </c>
      <c r="R1013" s="9"/>
      <c r="S1013" s="11"/>
    </row>
    <row r="1014" spans="1:19" ht="15.75">
      <c r="A1014" s="13">
        <v>72775</v>
      </c>
      <c r="B1014" s="8">
        <f>55.3583 * CHOOSE(CONTROL!$C$14, $D$10, 100%, $F$10)</f>
        <v>55.3583</v>
      </c>
      <c r="C1014" s="8">
        <f>55.3635 * CHOOSE(CONTROL!$C$14, $D$10, 100%, $F$10)</f>
        <v>55.363500000000002</v>
      </c>
      <c r="D1014" s="8">
        <f>55.3469 * CHOOSE( CONTROL!$C$14, $D$10, 100%, $F$10)</f>
        <v>55.346899999999998</v>
      </c>
      <c r="E1014" s="12">
        <f>55.3524 * CHOOSE( CONTROL!$C$14, $D$10, 100%, $F$10)</f>
        <v>55.352400000000003</v>
      </c>
      <c r="F1014" s="4">
        <f>56.011 * CHOOSE(CONTROL!$C$14, $D$10, 100%, $F$10)</f>
        <v>56.011000000000003</v>
      </c>
      <c r="G1014" s="8">
        <f>54.4217 * CHOOSE( CONTROL!$C$14, $D$10, 100%, $F$10)</f>
        <v>54.421700000000001</v>
      </c>
      <c r="H1014" s="4">
        <f>55.311 * CHOOSE(CONTROL!$C$14, $D$10, 100%, $F$10)</f>
        <v>55.311</v>
      </c>
      <c r="I1014" s="8">
        <f>53.5916 * CHOOSE(CONTROL!$C$14, $D$10, 100%, $F$10)</f>
        <v>53.5916</v>
      </c>
      <c r="J1014" s="4">
        <f>53.4857 * CHOOSE(CONTROL!$C$14, $D$10, 100%, $F$10)</f>
        <v>53.485700000000001</v>
      </c>
      <c r="K1014" s="4"/>
      <c r="L1014" s="9">
        <v>29.306000000000001</v>
      </c>
      <c r="M1014" s="9">
        <v>12.063700000000001</v>
      </c>
      <c r="N1014" s="9">
        <v>4.9444999999999997</v>
      </c>
      <c r="O1014" s="9">
        <v>0.37409999999999999</v>
      </c>
      <c r="P1014" s="9">
        <v>1.2927</v>
      </c>
      <c r="Q1014" s="9">
        <v>19.688099999999999</v>
      </c>
      <c r="R1014" s="9"/>
      <c r="S1014" s="11"/>
    </row>
    <row r="1015" spans="1:19" ht="15.75">
      <c r="A1015" s="13">
        <v>72805</v>
      </c>
      <c r="B1015" s="8">
        <f>56.2 * CHOOSE(CONTROL!$C$14, $D$10, 100%, $F$10)</f>
        <v>56.2</v>
      </c>
      <c r="C1015" s="8">
        <f>56.2046 * CHOOSE(CONTROL!$C$14, $D$10, 100%, $F$10)</f>
        <v>56.204599999999999</v>
      </c>
      <c r="D1015" s="8">
        <f>56.2141 * CHOOSE( CONTROL!$C$14, $D$10, 100%, $F$10)</f>
        <v>56.214100000000002</v>
      </c>
      <c r="E1015" s="12">
        <f>56.2104 * CHOOSE( CONTROL!$C$14, $D$10, 100%, $F$10)</f>
        <v>56.2104</v>
      </c>
      <c r="F1015" s="4">
        <f>56.8829 * CHOOSE(CONTROL!$C$14, $D$10, 100%, $F$10)</f>
        <v>56.882899999999999</v>
      </c>
      <c r="G1015" s="8">
        <f>55.2385 * CHOOSE( CONTROL!$C$14, $D$10, 100%, $F$10)</f>
        <v>55.238500000000002</v>
      </c>
      <c r="H1015" s="4">
        <f>56.1685 * CHOOSE(CONTROL!$C$14, $D$10, 100%, $F$10)</f>
        <v>56.168500000000002</v>
      </c>
      <c r="I1015" s="8">
        <f>54.4159 * CHOOSE(CONTROL!$C$14, $D$10, 100%, $F$10)</f>
        <v>54.415900000000001</v>
      </c>
      <c r="J1015" s="4">
        <f>54.2987 * CHOOSE(CONTROL!$C$14, $D$10, 100%, $F$10)</f>
        <v>54.298699999999997</v>
      </c>
      <c r="K1015" s="4"/>
      <c r="L1015" s="9">
        <v>30.092199999999998</v>
      </c>
      <c r="M1015" s="9">
        <v>11.6745</v>
      </c>
      <c r="N1015" s="9">
        <v>4.7850000000000001</v>
      </c>
      <c r="O1015" s="9">
        <v>0.36199999999999999</v>
      </c>
      <c r="P1015" s="9">
        <v>1.1791</v>
      </c>
      <c r="Q1015" s="9">
        <v>19.053000000000001</v>
      </c>
      <c r="R1015" s="9"/>
      <c r="S1015" s="11"/>
    </row>
    <row r="1016" spans="1:19" ht="15.75">
      <c r="A1016" s="13">
        <v>72836</v>
      </c>
      <c r="B1016" s="8">
        <f>CHOOSE( CONTROL!$C$31, 57.701, 57.6981) * CHOOSE(CONTROL!$C$14, $D$10, 100%, $F$10)</f>
        <v>57.701000000000001</v>
      </c>
      <c r="C1016" s="8">
        <f>CHOOSE( CONTROL!$C$31, 57.709, 57.7061) * CHOOSE(CONTROL!$C$14, $D$10, 100%, $F$10)</f>
        <v>57.709000000000003</v>
      </c>
      <c r="D1016" s="8">
        <f>CHOOSE( CONTROL!$C$31, 57.7136, 57.7107) * CHOOSE( CONTROL!$C$14, $D$10, 100%, $F$10)</f>
        <v>57.7136</v>
      </c>
      <c r="E1016" s="12">
        <f>CHOOSE( CONTROL!$C$31, 57.7107, 57.7078) * CHOOSE( CONTROL!$C$14, $D$10, 100%, $F$10)</f>
        <v>57.710700000000003</v>
      </c>
      <c r="F1016" s="4">
        <f>CHOOSE( CONTROL!$C$31, 58.3825, 58.3796) * CHOOSE(CONTROL!$C$14, $D$10, 100%, $F$10)</f>
        <v>58.3825</v>
      </c>
      <c r="G1016" s="8">
        <f>CHOOSE( CONTROL!$C$31, 56.7142, 56.7113) * CHOOSE( CONTROL!$C$14, $D$10, 100%, $F$10)</f>
        <v>56.714199999999998</v>
      </c>
      <c r="H1016" s="4">
        <f>CHOOSE( CONTROL!$C$31, 57.6432, 57.6403) * CHOOSE(CONTROL!$C$14, $D$10, 100%, $F$10)</f>
        <v>57.6432</v>
      </c>
      <c r="I1016" s="8">
        <f>CHOOSE( CONTROL!$C$31, 55.8673, 55.8645) * CHOOSE(CONTROL!$C$14, $D$10, 100%, $F$10)</f>
        <v>55.8673</v>
      </c>
      <c r="J1016" s="4">
        <f>CHOOSE( CONTROL!$C$31, 55.7483, 55.7455) * CHOOSE(CONTROL!$C$14, $D$10, 100%, $F$10)</f>
        <v>55.7483</v>
      </c>
      <c r="K1016" s="4"/>
      <c r="L1016" s="9">
        <v>30.7165</v>
      </c>
      <c r="M1016" s="9">
        <v>12.063700000000001</v>
      </c>
      <c r="N1016" s="9">
        <v>4.9444999999999997</v>
      </c>
      <c r="O1016" s="9">
        <v>0.37409999999999999</v>
      </c>
      <c r="P1016" s="9">
        <v>1.2183999999999999</v>
      </c>
      <c r="Q1016" s="9">
        <v>19.688099999999999</v>
      </c>
      <c r="R1016" s="9"/>
      <c r="S1016" s="11"/>
    </row>
    <row r="1017" spans="1:19" ht="15.75">
      <c r="A1017" s="13">
        <v>72866</v>
      </c>
      <c r="B1017" s="8">
        <f>CHOOSE( CONTROL!$C$31, 56.7739, 56.7709) * CHOOSE(CONTROL!$C$14, $D$10, 100%, $F$10)</f>
        <v>56.773899999999998</v>
      </c>
      <c r="C1017" s="8">
        <f>CHOOSE( CONTROL!$C$31, 56.7819, 56.7789) * CHOOSE(CONTROL!$C$14, $D$10, 100%, $F$10)</f>
        <v>56.7819</v>
      </c>
      <c r="D1017" s="8">
        <f>CHOOSE( CONTROL!$C$31, 56.7867, 56.7838) * CHOOSE( CONTROL!$C$14, $D$10, 100%, $F$10)</f>
        <v>56.786700000000003</v>
      </c>
      <c r="E1017" s="12">
        <f>CHOOSE( CONTROL!$C$31, 56.7837, 56.7808) * CHOOSE( CONTROL!$C$14, $D$10, 100%, $F$10)</f>
        <v>56.783700000000003</v>
      </c>
      <c r="F1017" s="4">
        <f>CHOOSE( CONTROL!$C$31, 57.4554, 57.4525) * CHOOSE(CONTROL!$C$14, $D$10, 100%, $F$10)</f>
        <v>57.455399999999997</v>
      </c>
      <c r="G1017" s="8">
        <f>CHOOSE( CONTROL!$C$31, 55.8028, 55.7999) * CHOOSE( CONTROL!$C$14, $D$10, 100%, $F$10)</f>
        <v>55.802799999999998</v>
      </c>
      <c r="H1017" s="4">
        <f>CHOOSE( CONTROL!$C$31, 56.7314, 56.7286) * CHOOSE(CONTROL!$C$14, $D$10, 100%, $F$10)</f>
        <v>56.731400000000001</v>
      </c>
      <c r="I1017" s="8">
        <f>CHOOSE( CONTROL!$C$31, 54.9719, 54.9691) * CHOOSE(CONTROL!$C$14, $D$10, 100%, $F$10)</f>
        <v>54.971899999999998</v>
      </c>
      <c r="J1017" s="4">
        <f>CHOOSE( CONTROL!$C$31, 54.852, 54.8492) * CHOOSE(CONTROL!$C$14, $D$10, 100%, $F$10)</f>
        <v>54.851999999999997</v>
      </c>
      <c r="K1017" s="4"/>
      <c r="L1017" s="9">
        <v>29.7257</v>
      </c>
      <c r="M1017" s="9">
        <v>11.6745</v>
      </c>
      <c r="N1017" s="9">
        <v>4.7850000000000001</v>
      </c>
      <c r="O1017" s="9">
        <v>0.36199999999999999</v>
      </c>
      <c r="P1017" s="9">
        <v>1.1791</v>
      </c>
      <c r="Q1017" s="9">
        <v>19.053000000000001</v>
      </c>
      <c r="R1017" s="9"/>
      <c r="S1017" s="11"/>
    </row>
    <row r="1018" spans="1:19" ht="15.75">
      <c r="A1018" s="13">
        <v>72897</v>
      </c>
      <c r="B1018" s="8">
        <f>CHOOSE( CONTROL!$C$31, 59.2153, 59.2124) * CHOOSE(CONTROL!$C$14, $D$10, 100%, $F$10)</f>
        <v>59.215299999999999</v>
      </c>
      <c r="C1018" s="8">
        <f>CHOOSE( CONTROL!$C$31, 59.2233, 59.2204) * CHOOSE(CONTROL!$C$14, $D$10, 100%, $F$10)</f>
        <v>59.223300000000002</v>
      </c>
      <c r="D1018" s="8">
        <f>CHOOSE( CONTROL!$C$31, 59.2285, 59.2255) * CHOOSE( CONTROL!$C$14, $D$10, 100%, $F$10)</f>
        <v>59.228499999999997</v>
      </c>
      <c r="E1018" s="12">
        <f>CHOOSE( CONTROL!$C$31, 59.2254, 59.2224) * CHOOSE( CONTROL!$C$14, $D$10, 100%, $F$10)</f>
        <v>59.2254</v>
      </c>
      <c r="F1018" s="4">
        <f>CHOOSE( CONTROL!$C$31, 59.8969, 59.894) * CHOOSE(CONTROL!$C$14, $D$10, 100%, $F$10)</f>
        <v>59.896900000000002</v>
      </c>
      <c r="G1018" s="8">
        <f>CHOOSE( CONTROL!$C$31, 58.2042, 58.2013) * CHOOSE( CONTROL!$C$14, $D$10, 100%, $F$10)</f>
        <v>58.2042</v>
      </c>
      <c r="H1018" s="4">
        <f>CHOOSE( CONTROL!$C$31, 59.1324, 59.1296) * CHOOSE(CONTROL!$C$14, $D$10, 100%, $F$10)</f>
        <v>59.132399999999997</v>
      </c>
      <c r="I1018" s="8">
        <f>CHOOSE( CONTROL!$C$31, 57.3344, 57.3316) * CHOOSE(CONTROL!$C$14, $D$10, 100%, $F$10)</f>
        <v>57.334400000000002</v>
      </c>
      <c r="J1018" s="4">
        <f>CHOOSE( CONTROL!$C$31, 57.2122, 57.2094) * CHOOSE(CONTROL!$C$14, $D$10, 100%, $F$10)</f>
        <v>57.212200000000003</v>
      </c>
      <c r="K1018" s="4"/>
      <c r="L1018" s="9">
        <v>30.7165</v>
      </c>
      <c r="M1018" s="9">
        <v>12.063700000000001</v>
      </c>
      <c r="N1018" s="9">
        <v>4.9444999999999997</v>
      </c>
      <c r="O1018" s="9">
        <v>0.37409999999999999</v>
      </c>
      <c r="P1018" s="9">
        <v>1.2183999999999999</v>
      </c>
      <c r="Q1018" s="9">
        <v>19.688099999999999</v>
      </c>
      <c r="R1018" s="9"/>
      <c r="S1018" s="11"/>
    </row>
    <row r="1019" spans="1:19" ht="15.75">
      <c r="A1019" s="13">
        <v>72928</v>
      </c>
      <c r="B1019" s="8">
        <f>CHOOSE( CONTROL!$C$31, 54.6471, 54.6441) * CHOOSE(CONTROL!$C$14, $D$10, 100%, $F$10)</f>
        <v>54.647100000000002</v>
      </c>
      <c r="C1019" s="8">
        <f>CHOOSE( CONTROL!$C$31, 54.6551, 54.6522) * CHOOSE(CONTROL!$C$14, $D$10, 100%, $F$10)</f>
        <v>54.655099999999997</v>
      </c>
      <c r="D1019" s="8">
        <f>CHOOSE( CONTROL!$C$31, 54.6603, 54.6574) * CHOOSE( CONTROL!$C$14, $D$10, 100%, $F$10)</f>
        <v>54.660299999999999</v>
      </c>
      <c r="E1019" s="12">
        <f>CHOOSE( CONTROL!$C$31, 54.6572, 54.6543) * CHOOSE( CONTROL!$C$14, $D$10, 100%, $F$10)</f>
        <v>54.657200000000003</v>
      </c>
      <c r="F1019" s="4">
        <f>CHOOSE( CONTROL!$C$31, 55.3286, 55.3257) * CHOOSE(CONTROL!$C$14, $D$10, 100%, $F$10)</f>
        <v>55.328600000000002</v>
      </c>
      <c r="G1019" s="8">
        <f>CHOOSE( CONTROL!$C$31, 53.7118, 53.7089) * CHOOSE( CONTROL!$C$14, $D$10, 100%, $F$10)</f>
        <v>53.711799999999997</v>
      </c>
      <c r="H1019" s="4">
        <f>CHOOSE( CONTROL!$C$31, 54.6399, 54.637) * CHOOSE(CONTROL!$C$14, $D$10, 100%, $F$10)</f>
        <v>54.639899999999997</v>
      </c>
      <c r="I1019" s="8">
        <f>CHOOSE( CONTROL!$C$31, 52.9164, 52.9136) * CHOOSE(CONTROL!$C$14, $D$10, 100%, $F$10)</f>
        <v>52.916400000000003</v>
      </c>
      <c r="J1019" s="4">
        <f>CHOOSE( CONTROL!$C$31, 52.7961, 52.7933) * CHOOSE(CONTROL!$C$14, $D$10, 100%, $F$10)</f>
        <v>52.796100000000003</v>
      </c>
      <c r="K1019" s="4"/>
      <c r="L1019" s="9">
        <v>30.7165</v>
      </c>
      <c r="M1019" s="9">
        <v>12.063700000000001</v>
      </c>
      <c r="N1019" s="9">
        <v>4.9444999999999997</v>
      </c>
      <c r="O1019" s="9">
        <v>0.37409999999999999</v>
      </c>
      <c r="P1019" s="9">
        <v>1.2183999999999999</v>
      </c>
      <c r="Q1019" s="9">
        <v>19.688099999999999</v>
      </c>
      <c r="R1019" s="9"/>
      <c r="S1019" s="11"/>
    </row>
    <row r="1020" spans="1:19" ht="15.75">
      <c r="A1020" s="13">
        <v>72958</v>
      </c>
      <c r="B1020" s="8">
        <f>CHOOSE( CONTROL!$C$31, 53.5031, 53.5002) * CHOOSE(CONTROL!$C$14, $D$10, 100%, $F$10)</f>
        <v>53.503100000000003</v>
      </c>
      <c r="C1020" s="8">
        <f>CHOOSE( CONTROL!$C$31, 53.5111, 53.5082) * CHOOSE(CONTROL!$C$14, $D$10, 100%, $F$10)</f>
        <v>53.511099999999999</v>
      </c>
      <c r="D1020" s="8">
        <f>CHOOSE( CONTROL!$C$31, 53.5163, 53.5134) * CHOOSE( CONTROL!$C$14, $D$10, 100%, $F$10)</f>
        <v>53.516300000000001</v>
      </c>
      <c r="E1020" s="12">
        <f>CHOOSE( CONTROL!$C$31, 53.5132, 53.5103) * CHOOSE( CONTROL!$C$14, $D$10, 100%, $F$10)</f>
        <v>53.513199999999998</v>
      </c>
      <c r="F1020" s="4">
        <f>CHOOSE( CONTROL!$C$31, 54.1847, 54.1817) * CHOOSE(CONTROL!$C$14, $D$10, 100%, $F$10)</f>
        <v>54.184699999999999</v>
      </c>
      <c r="G1020" s="8">
        <f>CHOOSE( CONTROL!$C$31, 52.5868, 52.5839) * CHOOSE( CONTROL!$C$14, $D$10, 100%, $F$10)</f>
        <v>52.586799999999997</v>
      </c>
      <c r="H1020" s="4">
        <f>CHOOSE( CONTROL!$C$31, 53.5149, 53.5121) * CHOOSE(CONTROL!$C$14, $D$10, 100%, $F$10)</f>
        <v>53.514899999999997</v>
      </c>
      <c r="I1020" s="8">
        <f>CHOOSE( CONTROL!$C$31, 51.81, 51.8071) * CHOOSE(CONTROL!$C$14, $D$10, 100%, $F$10)</f>
        <v>51.81</v>
      </c>
      <c r="J1020" s="4">
        <f>CHOOSE( CONTROL!$C$31, 51.6902, 51.6874) * CHOOSE(CONTROL!$C$14, $D$10, 100%, $F$10)</f>
        <v>51.690199999999997</v>
      </c>
      <c r="K1020" s="4"/>
      <c r="L1020" s="9">
        <v>29.7257</v>
      </c>
      <c r="M1020" s="9">
        <v>11.6745</v>
      </c>
      <c r="N1020" s="9">
        <v>4.7850000000000001</v>
      </c>
      <c r="O1020" s="9">
        <v>0.36199999999999999</v>
      </c>
      <c r="P1020" s="9">
        <v>1.1791</v>
      </c>
      <c r="Q1020" s="9">
        <v>19.053000000000001</v>
      </c>
      <c r="R1020" s="9"/>
      <c r="S1020" s="11"/>
    </row>
    <row r="1021" spans="1:19" ht="15.75">
      <c r="A1021" s="13">
        <v>72989</v>
      </c>
      <c r="B1021" s="8">
        <f>55.8737 * CHOOSE(CONTROL!$C$14, $D$10, 100%, $F$10)</f>
        <v>55.873699999999999</v>
      </c>
      <c r="C1021" s="8">
        <f>55.8791 * CHOOSE(CONTROL!$C$14, $D$10, 100%, $F$10)</f>
        <v>55.879100000000001</v>
      </c>
      <c r="D1021" s="8">
        <f>55.889 * CHOOSE( CONTROL!$C$14, $D$10, 100%, $F$10)</f>
        <v>55.889000000000003</v>
      </c>
      <c r="E1021" s="12">
        <f>55.8852 * CHOOSE( CONTROL!$C$14, $D$10, 100%, $F$10)</f>
        <v>55.885199999999998</v>
      </c>
      <c r="F1021" s="4">
        <f>56.557 * CHOOSE(CONTROL!$C$14, $D$10, 100%, $F$10)</f>
        <v>56.557000000000002</v>
      </c>
      <c r="G1021" s="8">
        <f>54.9194 * CHOOSE( CONTROL!$C$14, $D$10, 100%, $F$10)</f>
        <v>54.919400000000003</v>
      </c>
      <c r="H1021" s="4">
        <f>55.8479 * CHOOSE(CONTROL!$C$14, $D$10, 100%, $F$10)</f>
        <v>55.847900000000003</v>
      </c>
      <c r="I1021" s="8">
        <f>54.1052 * CHOOSE(CONTROL!$C$14, $D$10, 100%, $F$10)</f>
        <v>54.105200000000004</v>
      </c>
      <c r="J1021" s="4">
        <f>53.9835 * CHOOSE(CONTROL!$C$14, $D$10, 100%, $F$10)</f>
        <v>53.983499999999999</v>
      </c>
      <c r="K1021" s="4"/>
      <c r="L1021" s="9">
        <v>31.095300000000002</v>
      </c>
      <c r="M1021" s="9">
        <v>12.063700000000001</v>
      </c>
      <c r="N1021" s="9">
        <v>4.9444999999999997</v>
      </c>
      <c r="O1021" s="9">
        <v>0.37409999999999999</v>
      </c>
      <c r="P1021" s="9">
        <v>1.2183999999999999</v>
      </c>
      <c r="Q1021" s="9">
        <v>19.688099999999999</v>
      </c>
      <c r="R1021" s="9"/>
      <c r="S1021" s="11"/>
    </row>
    <row r="1022" spans="1:19" ht="15.75">
      <c r="A1022" s="13">
        <v>73019</v>
      </c>
      <c r="B1022" s="8">
        <f>60.2575 * CHOOSE(CONTROL!$C$14, $D$10, 100%, $F$10)</f>
        <v>60.2575</v>
      </c>
      <c r="C1022" s="8">
        <f>60.2626 * CHOOSE(CONTROL!$C$14, $D$10, 100%, $F$10)</f>
        <v>60.262599999999999</v>
      </c>
      <c r="D1022" s="8">
        <f>60.2388 * CHOOSE( CONTROL!$C$14, $D$10, 100%, $F$10)</f>
        <v>60.238799999999998</v>
      </c>
      <c r="E1022" s="12">
        <f>60.247 * CHOOSE( CONTROL!$C$14, $D$10, 100%, $F$10)</f>
        <v>60.247</v>
      </c>
      <c r="F1022" s="4">
        <f>60.905 * CHOOSE(CONTROL!$C$14, $D$10, 100%, $F$10)</f>
        <v>60.905000000000001</v>
      </c>
      <c r="G1022" s="8">
        <f>59.2407 * CHOOSE( CONTROL!$C$14, $D$10, 100%, $F$10)</f>
        <v>59.240699999999997</v>
      </c>
      <c r="H1022" s="4">
        <f>60.1238 * CHOOSE(CONTROL!$C$14, $D$10, 100%, $F$10)</f>
        <v>60.123800000000003</v>
      </c>
      <c r="I1022" s="8">
        <f>58.376 * CHOOSE(CONTROL!$C$14, $D$10, 100%, $F$10)</f>
        <v>58.375999999999998</v>
      </c>
      <c r="J1022" s="4">
        <f>58.2217 * CHOOSE(CONTROL!$C$14, $D$10, 100%, $F$10)</f>
        <v>58.221699999999998</v>
      </c>
      <c r="K1022" s="4"/>
      <c r="L1022" s="9">
        <v>28.360600000000002</v>
      </c>
      <c r="M1022" s="9">
        <v>11.6745</v>
      </c>
      <c r="N1022" s="9">
        <v>4.7850000000000001</v>
      </c>
      <c r="O1022" s="9">
        <v>0.36199999999999999</v>
      </c>
      <c r="P1022" s="9">
        <v>1.2509999999999999</v>
      </c>
      <c r="Q1022" s="9">
        <v>19.053000000000001</v>
      </c>
      <c r="R1022" s="9"/>
      <c r="S1022" s="11"/>
    </row>
    <row r="1023" spans="1:19" ht="15.75">
      <c r="A1023" s="13">
        <v>73050</v>
      </c>
      <c r="B1023" s="8">
        <f>60.1479 * CHOOSE(CONTROL!$C$14, $D$10, 100%, $F$10)</f>
        <v>60.1479</v>
      </c>
      <c r="C1023" s="8">
        <f>60.1531 * CHOOSE(CONTROL!$C$14, $D$10, 100%, $F$10)</f>
        <v>60.153100000000002</v>
      </c>
      <c r="D1023" s="8">
        <f>60.1306 * CHOOSE( CONTROL!$C$14, $D$10, 100%, $F$10)</f>
        <v>60.130600000000001</v>
      </c>
      <c r="E1023" s="12">
        <f>60.1383 * CHOOSE( CONTROL!$C$14, $D$10, 100%, $F$10)</f>
        <v>60.138300000000001</v>
      </c>
      <c r="F1023" s="4">
        <f>60.7954 * CHOOSE(CONTROL!$C$14, $D$10, 100%, $F$10)</f>
        <v>60.795400000000001</v>
      </c>
      <c r="G1023" s="8">
        <f>59.134 * CHOOSE( CONTROL!$C$14, $D$10, 100%, $F$10)</f>
        <v>59.134</v>
      </c>
      <c r="H1023" s="4">
        <f>60.0161 * CHOOSE(CONTROL!$C$14, $D$10, 100%, $F$10)</f>
        <v>60.016100000000002</v>
      </c>
      <c r="I1023" s="8">
        <f>58.2745 * CHOOSE(CONTROL!$C$14, $D$10, 100%, $F$10)</f>
        <v>58.274500000000003</v>
      </c>
      <c r="J1023" s="4">
        <f>58.1158 * CHOOSE(CONTROL!$C$14, $D$10, 100%, $F$10)</f>
        <v>58.1158</v>
      </c>
      <c r="K1023" s="4"/>
      <c r="L1023" s="9">
        <v>29.306000000000001</v>
      </c>
      <c r="M1023" s="9">
        <v>12.063700000000001</v>
      </c>
      <c r="N1023" s="9">
        <v>4.9444999999999997</v>
      </c>
      <c r="O1023" s="9">
        <v>0.37409999999999999</v>
      </c>
      <c r="P1023" s="9">
        <v>1.2927</v>
      </c>
      <c r="Q1023" s="9">
        <v>19.688099999999999</v>
      </c>
      <c r="R1023" s="9"/>
      <c r="S1023" s="11"/>
    </row>
    <row r="1024" spans="1:19" ht="15.75">
      <c r="A1024" s="13">
        <v>73081</v>
      </c>
      <c r="B1024" s="8">
        <f>62.4456 * CHOOSE(CONTROL!$C$14, $D$10, 100%, $F$10)</f>
        <v>62.445599999999999</v>
      </c>
      <c r="C1024" s="8">
        <f>62.4507 * CHOOSE(CONTROL!$C$14, $D$10, 100%, $F$10)</f>
        <v>62.450699999999998</v>
      </c>
      <c r="D1024" s="8">
        <f>62.4465 * CHOOSE( CONTROL!$C$14, $D$10, 100%, $F$10)</f>
        <v>62.4465</v>
      </c>
      <c r="E1024" s="12">
        <f>62.4475 * CHOOSE( CONTROL!$C$14, $D$10, 100%, $F$10)</f>
        <v>62.447499999999998</v>
      </c>
      <c r="F1024" s="4">
        <f>63.1241 * CHOOSE(CONTROL!$C$14, $D$10, 100%, $F$10)</f>
        <v>63.124099999999999</v>
      </c>
      <c r="G1024" s="8">
        <f>61.4077 * CHOOSE( CONTROL!$C$14, $D$10, 100%, $F$10)</f>
        <v>61.407699999999998</v>
      </c>
      <c r="H1024" s="4">
        <f>62.3062 * CHOOSE(CONTROL!$C$14, $D$10, 100%, $F$10)</f>
        <v>62.306199999999997</v>
      </c>
      <c r="I1024" s="8">
        <f>60.4758 * CHOOSE(CONTROL!$C$14, $D$10, 100%, $F$10)</f>
        <v>60.4758</v>
      </c>
      <c r="J1024" s="4">
        <f>60.337 * CHOOSE(CONTROL!$C$14, $D$10, 100%, $F$10)</f>
        <v>60.337000000000003</v>
      </c>
      <c r="K1024" s="4"/>
      <c r="L1024" s="9">
        <v>29.306000000000001</v>
      </c>
      <c r="M1024" s="9">
        <v>12.063700000000001</v>
      </c>
      <c r="N1024" s="9">
        <v>4.9444999999999997</v>
      </c>
      <c r="O1024" s="9">
        <v>0.37409999999999999</v>
      </c>
      <c r="P1024" s="9">
        <v>1.2927</v>
      </c>
      <c r="Q1024" s="9">
        <v>19.688099999999999</v>
      </c>
      <c r="R1024" s="9"/>
      <c r="S1024" s="11"/>
    </row>
    <row r="1025" spans="1:19" ht="15.75">
      <c r="A1025" s="13">
        <v>73109</v>
      </c>
      <c r="B1025" s="8">
        <f>58.4106 * CHOOSE(CONTROL!$C$14, $D$10, 100%, $F$10)</f>
        <v>58.410600000000002</v>
      </c>
      <c r="C1025" s="8">
        <f>58.4157 * CHOOSE(CONTROL!$C$14, $D$10, 100%, $F$10)</f>
        <v>58.415700000000001</v>
      </c>
      <c r="D1025" s="8">
        <f>58.4055 * CHOOSE( CONTROL!$C$14, $D$10, 100%, $F$10)</f>
        <v>58.405500000000004</v>
      </c>
      <c r="E1025" s="12">
        <f>58.4087 * CHOOSE( CONTROL!$C$14, $D$10, 100%, $F$10)</f>
        <v>58.408700000000003</v>
      </c>
      <c r="F1025" s="4">
        <f>59.0632 * CHOOSE(CONTROL!$C$14, $D$10, 100%, $F$10)</f>
        <v>59.063200000000002</v>
      </c>
      <c r="G1025" s="8">
        <f>57.4315 * CHOOSE( CONTROL!$C$14, $D$10, 100%, $F$10)</f>
        <v>57.4315</v>
      </c>
      <c r="H1025" s="4">
        <f>58.3126 * CHOOSE(CONTROL!$C$14, $D$10, 100%, $F$10)</f>
        <v>58.312600000000003</v>
      </c>
      <c r="I1025" s="8">
        <f>56.5638 * CHOOSE(CONTROL!$C$14, $D$10, 100%, $F$10)</f>
        <v>56.563800000000001</v>
      </c>
      <c r="J1025" s="4">
        <f>56.4363 * CHOOSE(CONTROL!$C$14, $D$10, 100%, $F$10)</f>
        <v>56.436300000000003</v>
      </c>
      <c r="K1025" s="4"/>
      <c r="L1025" s="9">
        <v>26.469899999999999</v>
      </c>
      <c r="M1025" s="9">
        <v>10.8962</v>
      </c>
      <c r="N1025" s="9">
        <v>4.4660000000000002</v>
      </c>
      <c r="O1025" s="9">
        <v>0.33789999999999998</v>
      </c>
      <c r="P1025" s="9">
        <v>1.1676</v>
      </c>
      <c r="Q1025" s="9">
        <v>17.782800000000002</v>
      </c>
      <c r="R1025" s="9"/>
      <c r="S1025" s="11"/>
    </row>
    <row r="1026" spans="1:19" ht="15.75">
      <c r="A1026" s="13">
        <v>73140</v>
      </c>
      <c r="B1026" s="8">
        <f>57.1678 * CHOOSE(CONTROL!$C$14, $D$10, 100%, $F$10)</f>
        <v>57.1678</v>
      </c>
      <c r="C1026" s="8">
        <f>57.1729 * CHOOSE(CONTROL!$C$14, $D$10, 100%, $F$10)</f>
        <v>57.172899999999998</v>
      </c>
      <c r="D1026" s="8">
        <f>57.1563 * CHOOSE( CONTROL!$C$14, $D$10, 100%, $F$10)</f>
        <v>57.156300000000002</v>
      </c>
      <c r="E1026" s="12">
        <f>57.1618 * CHOOSE( CONTROL!$C$14, $D$10, 100%, $F$10)</f>
        <v>57.161799999999999</v>
      </c>
      <c r="F1026" s="4">
        <f>57.8204 * CHOOSE(CONTROL!$C$14, $D$10, 100%, $F$10)</f>
        <v>57.820399999999999</v>
      </c>
      <c r="G1026" s="8">
        <f>56.2011 * CHOOSE( CONTROL!$C$14, $D$10, 100%, $F$10)</f>
        <v>56.201099999999997</v>
      </c>
      <c r="H1026" s="4">
        <f>57.0904 * CHOOSE(CONTROL!$C$14, $D$10, 100%, $F$10)</f>
        <v>57.090400000000002</v>
      </c>
      <c r="I1026" s="8">
        <f>55.3417 * CHOOSE(CONTROL!$C$14, $D$10, 100%, $F$10)</f>
        <v>55.341700000000003</v>
      </c>
      <c r="J1026" s="4">
        <f>55.2349 * CHOOSE(CONTROL!$C$14, $D$10, 100%, $F$10)</f>
        <v>55.234900000000003</v>
      </c>
      <c r="K1026" s="4"/>
      <c r="L1026" s="9">
        <v>29.306000000000001</v>
      </c>
      <c r="M1026" s="9">
        <v>12.063700000000001</v>
      </c>
      <c r="N1026" s="9">
        <v>4.9444999999999997</v>
      </c>
      <c r="O1026" s="9">
        <v>0.37409999999999999</v>
      </c>
      <c r="P1026" s="9">
        <v>1.2927</v>
      </c>
      <c r="Q1026" s="9">
        <v>19.688099999999999</v>
      </c>
      <c r="R1026" s="9"/>
      <c r="S1026" s="11"/>
    </row>
    <row r="1027" spans="1:19" ht="15.75">
      <c r="A1027" s="13">
        <v>73170</v>
      </c>
      <c r="B1027" s="8">
        <f>58.037 * CHOOSE(CONTROL!$C$14, $D$10, 100%, $F$10)</f>
        <v>58.036999999999999</v>
      </c>
      <c r="C1027" s="8">
        <f>58.0415 * CHOOSE(CONTROL!$C$14, $D$10, 100%, $F$10)</f>
        <v>58.041499999999999</v>
      </c>
      <c r="D1027" s="8">
        <f>58.051 * CHOOSE( CONTROL!$C$14, $D$10, 100%, $F$10)</f>
        <v>58.051000000000002</v>
      </c>
      <c r="E1027" s="12">
        <f>58.0473 * CHOOSE( CONTROL!$C$14, $D$10, 100%, $F$10)</f>
        <v>58.0473</v>
      </c>
      <c r="F1027" s="4">
        <f>58.7199 * CHOOSE(CONTROL!$C$14, $D$10, 100%, $F$10)</f>
        <v>58.719900000000003</v>
      </c>
      <c r="G1027" s="8">
        <f>57.045 * CHOOSE( CONTROL!$C$14, $D$10, 100%, $F$10)</f>
        <v>57.045000000000002</v>
      </c>
      <c r="H1027" s="4">
        <f>57.975 * CHOOSE(CONTROL!$C$14, $D$10, 100%, $F$10)</f>
        <v>57.975000000000001</v>
      </c>
      <c r="I1027" s="8">
        <f>56.1926 * CHOOSE(CONTROL!$C$14, $D$10, 100%, $F$10)</f>
        <v>56.192599999999999</v>
      </c>
      <c r="J1027" s="4">
        <f>56.0744 * CHOOSE(CONTROL!$C$14, $D$10, 100%, $F$10)</f>
        <v>56.074399999999997</v>
      </c>
      <c r="K1027" s="4"/>
      <c r="L1027" s="9">
        <v>30.092199999999998</v>
      </c>
      <c r="M1027" s="9">
        <v>11.6745</v>
      </c>
      <c r="N1027" s="9">
        <v>4.7850000000000001</v>
      </c>
      <c r="O1027" s="9">
        <v>0.36199999999999999</v>
      </c>
      <c r="P1027" s="9">
        <v>1.1791</v>
      </c>
      <c r="Q1027" s="9">
        <v>19.053000000000001</v>
      </c>
      <c r="R1027" s="9"/>
      <c r="S1027" s="11"/>
    </row>
    <row r="1028" spans="1:19" ht="15.75">
      <c r="A1028" s="13">
        <v>73201</v>
      </c>
      <c r="B1028" s="8">
        <f>CHOOSE( CONTROL!$C$31, 59.5869, 59.5839) * CHOOSE(CONTROL!$C$14, $D$10, 100%, $F$10)</f>
        <v>59.5869</v>
      </c>
      <c r="C1028" s="8">
        <f>CHOOSE( CONTROL!$C$31, 59.5949, 59.592) * CHOOSE(CONTROL!$C$14, $D$10, 100%, $F$10)</f>
        <v>59.594900000000003</v>
      </c>
      <c r="D1028" s="8">
        <f>CHOOSE( CONTROL!$C$31, 59.5995, 59.5966) * CHOOSE( CONTROL!$C$14, $D$10, 100%, $F$10)</f>
        <v>59.599499999999999</v>
      </c>
      <c r="E1028" s="12">
        <f>CHOOSE( CONTROL!$C$31, 59.5966, 59.5937) * CHOOSE( CONTROL!$C$14, $D$10, 100%, $F$10)</f>
        <v>59.596600000000002</v>
      </c>
      <c r="F1028" s="4">
        <f>CHOOSE( CONTROL!$C$31, 60.2684, 60.2655) * CHOOSE(CONTROL!$C$14, $D$10, 100%, $F$10)</f>
        <v>60.2684</v>
      </c>
      <c r="G1028" s="8">
        <f>CHOOSE( CONTROL!$C$31, 58.5688, 58.5659) * CHOOSE( CONTROL!$C$14, $D$10, 100%, $F$10)</f>
        <v>58.568800000000003</v>
      </c>
      <c r="H1028" s="4">
        <f>CHOOSE( CONTROL!$C$31, 59.4978, 59.4949) * CHOOSE(CONTROL!$C$14, $D$10, 100%, $F$10)</f>
        <v>59.497799999999998</v>
      </c>
      <c r="I1028" s="8">
        <f>CHOOSE( CONTROL!$C$31, 57.6913, 57.6885) * CHOOSE(CONTROL!$C$14, $D$10, 100%, $F$10)</f>
        <v>57.691299999999998</v>
      </c>
      <c r="J1028" s="4">
        <f>CHOOSE( CONTROL!$C$31, 57.5714, 57.5686) * CHOOSE(CONTROL!$C$14, $D$10, 100%, $F$10)</f>
        <v>57.571399999999997</v>
      </c>
      <c r="K1028" s="4"/>
      <c r="L1028" s="9">
        <v>30.7165</v>
      </c>
      <c r="M1028" s="9">
        <v>12.063700000000001</v>
      </c>
      <c r="N1028" s="9">
        <v>4.9444999999999997</v>
      </c>
      <c r="O1028" s="9">
        <v>0.37409999999999999</v>
      </c>
      <c r="P1028" s="9">
        <v>1.2183999999999999</v>
      </c>
      <c r="Q1028" s="9">
        <v>19.688099999999999</v>
      </c>
      <c r="R1028" s="9"/>
      <c r="S1028" s="11"/>
    </row>
    <row r="1029" spans="1:19" ht="15.75">
      <c r="A1029" s="13">
        <v>73231</v>
      </c>
      <c r="B1029" s="8">
        <f>CHOOSE( CONTROL!$C$31, 58.6294, 58.6265) * CHOOSE(CONTROL!$C$14, $D$10, 100%, $F$10)</f>
        <v>58.629399999999997</v>
      </c>
      <c r="C1029" s="8">
        <f>CHOOSE( CONTROL!$C$31, 58.6374, 58.6345) * CHOOSE(CONTROL!$C$14, $D$10, 100%, $F$10)</f>
        <v>58.6374</v>
      </c>
      <c r="D1029" s="8">
        <f>CHOOSE( CONTROL!$C$31, 58.6423, 58.6394) * CHOOSE( CONTROL!$C$14, $D$10, 100%, $F$10)</f>
        <v>58.642299999999999</v>
      </c>
      <c r="E1029" s="12">
        <f>CHOOSE( CONTROL!$C$31, 58.6393, 58.6364) * CHOOSE( CONTROL!$C$14, $D$10, 100%, $F$10)</f>
        <v>58.639299999999999</v>
      </c>
      <c r="F1029" s="4">
        <f>CHOOSE( CONTROL!$C$31, 59.311, 59.308) * CHOOSE(CONTROL!$C$14, $D$10, 100%, $F$10)</f>
        <v>59.311</v>
      </c>
      <c r="G1029" s="8">
        <f>CHOOSE( CONTROL!$C$31, 57.6276, 57.6247) * CHOOSE( CONTROL!$C$14, $D$10, 100%, $F$10)</f>
        <v>57.627600000000001</v>
      </c>
      <c r="H1029" s="4">
        <f>CHOOSE( CONTROL!$C$31, 58.5562, 58.5534) * CHOOSE(CONTROL!$C$14, $D$10, 100%, $F$10)</f>
        <v>58.556199999999997</v>
      </c>
      <c r="I1029" s="8">
        <f>CHOOSE( CONTROL!$C$31, 56.7666, 56.7637) * CHOOSE(CONTROL!$C$14, $D$10, 100%, $F$10)</f>
        <v>56.766599999999997</v>
      </c>
      <c r="J1029" s="4">
        <f>CHOOSE( CONTROL!$C$31, 56.6458, 56.643) * CHOOSE(CONTROL!$C$14, $D$10, 100%, $F$10)</f>
        <v>56.645800000000001</v>
      </c>
      <c r="K1029" s="4"/>
      <c r="L1029" s="9">
        <v>29.7257</v>
      </c>
      <c r="M1029" s="9">
        <v>11.6745</v>
      </c>
      <c r="N1029" s="9">
        <v>4.7850000000000001</v>
      </c>
      <c r="O1029" s="9">
        <v>0.36199999999999999</v>
      </c>
      <c r="P1029" s="9">
        <v>1.1791</v>
      </c>
      <c r="Q1029" s="9">
        <v>19.053000000000001</v>
      </c>
      <c r="R1029" s="9"/>
      <c r="S1029" s="11"/>
    </row>
    <row r="1030" spans="1:19" ht="15.75">
      <c r="A1030" s="13">
        <v>73262</v>
      </c>
      <c r="B1030" s="8">
        <f>CHOOSE( CONTROL!$C$31, 61.1507, 61.1478) * CHOOSE(CONTROL!$C$14, $D$10, 100%, $F$10)</f>
        <v>61.150700000000001</v>
      </c>
      <c r="C1030" s="8">
        <f>CHOOSE( CONTROL!$C$31, 61.1588, 61.1558) * CHOOSE(CONTROL!$C$14, $D$10, 100%, $F$10)</f>
        <v>61.158799999999999</v>
      </c>
      <c r="D1030" s="8">
        <f>CHOOSE( CONTROL!$C$31, 61.1639, 61.161) * CHOOSE( CONTROL!$C$14, $D$10, 100%, $F$10)</f>
        <v>61.163899999999998</v>
      </c>
      <c r="E1030" s="12">
        <f>CHOOSE( CONTROL!$C$31, 61.1608, 61.1579) * CHOOSE( CONTROL!$C$14, $D$10, 100%, $F$10)</f>
        <v>61.160800000000002</v>
      </c>
      <c r="F1030" s="4">
        <f>CHOOSE( CONTROL!$C$31, 61.8323, 61.8294) * CHOOSE(CONTROL!$C$14, $D$10, 100%, $F$10)</f>
        <v>61.832299999999996</v>
      </c>
      <c r="G1030" s="8">
        <f>CHOOSE( CONTROL!$C$31, 60.1075, 60.1046) * CHOOSE( CONTROL!$C$14, $D$10, 100%, $F$10)</f>
        <v>60.107500000000002</v>
      </c>
      <c r="H1030" s="4">
        <f>CHOOSE( CONTROL!$C$31, 61.0358, 61.0329) * CHOOSE(CONTROL!$C$14, $D$10, 100%, $F$10)</f>
        <v>61.035800000000002</v>
      </c>
      <c r="I1030" s="8">
        <f>CHOOSE( CONTROL!$C$31, 59.2063, 59.2035) * CHOOSE(CONTROL!$C$14, $D$10, 100%, $F$10)</f>
        <v>59.206299999999999</v>
      </c>
      <c r="J1030" s="4">
        <f>CHOOSE( CONTROL!$C$31, 59.0832, 59.0804) * CHOOSE(CONTROL!$C$14, $D$10, 100%, $F$10)</f>
        <v>59.083199999999998</v>
      </c>
      <c r="K1030" s="4"/>
      <c r="L1030" s="9">
        <v>30.7165</v>
      </c>
      <c r="M1030" s="9">
        <v>12.063700000000001</v>
      </c>
      <c r="N1030" s="9">
        <v>4.9444999999999997</v>
      </c>
      <c r="O1030" s="9">
        <v>0.37409999999999999</v>
      </c>
      <c r="P1030" s="9">
        <v>1.2183999999999999</v>
      </c>
      <c r="Q1030" s="9">
        <v>19.688099999999999</v>
      </c>
      <c r="R1030" s="9"/>
      <c r="S1030" s="11"/>
    </row>
    <row r="1031" spans="1:19" ht="15.75">
      <c r="A1031" s="13">
        <v>73293</v>
      </c>
      <c r="B1031" s="8">
        <f>CHOOSE( CONTROL!$C$31, 56.4331, 56.4301) * CHOOSE(CONTROL!$C$14, $D$10, 100%, $F$10)</f>
        <v>56.433100000000003</v>
      </c>
      <c r="C1031" s="8">
        <f>CHOOSE( CONTROL!$C$31, 56.4411, 56.4382) * CHOOSE(CONTROL!$C$14, $D$10, 100%, $F$10)</f>
        <v>56.441099999999999</v>
      </c>
      <c r="D1031" s="8">
        <f>CHOOSE( CONTROL!$C$31, 56.4463, 56.4434) * CHOOSE( CONTROL!$C$14, $D$10, 100%, $F$10)</f>
        <v>56.446300000000001</v>
      </c>
      <c r="E1031" s="12">
        <f>CHOOSE( CONTROL!$C$31, 56.4432, 56.4403) * CHOOSE( CONTROL!$C$14, $D$10, 100%, $F$10)</f>
        <v>56.443199999999997</v>
      </c>
      <c r="F1031" s="4">
        <f>CHOOSE( CONTROL!$C$31, 57.1146, 57.1117) * CHOOSE(CONTROL!$C$14, $D$10, 100%, $F$10)</f>
        <v>57.114600000000003</v>
      </c>
      <c r="G1031" s="8">
        <f>CHOOSE( CONTROL!$C$31, 55.4682, 55.4653) * CHOOSE( CONTROL!$C$14, $D$10, 100%, $F$10)</f>
        <v>55.468200000000003</v>
      </c>
      <c r="H1031" s="4">
        <f>CHOOSE( CONTROL!$C$31, 56.3963, 56.3934) * CHOOSE(CONTROL!$C$14, $D$10, 100%, $F$10)</f>
        <v>56.396299999999997</v>
      </c>
      <c r="I1031" s="8">
        <f>CHOOSE( CONTROL!$C$31, 54.6438, 54.641) * CHOOSE(CONTROL!$C$14, $D$10, 100%, $F$10)</f>
        <v>54.643799999999999</v>
      </c>
      <c r="J1031" s="4">
        <f>CHOOSE( CONTROL!$C$31, 54.5226, 54.5198) * CHOOSE(CONTROL!$C$14, $D$10, 100%, $F$10)</f>
        <v>54.522599999999997</v>
      </c>
      <c r="K1031" s="4"/>
      <c r="L1031" s="9">
        <v>30.7165</v>
      </c>
      <c r="M1031" s="9">
        <v>12.063700000000001</v>
      </c>
      <c r="N1031" s="9">
        <v>4.9444999999999997</v>
      </c>
      <c r="O1031" s="9">
        <v>0.37409999999999999</v>
      </c>
      <c r="P1031" s="9">
        <v>1.2183999999999999</v>
      </c>
      <c r="Q1031" s="9">
        <v>19.688099999999999</v>
      </c>
      <c r="R1031" s="9"/>
      <c r="S1031" s="11"/>
    </row>
    <row r="1032" spans="1:19" ht="15.75">
      <c r="A1032" s="13">
        <v>73323</v>
      </c>
      <c r="B1032" s="8">
        <f>CHOOSE( CONTROL!$C$31, 55.2517, 55.2488) * CHOOSE(CONTROL!$C$14, $D$10, 100%, $F$10)</f>
        <v>55.2517</v>
      </c>
      <c r="C1032" s="8">
        <f>CHOOSE( CONTROL!$C$31, 55.2597, 55.2568) * CHOOSE(CONTROL!$C$14, $D$10, 100%, $F$10)</f>
        <v>55.259700000000002</v>
      </c>
      <c r="D1032" s="8">
        <f>CHOOSE( CONTROL!$C$31, 55.2649, 55.262) * CHOOSE( CONTROL!$C$14, $D$10, 100%, $F$10)</f>
        <v>55.264899999999997</v>
      </c>
      <c r="E1032" s="12">
        <f>CHOOSE( CONTROL!$C$31, 55.2618, 55.2589) * CHOOSE( CONTROL!$C$14, $D$10, 100%, $F$10)</f>
        <v>55.261800000000001</v>
      </c>
      <c r="F1032" s="4">
        <f>CHOOSE( CONTROL!$C$31, 55.9333, 55.9303) * CHOOSE(CONTROL!$C$14, $D$10, 100%, $F$10)</f>
        <v>55.933300000000003</v>
      </c>
      <c r="G1032" s="8">
        <f>CHOOSE( CONTROL!$C$31, 54.3064, 54.3035) * CHOOSE( CONTROL!$C$14, $D$10, 100%, $F$10)</f>
        <v>54.306399999999996</v>
      </c>
      <c r="H1032" s="4">
        <f>CHOOSE( CONTROL!$C$31, 55.2345, 55.2317) * CHOOSE(CONTROL!$C$14, $D$10, 100%, $F$10)</f>
        <v>55.234499999999997</v>
      </c>
      <c r="I1032" s="8">
        <f>CHOOSE( CONTROL!$C$31, 53.5012, 53.4984) * CHOOSE(CONTROL!$C$14, $D$10, 100%, $F$10)</f>
        <v>53.501199999999997</v>
      </c>
      <c r="J1032" s="4">
        <f>CHOOSE( CONTROL!$C$31, 53.3806, 53.3778) * CHOOSE(CONTROL!$C$14, $D$10, 100%, $F$10)</f>
        <v>53.380600000000001</v>
      </c>
      <c r="K1032" s="4"/>
      <c r="L1032" s="9">
        <v>29.7257</v>
      </c>
      <c r="M1032" s="9">
        <v>11.6745</v>
      </c>
      <c r="N1032" s="9">
        <v>4.7850000000000001</v>
      </c>
      <c r="O1032" s="9">
        <v>0.36199999999999999</v>
      </c>
      <c r="P1032" s="9">
        <v>1.1791</v>
      </c>
      <c r="Q1032" s="9">
        <v>19.053000000000001</v>
      </c>
      <c r="R1032" s="9"/>
      <c r="S1032" s="11"/>
    </row>
    <row r="1033" spans="1:19" ht="15.75">
      <c r="A1033" s="13">
        <v>73354</v>
      </c>
      <c r="B1033" s="8">
        <f>57.7 * CHOOSE(CONTROL!$C$14, $D$10, 100%, $F$10)</f>
        <v>57.7</v>
      </c>
      <c r="C1033" s="8">
        <f>57.7053 * CHOOSE(CONTROL!$C$14, $D$10, 100%, $F$10)</f>
        <v>57.705300000000001</v>
      </c>
      <c r="D1033" s="8">
        <f>57.7153 * CHOOSE( CONTROL!$C$14, $D$10, 100%, $F$10)</f>
        <v>57.715299999999999</v>
      </c>
      <c r="E1033" s="12">
        <f>57.7114 * CHOOSE( CONTROL!$C$14, $D$10, 100%, $F$10)</f>
        <v>57.711399999999998</v>
      </c>
      <c r="F1033" s="4">
        <f>58.3832 * CHOOSE(CONTROL!$C$14, $D$10, 100%, $F$10)</f>
        <v>58.383200000000002</v>
      </c>
      <c r="G1033" s="8">
        <f>56.7154 * CHOOSE( CONTROL!$C$14, $D$10, 100%, $F$10)</f>
        <v>56.715400000000002</v>
      </c>
      <c r="H1033" s="4">
        <f>57.6439 * CHOOSE(CONTROL!$C$14, $D$10, 100%, $F$10)</f>
        <v>57.643900000000002</v>
      </c>
      <c r="I1033" s="8">
        <f>55.8716 * CHOOSE(CONTROL!$C$14, $D$10, 100%, $F$10)</f>
        <v>55.871600000000001</v>
      </c>
      <c r="J1033" s="4">
        <f>55.749 * CHOOSE(CONTROL!$C$14, $D$10, 100%, $F$10)</f>
        <v>55.749000000000002</v>
      </c>
      <c r="K1033" s="4"/>
      <c r="L1033" s="9">
        <v>31.095300000000002</v>
      </c>
      <c r="M1033" s="9">
        <v>12.063700000000001</v>
      </c>
      <c r="N1033" s="9">
        <v>4.9444999999999997</v>
      </c>
      <c r="O1033" s="9">
        <v>0.37409999999999999</v>
      </c>
      <c r="P1033" s="9">
        <v>1.2183999999999999</v>
      </c>
      <c r="Q1033" s="9">
        <v>19.688099999999999</v>
      </c>
      <c r="R1033" s="9"/>
      <c r="S1033" s="11"/>
    </row>
    <row r="1034" spans="1:19" ht="15.75">
      <c r="A1034" s="13">
        <v>73384</v>
      </c>
      <c r="B1034" s="8">
        <f>62.2271 * CHOOSE(CONTROL!$C$14, $D$10, 100%, $F$10)</f>
        <v>62.2271</v>
      </c>
      <c r="C1034" s="8">
        <f>62.2323 * CHOOSE(CONTROL!$C$14, $D$10, 100%, $F$10)</f>
        <v>62.232300000000002</v>
      </c>
      <c r="D1034" s="8">
        <f>62.2085 * CHOOSE( CONTROL!$C$14, $D$10, 100%, $F$10)</f>
        <v>62.208500000000001</v>
      </c>
      <c r="E1034" s="12">
        <f>62.2166 * CHOOSE( CONTROL!$C$14, $D$10, 100%, $F$10)</f>
        <v>62.2166</v>
      </c>
      <c r="F1034" s="4">
        <f>62.8746 * CHOOSE(CONTROL!$C$14, $D$10, 100%, $F$10)</f>
        <v>62.874600000000001</v>
      </c>
      <c r="G1034" s="8">
        <f>61.1777 * CHOOSE( CONTROL!$C$14, $D$10, 100%, $F$10)</f>
        <v>61.177700000000002</v>
      </c>
      <c r="H1034" s="4">
        <f>62.0608 * CHOOSE(CONTROL!$C$14, $D$10, 100%, $F$10)</f>
        <v>62.0608</v>
      </c>
      <c r="I1034" s="8">
        <f>60.281 * CHOOSE(CONTROL!$C$14, $D$10, 100%, $F$10)</f>
        <v>60.280999999999999</v>
      </c>
      <c r="J1034" s="4">
        <f>60.1258 * CHOOSE(CONTROL!$C$14, $D$10, 100%, $F$10)</f>
        <v>60.125799999999998</v>
      </c>
      <c r="K1034" s="4"/>
      <c r="L1034" s="9">
        <v>28.360600000000002</v>
      </c>
      <c r="M1034" s="9">
        <v>11.6745</v>
      </c>
      <c r="N1034" s="9">
        <v>4.7850000000000001</v>
      </c>
      <c r="O1034" s="9">
        <v>0.36199999999999999</v>
      </c>
      <c r="P1034" s="9">
        <v>1.2509999999999999</v>
      </c>
      <c r="Q1034" s="9">
        <v>19.053000000000001</v>
      </c>
      <c r="R1034" s="9"/>
      <c r="S1034" s="11"/>
    </row>
    <row r="1035" spans="1:19" ht="15.75">
      <c r="A1035" s="13">
        <v>73415</v>
      </c>
      <c r="B1035" s="8">
        <f>62.114 * CHOOSE(CONTROL!$C$14, $D$10, 100%, $F$10)</f>
        <v>62.113999999999997</v>
      </c>
      <c r="C1035" s="8">
        <f>62.1191 * CHOOSE(CONTROL!$C$14, $D$10, 100%, $F$10)</f>
        <v>62.119100000000003</v>
      </c>
      <c r="D1035" s="8">
        <f>62.0967 * CHOOSE( CONTROL!$C$14, $D$10, 100%, $F$10)</f>
        <v>62.096699999999998</v>
      </c>
      <c r="E1035" s="12">
        <f>62.1043 * CHOOSE( CONTROL!$C$14, $D$10, 100%, $F$10)</f>
        <v>62.104300000000002</v>
      </c>
      <c r="F1035" s="4">
        <f>62.7615 * CHOOSE(CONTROL!$C$14, $D$10, 100%, $F$10)</f>
        <v>62.761499999999998</v>
      </c>
      <c r="G1035" s="8">
        <f>61.0674 * CHOOSE( CONTROL!$C$14, $D$10, 100%, $F$10)</f>
        <v>61.067399999999999</v>
      </c>
      <c r="H1035" s="4">
        <f>61.9496 * CHOOSE(CONTROL!$C$14, $D$10, 100%, $F$10)</f>
        <v>61.949599999999997</v>
      </c>
      <c r="I1035" s="8">
        <f>60.176 * CHOOSE(CONTROL!$C$14, $D$10, 100%, $F$10)</f>
        <v>60.176000000000002</v>
      </c>
      <c r="J1035" s="4">
        <f>60.0164 * CHOOSE(CONTROL!$C$14, $D$10, 100%, $F$10)</f>
        <v>60.016399999999997</v>
      </c>
      <c r="K1035" s="4"/>
      <c r="L1035" s="9">
        <v>29.306000000000001</v>
      </c>
      <c r="M1035" s="9">
        <v>12.063700000000001</v>
      </c>
      <c r="N1035" s="9">
        <v>4.9444999999999997</v>
      </c>
      <c r="O1035" s="9">
        <v>0.37409999999999999</v>
      </c>
      <c r="P1035" s="9">
        <v>1.2927</v>
      </c>
      <c r="Q1035" s="9">
        <v>19.688099999999999</v>
      </c>
      <c r="R1035" s="9"/>
      <c r="S1035" s="11"/>
    </row>
    <row r="1036" spans="1:19">
      <c r="A1036" s="10"/>
      <c r="F1036" s="1"/>
      <c r="H1036" s="1"/>
      <c r="Q1036" s="9"/>
    </row>
    <row r="1037" spans="1:19" ht="15" customHeight="1">
      <c r="A1037" s="3">
        <v>2016</v>
      </c>
      <c r="B1037" s="8">
        <f t="shared" ref="B1037:H1037" si="1">AVERAGE(B16:B27)</f>
        <v>2.5925499999999997</v>
      </c>
      <c r="C1037" s="8">
        <f t="shared" si="1"/>
        <v>2.5988333333333338</v>
      </c>
      <c r="D1037" s="8">
        <f t="shared" si="1"/>
        <v>2.5874749999999995</v>
      </c>
      <c r="E1037" s="8">
        <f t="shared" si="1"/>
        <v>2.5907</v>
      </c>
      <c r="F1037" s="4">
        <f t="shared" si="1"/>
        <v>3.2636166666666671</v>
      </c>
      <c r="G1037" s="8">
        <f t="shared" si="1"/>
        <v>2.5274833333333335</v>
      </c>
      <c r="H1037" s="4">
        <f t="shared" si="1"/>
        <v>3.4382499999999996</v>
      </c>
      <c r="I1037" s="8"/>
      <c r="J1037" s="4">
        <f>AVERAGE(J16:J27)</f>
        <v>2.476083333333333</v>
      </c>
      <c r="K1037" s="5"/>
      <c r="L1037" s="5">
        <f>SUM(L16:L27)</f>
        <v>378.12069999999994</v>
      </c>
      <c r="M1037" s="5">
        <f>SUM(M16:M27)</f>
        <v>142.42920000000001</v>
      </c>
      <c r="N1037" s="5">
        <f>SUM(N16:N27)</f>
        <v>58.377000000000002</v>
      </c>
      <c r="O1037" s="5">
        <f>SUM(O16:O27)</f>
        <v>5.3597999999999999</v>
      </c>
      <c r="P1037" s="5">
        <f>SUM(P16:P27)</f>
        <v>16.508199999999995</v>
      </c>
      <c r="Q1037" s="5"/>
      <c r="R1037" s="5">
        <f>SUM(R16:R27)</f>
        <v>4.8</v>
      </c>
      <c r="S1037" s="5"/>
    </row>
    <row r="1038" spans="1:19" ht="15" customHeight="1">
      <c r="A1038" s="3">
        <v>2017</v>
      </c>
      <c r="B1038" s="8">
        <f t="shared" ref="B1038:J1038" si="2">AVERAGE(B28:B39)</f>
        <v>2.9083166666666664</v>
      </c>
      <c r="C1038" s="8">
        <f t="shared" si="2"/>
        <v>2.9146083333333337</v>
      </c>
      <c r="D1038" s="8">
        <f t="shared" si="2"/>
        <v>2.9015249999999999</v>
      </c>
      <c r="E1038" s="8">
        <f t="shared" si="2"/>
        <v>2.9054083333333338</v>
      </c>
      <c r="F1038" s="4">
        <f t="shared" si="2"/>
        <v>3.5793750000000006</v>
      </c>
      <c r="G1038" s="8">
        <f t="shared" si="2"/>
        <v>2.8375583333333334</v>
      </c>
      <c r="H1038" s="4">
        <f t="shared" si="2"/>
        <v>3.7487833333333334</v>
      </c>
      <c r="I1038" s="8">
        <f t="shared" si="2"/>
        <v>2.8820250000000005</v>
      </c>
      <c r="J1038" s="4">
        <f t="shared" si="2"/>
        <v>2.781333333333333</v>
      </c>
      <c r="K1038" s="4"/>
      <c r="L1038" s="5">
        <f t="shared" ref="L1038:Q1038" si="3">SUM(L28:L39)</f>
        <v>355.53689999999995</v>
      </c>
      <c r="M1038" s="5">
        <f t="shared" si="3"/>
        <v>142.0401</v>
      </c>
      <c r="N1038" s="5">
        <f t="shared" si="3"/>
        <v>58.217499999999994</v>
      </c>
      <c r="O1038" s="5">
        <f t="shared" si="3"/>
        <v>4.4046000000000003</v>
      </c>
      <c r="P1038" s="5">
        <f t="shared" si="3"/>
        <v>20.805900000000001</v>
      </c>
      <c r="Q1038" s="5">
        <f t="shared" si="3"/>
        <v>198.18529999999998</v>
      </c>
      <c r="R1038" s="5"/>
      <c r="S1038" s="4"/>
    </row>
    <row r="1039" spans="1:19" ht="15" customHeight="1">
      <c r="A1039" s="3">
        <v>2018</v>
      </c>
      <c r="B1039" s="8">
        <f t="shared" ref="B1039:J1039" si="4">AVERAGE(B40:B51)</f>
        <v>3.0322750000000003</v>
      </c>
      <c r="C1039" s="8">
        <f t="shared" si="4"/>
        <v>3.0385750000000002</v>
      </c>
      <c r="D1039" s="8">
        <f t="shared" si="4"/>
        <v>3.0358666666666667</v>
      </c>
      <c r="E1039" s="8">
        <f t="shared" si="4"/>
        <v>3.0360833333333335</v>
      </c>
      <c r="F1039" s="4">
        <f t="shared" si="4"/>
        <v>3.7033333333333331</v>
      </c>
      <c r="G1039" s="8">
        <f t="shared" si="4"/>
        <v>2.9594583333333326</v>
      </c>
      <c r="H1039" s="4">
        <f t="shared" si="4"/>
        <v>3.8706999999999998</v>
      </c>
      <c r="I1039" s="8">
        <f t="shared" si="4"/>
        <v>3.0019083333333332</v>
      </c>
      <c r="J1039" s="4">
        <f t="shared" si="4"/>
        <v>2.9011666666666662</v>
      </c>
      <c r="K1039" s="4"/>
      <c r="L1039" s="5">
        <f t="shared" ref="L1039:Q1039" si="5">SUM(L40:L51)</f>
        <v>355.53689999999995</v>
      </c>
      <c r="M1039" s="5">
        <f t="shared" si="5"/>
        <v>142.0401</v>
      </c>
      <c r="N1039" s="5">
        <f t="shared" si="5"/>
        <v>58.217499999999994</v>
      </c>
      <c r="O1039" s="5">
        <f t="shared" si="5"/>
        <v>4.4046000000000003</v>
      </c>
      <c r="P1039" s="5">
        <f t="shared" si="5"/>
        <v>14.707600000000001</v>
      </c>
      <c r="Q1039" s="5">
        <f t="shared" si="5"/>
        <v>293.19730000000004</v>
      </c>
      <c r="R1039" s="5"/>
      <c r="S1039" s="4"/>
    </row>
    <row r="1040" spans="1:19" ht="15" customHeight="1">
      <c r="A1040" s="3">
        <v>2019</v>
      </c>
      <c r="B1040" s="8">
        <f t="shared" ref="B1040:J1040" si="6">AVERAGE(B52:B63)</f>
        <v>3.7432499999999993</v>
      </c>
      <c r="C1040" s="8">
        <f t="shared" si="6"/>
        <v>3.7495333333333334</v>
      </c>
      <c r="D1040" s="8">
        <f t="shared" si="6"/>
        <v>3.7468249999999999</v>
      </c>
      <c r="E1040" s="8">
        <f t="shared" si="6"/>
        <v>3.7470416666666675</v>
      </c>
      <c r="F1040" s="4">
        <f t="shared" si="6"/>
        <v>4.4143166666666671</v>
      </c>
      <c r="G1040" s="8">
        <f t="shared" si="6"/>
        <v>3.6586499999999993</v>
      </c>
      <c r="H1040" s="4">
        <f t="shared" si="6"/>
        <v>4.5698833333333342</v>
      </c>
      <c r="I1040" s="8">
        <f t="shared" si="6"/>
        <v>3.6895583333333328</v>
      </c>
      <c r="J1040" s="4">
        <f t="shared" si="6"/>
        <v>3.588483333333333</v>
      </c>
      <c r="K1040" s="4"/>
      <c r="L1040" s="5">
        <f t="shared" ref="L1040:Q1040" si="7">SUM(L52:L63)</f>
        <v>355.53689999999995</v>
      </c>
      <c r="M1040" s="5">
        <f t="shared" si="7"/>
        <v>142.0401</v>
      </c>
      <c r="N1040" s="5">
        <f t="shared" si="7"/>
        <v>58.217499999999994</v>
      </c>
      <c r="O1040" s="5">
        <f t="shared" si="7"/>
        <v>4.4046000000000003</v>
      </c>
      <c r="P1040" s="5">
        <f t="shared" si="7"/>
        <v>14.707600000000001</v>
      </c>
      <c r="Q1040" s="5">
        <f t="shared" si="7"/>
        <v>290.24799999999999</v>
      </c>
      <c r="R1040" s="5"/>
      <c r="S1040" s="4"/>
    </row>
    <row r="1041" spans="1:19" ht="15" customHeight="1">
      <c r="A1041" s="3">
        <v>2020</v>
      </c>
      <c r="B1041" s="8">
        <f t="shared" ref="B1041:J1041" si="8">AVERAGE(B64:B75)</f>
        <v>3.833733333333333</v>
      </c>
      <c r="C1041" s="8">
        <f t="shared" si="8"/>
        <v>3.840033333333333</v>
      </c>
      <c r="D1041" s="8">
        <f t="shared" si="8"/>
        <v>3.8373166666666667</v>
      </c>
      <c r="E1041" s="8">
        <f t="shared" si="8"/>
        <v>3.8375499999999998</v>
      </c>
      <c r="F1041" s="4">
        <f t="shared" si="8"/>
        <v>4.5047749999999995</v>
      </c>
      <c r="G1041" s="8">
        <f t="shared" si="8"/>
        <v>3.747616666666667</v>
      </c>
      <c r="H1041" s="4">
        <f t="shared" si="8"/>
        <v>4.6588250000000002</v>
      </c>
      <c r="I1041" s="8">
        <f t="shared" si="8"/>
        <v>3.7770499999999996</v>
      </c>
      <c r="J1041" s="4">
        <f t="shared" si="8"/>
        <v>3.6759249999999999</v>
      </c>
      <c r="K1041" s="4"/>
      <c r="L1041" s="5">
        <f t="shared" ref="L1041:Q1041" si="9">SUM(L64:L75)</f>
        <v>356.48229999999995</v>
      </c>
      <c r="M1041" s="5">
        <f t="shared" si="9"/>
        <v>142.42920000000001</v>
      </c>
      <c r="N1041" s="5">
        <f t="shared" si="9"/>
        <v>58.377000000000002</v>
      </c>
      <c r="O1041" s="5">
        <f t="shared" si="9"/>
        <v>4.4165999999999999</v>
      </c>
      <c r="P1041" s="5">
        <f t="shared" si="9"/>
        <v>14.7493</v>
      </c>
      <c r="Q1041" s="5">
        <f t="shared" si="9"/>
        <v>349.04309999999998</v>
      </c>
      <c r="R1041" s="5"/>
      <c r="S1041" s="4"/>
    </row>
    <row r="1042" spans="1:19" ht="15" customHeight="1">
      <c r="A1042" s="3">
        <v>2021</v>
      </c>
      <c r="B1042" s="8">
        <f t="shared" ref="B1042:J1042" si="10">AVERAGE(B76:B87)</f>
        <v>4.5115499999999997</v>
      </c>
      <c r="C1042" s="8">
        <f t="shared" si="10"/>
        <v>4.5178333333333329</v>
      </c>
      <c r="D1042" s="8">
        <f t="shared" si="10"/>
        <v>4.5151249999999994</v>
      </c>
      <c r="E1042" s="8">
        <f t="shared" si="10"/>
        <v>4.515341666666667</v>
      </c>
      <c r="F1042" s="4">
        <f t="shared" si="10"/>
        <v>5.1825916666666672</v>
      </c>
      <c r="G1042" s="8">
        <f t="shared" si="10"/>
        <v>4.4141999999999992</v>
      </c>
      <c r="H1042" s="4">
        <f t="shared" si="10"/>
        <v>5.3254166666666665</v>
      </c>
      <c r="I1042" s="8">
        <f t="shared" si="10"/>
        <v>4.432641666666667</v>
      </c>
      <c r="J1042" s="4">
        <f t="shared" si="10"/>
        <v>4.3311833333333345</v>
      </c>
      <c r="K1042" s="4"/>
      <c r="L1042" s="5">
        <f t="shared" ref="L1042:Q1042" si="11">SUM(L76:L87)</f>
        <v>355.53689999999995</v>
      </c>
      <c r="M1042" s="5">
        <f t="shared" si="11"/>
        <v>142.0401</v>
      </c>
      <c r="N1042" s="5">
        <f t="shared" si="11"/>
        <v>58.217499999999994</v>
      </c>
      <c r="O1042" s="5">
        <f t="shared" si="11"/>
        <v>4.4046000000000003</v>
      </c>
      <c r="P1042" s="5">
        <f t="shared" si="11"/>
        <v>14.707600000000001</v>
      </c>
      <c r="Q1042" s="5">
        <f t="shared" si="11"/>
        <v>388.68129999999996</v>
      </c>
      <c r="R1042" s="5"/>
      <c r="S1042" s="4"/>
    </row>
    <row r="1043" spans="1:19" ht="15" customHeight="1">
      <c r="A1043" s="3">
        <v>2022</v>
      </c>
      <c r="B1043" s="8">
        <f t="shared" ref="B1043:J1043" si="12">AVERAGE(B88:B99)</f>
        <v>4.7805083333333336</v>
      </c>
      <c r="C1043" s="8">
        <f t="shared" si="12"/>
        <v>4.7868166666666667</v>
      </c>
      <c r="D1043" s="8">
        <f t="shared" si="12"/>
        <v>4.7840999999999996</v>
      </c>
      <c r="E1043" s="8">
        <f t="shared" si="12"/>
        <v>4.7843166666666672</v>
      </c>
      <c r="F1043" s="4">
        <f t="shared" si="12"/>
        <v>5.4515500000000001</v>
      </c>
      <c r="G1043" s="8">
        <f t="shared" si="12"/>
        <v>4.6786833333333329</v>
      </c>
      <c r="H1043" s="4">
        <f t="shared" si="12"/>
        <v>5.5899249999999983</v>
      </c>
      <c r="I1043" s="8">
        <f t="shared" si="12"/>
        <v>4.6927666666666665</v>
      </c>
      <c r="J1043" s="4">
        <f t="shared" si="12"/>
        <v>4.5911833333333334</v>
      </c>
      <c r="K1043" s="4"/>
      <c r="L1043" s="5">
        <f t="shared" ref="L1043:Q1043" si="13">SUM(L88:L99)</f>
        <v>355.53689999999995</v>
      </c>
      <c r="M1043" s="5">
        <f t="shared" si="13"/>
        <v>142.0401</v>
      </c>
      <c r="N1043" s="5">
        <f t="shared" si="13"/>
        <v>58.217499999999994</v>
      </c>
      <c r="O1043" s="5">
        <f t="shared" si="13"/>
        <v>4.4046000000000003</v>
      </c>
      <c r="P1043" s="5">
        <f t="shared" si="13"/>
        <v>14.707600000000001</v>
      </c>
      <c r="Q1043" s="5">
        <f t="shared" si="13"/>
        <v>386.33820000000003</v>
      </c>
      <c r="R1043" s="5"/>
      <c r="S1043" s="4"/>
    </row>
    <row r="1044" spans="1:19" ht="15" customHeight="1">
      <c r="A1044" s="3">
        <v>2023</v>
      </c>
      <c r="B1044" s="8">
        <f t="shared" ref="B1044:J1044" si="14">AVERAGE(B100:B111)</f>
        <v>5.1115166666666667</v>
      </c>
      <c r="C1044" s="8">
        <f t="shared" si="14"/>
        <v>5.1178166666666653</v>
      </c>
      <c r="D1044" s="8">
        <f t="shared" si="14"/>
        <v>5.1151083333333336</v>
      </c>
      <c r="E1044" s="8">
        <f t="shared" si="14"/>
        <v>5.1153333333333331</v>
      </c>
      <c r="F1044" s="4">
        <f t="shared" si="14"/>
        <v>5.7825833333333323</v>
      </c>
      <c r="G1044" s="8">
        <f t="shared" si="14"/>
        <v>5.0042250000000008</v>
      </c>
      <c r="H1044" s="4">
        <f t="shared" si="14"/>
        <v>5.9154666666666671</v>
      </c>
      <c r="I1044" s="8">
        <f t="shared" si="14"/>
        <v>5.0129250000000001</v>
      </c>
      <c r="J1044" s="4">
        <f t="shared" si="14"/>
        <v>4.9111916666666664</v>
      </c>
      <c r="K1044" s="4"/>
      <c r="L1044" s="5">
        <f t="shared" ref="L1044:Q1044" si="15">SUM(L100:L111)</f>
        <v>355.53689999999995</v>
      </c>
      <c r="M1044" s="5">
        <f t="shared" si="15"/>
        <v>142.0401</v>
      </c>
      <c r="N1044" s="5">
        <f t="shared" si="15"/>
        <v>58.217499999999994</v>
      </c>
      <c r="O1044" s="5">
        <f t="shared" si="15"/>
        <v>4.4046000000000003</v>
      </c>
      <c r="P1044" s="5">
        <f t="shared" si="15"/>
        <v>14.707600000000001</v>
      </c>
      <c r="Q1044" s="5">
        <f t="shared" si="15"/>
        <v>384.12599999999998</v>
      </c>
      <c r="R1044" s="5"/>
      <c r="S1044" s="4"/>
    </row>
    <row r="1045" spans="1:19" ht="15" customHeight="1">
      <c r="A1045" s="3">
        <v>2024</v>
      </c>
      <c r="B1045" s="8">
        <f t="shared" ref="B1045:J1045" si="16">AVERAGE(B112:B123)</f>
        <v>5.7115083333333345</v>
      </c>
      <c r="C1045" s="8">
        <f t="shared" si="16"/>
        <v>5.7178000000000004</v>
      </c>
      <c r="D1045" s="8">
        <f t="shared" si="16"/>
        <v>5.7150833333333324</v>
      </c>
      <c r="E1045" s="8">
        <f t="shared" si="16"/>
        <v>5.7153</v>
      </c>
      <c r="F1045" s="4">
        <f t="shared" si="16"/>
        <v>6.3825666666666665</v>
      </c>
      <c r="G1045" s="8">
        <f t="shared" si="16"/>
        <v>5.5942749999999997</v>
      </c>
      <c r="H1045" s="4">
        <f t="shared" si="16"/>
        <v>6.5054833333333333</v>
      </c>
      <c r="I1045" s="8">
        <f t="shared" si="16"/>
        <v>5.5932250000000003</v>
      </c>
      <c r="J1045" s="4">
        <f t="shared" si="16"/>
        <v>5.4911749999999993</v>
      </c>
      <c r="K1045" s="4"/>
      <c r="L1045" s="5">
        <f t="shared" ref="L1045:Q1045" si="17">SUM(L112:L123)</f>
        <v>356.48229999999995</v>
      </c>
      <c r="M1045" s="5">
        <f t="shared" si="17"/>
        <v>142.42920000000001</v>
      </c>
      <c r="N1045" s="5">
        <f t="shared" si="17"/>
        <v>58.377000000000002</v>
      </c>
      <c r="O1045" s="5">
        <f t="shared" si="17"/>
        <v>4.4165999999999999</v>
      </c>
      <c r="P1045" s="5">
        <f t="shared" si="17"/>
        <v>14.7493</v>
      </c>
      <c r="Q1045" s="5">
        <f t="shared" si="17"/>
        <v>383.00459999999998</v>
      </c>
      <c r="R1045" s="5"/>
      <c r="S1045" s="4"/>
    </row>
    <row r="1046" spans="1:19" ht="15" customHeight="1">
      <c r="A1046" s="3">
        <v>2025</v>
      </c>
      <c r="B1046" s="8">
        <f t="shared" ref="B1046:J1046" si="18">AVERAGE(B124:B135)</f>
        <v>5.7011500000000011</v>
      </c>
      <c r="C1046" s="8">
        <f t="shared" si="18"/>
        <v>5.7074750000000014</v>
      </c>
      <c r="D1046" s="8">
        <f t="shared" si="18"/>
        <v>5.7047583333333334</v>
      </c>
      <c r="E1046" s="8">
        <f t="shared" si="18"/>
        <v>5.7049750000000001</v>
      </c>
      <c r="F1046" s="4">
        <f t="shared" si="18"/>
        <v>6.372208333333333</v>
      </c>
      <c r="G1046" s="8">
        <f t="shared" si="18"/>
        <v>5.5840833333333331</v>
      </c>
      <c r="H1046" s="4">
        <f t="shared" si="18"/>
        <v>6.495308333333333</v>
      </c>
      <c r="I1046" s="8">
        <f t="shared" si="18"/>
        <v>5.5832249999999988</v>
      </c>
      <c r="J1046" s="4">
        <f t="shared" si="18"/>
        <v>5.4811916666666676</v>
      </c>
      <c r="K1046" s="4"/>
      <c r="L1046" s="5">
        <f t="shared" ref="L1046:Q1046" si="19">SUM(L124:L135)</f>
        <v>355.53689999999995</v>
      </c>
      <c r="M1046" s="5">
        <f t="shared" si="19"/>
        <v>142.0401</v>
      </c>
      <c r="N1046" s="5">
        <f t="shared" si="19"/>
        <v>58.217499999999994</v>
      </c>
      <c r="O1046" s="5">
        <f t="shared" si="19"/>
        <v>4.4046000000000003</v>
      </c>
      <c r="P1046" s="5">
        <f t="shared" si="19"/>
        <v>14.707600000000001</v>
      </c>
      <c r="Q1046" s="5">
        <f t="shared" si="19"/>
        <v>379.76819999999998</v>
      </c>
      <c r="R1046" s="5"/>
      <c r="S1046" s="4"/>
    </row>
    <row r="1047" spans="1:19" ht="15" customHeight="1">
      <c r="A1047" s="3">
        <v>2026</v>
      </c>
      <c r="B1047" s="8">
        <f t="shared" ref="B1047:J1047" si="20">AVERAGE(B136:B147)</f>
        <v>5.6804749999999986</v>
      </c>
      <c r="C1047" s="8">
        <f t="shared" si="20"/>
        <v>5.6867583333333327</v>
      </c>
      <c r="D1047" s="8">
        <f t="shared" si="20"/>
        <v>5.6840583333333328</v>
      </c>
      <c r="E1047" s="8">
        <f t="shared" si="20"/>
        <v>5.6842749999999995</v>
      </c>
      <c r="F1047" s="4">
        <f t="shared" si="20"/>
        <v>6.3515333333333333</v>
      </c>
      <c r="G1047" s="8">
        <f t="shared" si="20"/>
        <v>5.5637416666666661</v>
      </c>
      <c r="H1047" s="4">
        <f t="shared" si="20"/>
        <v>6.4749666666666661</v>
      </c>
      <c r="I1047" s="8">
        <f t="shared" si="20"/>
        <v>5.5631916666666656</v>
      </c>
      <c r="J1047" s="4">
        <f t="shared" si="20"/>
        <v>5.4611666666666672</v>
      </c>
      <c r="K1047" s="4"/>
      <c r="L1047" s="5">
        <f t="shared" ref="L1047:Q1047" si="21">SUM(L136:L147)</f>
        <v>355.53689999999995</v>
      </c>
      <c r="M1047" s="5">
        <f t="shared" si="21"/>
        <v>142.0401</v>
      </c>
      <c r="N1047" s="5">
        <f t="shared" si="21"/>
        <v>58.217499999999994</v>
      </c>
      <c r="O1047" s="5">
        <f t="shared" si="21"/>
        <v>4.4046000000000003</v>
      </c>
      <c r="P1047" s="5">
        <f t="shared" si="21"/>
        <v>14.707600000000001</v>
      </c>
      <c r="Q1047" s="5">
        <f t="shared" si="21"/>
        <v>377.59969999999987</v>
      </c>
      <c r="R1047" s="5"/>
      <c r="S1047" s="4"/>
    </row>
    <row r="1048" spans="1:19" ht="15" customHeight="1">
      <c r="A1048" s="3">
        <v>2027</v>
      </c>
      <c r="B1048" s="8">
        <f t="shared" ref="B1048:J1048" si="22">AVERAGE(B148:B159)</f>
        <v>5.8563249999999991</v>
      </c>
      <c r="C1048" s="8">
        <f t="shared" si="22"/>
        <v>5.8626166666666668</v>
      </c>
      <c r="D1048" s="8">
        <f t="shared" si="22"/>
        <v>5.8599000000000006</v>
      </c>
      <c r="E1048" s="8">
        <f t="shared" si="22"/>
        <v>5.8601250000000009</v>
      </c>
      <c r="F1048" s="4">
        <f t="shared" si="22"/>
        <v>6.5273750000000001</v>
      </c>
      <c r="G1048" s="8">
        <f t="shared" si="22"/>
        <v>5.7366833333333327</v>
      </c>
      <c r="H1048" s="4">
        <f t="shared" si="22"/>
        <v>6.6479166666666671</v>
      </c>
      <c r="I1048" s="8">
        <f t="shared" si="22"/>
        <v>5.7332916666666671</v>
      </c>
      <c r="J1048" s="4">
        <f t="shared" si="22"/>
        <v>5.6311916666666662</v>
      </c>
      <c r="K1048" s="4"/>
      <c r="L1048" s="5">
        <f t="shared" ref="L1048:Q1048" si="23">SUM(L148:L159)</f>
        <v>355.53689999999995</v>
      </c>
      <c r="M1048" s="5">
        <f t="shared" si="23"/>
        <v>142.0401</v>
      </c>
      <c r="N1048" s="5">
        <f t="shared" si="23"/>
        <v>58.217499999999994</v>
      </c>
      <c r="O1048" s="5">
        <f t="shared" si="23"/>
        <v>4.4046000000000003</v>
      </c>
      <c r="P1048" s="5">
        <f t="shared" si="23"/>
        <v>14.707600000000001</v>
      </c>
      <c r="Q1048" s="5">
        <f t="shared" si="23"/>
        <v>375.43180000000001</v>
      </c>
      <c r="R1048" s="5"/>
      <c r="S1048" s="4"/>
    </row>
    <row r="1049" spans="1:19" ht="15" customHeight="1">
      <c r="A1049" s="3">
        <v>2028</v>
      </c>
      <c r="B1049" s="8">
        <f t="shared" ref="B1049:J1049" si="24">AVERAGE(B160:B171)</f>
        <v>6.0425250000000004</v>
      </c>
      <c r="C1049" s="8">
        <f t="shared" si="24"/>
        <v>6.0488250000000008</v>
      </c>
      <c r="D1049" s="8">
        <f t="shared" si="24"/>
        <v>6.0461083333333328</v>
      </c>
      <c r="E1049" s="8">
        <f t="shared" si="24"/>
        <v>6.0463249999999995</v>
      </c>
      <c r="F1049" s="4">
        <f t="shared" si="24"/>
        <v>6.7135833333333323</v>
      </c>
      <c r="G1049" s="8">
        <f t="shared" si="24"/>
        <v>5.9197999999999995</v>
      </c>
      <c r="H1049" s="4">
        <f t="shared" si="24"/>
        <v>6.8310416666666676</v>
      </c>
      <c r="I1049" s="8">
        <f t="shared" si="24"/>
        <v>5.9133749999999994</v>
      </c>
      <c r="J1049" s="4">
        <f t="shared" si="24"/>
        <v>5.8111833333333331</v>
      </c>
      <c r="K1049" s="4"/>
      <c r="L1049" s="5">
        <f t="shared" ref="L1049:Q1049" si="25">SUM(L160:L171)</f>
        <v>356.48229999999995</v>
      </c>
      <c r="M1049" s="5">
        <f t="shared" si="25"/>
        <v>142.42920000000001</v>
      </c>
      <c r="N1049" s="5">
        <f t="shared" si="25"/>
        <v>58.377000000000002</v>
      </c>
      <c r="O1049" s="5">
        <f t="shared" si="25"/>
        <v>4.4165999999999999</v>
      </c>
      <c r="P1049" s="5">
        <f t="shared" si="25"/>
        <v>14.7493</v>
      </c>
      <c r="Q1049" s="5">
        <f t="shared" si="25"/>
        <v>374.28599999999994</v>
      </c>
      <c r="R1049" s="5"/>
      <c r="S1049" s="4"/>
    </row>
    <row r="1050" spans="1:19" ht="15" customHeight="1">
      <c r="A1050" s="3">
        <v>2029</v>
      </c>
      <c r="B1050" s="8">
        <f t="shared" ref="B1050:J1050" si="26">AVERAGE(B172:B183)</f>
        <v>6.2287250000000007</v>
      </c>
      <c r="C1050" s="8">
        <f t="shared" si="26"/>
        <v>6.2350250000000003</v>
      </c>
      <c r="D1050" s="8">
        <f t="shared" si="26"/>
        <v>6.2323249999999994</v>
      </c>
      <c r="E1050" s="8">
        <f t="shared" si="26"/>
        <v>6.2325333333333326</v>
      </c>
      <c r="F1050" s="4">
        <f t="shared" si="26"/>
        <v>6.8997833333333318</v>
      </c>
      <c r="G1050" s="8">
        <f t="shared" si="26"/>
        <v>6.1029166666666663</v>
      </c>
      <c r="H1050" s="4">
        <f t="shared" si="26"/>
        <v>7.0141333333333327</v>
      </c>
      <c r="I1050" s="8">
        <f t="shared" si="26"/>
        <v>6.0934833333333325</v>
      </c>
      <c r="J1050" s="4">
        <f t="shared" si="26"/>
        <v>5.9911916666666656</v>
      </c>
      <c r="K1050" s="4"/>
      <c r="L1050" s="5">
        <f t="shared" ref="L1050:Q1050" si="27">SUM(L172:L183)</f>
        <v>355.53689999999995</v>
      </c>
      <c r="M1050" s="5">
        <f t="shared" si="27"/>
        <v>142.0401</v>
      </c>
      <c r="N1050" s="5">
        <f t="shared" si="27"/>
        <v>58.217499999999994</v>
      </c>
      <c r="O1050" s="5">
        <f t="shared" si="27"/>
        <v>4.4046000000000003</v>
      </c>
      <c r="P1050" s="5">
        <f t="shared" si="27"/>
        <v>14.707600000000001</v>
      </c>
      <c r="Q1050" s="5">
        <f t="shared" si="27"/>
        <v>371.09549999999996</v>
      </c>
      <c r="R1050" s="5"/>
      <c r="S1050" s="4"/>
    </row>
    <row r="1051" spans="1:19" ht="15" customHeight="1">
      <c r="A1051" s="3">
        <v>2030</v>
      </c>
      <c r="B1051" s="8">
        <f t="shared" ref="B1051:J1051" si="28">AVERAGE(B184:B195)</f>
        <v>6.4252749999999992</v>
      </c>
      <c r="C1051" s="8">
        <f t="shared" si="28"/>
        <v>6.431566666666666</v>
      </c>
      <c r="D1051" s="8">
        <f t="shared" si="28"/>
        <v>6.4288583333333333</v>
      </c>
      <c r="E1051" s="8">
        <f t="shared" si="28"/>
        <v>6.4290750000000001</v>
      </c>
      <c r="F1051" s="4">
        <f t="shared" si="28"/>
        <v>7.0963250000000002</v>
      </c>
      <c r="G1051" s="8">
        <f t="shared" si="28"/>
        <v>6.2961833333333326</v>
      </c>
      <c r="H1051" s="4">
        <f t="shared" si="28"/>
        <v>7.207416666666667</v>
      </c>
      <c r="I1051" s="8">
        <f t="shared" si="28"/>
        <v>6.2835833333333335</v>
      </c>
      <c r="J1051" s="4">
        <f t="shared" si="28"/>
        <v>6.1811833333333324</v>
      </c>
      <c r="K1051" s="4"/>
      <c r="L1051" s="5">
        <f t="shared" ref="L1051:Q1051" si="29">SUM(L184:L195)</f>
        <v>355.53689999999995</v>
      </c>
      <c r="M1051" s="5">
        <f t="shared" si="29"/>
        <v>142.0401</v>
      </c>
      <c r="N1051" s="5">
        <f t="shared" si="29"/>
        <v>58.217499999999994</v>
      </c>
      <c r="O1051" s="5">
        <f t="shared" si="29"/>
        <v>4.4046000000000003</v>
      </c>
      <c r="P1051" s="5">
        <f t="shared" si="29"/>
        <v>14.707600000000001</v>
      </c>
      <c r="Q1051" s="5">
        <f t="shared" si="29"/>
        <v>368.9276999999999</v>
      </c>
      <c r="R1051" s="5"/>
      <c r="S1051" s="4"/>
    </row>
    <row r="1052" spans="1:19" ht="15" customHeight="1">
      <c r="A1052" s="3">
        <v>2031</v>
      </c>
      <c r="B1052" s="8">
        <f t="shared" ref="B1052:J1052" si="30">AVERAGE(B196:B207)</f>
        <v>6.6218333333333321</v>
      </c>
      <c r="C1052" s="8">
        <f t="shared" si="30"/>
        <v>6.6281249999999998</v>
      </c>
      <c r="D1052" s="8">
        <f t="shared" si="30"/>
        <v>6.6254</v>
      </c>
      <c r="E1052" s="8">
        <f t="shared" si="30"/>
        <v>6.6256249999999994</v>
      </c>
      <c r="F1052" s="4">
        <f t="shared" si="30"/>
        <v>7.2928583333333341</v>
      </c>
      <c r="G1052" s="8">
        <f t="shared" si="30"/>
        <v>6.4895000000000005</v>
      </c>
      <c r="H1052" s="4">
        <f t="shared" si="30"/>
        <v>7.4007083333333314</v>
      </c>
      <c r="I1052" s="8">
        <f t="shared" si="30"/>
        <v>6.4736416666666665</v>
      </c>
      <c r="J1052" s="4">
        <f t="shared" si="30"/>
        <v>6.3711833333333336</v>
      </c>
      <c r="K1052" s="4"/>
      <c r="L1052" s="5">
        <f t="shared" ref="L1052:Q1052" si="31">SUM(L196:L207)</f>
        <v>355.53689999999995</v>
      </c>
      <c r="M1052" s="5">
        <f t="shared" si="31"/>
        <v>142.0401</v>
      </c>
      <c r="N1052" s="5">
        <f t="shared" si="31"/>
        <v>58.217499999999994</v>
      </c>
      <c r="O1052" s="5">
        <f t="shared" si="31"/>
        <v>4.4046000000000003</v>
      </c>
      <c r="P1052" s="5">
        <f t="shared" si="31"/>
        <v>14.707600000000001</v>
      </c>
      <c r="Q1052" s="5">
        <f t="shared" si="31"/>
        <v>365.31420000000003</v>
      </c>
      <c r="R1052" s="5"/>
      <c r="S1052" s="4"/>
    </row>
    <row r="1053" spans="1:19" ht="15" customHeight="1">
      <c r="A1053" s="3">
        <v>2032</v>
      </c>
      <c r="B1053" s="8">
        <f t="shared" ref="B1053:J1053" si="32">AVERAGE(B208:B219)</f>
        <v>6.8287250000000013</v>
      </c>
      <c r="C1053" s="8">
        <f t="shared" si="32"/>
        <v>6.8350083333333345</v>
      </c>
      <c r="D1053" s="8">
        <f t="shared" si="32"/>
        <v>6.8322916666666664</v>
      </c>
      <c r="E1053" s="8">
        <f t="shared" si="32"/>
        <v>6.8324999999999996</v>
      </c>
      <c r="F1053" s="4">
        <f t="shared" si="32"/>
        <v>7.4997583333333333</v>
      </c>
      <c r="G1053" s="8">
        <f t="shared" si="32"/>
        <v>6.6929416666666661</v>
      </c>
      <c r="H1053" s="4">
        <f t="shared" si="32"/>
        <v>7.6041750000000006</v>
      </c>
      <c r="I1053" s="8">
        <f t="shared" si="32"/>
        <v>6.673775</v>
      </c>
      <c r="J1053" s="4">
        <f t="shared" si="32"/>
        <v>6.5712000000000002</v>
      </c>
      <c r="K1053" s="4"/>
      <c r="L1053" s="5">
        <f t="shared" ref="L1053:Q1053" si="33">SUM(L208:L219)</f>
        <v>356.48229999999995</v>
      </c>
      <c r="M1053" s="5">
        <f t="shared" si="33"/>
        <v>142.42920000000001</v>
      </c>
      <c r="N1053" s="5">
        <f t="shared" si="33"/>
        <v>58.377000000000002</v>
      </c>
      <c r="O1053" s="5">
        <f t="shared" si="33"/>
        <v>4.4165999999999999</v>
      </c>
      <c r="P1053" s="5">
        <f t="shared" si="33"/>
        <v>14.7493</v>
      </c>
      <c r="Q1053" s="5">
        <f t="shared" si="33"/>
        <v>364.46999999999997</v>
      </c>
      <c r="R1053" s="5"/>
      <c r="S1053" s="4"/>
    </row>
    <row r="1054" spans="1:19" ht="15" customHeight="1">
      <c r="A1054" s="3">
        <v>2033</v>
      </c>
      <c r="B1054" s="8">
        <f t="shared" ref="B1054:J1054" si="34">AVERAGE(B220:B231)</f>
        <v>7.0356083333333324</v>
      </c>
      <c r="C1054" s="8">
        <f t="shared" si="34"/>
        <v>7.0418916666666673</v>
      </c>
      <c r="D1054" s="8">
        <f t="shared" si="34"/>
        <v>7.0391833333333338</v>
      </c>
      <c r="E1054" s="8">
        <f t="shared" si="34"/>
        <v>7.0394000000000005</v>
      </c>
      <c r="F1054" s="4">
        <f t="shared" si="34"/>
        <v>7.7066583333333334</v>
      </c>
      <c r="G1054" s="8">
        <f t="shared" si="34"/>
        <v>6.8964083333333335</v>
      </c>
      <c r="H1054" s="4">
        <f t="shared" si="34"/>
        <v>7.8076249999999989</v>
      </c>
      <c r="I1054" s="8">
        <f t="shared" si="34"/>
        <v>6.8738583333333345</v>
      </c>
      <c r="J1054" s="4">
        <f t="shared" si="34"/>
        <v>6.7712000000000003</v>
      </c>
      <c r="K1054" s="4"/>
      <c r="L1054" s="5">
        <f t="shared" ref="L1054:Q1054" si="35">SUM(L220:L231)</f>
        <v>355.53689999999995</v>
      </c>
      <c r="M1054" s="5">
        <f t="shared" si="35"/>
        <v>142.0401</v>
      </c>
      <c r="N1054" s="5">
        <f t="shared" si="35"/>
        <v>58.217499999999994</v>
      </c>
      <c r="O1054" s="5">
        <f t="shared" si="35"/>
        <v>4.4046000000000003</v>
      </c>
      <c r="P1054" s="5">
        <f t="shared" si="35"/>
        <v>14.707600000000001</v>
      </c>
      <c r="Q1054" s="5">
        <f t="shared" si="35"/>
        <v>362.33550000000002</v>
      </c>
      <c r="R1054" s="5"/>
      <c r="S1054" s="4"/>
    </row>
    <row r="1055" spans="1:19" ht="15" customHeight="1">
      <c r="A1055" s="3">
        <v>2034</v>
      </c>
      <c r="B1055" s="8">
        <f t="shared" ref="B1055:J1055" si="36">AVERAGE(B232:B243)</f>
        <v>7.1804166666666669</v>
      </c>
      <c r="C1055" s="8">
        <f t="shared" si="36"/>
        <v>7.1867166666666664</v>
      </c>
      <c r="D1055" s="8">
        <f t="shared" si="36"/>
        <v>7.1840000000000002</v>
      </c>
      <c r="E1055" s="8">
        <f t="shared" si="36"/>
        <v>7.1842166666666669</v>
      </c>
      <c r="F1055" s="4">
        <f t="shared" si="36"/>
        <v>7.8514916666666652</v>
      </c>
      <c r="G1055" s="8">
        <f t="shared" si="36"/>
        <v>7.0388166666666665</v>
      </c>
      <c r="H1055" s="4">
        <f t="shared" si="36"/>
        <v>7.9500416666666673</v>
      </c>
      <c r="I1055" s="8">
        <f t="shared" si="36"/>
        <v>7.013933333333334</v>
      </c>
      <c r="J1055" s="4">
        <f t="shared" si="36"/>
        <v>6.9111916666666673</v>
      </c>
      <c r="K1055" s="4"/>
      <c r="L1055" s="5">
        <f t="shared" ref="L1055:Q1055" si="37">SUM(L232:L243)</f>
        <v>355.53689999999995</v>
      </c>
      <c r="M1055" s="5">
        <f t="shared" si="37"/>
        <v>142.0401</v>
      </c>
      <c r="N1055" s="5">
        <f t="shared" si="37"/>
        <v>58.217499999999994</v>
      </c>
      <c r="O1055" s="5">
        <f t="shared" si="37"/>
        <v>4.4046000000000003</v>
      </c>
      <c r="P1055" s="5">
        <f t="shared" si="37"/>
        <v>14.707600000000001</v>
      </c>
      <c r="Q1055" s="5">
        <f t="shared" si="37"/>
        <v>361.59120000000007</v>
      </c>
      <c r="R1055" s="5"/>
      <c r="S1055" s="4"/>
    </row>
    <row r="1056" spans="1:19" ht="15" customHeight="1">
      <c r="A1056" s="3">
        <v>2035</v>
      </c>
      <c r="B1056" s="8">
        <f t="shared" ref="B1056:J1056" si="38">AVERAGE(B244:B255)</f>
        <v>7.3252416666666669</v>
      </c>
      <c r="C1056" s="8">
        <f t="shared" si="38"/>
        <v>7.3315416666666664</v>
      </c>
      <c r="D1056" s="8">
        <f t="shared" si="38"/>
        <v>7.3288249999999993</v>
      </c>
      <c r="E1056" s="8">
        <f t="shared" si="38"/>
        <v>7.3290500000000014</v>
      </c>
      <c r="F1056" s="4">
        <f t="shared" si="38"/>
        <v>7.9963083333333342</v>
      </c>
      <c r="G1056" s="8">
        <f t="shared" si="38"/>
        <v>7.181233333333334</v>
      </c>
      <c r="H1056" s="4">
        <f t="shared" si="38"/>
        <v>8.0924666666666685</v>
      </c>
      <c r="I1056" s="8">
        <f t="shared" si="38"/>
        <v>7.1539999999999999</v>
      </c>
      <c r="J1056" s="4">
        <f t="shared" si="38"/>
        <v>7.051191666666667</v>
      </c>
      <c r="K1056" s="4"/>
      <c r="L1056" s="5">
        <f t="shared" ref="L1056:Q1056" si="39">SUM(L244:L255)</f>
        <v>355.53689999999995</v>
      </c>
      <c r="M1056" s="5">
        <f t="shared" si="39"/>
        <v>142.0401</v>
      </c>
      <c r="N1056" s="5">
        <f t="shared" si="39"/>
        <v>58.217499999999994</v>
      </c>
      <c r="O1056" s="5">
        <f t="shared" si="39"/>
        <v>4.4046000000000003</v>
      </c>
      <c r="P1056" s="5">
        <f t="shared" si="39"/>
        <v>14.707600000000001</v>
      </c>
      <c r="Q1056" s="5">
        <f t="shared" si="39"/>
        <v>360.82469999999995</v>
      </c>
      <c r="R1056" s="5"/>
      <c r="S1056" s="4"/>
    </row>
    <row r="1057" spans="1:19" ht="15" customHeight="1">
      <c r="A1057" s="3">
        <v>2036</v>
      </c>
      <c r="B1057" s="8">
        <f t="shared" ref="B1057:J1057" si="40">AVERAGE(B256:B267)</f>
        <v>7.5637416666666679</v>
      </c>
      <c r="C1057" s="8">
        <f t="shared" si="40"/>
        <v>7.5700416666666674</v>
      </c>
      <c r="D1057" s="8">
        <f t="shared" si="40"/>
        <v>7.5673333333333339</v>
      </c>
      <c r="E1057" s="8">
        <f t="shared" si="40"/>
        <v>7.5675583333333334</v>
      </c>
      <c r="F1057" s="4">
        <f t="shared" si="40"/>
        <v>8.2347999999999999</v>
      </c>
      <c r="G1057" s="8">
        <f t="shared" si="40"/>
        <v>7.4158000000000008</v>
      </c>
      <c r="H1057" s="4">
        <f t="shared" si="40"/>
        <v>8.3270250000000008</v>
      </c>
      <c r="I1057" s="8">
        <f t="shared" si="40"/>
        <v>7.3846833333333324</v>
      </c>
      <c r="J1057" s="4">
        <f t="shared" si="40"/>
        <v>7.2817416666666652</v>
      </c>
      <c r="K1057" s="4"/>
      <c r="L1057" s="5">
        <f t="shared" ref="L1057:Q1057" si="41">SUM(L256:L267)</f>
        <v>356.48229999999995</v>
      </c>
      <c r="M1057" s="5">
        <f t="shared" si="41"/>
        <v>142.42920000000001</v>
      </c>
      <c r="N1057" s="5">
        <f t="shared" si="41"/>
        <v>58.377000000000002</v>
      </c>
      <c r="O1057" s="5">
        <f t="shared" si="41"/>
        <v>4.4165999999999999</v>
      </c>
      <c r="P1057" s="5">
        <f t="shared" si="41"/>
        <v>14.7493</v>
      </c>
      <c r="Q1057" s="5">
        <f t="shared" si="41"/>
        <v>361.0446</v>
      </c>
      <c r="R1057" s="5"/>
      <c r="S1057" s="4"/>
    </row>
    <row r="1058" spans="1:19" ht="15" customHeight="1">
      <c r="A1058" s="3">
        <v>2037</v>
      </c>
      <c r="B1058" s="8">
        <f t="shared" ref="B1058:J1058" si="42">AVERAGE(B268:B279)</f>
        <v>7.8100416666666677</v>
      </c>
      <c r="C1058" s="8">
        <f t="shared" si="42"/>
        <v>7.8163666666666662</v>
      </c>
      <c r="D1058" s="8">
        <f t="shared" si="42"/>
        <v>7.8136416666666664</v>
      </c>
      <c r="E1058" s="8">
        <f t="shared" si="42"/>
        <v>7.8138583333333331</v>
      </c>
      <c r="F1058" s="4">
        <f t="shared" si="42"/>
        <v>8.4810999999999996</v>
      </c>
      <c r="G1058" s="8">
        <f t="shared" si="42"/>
        <v>7.6580166666666658</v>
      </c>
      <c r="H1058" s="4">
        <f t="shared" si="42"/>
        <v>8.5692333333333348</v>
      </c>
      <c r="I1058" s="8">
        <f t="shared" si="42"/>
        <v>7.6228999999999987</v>
      </c>
      <c r="J1058" s="4">
        <f t="shared" si="42"/>
        <v>7.519849999999999</v>
      </c>
      <c r="K1058" s="4"/>
      <c r="L1058" s="5">
        <f t="shared" ref="L1058:Q1058" si="43">SUM(L268:L279)</f>
        <v>355.53689999999995</v>
      </c>
      <c r="M1058" s="5">
        <f t="shared" si="43"/>
        <v>142.0401</v>
      </c>
      <c r="N1058" s="5">
        <f t="shared" si="43"/>
        <v>58.217499999999994</v>
      </c>
      <c r="O1058" s="5">
        <f t="shared" si="43"/>
        <v>4.4046000000000003</v>
      </c>
      <c r="P1058" s="5">
        <f t="shared" si="43"/>
        <v>14.707600000000001</v>
      </c>
      <c r="Q1058" s="5">
        <f t="shared" si="43"/>
        <v>359.29169999999999</v>
      </c>
      <c r="R1058" s="5"/>
      <c r="S1058" s="4"/>
    </row>
    <row r="1059" spans="1:19" ht="15" customHeight="1">
      <c r="A1059" s="3">
        <f t="shared" ref="A1059:A1090" si="44">A1058+1</f>
        <v>2038</v>
      </c>
      <c r="B1059" s="8">
        <f t="shared" ref="B1059:J1059" si="45">AVERAGE(B280:B291)</f>
        <v>8.0644166666666663</v>
      </c>
      <c r="C1059" s="8">
        <f t="shared" si="45"/>
        <v>8.0707083333333323</v>
      </c>
      <c r="D1059" s="8">
        <f t="shared" si="45"/>
        <v>8.0679833333333324</v>
      </c>
      <c r="E1059" s="8">
        <f t="shared" si="45"/>
        <v>8.0682083333333328</v>
      </c>
      <c r="F1059" s="4">
        <f t="shared" si="45"/>
        <v>8.735475000000001</v>
      </c>
      <c r="G1059" s="8">
        <f t="shared" si="45"/>
        <v>7.9081416666666664</v>
      </c>
      <c r="H1059" s="4">
        <f t="shared" si="45"/>
        <v>8.8193833333333327</v>
      </c>
      <c r="I1059" s="8">
        <f t="shared" si="45"/>
        <v>7.8689</v>
      </c>
      <c r="J1059" s="4">
        <f t="shared" si="45"/>
        <v>7.7657416666666661</v>
      </c>
      <c r="K1059" s="4"/>
      <c r="L1059" s="5">
        <f t="shared" ref="L1059:Q1059" si="46">SUM(L280:L291)</f>
        <v>355.53689999999995</v>
      </c>
      <c r="M1059" s="5">
        <f t="shared" si="46"/>
        <v>142.0401</v>
      </c>
      <c r="N1059" s="5">
        <f t="shared" si="46"/>
        <v>58.217499999999994</v>
      </c>
      <c r="O1059" s="5">
        <f t="shared" si="46"/>
        <v>4.4046000000000003</v>
      </c>
      <c r="P1059" s="5">
        <f t="shared" si="46"/>
        <v>14.707600000000001</v>
      </c>
      <c r="Q1059" s="5">
        <f t="shared" si="46"/>
        <v>358.54670000000004</v>
      </c>
      <c r="R1059" s="5"/>
      <c r="S1059" s="4"/>
    </row>
    <row r="1060" spans="1:19" ht="15" customHeight="1">
      <c r="A1060" s="3">
        <f t="shared" si="44"/>
        <v>2039</v>
      </c>
      <c r="B1060" s="8">
        <f t="shared" ref="B1060:J1060" si="47">AVERAGE(B292:B303)</f>
        <v>8.3270916666666661</v>
      </c>
      <c r="C1060" s="8">
        <f t="shared" si="47"/>
        <v>8.3333916666666656</v>
      </c>
      <c r="D1060" s="8">
        <f t="shared" si="47"/>
        <v>8.3306749999999994</v>
      </c>
      <c r="E1060" s="8">
        <f t="shared" si="47"/>
        <v>8.3308916666666679</v>
      </c>
      <c r="F1060" s="4">
        <f t="shared" si="47"/>
        <v>8.9981416666666671</v>
      </c>
      <c r="G1060" s="8">
        <f t="shared" si="47"/>
        <v>8.1664666666666665</v>
      </c>
      <c r="H1060" s="4">
        <f t="shared" si="47"/>
        <v>9.0777083333333337</v>
      </c>
      <c r="I1060" s="8">
        <f t="shared" si="47"/>
        <v>8.1229666666666684</v>
      </c>
      <c r="J1060" s="4">
        <f t="shared" si="47"/>
        <v>8.0196833333333331</v>
      </c>
      <c r="K1060" s="7"/>
      <c r="L1060" s="5">
        <f t="shared" ref="L1060:Q1060" si="48">SUM(L292:L303)</f>
        <v>355.53689999999995</v>
      </c>
      <c r="M1060" s="5">
        <f t="shared" si="48"/>
        <v>142.0401</v>
      </c>
      <c r="N1060" s="5">
        <f t="shared" si="48"/>
        <v>58.217499999999994</v>
      </c>
      <c r="O1060" s="5">
        <f t="shared" si="48"/>
        <v>4.4046000000000003</v>
      </c>
      <c r="P1060" s="5">
        <f t="shared" si="48"/>
        <v>14.707600000000001</v>
      </c>
      <c r="Q1060" s="5">
        <f t="shared" si="48"/>
        <v>357.78019999999998</v>
      </c>
      <c r="R1060" s="5"/>
      <c r="S1060" s="6"/>
    </row>
    <row r="1061" spans="1:19" ht="15" customHeight="1">
      <c r="A1061" s="3">
        <f t="shared" si="44"/>
        <v>2040</v>
      </c>
      <c r="B1061" s="8">
        <f t="shared" ref="B1061:J1061" si="49">AVERAGE(B304:B315)</f>
        <v>8.5983583333333335</v>
      </c>
      <c r="C1061" s="8">
        <f t="shared" si="49"/>
        <v>8.6046749999999985</v>
      </c>
      <c r="D1061" s="8">
        <f t="shared" si="49"/>
        <v>8.6019416666666668</v>
      </c>
      <c r="E1061" s="8">
        <f t="shared" si="49"/>
        <v>8.6021666666666654</v>
      </c>
      <c r="F1061" s="4">
        <f t="shared" si="49"/>
        <v>9.2694000000000027</v>
      </c>
      <c r="G1061" s="8">
        <f t="shared" si="49"/>
        <v>8.4332416666666656</v>
      </c>
      <c r="H1061" s="4">
        <f t="shared" si="49"/>
        <v>9.344475000000001</v>
      </c>
      <c r="I1061" s="8">
        <f t="shared" si="49"/>
        <v>8.3853333333333335</v>
      </c>
      <c r="J1061" s="4">
        <f t="shared" si="49"/>
        <v>8.2819000000000003</v>
      </c>
      <c r="K1061" s="7"/>
      <c r="L1061" s="5">
        <f t="shared" ref="L1061:Q1061" si="50">SUM(L304:L315)</f>
        <v>356.48229999999995</v>
      </c>
      <c r="M1061" s="5">
        <f t="shared" si="50"/>
        <v>142.42920000000001</v>
      </c>
      <c r="N1061" s="5">
        <f t="shared" si="50"/>
        <v>58.377000000000002</v>
      </c>
      <c r="O1061" s="5">
        <f t="shared" si="50"/>
        <v>4.4165999999999999</v>
      </c>
      <c r="P1061" s="5">
        <f t="shared" si="50"/>
        <v>14.7493</v>
      </c>
      <c r="Q1061" s="5">
        <f t="shared" si="50"/>
        <v>357.99180000000001</v>
      </c>
      <c r="R1061" s="5"/>
      <c r="S1061" s="6"/>
    </row>
    <row r="1062" spans="1:19" ht="15" customHeight="1">
      <c r="A1062" s="3">
        <f t="shared" si="44"/>
        <v>2041</v>
      </c>
      <c r="B1062" s="8">
        <f t="shared" ref="B1062:J1062" si="51">AVERAGE(B316:B327)</f>
        <v>8.8784916666666671</v>
      </c>
      <c r="C1062" s="8">
        <f t="shared" si="51"/>
        <v>8.8847916666666666</v>
      </c>
      <c r="D1062" s="8">
        <f t="shared" si="51"/>
        <v>8.8820749999999986</v>
      </c>
      <c r="E1062" s="8">
        <f t="shared" si="51"/>
        <v>8.882299999999999</v>
      </c>
      <c r="F1062" s="4">
        <f t="shared" si="51"/>
        <v>9.54955</v>
      </c>
      <c r="G1062" s="8">
        <f t="shared" si="51"/>
        <v>8.7087416666666666</v>
      </c>
      <c r="H1062" s="4">
        <f t="shared" si="51"/>
        <v>9.6199500000000011</v>
      </c>
      <c r="I1062" s="8">
        <f t="shared" si="51"/>
        <v>8.6562750000000008</v>
      </c>
      <c r="J1062" s="4">
        <f t="shared" si="51"/>
        <v>8.5527250000000006</v>
      </c>
      <c r="K1062" s="7"/>
      <c r="L1062" s="5">
        <f t="shared" ref="L1062:Q1062" si="52">SUM(L316:L327)</f>
        <v>355.53689999999995</v>
      </c>
      <c r="M1062" s="5">
        <f t="shared" si="52"/>
        <v>142.0401</v>
      </c>
      <c r="N1062" s="5">
        <f t="shared" si="52"/>
        <v>58.217499999999994</v>
      </c>
      <c r="O1062" s="5">
        <f t="shared" si="52"/>
        <v>4.4046000000000003</v>
      </c>
      <c r="P1062" s="5">
        <f t="shared" si="52"/>
        <v>14.707600000000001</v>
      </c>
      <c r="Q1062" s="5">
        <f t="shared" si="52"/>
        <v>356.26930000000004</v>
      </c>
      <c r="R1062" s="5"/>
      <c r="S1062" s="6"/>
    </row>
    <row r="1063" spans="1:19" ht="15" customHeight="1">
      <c r="A1063" s="3">
        <f t="shared" si="44"/>
        <v>2042</v>
      </c>
      <c r="B1063" s="8">
        <f t="shared" ref="B1063:J1063" si="53">AVERAGE(B328:B339)</f>
        <v>9.1677999999999997</v>
      </c>
      <c r="C1063" s="8">
        <f t="shared" si="53"/>
        <v>9.1740833333333338</v>
      </c>
      <c r="D1063" s="8">
        <f t="shared" si="53"/>
        <v>9.1713666666666676</v>
      </c>
      <c r="E1063" s="8">
        <f t="shared" si="53"/>
        <v>9.1715833333333343</v>
      </c>
      <c r="F1063" s="4">
        <f t="shared" si="53"/>
        <v>9.8388583333333344</v>
      </c>
      <c r="G1063" s="8">
        <f t="shared" si="53"/>
        <v>8.9932416666666679</v>
      </c>
      <c r="H1063" s="4">
        <f t="shared" si="53"/>
        <v>9.9044666666666661</v>
      </c>
      <c r="I1063" s="8">
        <f t="shared" si="53"/>
        <v>8.9360833333333325</v>
      </c>
      <c r="J1063" s="4">
        <f t="shared" si="53"/>
        <v>8.8323833333333326</v>
      </c>
      <c r="K1063" s="7"/>
      <c r="L1063" s="5">
        <f t="shared" ref="L1063:Q1063" si="54">SUM(L328:L339)</f>
        <v>355.53689999999995</v>
      </c>
      <c r="M1063" s="5">
        <f t="shared" si="54"/>
        <v>142.0401</v>
      </c>
      <c r="N1063" s="5">
        <f t="shared" si="54"/>
        <v>58.217499999999994</v>
      </c>
      <c r="O1063" s="5">
        <f t="shared" si="54"/>
        <v>4.4046000000000003</v>
      </c>
      <c r="P1063" s="5">
        <f t="shared" si="54"/>
        <v>14.707600000000001</v>
      </c>
      <c r="Q1063" s="5">
        <f t="shared" si="54"/>
        <v>242.47669999999997</v>
      </c>
      <c r="R1063" s="5"/>
      <c r="S1063" s="6"/>
    </row>
    <row r="1064" spans="1:19" ht="15" customHeight="1">
      <c r="A1064" s="3">
        <f t="shared" si="44"/>
        <v>2043</v>
      </c>
      <c r="B1064" s="8">
        <f t="shared" ref="B1064:J1064" si="55">AVERAGE(B340:B351)</f>
        <v>9.4665499999999998</v>
      </c>
      <c r="C1064" s="8">
        <f t="shared" si="55"/>
        <v>9.4728499999999993</v>
      </c>
      <c r="D1064" s="8">
        <f t="shared" si="55"/>
        <v>9.4701333333333348</v>
      </c>
      <c r="E1064" s="8">
        <f t="shared" si="55"/>
        <v>9.4703583333333334</v>
      </c>
      <c r="F1064" s="4">
        <f t="shared" si="55"/>
        <v>10.137608333333333</v>
      </c>
      <c r="G1064" s="8">
        <f t="shared" si="55"/>
        <v>9.2870416666666671</v>
      </c>
      <c r="H1064" s="4">
        <f t="shared" si="55"/>
        <v>10.198275000000001</v>
      </c>
      <c r="I1064" s="8">
        <f t="shared" si="55"/>
        <v>9.2250500000000013</v>
      </c>
      <c r="J1064" s="4">
        <f t="shared" si="55"/>
        <v>9.1211916666666681</v>
      </c>
      <c r="K1064" s="7"/>
      <c r="L1064" s="5">
        <f t="shared" ref="L1064:Q1064" si="56">SUM(L340:L351)</f>
        <v>355.53689999999995</v>
      </c>
      <c r="M1064" s="5">
        <f t="shared" si="56"/>
        <v>142.0401</v>
      </c>
      <c r="N1064" s="5">
        <f t="shared" si="56"/>
        <v>58.217499999999994</v>
      </c>
      <c r="O1064" s="5">
        <f t="shared" si="56"/>
        <v>4.4046000000000003</v>
      </c>
      <c r="P1064" s="5">
        <f t="shared" si="56"/>
        <v>14.707600000000001</v>
      </c>
      <c r="Q1064" s="5">
        <f t="shared" si="56"/>
        <v>241.71019999999996</v>
      </c>
      <c r="R1064" s="5"/>
      <c r="S1064" s="6"/>
    </row>
    <row r="1065" spans="1:19" ht="15" customHeight="1">
      <c r="A1065" s="3">
        <f t="shared" si="44"/>
        <v>2044</v>
      </c>
      <c r="B1065" s="8">
        <f t="shared" ref="B1065:J1065" si="57">AVERAGE(B352:B363)</f>
        <v>9.7751083333333337</v>
      </c>
      <c r="C1065" s="8">
        <f t="shared" si="57"/>
        <v>9.781391666666666</v>
      </c>
      <c r="D1065" s="8">
        <f t="shared" si="57"/>
        <v>9.7786833333333334</v>
      </c>
      <c r="E1065" s="8">
        <f t="shared" si="57"/>
        <v>9.7789083333333338</v>
      </c>
      <c r="F1065" s="4">
        <f t="shared" si="57"/>
        <v>10.446150000000001</v>
      </c>
      <c r="G1065" s="8">
        <f t="shared" si="57"/>
        <v>9.590466666666666</v>
      </c>
      <c r="H1065" s="4">
        <f t="shared" si="57"/>
        <v>10.501700000000001</v>
      </c>
      <c r="I1065" s="8">
        <f t="shared" si="57"/>
        <v>9.5234416666666686</v>
      </c>
      <c r="J1065" s="4">
        <f t="shared" si="57"/>
        <v>9.4194499999999994</v>
      </c>
      <c r="K1065" s="7"/>
      <c r="L1065" s="5">
        <f t="shared" ref="L1065:Q1065" si="58">SUM(L352:L363)</f>
        <v>356.48229999999995</v>
      </c>
      <c r="M1065" s="5">
        <f t="shared" si="58"/>
        <v>142.42920000000001</v>
      </c>
      <c r="N1065" s="5">
        <f t="shared" si="58"/>
        <v>58.377000000000002</v>
      </c>
      <c r="O1065" s="5">
        <f t="shared" si="58"/>
        <v>4.4165999999999999</v>
      </c>
      <c r="P1065" s="5">
        <f t="shared" si="58"/>
        <v>14.7493</v>
      </c>
      <c r="Q1065" s="5">
        <f t="shared" si="58"/>
        <v>241.58220000000006</v>
      </c>
      <c r="R1065" s="5"/>
      <c r="S1065" s="6"/>
    </row>
    <row r="1066" spans="1:19" ht="15" customHeight="1">
      <c r="A1066" s="3">
        <f t="shared" si="44"/>
        <v>2045</v>
      </c>
      <c r="B1066" s="8">
        <f t="shared" ref="B1066:J1066" si="59">AVERAGE(B364:B375)</f>
        <v>10.093724999999999</v>
      </c>
      <c r="C1066" s="8">
        <f t="shared" si="59"/>
        <v>10.100016666666669</v>
      </c>
      <c r="D1066" s="8">
        <f t="shared" si="59"/>
        <v>10.097308333333332</v>
      </c>
      <c r="E1066" s="8">
        <f t="shared" si="59"/>
        <v>10.097524999999999</v>
      </c>
      <c r="F1066" s="4">
        <f t="shared" si="59"/>
        <v>10.764758333333333</v>
      </c>
      <c r="G1066" s="8">
        <f t="shared" si="59"/>
        <v>9.9038166666666658</v>
      </c>
      <c r="H1066" s="4">
        <f t="shared" si="59"/>
        <v>10.815049999999999</v>
      </c>
      <c r="I1066" s="8">
        <f t="shared" si="59"/>
        <v>9.8316083333333335</v>
      </c>
      <c r="J1066" s="4">
        <f t="shared" si="59"/>
        <v>9.7274750000000001</v>
      </c>
      <c r="K1066" s="7"/>
      <c r="L1066" s="5">
        <f t="shared" ref="L1066:Q1066" si="60">SUM(L364:L375)</f>
        <v>355.53689999999995</v>
      </c>
      <c r="M1066" s="5">
        <f t="shared" si="60"/>
        <v>142.0401</v>
      </c>
      <c r="N1066" s="5">
        <f t="shared" si="60"/>
        <v>58.217499999999994</v>
      </c>
      <c r="O1066" s="5">
        <f t="shared" si="60"/>
        <v>4.4046000000000003</v>
      </c>
      <c r="P1066" s="5">
        <f t="shared" si="60"/>
        <v>14.707600000000001</v>
      </c>
      <c r="Q1066" s="5">
        <f t="shared" si="60"/>
        <v>240.15570000000002</v>
      </c>
      <c r="R1066" s="5"/>
      <c r="S1066" s="6"/>
    </row>
    <row r="1067" spans="1:19" ht="15" customHeight="1">
      <c r="A1067" s="3">
        <f t="shared" si="44"/>
        <v>2046</v>
      </c>
      <c r="B1067" s="8">
        <f t="shared" ref="B1067:J1067" si="61">AVERAGE(B376:B387)</f>
        <v>10.422741666666667</v>
      </c>
      <c r="C1067" s="8">
        <f t="shared" si="61"/>
        <v>10.429049999999998</v>
      </c>
      <c r="D1067" s="8">
        <f t="shared" si="61"/>
        <v>10.426333333333334</v>
      </c>
      <c r="E1067" s="8">
        <f t="shared" si="61"/>
        <v>10.426550000000001</v>
      </c>
      <c r="F1067" s="4">
        <f t="shared" si="61"/>
        <v>11.093808333333333</v>
      </c>
      <c r="G1067" s="8">
        <f t="shared" si="61"/>
        <v>10.227383333333334</v>
      </c>
      <c r="H1067" s="4">
        <f t="shared" si="61"/>
        <v>11.138608333333332</v>
      </c>
      <c r="I1067" s="8">
        <f t="shared" si="61"/>
        <v>10.149875</v>
      </c>
      <c r="J1067" s="4">
        <f t="shared" si="61"/>
        <v>10.04555</v>
      </c>
      <c r="K1067" s="7"/>
      <c r="L1067" s="5">
        <f t="shared" ref="L1067:Q1067" si="62">SUM(L376:L387)</f>
        <v>355.53689999999995</v>
      </c>
      <c r="M1067" s="5">
        <f t="shared" si="62"/>
        <v>142.0401</v>
      </c>
      <c r="N1067" s="5">
        <f t="shared" si="62"/>
        <v>58.217499999999994</v>
      </c>
      <c r="O1067" s="5">
        <f t="shared" si="62"/>
        <v>4.4046000000000003</v>
      </c>
      <c r="P1067" s="5">
        <f t="shared" si="62"/>
        <v>14.707600000000001</v>
      </c>
      <c r="Q1067" s="5">
        <f t="shared" si="62"/>
        <v>239.38920000000005</v>
      </c>
      <c r="R1067" s="5"/>
      <c r="S1067" s="6"/>
    </row>
    <row r="1068" spans="1:19" ht="15" customHeight="1">
      <c r="A1068" s="3">
        <f t="shared" si="44"/>
        <v>2047</v>
      </c>
      <c r="B1068" s="8">
        <f t="shared" ref="B1068:J1068" si="63">AVERAGE(B388:B399)</f>
        <v>10.762566666666666</v>
      </c>
      <c r="C1068" s="8">
        <f t="shared" si="63"/>
        <v>10.768858333333334</v>
      </c>
      <c r="D1068" s="8">
        <f t="shared" si="63"/>
        <v>10.766150000000001</v>
      </c>
      <c r="E1068" s="8">
        <f t="shared" si="63"/>
        <v>10.766366666666668</v>
      </c>
      <c r="F1068" s="4">
        <f t="shared" si="63"/>
        <v>11.433608333333334</v>
      </c>
      <c r="G1068" s="8">
        <f t="shared" si="63"/>
        <v>10.561566666666668</v>
      </c>
      <c r="H1068" s="4">
        <f t="shared" si="63"/>
        <v>11.472800000000001</v>
      </c>
      <c r="I1068" s="8">
        <f t="shared" si="63"/>
        <v>10.478524999999999</v>
      </c>
      <c r="J1068" s="4">
        <f t="shared" si="63"/>
        <v>10.374041666666667</v>
      </c>
      <c r="K1068" s="7"/>
      <c r="L1068" s="5">
        <f t="shared" ref="L1068:Q1068" si="64">SUM(L388:L399)</f>
        <v>355.53689999999995</v>
      </c>
      <c r="M1068" s="5">
        <f t="shared" si="64"/>
        <v>142.0401</v>
      </c>
      <c r="N1068" s="5">
        <f t="shared" si="64"/>
        <v>58.217499999999994</v>
      </c>
      <c r="O1068" s="5">
        <f t="shared" si="64"/>
        <v>4.4046000000000003</v>
      </c>
      <c r="P1068" s="5">
        <f t="shared" si="64"/>
        <v>14.707600000000001</v>
      </c>
      <c r="Q1068" s="5">
        <f t="shared" si="64"/>
        <v>238.62270000000004</v>
      </c>
      <c r="R1068" s="5"/>
      <c r="S1068" s="6"/>
    </row>
    <row r="1069" spans="1:19" ht="15" customHeight="1">
      <c r="A1069" s="3">
        <f t="shared" si="44"/>
        <v>2048</v>
      </c>
      <c r="B1069" s="8">
        <f t="shared" ref="B1069:J1069" si="65">AVERAGE(B400:B411)</f>
        <v>11.113491666666668</v>
      </c>
      <c r="C1069" s="8">
        <f t="shared" si="65"/>
        <v>11.119766666666669</v>
      </c>
      <c r="D1069" s="8">
        <f t="shared" si="65"/>
        <v>11.117058333333333</v>
      </c>
      <c r="E1069" s="8">
        <f t="shared" si="65"/>
        <v>11.117274999999999</v>
      </c>
      <c r="F1069" s="4">
        <f t="shared" si="65"/>
        <v>11.784525</v>
      </c>
      <c r="G1069" s="8">
        <f t="shared" si="65"/>
        <v>10.906649999999999</v>
      </c>
      <c r="H1069" s="4">
        <f t="shared" si="65"/>
        <v>11.817883333333334</v>
      </c>
      <c r="I1069" s="8">
        <f t="shared" si="65"/>
        <v>10.817925000000001</v>
      </c>
      <c r="J1069" s="4">
        <f t="shared" si="65"/>
        <v>10.713283333333335</v>
      </c>
      <c r="K1069" s="7"/>
      <c r="L1069" s="5">
        <f t="shared" ref="L1069:Q1069" si="66">SUM(L400:L411)</f>
        <v>356.48229999999995</v>
      </c>
      <c r="M1069" s="5">
        <f t="shared" si="66"/>
        <v>142.42920000000001</v>
      </c>
      <c r="N1069" s="5">
        <f t="shared" si="66"/>
        <v>58.377000000000002</v>
      </c>
      <c r="O1069" s="5">
        <f t="shared" si="66"/>
        <v>4.4165999999999999</v>
      </c>
      <c r="P1069" s="5">
        <f t="shared" si="66"/>
        <v>14.7493</v>
      </c>
      <c r="Q1069" s="5">
        <f t="shared" si="66"/>
        <v>238.50780000000003</v>
      </c>
      <c r="R1069" s="5"/>
      <c r="S1069" s="6"/>
    </row>
    <row r="1070" spans="1:19" ht="15" customHeight="1">
      <c r="A1070" s="3">
        <f t="shared" si="44"/>
        <v>2049</v>
      </c>
      <c r="B1070" s="8">
        <f t="shared" ref="B1070:J1070" si="67">AVERAGE(B412:B423)</f>
        <v>11.475858333333333</v>
      </c>
      <c r="C1070" s="8">
        <f t="shared" si="67"/>
        <v>11.482175</v>
      </c>
      <c r="D1070" s="8">
        <f t="shared" si="67"/>
        <v>11.479458333333334</v>
      </c>
      <c r="E1070" s="8">
        <f t="shared" si="67"/>
        <v>11.479675</v>
      </c>
      <c r="F1070" s="4">
        <f t="shared" si="67"/>
        <v>12.146941666666665</v>
      </c>
      <c r="G1070" s="8">
        <f t="shared" si="67"/>
        <v>11.263041666666666</v>
      </c>
      <c r="H1070" s="4">
        <f t="shared" si="67"/>
        <v>12.174250000000001</v>
      </c>
      <c r="I1070" s="8">
        <f t="shared" si="67"/>
        <v>11.168416666666666</v>
      </c>
      <c r="J1070" s="4">
        <f t="shared" si="67"/>
        <v>11.063608333333333</v>
      </c>
      <c r="K1070" s="7"/>
      <c r="L1070" s="5">
        <f t="shared" ref="L1070:Q1070" si="68">SUM(L412:L423)</f>
        <v>355.53689999999995</v>
      </c>
      <c r="M1070" s="5">
        <f t="shared" si="68"/>
        <v>142.0401</v>
      </c>
      <c r="N1070" s="5">
        <f t="shared" si="68"/>
        <v>58.217499999999994</v>
      </c>
      <c r="O1070" s="5">
        <f t="shared" si="68"/>
        <v>4.4046000000000003</v>
      </c>
      <c r="P1070" s="5">
        <f t="shared" si="68"/>
        <v>14.707600000000001</v>
      </c>
      <c r="Q1070" s="5">
        <f t="shared" si="68"/>
        <v>237.08969999999999</v>
      </c>
      <c r="R1070" s="5"/>
      <c r="S1070" s="6"/>
    </row>
    <row r="1071" spans="1:19" ht="15" customHeight="1">
      <c r="A1071" s="3">
        <f t="shared" si="44"/>
        <v>2050</v>
      </c>
      <c r="B1071" s="8">
        <f t="shared" ref="B1071:J1071" si="69">AVERAGE(B424:B435)</f>
        <v>11.850116666666667</v>
      </c>
      <c r="C1071" s="8">
        <f t="shared" si="69"/>
        <v>11.856408333333333</v>
      </c>
      <c r="D1071" s="8">
        <f t="shared" si="69"/>
        <v>11.853691666666668</v>
      </c>
      <c r="E1071" s="8">
        <f t="shared" si="69"/>
        <v>11.853908333333331</v>
      </c>
      <c r="F1071" s="4">
        <f t="shared" si="69"/>
        <v>12.521175000000001</v>
      </c>
      <c r="G1071" s="8">
        <f t="shared" si="69"/>
        <v>11.631083333333331</v>
      </c>
      <c r="H1071" s="4">
        <f t="shared" si="69"/>
        <v>12.542308333333333</v>
      </c>
      <c r="I1071" s="8">
        <f t="shared" si="69"/>
        <v>11.530374999999999</v>
      </c>
      <c r="J1071" s="4">
        <f t="shared" si="69"/>
        <v>11.425375000000001</v>
      </c>
      <c r="K1071" s="7"/>
      <c r="L1071" s="5">
        <f t="shared" ref="L1071:Q1071" si="70">SUM(L424:L435)</f>
        <v>355.53689999999995</v>
      </c>
      <c r="M1071" s="5">
        <f t="shared" si="70"/>
        <v>142.0401</v>
      </c>
      <c r="N1071" s="5">
        <f t="shared" si="70"/>
        <v>58.217499999999994</v>
      </c>
      <c r="O1071" s="5">
        <f t="shared" si="70"/>
        <v>4.4046000000000003</v>
      </c>
      <c r="P1071" s="5">
        <f t="shared" si="70"/>
        <v>14.707600000000001</v>
      </c>
      <c r="Q1071" s="5">
        <f t="shared" si="70"/>
        <v>236.32320000000004</v>
      </c>
      <c r="R1071" s="5"/>
      <c r="S1071" s="6"/>
    </row>
    <row r="1072" spans="1:19" ht="15" customHeight="1">
      <c r="A1072" s="3">
        <f t="shared" si="44"/>
        <v>2051</v>
      </c>
      <c r="B1072" s="8">
        <f t="shared" ref="B1072:J1072" si="71">AVERAGE(B436:B447)</f>
        <v>12.236599999999997</v>
      </c>
      <c r="C1072" s="8">
        <f t="shared" si="71"/>
        <v>12.242891666666667</v>
      </c>
      <c r="D1072" s="8">
        <f t="shared" si="71"/>
        <v>12.240175000000002</v>
      </c>
      <c r="E1072" s="8">
        <f t="shared" si="71"/>
        <v>12.240400000000001</v>
      </c>
      <c r="F1072" s="4">
        <f t="shared" si="71"/>
        <v>12.907641666666665</v>
      </c>
      <c r="G1072" s="8">
        <f t="shared" si="71"/>
        <v>12.011166666666668</v>
      </c>
      <c r="H1072" s="4">
        <f t="shared" si="71"/>
        <v>12.922375000000002</v>
      </c>
      <c r="I1072" s="8">
        <f t="shared" si="71"/>
        <v>11.904175</v>
      </c>
      <c r="J1072" s="4">
        <f t="shared" si="71"/>
        <v>11.799000000000001</v>
      </c>
      <c r="K1072" s="7"/>
      <c r="L1072" s="5">
        <f t="shared" ref="L1072:Q1072" si="72">SUM(L436:L447)</f>
        <v>355.53689999999995</v>
      </c>
      <c r="M1072" s="5">
        <f t="shared" si="72"/>
        <v>142.0401</v>
      </c>
      <c r="N1072" s="5">
        <f t="shared" si="72"/>
        <v>58.217499999999994</v>
      </c>
      <c r="O1072" s="5">
        <f t="shared" si="72"/>
        <v>4.4046000000000003</v>
      </c>
      <c r="P1072" s="5">
        <f t="shared" si="72"/>
        <v>14.707600000000001</v>
      </c>
      <c r="Q1072" s="5">
        <f t="shared" si="72"/>
        <v>235.57820000000007</v>
      </c>
      <c r="R1072" s="5"/>
      <c r="S1072" s="6"/>
    </row>
    <row r="1073" spans="1:19" ht="15" customHeight="1">
      <c r="A1073" s="3">
        <f t="shared" si="44"/>
        <v>2052</v>
      </c>
      <c r="B1073" s="8">
        <f t="shared" ref="B1073:J1073" si="73">AVERAGE(B448:B459)</f>
        <v>12.635733333333333</v>
      </c>
      <c r="C1073" s="8">
        <f t="shared" si="73"/>
        <v>12.642016666666665</v>
      </c>
      <c r="D1073" s="8">
        <f t="shared" si="73"/>
        <v>12.639299999999997</v>
      </c>
      <c r="E1073" s="8">
        <f t="shared" si="73"/>
        <v>12.639525000000001</v>
      </c>
      <c r="F1073" s="4">
        <f t="shared" si="73"/>
        <v>13.306775000000002</v>
      </c>
      <c r="G1073" s="8">
        <f t="shared" si="73"/>
        <v>12.403658333333333</v>
      </c>
      <c r="H1073" s="4">
        <f t="shared" si="73"/>
        <v>13.314900000000002</v>
      </c>
      <c r="I1073" s="8">
        <f t="shared" si="73"/>
        <v>12.290208333333332</v>
      </c>
      <c r="J1073" s="4">
        <f t="shared" si="73"/>
        <v>12.184825000000002</v>
      </c>
      <c r="K1073" s="7"/>
      <c r="L1073" s="5">
        <f t="shared" ref="L1073:Q1073" si="74">SUM(L448:L459)</f>
        <v>356.48229999999995</v>
      </c>
      <c r="M1073" s="5">
        <f t="shared" si="74"/>
        <v>142.42920000000001</v>
      </c>
      <c r="N1073" s="5">
        <f t="shared" si="74"/>
        <v>58.377000000000002</v>
      </c>
      <c r="O1073" s="5">
        <f t="shared" si="74"/>
        <v>4.4165999999999999</v>
      </c>
      <c r="P1073" s="5">
        <f t="shared" si="74"/>
        <v>14.7493</v>
      </c>
      <c r="Q1073" s="5">
        <f t="shared" si="74"/>
        <v>235.45500000000004</v>
      </c>
      <c r="R1073" s="5"/>
      <c r="S1073" s="6"/>
    </row>
    <row r="1074" spans="1:19" ht="15" customHeight="1">
      <c r="A1074" s="3">
        <f t="shared" si="44"/>
        <v>2053</v>
      </c>
      <c r="B1074" s="8">
        <f t="shared" ref="B1074:J1074" si="75">AVERAGE(B460:B471)</f>
        <v>13.047899999999998</v>
      </c>
      <c r="C1074" s="8">
        <f t="shared" si="75"/>
        <v>13.054208333333333</v>
      </c>
      <c r="D1074" s="8">
        <f t="shared" si="75"/>
        <v>13.051491666666669</v>
      </c>
      <c r="E1074" s="8">
        <f t="shared" si="75"/>
        <v>13.051700000000002</v>
      </c>
      <c r="F1074" s="4">
        <f t="shared" si="75"/>
        <v>13.71895</v>
      </c>
      <c r="G1074" s="8">
        <f t="shared" si="75"/>
        <v>12.809000000000003</v>
      </c>
      <c r="H1074" s="4">
        <f t="shared" si="75"/>
        <v>13.720241666666666</v>
      </c>
      <c r="I1074" s="8">
        <f t="shared" si="75"/>
        <v>12.688850000000002</v>
      </c>
      <c r="J1074" s="4">
        <f t="shared" si="75"/>
        <v>12.583299999999999</v>
      </c>
      <c r="K1074" s="7"/>
      <c r="L1074" s="5">
        <f t="shared" ref="L1074:Q1074" si="76">SUM(L460:L471)</f>
        <v>355.53689999999995</v>
      </c>
      <c r="M1074" s="5">
        <f t="shared" si="76"/>
        <v>142.0401</v>
      </c>
      <c r="N1074" s="5">
        <f t="shared" si="76"/>
        <v>58.217499999999994</v>
      </c>
      <c r="O1074" s="5">
        <f t="shared" si="76"/>
        <v>4.4046000000000003</v>
      </c>
      <c r="P1074" s="5">
        <f t="shared" si="76"/>
        <v>14.707600000000001</v>
      </c>
      <c r="Q1074" s="5">
        <f t="shared" si="76"/>
        <v>234.04520000000002</v>
      </c>
      <c r="R1074" s="5"/>
      <c r="S1074" s="6"/>
    </row>
    <row r="1075" spans="1:19" ht="15" customHeight="1">
      <c r="A1075" s="3">
        <f t="shared" si="44"/>
        <v>2054</v>
      </c>
      <c r="B1075" s="8">
        <f t="shared" ref="B1075:J1075" si="77">AVERAGE(B472:B483)</f>
        <v>13.473541666666669</v>
      </c>
      <c r="C1075" s="8">
        <f t="shared" si="77"/>
        <v>13.479841666666667</v>
      </c>
      <c r="D1075" s="8">
        <f t="shared" si="77"/>
        <v>13.477133333333335</v>
      </c>
      <c r="E1075" s="8">
        <f t="shared" si="77"/>
        <v>13.477350000000001</v>
      </c>
      <c r="F1075" s="4">
        <f t="shared" si="77"/>
        <v>14.144616666666664</v>
      </c>
      <c r="G1075" s="8">
        <f t="shared" si="77"/>
        <v>13.227600000000001</v>
      </c>
      <c r="H1075" s="4">
        <f t="shared" si="77"/>
        <v>14.138833333333332</v>
      </c>
      <c r="I1075" s="8">
        <f t="shared" si="77"/>
        <v>13.100549999999998</v>
      </c>
      <c r="J1075" s="4">
        <f t="shared" si="77"/>
        <v>12.994749999999998</v>
      </c>
      <c r="K1075" s="7"/>
      <c r="L1075" s="5">
        <f t="shared" ref="L1075:Q1075" si="78">SUM(L472:L483)</f>
        <v>355.53689999999995</v>
      </c>
      <c r="M1075" s="5">
        <f t="shared" si="78"/>
        <v>142.0401</v>
      </c>
      <c r="N1075" s="5">
        <f t="shared" si="78"/>
        <v>58.217499999999994</v>
      </c>
      <c r="O1075" s="5">
        <f t="shared" si="78"/>
        <v>4.4046000000000003</v>
      </c>
      <c r="P1075" s="5">
        <f t="shared" si="78"/>
        <v>14.707600000000001</v>
      </c>
      <c r="Q1075" s="5">
        <f t="shared" si="78"/>
        <v>233.30079999999998</v>
      </c>
      <c r="R1075" s="5"/>
      <c r="S1075" s="6"/>
    </row>
    <row r="1076" spans="1:19" ht="15" customHeight="1">
      <c r="A1076" s="3">
        <f t="shared" si="44"/>
        <v>2055</v>
      </c>
      <c r="B1076" s="8">
        <f t="shared" ref="B1076:J1076" si="79">AVERAGE(B484:B495)</f>
        <v>13.913133333333333</v>
      </c>
      <c r="C1076" s="8">
        <f t="shared" si="79"/>
        <v>13.919433333333332</v>
      </c>
      <c r="D1076" s="8">
        <f t="shared" si="79"/>
        <v>13.916716666666666</v>
      </c>
      <c r="E1076" s="8">
        <f t="shared" si="79"/>
        <v>13.916933333333333</v>
      </c>
      <c r="F1076" s="4">
        <f t="shared" si="79"/>
        <v>14.584191666666669</v>
      </c>
      <c r="G1076" s="8">
        <f t="shared" si="79"/>
        <v>13.659908333333334</v>
      </c>
      <c r="H1076" s="4">
        <f t="shared" si="79"/>
        <v>14.571116666666667</v>
      </c>
      <c r="I1076" s="8">
        <f t="shared" si="79"/>
        <v>13.525708333333334</v>
      </c>
      <c r="J1076" s="4">
        <f t="shared" si="79"/>
        <v>13.419700000000001</v>
      </c>
      <c r="K1076" s="7"/>
      <c r="L1076" s="5">
        <f t="shared" ref="L1076:Q1076" si="80">SUM(L484:L495)</f>
        <v>355.53689999999995</v>
      </c>
      <c r="M1076" s="5">
        <f t="shared" si="80"/>
        <v>142.0401</v>
      </c>
      <c r="N1076" s="5">
        <f t="shared" si="80"/>
        <v>58.217499999999994</v>
      </c>
      <c r="O1076" s="5">
        <f t="shared" si="80"/>
        <v>4.4046000000000003</v>
      </c>
      <c r="P1076" s="5">
        <f t="shared" si="80"/>
        <v>14.707600000000001</v>
      </c>
      <c r="Q1076" s="5">
        <f t="shared" si="80"/>
        <v>232.55579999999998</v>
      </c>
      <c r="R1076" s="5"/>
      <c r="S1076" s="6"/>
    </row>
    <row r="1077" spans="1:19" ht="15" customHeight="1">
      <c r="A1077" s="3">
        <f t="shared" si="44"/>
        <v>2056</v>
      </c>
      <c r="B1077" s="8">
        <f t="shared" ref="B1077:J1077" si="81">AVERAGE(B496:B507)</f>
        <v>14.367075000000002</v>
      </c>
      <c r="C1077" s="8">
        <f t="shared" si="81"/>
        <v>14.373375000000001</v>
      </c>
      <c r="D1077" s="8">
        <f t="shared" si="81"/>
        <v>14.370649999999999</v>
      </c>
      <c r="E1077" s="8">
        <f t="shared" si="81"/>
        <v>14.370875</v>
      </c>
      <c r="F1077" s="4">
        <f t="shared" si="81"/>
        <v>15.038125000000003</v>
      </c>
      <c r="G1077" s="8">
        <f t="shared" si="81"/>
        <v>14.106324999999998</v>
      </c>
      <c r="H1077" s="4">
        <f t="shared" si="81"/>
        <v>15.01755</v>
      </c>
      <c r="I1077" s="8">
        <f t="shared" si="81"/>
        <v>13.964758333333334</v>
      </c>
      <c r="J1077" s="4">
        <f t="shared" si="81"/>
        <v>13.858525</v>
      </c>
      <c r="K1077" s="7"/>
      <c r="L1077" s="5">
        <f t="shared" ref="L1077:Q1077" si="82">SUM(L496:L507)</f>
        <v>356.48229999999995</v>
      </c>
      <c r="M1077" s="5">
        <f t="shared" si="82"/>
        <v>142.42920000000001</v>
      </c>
      <c r="N1077" s="5">
        <f t="shared" si="82"/>
        <v>58.377000000000002</v>
      </c>
      <c r="O1077" s="5">
        <f t="shared" si="82"/>
        <v>4.4165999999999999</v>
      </c>
      <c r="P1077" s="5">
        <f t="shared" si="82"/>
        <v>14.7493</v>
      </c>
      <c r="Q1077" s="5">
        <f t="shared" si="82"/>
        <v>232.44659999999996</v>
      </c>
      <c r="R1077" s="5"/>
      <c r="S1077" s="6"/>
    </row>
    <row r="1078" spans="1:19" ht="15" customHeight="1">
      <c r="A1078" s="3">
        <f t="shared" si="44"/>
        <v>2057</v>
      </c>
      <c r="B1078" s="8">
        <f t="shared" ref="B1078:J1078" si="83">AVERAGE(B508:B519)</f>
        <v>14.835883333333333</v>
      </c>
      <c r="C1078" s="8">
        <f t="shared" si="83"/>
        <v>14.842183333333333</v>
      </c>
      <c r="D1078" s="8">
        <f t="shared" si="83"/>
        <v>14.839458333333333</v>
      </c>
      <c r="E1078" s="8">
        <f t="shared" si="83"/>
        <v>14.839675</v>
      </c>
      <c r="F1078" s="4">
        <f t="shared" si="83"/>
        <v>15.506933333333336</v>
      </c>
      <c r="G1078" s="8">
        <f t="shared" si="83"/>
        <v>14.567316666666665</v>
      </c>
      <c r="H1078" s="4">
        <f t="shared" si="83"/>
        <v>15.478558333333332</v>
      </c>
      <c r="I1078" s="8">
        <f t="shared" si="83"/>
        <v>14.418166666666666</v>
      </c>
      <c r="J1078" s="4">
        <f t="shared" si="83"/>
        <v>14.311733333333336</v>
      </c>
      <c r="K1078" s="7"/>
      <c r="L1078" s="5">
        <f t="shared" ref="L1078:Q1078" si="84">SUM(L508:L519)</f>
        <v>355.53689999999995</v>
      </c>
      <c r="M1078" s="5">
        <f t="shared" si="84"/>
        <v>142.0401</v>
      </c>
      <c r="N1078" s="5">
        <f t="shared" si="84"/>
        <v>58.217499999999994</v>
      </c>
      <c r="O1078" s="5">
        <f t="shared" si="84"/>
        <v>4.4046000000000003</v>
      </c>
      <c r="P1078" s="5">
        <f t="shared" si="84"/>
        <v>14.707600000000001</v>
      </c>
      <c r="Q1078" s="5">
        <f t="shared" si="84"/>
        <v>231.81149999999997</v>
      </c>
      <c r="R1078" s="5"/>
      <c r="S1078" s="6"/>
    </row>
    <row r="1079" spans="1:19" ht="15" customHeight="1">
      <c r="A1079" s="3">
        <f t="shared" si="44"/>
        <v>2058</v>
      </c>
      <c r="B1079" s="8">
        <f t="shared" ref="B1079:J1079" si="85">AVERAGE(B520:B531)</f>
        <v>15.320008333333332</v>
      </c>
      <c r="C1079" s="8">
        <f t="shared" si="85"/>
        <v>15.326300000000003</v>
      </c>
      <c r="D1079" s="8">
        <f t="shared" si="85"/>
        <v>15.323608333333333</v>
      </c>
      <c r="E1079" s="8">
        <f t="shared" si="85"/>
        <v>15.323824999999999</v>
      </c>
      <c r="F1079" s="4">
        <f t="shared" si="85"/>
        <v>15.99108333333333</v>
      </c>
      <c r="G1079" s="8">
        <f t="shared" si="85"/>
        <v>15.043433333333338</v>
      </c>
      <c r="H1079" s="4">
        <f t="shared" si="85"/>
        <v>15.954666666666663</v>
      </c>
      <c r="I1079" s="8">
        <f t="shared" si="85"/>
        <v>14.886408333333335</v>
      </c>
      <c r="J1079" s="4">
        <f t="shared" si="85"/>
        <v>14.779733333333333</v>
      </c>
      <c r="K1079" s="7"/>
      <c r="L1079" s="5">
        <f t="shared" ref="L1079:Q1079" si="86">SUM(L520:L531)</f>
        <v>355.53689999999995</v>
      </c>
      <c r="M1079" s="5">
        <f t="shared" si="86"/>
        <v>142.0401</v>
      </c>
      <c r="N1079" s="5">
        <f t="shared" si="86"/>
        <v>58.217499999999994</v>
      </c>
      <c r="O1079" s="5">
        <f t="shared" si="86"/>
        <v>4.4046000000000003</v>
      </c>
      <c r="P1079" s="5">
        <f t="shared" si="86"/>
        <v>14.707600000000001</v>
      </c>
      <c r="Q1079" s="5">
        <f t="shared" si="86"/>
        <v>231.81149999999997</v>
      </c>
      <c r="R1079" s="5"/>
      <c r="S1079" s="6"/>
    </row>
    <row r="1080" spans="1:19" ht="15" customHeight="1">
      <c r="A1080" s="3">
        <f t="shared" si="44"/>
        <v>2059</v>
      </c>
      <c r="B1080" s="8">
        <f t="shared" ref="B1080:J1080" si="87">AVERAGE(B532:B543)</f>
        <v>15.819975000000001</v>
      </c>
      <c r="C1080" s="8">
        <f t="shared" si="87"/>
        <v>15.826258333333334</v>
      </c>
      <c r="D1080" s="8">
        <f t="shared" si="87"/>
        <v>15.823558333333336</v>
      </c>
      <c r="E1080" s="8">
        <f t="shared" si="87"/>
        <v>15.823774999999998</v>
      </c>
      <c r="F1080" s="4">
        <f t="shared" si="87"/>
        <v>16.491033333333338</v>
      </c>
      <c r="G1080" s="8">
        <f t="shared" si="87"/>
        <v>15.535099999999998</v>
      </c>
      <c r="H1080" s="4">
        <f t="shared" si="87"/>
        <v>16.446333333333332</v>
      </c>
      <c r="I1080" s="8">
        <f t="shared" si="87"/>
        <v>15.369966666666668</v>
      </c>
      <c r="J1080" s="4">
        <f t="shared" si="87"/>
        <v>15.26305</v>
      </c>
      <c r="K1080" s="4"/>
      <c r="L1080" s="5">
        <f>SUM(L532:L543)</f>
        <v>355.53689999999995</v>
      </c>
      <c r="M1080" s="5">
        <f>SUM(M532:M543)</f>
        <v>142.0401</v>
      </c>
      <c r="N1080" s="5">
        <f>SUM(N532:N543)</f>
        <v>58.217499999999994</v>
      </c>
      <c r="O1080" s="5">
        <f>SUM(O521:O532)</f>
        <v>4.4046000000000003</v>
      </c>
      <c r="P1080" s="5">
        <f>SUM(P532:P543)</f>
        <v>14.707600000000001</v>
      </c>
      <c r="Q1080" s="5">
        <f>SUM(Q532:Q543)</f>
        <v>231.81149999999997</v>
      </c>
      <c r="R1080" s="5"/>
      <c r="S1080" s="4"/>
    </row>
    <row r="1081" spans="1:19" ht="15" customHeight="1">
      <c r="A1081" s="3">
        <f t="shared" si="44"/>
        <v>2060</v>
      </c>
      <c r="B1081" s="8">
        <f t="shared" ref="B1081:J1081" si="88">AVERAGE(B544:B555)</f>
        <v>16.336283333333334</v>
      </c>
      <c r="C1081" s="8">
        <f t="shared" si="88"/>
        <v>16.342591666666667</v>
      </c>
      <c r="D1081" s="8">
        <f t="shared" si="88"/>
        <v>16.339849999999998</v>
      </c>
      <c r="E1081" s="8">
        <f t="shared" si="88"/>
        <v>16.34009166666667</v>
      </c>
      <c r="F1081" s="4">
        <f t="shared" si="88"/>
        <v>17.007349999999999</v>
      </c>
      <c r="G1081" s="8">
        <f t="shared" si="88"/>
        <v>16.042849999999998</v>
      </c>
      <c r="H1081" s="4">
        <f t="shared" si="88"/>
        <v>16.954083333333337</v>
      </c>
      <c r="I1081" s="8">
        <f t="shared" si="88"/>
        <v>15.869325000000002</v>
      </c>
      <c r="J1081" s="4">
        <f t="shared" si="88"/>
        <v>15.762166666666667</v>
      </c>
      <c r="K1081" s="7"/>
      <c r="L1081" s="5">
        <f>SUM(L544:L555)</f>
        <v>356.48229999999995</v>
      </c>
      <c r="M1081" s="5">
        <f>SUM(M544:M555)</f>
        <v>142.42920000000001</v>
      </c>
      <c r="N1081" s="5">
        <f>SUM(N544:N555)</f>
        <v>58.377000000000002</v>
      </c>
      <c r="O1081" s="5">
        <f>SUM(O522:O533)</f>
        <v>4.4046000000000003</v>
      </c>
      <c r="P1081" s="5">
        <f>SUM(P544:P555)</f>
        <v>14.7493</v>
      </c>
      <c r="Q1081" s="5">
        <f>SUM(Q544:Q555)</f>
        <v>232.44659999999996</v>
      </c>
      <c r="R1081" s="5"/>
      <c r="S1081" s="6"/>
    </row>
    <row r="1082" spans="1:19" ht="15" customHeight="1">
      <c r="A1082" s="3">
        <f t="shared" si="44"/>
        <v>2061</v>
      </c>
      <c r="B1082" s="8">
        <f t="shared" ref="B1082:J1082" si="89">AVERAGE(B556:B567)</f>
        <v>16.869483333333335</v>
      </c>
      <c r="C1082" s="8">
        <f t="shared" si="89"/>
        <v>16.875783333333331</v>
      </c>
      <c r="D1082" s="8">
        <f t="shared" si="89"/>
        <v>16.87306666666667</v>
      </c>
      <c r="E1082" s="8">
        <f t="shared" si="89"/>
        <v>16.873283333333333</v>
      </c>
      <c r="F1082" s="4">
        <f t="shared" si="89"/>
        <v>17.540533333333336</v>
      </c>
      <c r="G1082" s="8">
        <f t="shared" si="89"/>
        <v>16.567224999999997</v>
      </c>
      <c r="H1082" s="4">
        <f t="shared" si="89"/>
        <v>17.478441666666669</v>
      </c>
      <c r="I1082" s="8">
        <f t="shared" si="89"/>
        <v>16.385016666666669</v>
      </c>
      <c r="J1082" s="4">
        <f t="shared" si="89"/>
        <v>16.277608333333333</v>
      </c>
      <c r="K1082" s="7"/>
      <c r="L1082" s="5">
        <f>SUM(L556:L567)</f>
        <v>355.53689999999995</v>
      </c>
      <c r="M1082" s="5">
        <f>SUM(M556:M567)</f>
        <v>142.0401</v>
      </c>
      <c r="N1082" s="5">
        <f>SUM(N556:N567)</f>
        <v>58.217499999999994</v>
      </c>
      <c r="O1082" s="5">
        <f>SUM(O523:O534)</f>
        <v>4.4046000000000003</v>
      </c>
      <c r="P1082" s="5">
        <f>SUM(P556:P567)</f>
        <v>14.707600000000001</v>
      </c>
      <c r="Q1082" s="5">
        <f>SUM(Q556:Q567)</f>
        <v>231.81149999999997</v>
      </c>
      <c r="R1082" s="5"/>
      <c r="S1082" s="6"/>
    </row>
    <row r="1083" spans="1:19" ht="15" customHeight="1">
      <c r="A1083" s="3">
        <f t="shared" si="44"/>
        <v>2062</v>
      </c>
      <c r="B1083" s="4">
        <f t="shared" ref="B1083:J1092" ca="1" si="90">AVERAGE(OFFSET(B$568,($A1083-$A$1083)*12,0,12,1))</f>
        <v>17.420116666666665</v>
      </c>
      <c r="C1083" s="4">
        <f t="shared" ca="1" si="90"/>
        <v>17.426408333333331</v>
      </c>
      <c r="D1083" s="4">
        <f t="shared" ca="1" si="90"/>
        <v>17.4237</v>
      </c>
      <c r="E1083" s="4">
        <f t="shared" ca="1" si="90"/>
        <v>17.423916666666667</v>
      </c>
      <c r="F1083" s="4">
        <f t="shared" ca="1" si="90"/>
        <v>18.091175000000003</v>
      </c>
      <c r="G1083" s="4">
        <f t="shared" ca="1" si="90"/>
        <v>17.108708333333333</v>
      </c>
      <c r="H1083" s="4">
        <f t="shared" ca="1" si="90"/>
        <v>18.019949999999998</v>
      </c>
      <c r="I1083" s="4">
        <f t="shared" ca="1" si="90"/>
        <v>16.917591666666667</v>
      </c>
      <c r="J1083" s="4">
        <f t="shared" ca="1" si="90"/>
        <v>16.809908333333336</v>
      </c>
      <c r="K1083" s="4"/>
      <c r="L1083" s="5">
        <f t="shared" ref="L1083:Q1092" ca="1" si="91">SUM(OFFSET(L$568,($A1083-$A$1083)*12,0,12,1))</f>
        <v>355.53689999999995</v>
      </c>
      <c r="M1083" s="5">
        <f t="shared" ca="1" si="91"/>
        <v>142.0401</v>
      </c>
      <c r="N1083" s="5">
        <f t="shared" ca="1" si="91"/>
        <v>58.217499999999994</v>
      </c>
      <c r="O1083" s="5">
        <f t="shared" ca="1" si="91"/>
        <v>4.4046000000000003</v>
      </c>
      <c r="P1083" s="5">
        <f t="shared" ca="1" si="91"/>
        <v>14.707600000000001</v>
      </c>
      <c r="Q1083" s="5">
        <f t="shared" ca="1" si="91"/>
        <v>231.81149999999997</v>
      </c>
      <c r="R1083" s="4"/>
      <c r="S1083" s="4"/>
    </row>
    <row r="1084" spans="1:19" ht="15" customHeight="1">
      <c r="A1084" s="3">
        <f t="shared" si="44"/>
        <v>2063</v>
      </c>
      <c r="B1084" s="4">
        <f t="shared" ca="1" si="90"/>
        <v>17.988766666666663</v>
      </c>
      <c r="C1084" s="4">
        <f t="shared" ca="1" si="90"/>
        <v>17.995049999999996</v>
      </c>
      <c r="D1084" s="4">
        <f t="shared" ca="1" si="90"/>
        <v>17.992341666666665</v>
      </c>
      <c r="E1084" s="4">
        <f t="shared" ca="1" si="90"/>
        <v>17.992558333333331</v>
      </c>
      <c r="F1084" s="4">
        <f t="shared" ca="1" si="90"/>
        <v>18.659816666666664</v>
      </c>
      <c r="G1084" s="4">
        <f t="shared" ca="1" si="90"/>
        <v>17.667933333333334</v>
      </c>
      <c r="H1084" s="4">
        <f t="shared" ca="1" si="90"/>
        <v>18.579158333333336</v>
      </c>
      <c r="I1084" s="4">
        <f t="shared" ca="1" si="90"/>
        <v>17.467583333333334</v>
      </c>
      <c r="J1084" s="4">
        <f t="shared" ca="1" si="90"/>
        <v>17.359625000000001</v>
      </c>
      <c r="K1084" s="4"/>
      <c r="L1084" s="5">
        <f t="shared" ca="1" si="91"/>
        <v>355.53689999999995</v>
      </c>
      <c r="M1084" s="5">
        <f t="shared" ca="1" si="91"/>
        <v>142.0401</v>
      </c>
      <c r="N1084" s="5">
        <f t="shared" ca="1" si="91"/>
        <v>58.217499999999994</v>
      </c>
      <c r="O1084" s="5">
        <f t="shared" ca="1" si="91"/>
        <v>4.4046000000000003</v>
      </c>
      <c r="P1084" s="5">
        <f t="shared" ca="1" si="91"/>
        <v>14.707600000000001</v>
      </c>
      <c r="Q1084" s="5">
        <f t="shared" ca="1" si="91"/>
        <v>231.81149999999997</v>
      </c>
      <c r="R1084" s="4"/>
      <c r="S1084" s="4"/>
    </row>
    <row r="1085" spans="1:19" ht="15" customHeight="1">
      <c r="A1085" s="3">
        <f t="shared" si="44"/>
        <v>2064</v>
      </c>
      <c r="B1085" s="4">
        <f t="shared" ca="1" si="90"/>
        <v>18.576008333333334</v>
      </c>
      <c r="C1085" s="4">
        <f t="shared" ca="1" si="90"/>
        <v>18.582299999999996</v>
      </c>
      <c r="D1085" s="4">
        <f t="shared" ca="1" si="90"/>
        <v>18.579599999999999</v>
      </c>
      <c r="E1085" s="4">
        <f t="shared" ca="1" si="90"/>
        <v>18.579825</v>
      </c>
      <c r="F1085" s="4">
        <f t="shared" ca="1" si="90"/>
        <v>19.247075000000002</v>
      </c>
      <c r="G1085" s="4">
        <f t="shared" ca="1" si="90"/>
        <v>18.245441666666665</v>
      </c>
      <c r="H1085" s="4">
        <f t="shared" ca="1" si="90"/>
        <v>19.156675000000003</v>
      </c>
      <c r="I1085" s="4">
        <f t="shared" ca="1" si="90"/>
        <v>18.035549999999997</v>
      </c>
      <c r="J1085" s="4">
        <f t="shared" ca="1" si="90"/>
        <v>17.927299999999999</v>
      </c>
      <c r="K1085" s="4"/>
      <c r="L1085" s="5">
        <f t="shared" ca="1" si="91"/>
        <v>356.48229999999995</v>
      </c>
      <c r="M1085" s="5">
        <f t="shared" ca="1" si="91"/>
        <v>142.42920000000001</v>
      </c>
      <c r="N1085" s="5">
        <f t="shared" ca="1" si="91"/>
        <v>58.377000000000002</v>
      </c>
      <c r="O1085" s="5">
        <f t="shared" ca="1" si="91"/>
        <v>4.4165999999999999</v>
      </c>
      <c r="P1085" s="5">
        <f t="shared" ca="1" si="91"/>
        <v>14.7493</v>
      </c>
      <c r="Q1085" s="5">
        <f t="shared" ca="1" si="91"/>
        <v>232.44659999999996</v>
      </c>
      <c r="R1085" s="4"/>
      <c r="S1085" s="4"/>
    </row>
    <row r="1086" spans="1:19" ht="15" customHeight="1">
      <c r="A1086" s="3">
        <f t="shared" si="44"/>
        <v>2065</v>
      </c>
      <c r="B1086" s="4">
        <f t="shared" ca="1" si="90"/>
        <v>19.182441666666666</v>
      </c>
      <c r="C1086" s="4">
        <f t="shared" ca="1" si="90"/>
        <v>19.188733333333335</v>
      </c>
      <c r="D1086" s="4">
        <f t="shared" ca="1" si="90"/>
        <v>19.186033333333334</v>
      </c>
      <c r="E1086" s="4">
        <f t="shared" ca="1" si="90"/>
        <v>19.186250000000001</v>
      </c>
      <c r="F1086" s="4">
        <f t="shared" ca="1" si="90"/>
        <v>19.853508333333334</v>
      </c>
      <c r="G1086" s="4">
        <f t="shared" ca="1" si="90"/>
        <v>18.841825</v>
      </c>
      <c r="H1086" s="4">
        <f t="shared" ca="1" si="90"/>
        <v>19.753058333333332</v>
      </c>
      <c r="I1086" s="4">
        <f t="shared" ca="1" si="90"/>
        <v>18.6221</v>
      </c>
      <c r="J1086" s="4">
        <f t="shared" ca="1" si="90"/>
        <v>18.513541666666669</v>
      </c>
      <c r="K1086" s="4"/>
      <c r="L1086" s="5">
        <f t="shared" ca="1" si="91"/>
        <v>355.53689999999995</v>
      </c>
      <c r="M1086" s="5">
        <f t="shared" ca="1" si="91"/>
        <v>142.0401</v>
      </c>
      <c r="N1086" s="5">
        <f t="shared" ca="1" si="91"/>
        <v>58.217499999999994</v>
      </c>
      <c r="O1086" s="5">
        <f t="shared" ca="1" si="91"/>
        <v>4.4046000000000003</v>
      </c>
      <c r="P1086" s="5">
        <f t="shared" ca="1" si="91"/>
        <v>14.707600000000001</v>
      </c>
      <c r="Q1086" s="5">
        <f t="shared" ca="1" si="91"/>
        <v>231.81149999999997</v>
      </c>
      <c r="R1086" s="4"/>
      <c r="S1086" s="4"/>
    </row>
    <row r="1087" spans="1:19" ht="15" customHeight="1">
      <c r="A1087" s="3">
        <f t="shared" si="44"/>
        <v>2066</v>
      </c>
      <c r="B1087" s="4">
        <f t="shared" ca="1" si="90"/>
        <v>19.808716666666673</v>
      </c>
      <c r="C1087" s="4">
        <f t="shared" ca="1" si="90"/>
        <v>19.815033333333336</v>
      </c>
      <c r="D1087" s="4">
        <f t="shared" ca="1" si="90"/>
        <v>19.812308333333331</v>
      </c>
      <c r="E1087" s="4">
        <f t="shared" ca="1" si="90"/>
        <v>19.812533333333338</v>
      </c>
      <c r="F1087" s="4">
        <f t="shared" ca="1" si="90"/>
        <v>20.479775</v>
      </c>
      <c r="G1087" s="4">
        <f t="shared" ca="1" si="90"/>
        <v>19.457724999999996</v>
      </c>
      <c r="H1087" s="4">
        <f t="shared" ca="1" si="90"/>
        <v>20.368949999999998</v>
      </c>
      <c r="I1087" s="4">
        <f t="shared" ca="1" si="90"/>
        <v>19.227833333333333</v>
      </c>
      <c r="J1087" s="4">
        <f t="shared" ca="1" si="90"/>
        <v>19.118958333333335</v>
      </c>
      <c r="K1087" s="4"/>
      <c r="L1087" s="5">
        <f t="shared" ca="1" si="91"/>
        <v>355.53689999999995</v>
      </c>
      <c r="M1087" s="5">
        <f t="shared" ca="1" si="91"/>
        <v>142.0401</v>
      </c>
      <c r="N1087" s="5">
        <f t="shared" ca="1" si="91"/>
        <v>58.217499999999994</v>
      </c>
      <c r="O1087" s="5">
        <f t="shared" ca="1" si="91"/>
        <v>4.4046000000000003</v>
      </c>
      <c r="P1087" s="5">
        <f t="shared" ca="1" si="91"/>
        <v>14.707600000000001</v>
      </c>
      <c r="Q1087" s="5">
        <f t="shared" ca="1" si="91"/>
        <v>231.81149999999997</v>
      </c>
      <c r="R1087" s="4"/>
      <c r="S1087" s="4"/>
    </row>
    <row r="1088" spans="1:19" ht="15" customHeight="1">
      <c r="A1088" s="3">
        <f t="shared" si="44"/>
        <v>2067</v>
      </c>
      <c r="B1088" s="4">
        <f t="shared" ca="1" si="90"/>
        <v>20.45548333333333</v>
      </c>
      <c r="C1088" s="4">
        <f t="shared" ca="1" si="90"/>
        <v>20.461774999999999</v>
      </c>
      <c r="D1088" s="4">
        <f t="shared" ca="1" si="90"/>
        <v>20.459075000000002</v>
      </c>
      <c r="E1088" s="4">
        <f t="shared" ca="1" si="90"/>
        <v>20.459291666666669</v>
      </c>
      <c r="F1088" s="4">
        <f t="shared" ca="1" si="90"/>
        <v>21.126541666666665</v>
      </c>
      <c r="G1088" s="4">
        <f t="shared" ca="1" si="90"/>
        <v>20.09375</v>
      </c>
      <c r="H1088" s="4">
        <f t="shared" ca="1" si="90"/>
        <v>21.004999999999999</v>
      </c>
      <c r="I1088" s="4">
        <f t="shared" ca="1" si="90"/>
        <v>19.853350000000002</v>
      </c>
      <c r="J1088" s="4">
        <f t="shared" ca="1" si="90"/>
        <v>19.744191666666669</v>
      </c>
      <c r="K1088" s="4"/>
      <c r="L1088" s="5">
        <f t="shared" ca="1" si="91"/>
        <v>355.53689999999995</v>
      </c>
      <c r="M1088" s="5">
        <f t="shared" ca="1" si="91"/>
        <v>142.0401</v>
      </c>
      <c r="N1088" s="5">
        <f t="shared" ca="1" si="91"/>
        <v>58.217499999999994</v>
      </c>
      <c r="O1088" s="5">
        <f t="shared" ca="1" si="91"/>
        <v>4.4046000000000003</v>
      </c>
      <c r="P1088" s="5">
        <f t="shared" ca="1" si="91"/>
        <v>14.707600000000001</v>
      </c>
      <c r="Q1088" s="5">
        <f t="shared" ca="1" si="91"/>
        <v>231.81149999999997</v>
      </c>
      <c r="R1088" s="4"/>
      <c r="S1088" s="4"/>
    </row>
    <row r="1089" spans="1:19" ht="15" customHeight="1">
      <c r="A1089" s="3">
        <f t="shared" si="44"/>
        <v>2068</v>
      </c>
      <c r="B1089" s="4">
        <f t="shared" ca="1" si="90"/>
        <v>21.123408333333334</v>
      </c>
      <c r="C1089" s="4">
        <f t="shared" ca="1" si="90"/>
        <v>21.129700000000003</v>
      </c>
      <c r="D1089" s="4">
        <f t="shared" ca="1" si="90"/>
        <v>21.126974999999998</v>
      </c>
      <c r="E1089" s="4">
        <f t="shared" ca="1" si="90"/>
        <v>21.127199999999998</v>
      </c>
      <c r="F1089" s="4">
        <f t="shared" ca="1" si="90"/>
        <v>21.794449999999998</v>
      </c>
      <c r="G1089" s="4">
        <f t="shared" ca="1" si="90"/>
        <v>20.750600000000002</v>
      </c>
      <c r="H1089" s="4">
        <f t="shared" ca="1" si="90"/>
        <v>21.661825000000004</v>
      </c>
      <c r="I1089" s="4">
        <f t="shared" ca="1" si="90"/>
        <v>20.499358333333333</v>
      </c>
      <c r="J1089" s="4">
        <f t="shared" ca="1" si="90"/>
        <v>20.389866666666666</v>
      </c>
      <c r="K1089" s="4"/>
      <c r="L1089" s="5">
        <f t="shared" ca="1" si="91"/>
        <v>356.48229999999995</v>
      </c>
      <c r="M1089" s="5">
        <f t="shared" ca="1" si="91"/>
        <v>142.42920000000001</v>
      </c>
      <c r="N1089" s="5">
        <f t="shared" ca="1" si="91"/>
        <v>58.377000000000002</v>
      </c>
      <c r="O1089" s="5">
        <f t="shared" ca="1" si="91"/>
        <v>4.4165999999999999</v>
      </c>
      <c r="P1089" s="5">
        <f t="shared" ca="1" si="91"/>
        <v>14.7493</v>
      </c>
      <c r="Q1089" s="5">
        <f t="shared" ca="1" si="91"/>
        <v>232.44659999999996</v>
      </c>
      <c r="R1089" s="4"/>
      <c r="S1089" s="4"/>
    </row>
    <row r="1090" spans="1:19" ht="15" customHeight="1">
      <c r="A1090" s="3">
        <f t="shared" si="44"/>
        <v>2069</v>
      </c>
      <c r="B1090" s="4">
        <f t="shared" ca="1" si="90"/>
        <v>21.813149999999997</v>
      </c>
      <c r="C1090" s="4">
        <f t="shared" ca="1" si="90"/>
        <v>21.819458333333333</v>
      </c>
      <c r="D1090" s="4">
        <f t="shared" ca="1" si="90"/>
        <v>21.816741666666669</v>
      </c>
      <c r="E1090" s="4">
        <f t="shared" ca="1" si="90"/>
        <v>21.816974999999999</v>
      </c>
      <c r="F1090" s="4">
        <f t="shared" ca="1" si="90"/>
        <v>22.484208333333331</v>
      </c>
      <c r="G1090" s="4">
        <f t="shared" ca="1" si="90"/>
        <v>21.428908333333336</v>
      </c>
      <c r="H1090" s="4">
        <f t="shared" ca="1" si="90"/>
        <v>22.340133333333331</v>
      </c>
      <c r="I1090" s="4">
        <f t="shared" ca="1" si="90"/>
        <v>21.166458333333335</v>
      </c>
      <c r="J1090" s="4">
        <f t="shared" ca="1" si="90"/>
        <v>21.056650000000001</v>
      </c>
      <c r="K1090" s="4"/>
      <c r="L1090" s="5">
        <f t="shared" ca="1" si="91"/>
        <v>355.53689999999995</v>
      </c>
      <c r="M1090" s="5">
        <f t="shared" ca="1" si="91"/>
        <v>142.0401</v>
      </c>
      <c r="N1090" s="5">
        <f t="shared" ca="1" si="91"/>
        <v>58.217499999999994</v>
      </c>
      <c r="O1090" s="5">
        <f t="shared" ca="1" si="91"/>
        <v>4.4046000000000003</v>
      </c>
      <c r="P1090" s="5">
        <f t="shared" ca="1" si="91"/>
        <v>14.707600000000001</v>
      </c>
      <c r="Q1090" s="5">
        <f t="shared" ca="1" si="91"/>
        <v>231.81149999999997</v>
      </c>
      <c r="R1090" s="4"/>
      <c r="S1090" s="4"/>
    </row>
    <row r="1091" spans="1:19" ht="15" customHeight="1">
      <c r="A1091" s="3">
        <f t="shared" ref="A1091:A1121" si="92">A1090+1</f>
        <v>2070</v>
      </c>
      <c r="B1091" s="4">
        <f t="shared" ca="1" si="90"/>
        <v>22.525475</v>
      </c>
      <c r="C1091" s="4">
        <f t="shared" ca="1" si="90"/>
        <v>22.531766666666666</v>
      </c>
      <c r="D1091" s="4">
        <f t="shared" ca="1" si="90"/>
        <v>22.529050000000002</v>
      </c>
      <c r="E1091" s="4">
        <f t="shared" ca="1" si="90"/>
        <v>22.529266666666668</v>
      </c>
      <c r="F1091" s="4">
        <f t="shared" ca="1" si="90"/>
        <v>23.196524999999998</v>
      </c>
      <c r="G1091" s="4">
        <f t="shared" ca="1" si="90"/>
        <v>22.129416666666668</v>
      </c>
      <c r="H1091" s="4">
        <f t="shared" ca="1" si="90"/>
        <v>23.040641666666669</v>
      </c>
      <c r="I1091" s="4">
        <f t="shared" ca="1" si="90"/>
        <v>21.855399999999992</v>
      </c>
      <c r="J1091" s="4">
        <f t="shared" ca="1" si="90"/>
        <v>21.745241666666669</v>
      </c>
      <c r="K1091" s="4"/>
      <c r="L1091" s="5">
        <f t="shared" ca="1" si="91"/>
        <v>355.53689999999995</v>
      </c>
      <c r="M1091" s="5">
        <f t="shared" ca="1" si="91"/>
        <v>142.0401</v>
      </c>
      <c r="N1091" s="5">
        <f t="shared" ca="1" si="91"/>
        <v>58.217499999999994</v>
      </c>
      <c r="O1091" s="5">
        <f t="shared" ca="1" si="91"/>
        <v>4.4046000000000003</v>
      </c>
      <c r="P1091" s="5">
        <f t="shared" ca="1" si="91"/>
        <v>14.707600000000001</v>
      </c>
      <c r="Q1091" s="5">
        <f t="shared" ca="1" si="91"/>
        <v>231.81149999999997</v>
      </c>
      <c r="R1091" s="4"/>
      <c r="S1091" s="4"/>
    </row>
    <row r="1092" spans="1:19" ht="15" customHeight="1">
      <c r="A1092" s="3">
        <f t="shared" si="92"/>
        <v>2071</v>
      </c>
      <c r="B1092" s="4">
        <f t="shared" ca="1" si="90"/>
        <v>23.261066666666665</v>
      </c>
      <c r="C1092" s="4">
        <f t="shared" ca="1" si="90"/>
        <v>23.267375000000001</v>
      </c>
      <c r="D1092" s="4">
        <f t="shared" ca="1" si="90"/>
        <v>23.26465</v>
      </c>
      <c r="E1092" s="4">
        <f t="shared" ca="1" si="90"/>
        <v>23.264875</v>
      </c>
      <c r="F1092" s="4">
        <f t="shared" ca="1" si="90"/>
        <v>23.932133333333336</v>
      </c>
      <c r="G1092" s="4">
        <f t="shared" ca="1" si="90"/>
        <v>22.852824999999999</v>
      </c>
      <c r="H1092" s="4">
        <f t="shared" ca="1" si="90"/>
        <v>23.764058333333335</v>
      </c>
      <c r="I1092" s="4">
        <f t="shared" ca="1" si="90"/>
        <v>22.566875</v>
      </c>
      <c r="J1092" s="4">
        <f t="shared" ca="1" si="90"/>
        <v>22.456358333333331</v>
      </c>
      <c r="K1092" s="4"/>
      <c r="L1092" s="5">
        <f t="shared" ca="1" si="91"/>
        <v>355.53689999999995</v>
      </c>
      <c r="M1092" s="5">
        <f t="shared" ca="1" si="91"/>
        <v>142.0401</v>
      </c>
      <c r="N1092" s="5">
        <f t="shared" ca="1" si="91"/>
        <v>58.217499999999994</v>
      </c>
      <c r="O1092" s="5">
        <f t="shared" ca="1" si="91"/>
        <v>4.4046000000000003</v>
      </c>
      <c r="P1092" s="5">
        <f t="shared" ca="1" si="91"/>
        <v>14.707600000000001</v>
      </c>
      <c r="Q1092" s="5">
        <f t="shared" ca="1" si="91"/>
        <v>231.81149999999997</v>
      </c>
      <c r="R1092" s="4"/>
      <c r="S1092" s="4"/>
    </row>
    <row r="1093" spans="1:19" ht="15" customHeight="1">
      <c r="A1093" s="3">
        <f t="shared" si="92"/>
        <v>2072</v>
      </c>
      <c r="B1093" s="4">
        <f t="shared" ref="B1093:J1102" ca="1" si="93">AVERAGE(OFFSET(B$568,($A1093-$A$1083)*12,0,12,1))</f>
        <v>24.020733333333329</v>
      </c>
      <c r="C1093" s="4">
        <f t="shared" ca="1" si="93"/>
        <v>24.027033333333335</v>
      </c>
      <c r="D1093" s="4">
        <f t="shared" ca="1" si="93"/>
        <v>24.024333333333331</v>
      </c>
      <c r="E1093" s="4">
        <f t="shared" ca="1" si="93"/>
        <v>24.024550000000005</v>
      </c>
      <c r="F1093" s="4">
        <f t="shared" ca="1" si="93"/>
        <v>24.691791666666663</v>
      </c>
      <c r="G1093" s="4">
        <f t="shared" ca="1" si="93"/>
        <v>23.599891666666668</v>
      </c>
      <c r="H1093" s="4">
        <f t="shared" ca="1" si="93"/>
        <v>24.51111666666667</v>
      </c>
      <c r="I1093" s="4">
        <f t="shared" ca="1" si="93"/>
        <v>23.301608333333331</v>
      </c>
      <c r="J1093" s="4">
        <f t="shared" ca="1" si="93"/>
        <v>23.190733333333331</v>
      </c>
      <c r="K1093" s="4"/>
      <c r="L1093" s="5">
        <f t="shared" ref="L1093:Q1102" ca="1" si="94">SUM(OFFSET(L$568,($A1093-$A$1083)*12,0,12,1))</f>
        <v>356.48229999999995</v>
      </c>
      <c r="M1093" s="5">
        <f t="shared" ca="1" si="94"/>
        <v>142.42920000000001</v>
      </c>
      <c r="N1093" s="5">
        <f t="shared" ca="1" si="94"/>
        <v>58.377000000000002</v>
      </c>
      <c r="O1093" s="5">
        <f t="shared" ca="1" si="94"/>
        <v>4.4165999999999999</v>
      </c>
      <c r="P1093" s="5">
        <f t="shared" ca="1" si="94"/>
        <v>14.7493</v>
      </c>
      <c r="Q1093" s="5">
        <f t="shared" ca="1" si="94"/>
        <v>232.44659999999996</v>
      </c>
      <c r="R1093" s="4"/>
      <c r="S1093" s="4"/>
    </row>
    <row r="1094" spans="1:19" ht="15" customHeight="1">
      <c r="A1094" s="3">
        <f t="shared" si="92"/>
        <v>2073</v>
      </c>
      <c r="B1094" s="4">
        <f t="shared" ca="1" si="93"/>
        <v>24.805233333333334</v>
      </c>
      <c r="C1094" s="4">
        <f t="shared" ca="1" si="93"/>
        <v>24.811558333333334</v>
      </c>
      <c r="D1094" s="4">
        <f t="shared" ca="1" si="93"/>
        <v>24.808833333333336</v>
      </c>
      <c r="E1094" s="4">
        <f t="shared" ca="1" si="93"/>
        <v>24.809058333333329</v>
      </c>
      <c r="F1094" s="4">
        <f t="shared" ca="1" si="93"/>
        <v>25.476316666666666</v>
      </c>
      <c r="G1094" s="4">
        <f t="shared" ca="1" si="93"/>
        <v>24.371399999999998</v>
      </c>
      <c r="H1094" s="4">
        <f t="shared" ca="1" si="93"/>
        <v>25.282624999999999</v>
      </c>
      <c r="I1094" s="4">
        <f t="shared" ca="1" si="93"/>
        <v>24.060366666666667</v>
      </c>
      <c r="J1094" s="4">
        <f t="shared" ca="1" si="93"/>
        <v>23.949100000000001</v>
      </c>
      <c r="K1094" s="4"/>
      <c r="L1094" s="5">
        <f t="shared" ca="1" si="94"/>
        <v>355.53689999999995</v>
      </c>
      <c r="M1094" s="5">
        <f t="shared" ca="1" si="94"/>
        <v>142.0401</v>
      </c>
      <c r="N1094" s="5">
        <f t="shared" ca="1" si="94"/>
        <v>58.217499999999994</v>
      </c>
      <c r="O1094" s="5">
        <f t="shared" ca="1" si="94"/>
        <v>4.4046000000000003</v>
      </c>
      <c r="P1094" s="5">
        <f t="shared" ca="1" si="94"/>
        <v>14.707600000000001</v>
      </c>
      <c r="Q1094" s="5">
        <f t="shared" ca="1" si="94"/>
        <v>231.81149999999997</v>
      </c>
      <c r="R1094" s="4"/>
      <c r="S1094" s="4"/>
    </row>
    <row r="1095" spans="1:19" ht="15" customHeight="1">
      <c r="A1095" s="3">
        <f t="shared" si="92"/>
        <v>2074</v>
      </c>
      <c r="B1095" s="4">
        <f t="shared" ca="1" si="93"/>
        <v>25.615408333333331</v>
      </c>
      <c r="C1095" s="4">
        <f t="shared" ca="1" si="93"/>
        <v>25.621708333333331</v>
      </c>
      <c r="D1095" s="4">
        <f t="shared" ca="1" si="93"/>
        <v>25.61899166666667</v>
      </c>
      <c r="E1095" s="4">
        <f t="shared" ca="1" si="93"/>
        <v>25.619208333333336</v>
      </c>
      <c r="F1095" s="4">
        <f t="shared" ca="1" si="93"/>
        <v>26.286458333333332</v>
      </c>
      <c r="G1095" s="4">
        <f t="shared" ca="1" si="93"/>
        <v>25.168125</v>
      </c>
      <c r="H1095" s="4">
        <f t="shared" ca="1" si="93"/>
        <v>26.079341666666664</v>
      </c>
      <c r="I1095" s="4">
        <f t="shared" ca="1" si="93"/>
        <v>24.843950000000003</v>
      </c>
      <c r="J1095" s="4">
        <f t="shared" ca="1" si="93"/>
        <v>24.732291666666665</v>
      </c>
      <c r="K1095" s="4"/>
      <c r="L1095" s="5">
        <f t="shared" ca="1" si="94"/>
        <v>355.53689999999995</v>
      </c>
      <c r="M1095" s="5">
        <f t="shared" ca="1" si="94"/>
        <v>142.0401</v>
      </c>
      <c r="N1095" s="5">
        <f t="shared" ca="1" si="94"/>
        <v>58.217499999999994</v>
      </c>
      <c r="O1095" s="5">
        <f t="shared" ca="1" si="94"/>
        <v>4.4046000000000003</v>
      </c>
      <c r="P1095" s="5">
        <f t="shared" ca="1" si="94"/>
        <v>14.707600000000001</v>
      </c>
      <c r="Q1095" s="5">
        <f t="shared" ca="1" si="94"/>
        <v>231.81149999999997</v>
      </c>
      <c r="R1095" s="4"/>
      <c r="S1095" s="4"/>
    </row>
    <row r="1096" spans="1:19" ht="15" customHeight="1">
      <c r="A1096" s="3">
        <f t="shared" si="92"/>
        <v>2075</v>
      </c>
      <c r="B1096" s="4">
        <f t="shared" ca="1" si="93"/>
        <v>26.452083333333334</v>
      </c>
      <c r="C1096" s="4">
        <f t="shared" ca="1" si="93"/>
        <v>26.458366666666663</v>
      </c>
      <c r="D1096" s="4">
        <f t="shared" ca="1" si="93"/>
        <v>26.455666666666662</v>
      </c>
      <c r="E1096" s="4">
        <f t="shared" ca="1" si="93"/>
        <v>26.455883333333333</v>
      </c>
      <c r="F1096" s="4">
        <f t="shared" ca="1" si="93"/>
        <v>27.123108333333334</v>
      </c>
      <c r="G1096" s="4">
        <f t="shared" ca="1" si="93"/>
        <v>25.990908333333334</v>
      </c>
      <c r="H1096" s="4">
        <f t="shared" ca="1" si="93"/>
        <v>26.902141666666669</v>
      </c>
      <c r="I1096" s="4">
        <f t="shared" ca="1" si="93"/>
        <v>25.653158333333337</v>
      </c>
      <c r="J1096" s="4">
        <f t="shared" ca="1" si="93"/>
        <v>25.541083333333333</v>
      </c>
      <c r="K1096" s="4"/>
      <c r="L1096" s="5">
        <f t="shared" ca="1" si="94"/>
        <v>355.53689999999995</v>
      </c>
      <c r="M1096" s="5">
        <f t="shared" ca="1" si="94"/>
        <v>142.0401</v>
      </c>
      <c r="N1096" s="5">
        <f t="shared" ca="1" si="94"/>
        <v>58.217499999999994</v>
      </c>
      <c r="O1096" s="5">
        <f t="shared" ca="1" si="94"/>
        <v>4.4046000000000003</v>
      </c>
      <c r="P1096" s="5">
        <f t="shared" ca="1" si="94"/>
        <v>14.707600000000001</v>
      </c>
      <c r="Q1096" s="5">
        <f t="shared" ca="1" si="94"/>
        <v>231.81149999999997</v>
      </c>
      <c r="R1096" s="4"/>
      <c r="S1096" s="4"/>
    </row>
    <row r="1097" spans="1:19" ht="15" customHeight="1">
      <c r="A1097" s="3">
        <f t="shared" si="92"/>
        <v>2076</v>
      </c>
      <c r="B1097" s="4">
        <f t="shared" ca="1" si="93"/>
        <v>27.316083333333328</v>
      </c>
      <c r="C1097" s="4">
        <f t="shared" ca="1" si="93"/>
        <v>27.322383333333335</v>
      </c>
      <c r="D1097" s="4">
        <f t="shared" ca="1" si="93"/>
        <v>27.319666666666674</v>
      </c>
      <c r="E1097" s="4">
        <f t="shared" ca="1" si="93"/>
        <v>27.319883333333333</v>
      </c>
      <c r="F1097" s="4">
        <f t="shared" ca="1" si="93"/>
        <v>27.987150000000003</v>
      </c>
      <c r="G1097" s="4">
        <f t="shared" ca="1" si="93"/>
        <v>26.840599999999998</v>
      </c>
      <c r="H1097" s="4">
        <f t="shared" ca="1" si="93"/>
        <v>27.751825</v>
      </c>
      <c r="I1097" s="4">
        <f t="shared" ca="1" si="93"/>
        <v>26.488833333333336</v>
      </c>
      <c r="J1097" s="4">
        <f t="shared" ca="1" si="93"/>
        <v>26.376341666666661</v>
      </c>
      <c r="K1097" s="4"/>
      <c r="L1097" s="5">
        <f t="shared" ca="1" si="94"/>
        <v>356.48229999999995</v>
      </c>
      <c r="M1097" s="5">
        <f t="shared" ca="1" si="94"/>
        <v>142.42920000000001</v>
      </c>
      <c r="N1097" s="5">
        <f t="shared" ca="1" si="94"/>
        <v>58.377000000000002</v>
      </c>
      <c r="O1097" s="5">
        <f t="shared" ca="1" si="94"/>
        <v>4.4165999999999999</v>
      </c>
      <c r="P1097" s="5">
        <f t="shared" ca="1" si="94"/>
        <v>14.7493</v>
      </c>
      <c r="Q1097" s="5">
        <f t="shared" ca="1" si="94"/>
        <v>232.44659999999996</v>
      </c>
      <c r="R1097" s="4"/>
      <c r="S1097" s="4"/>
    </row>
    <row r="1098" spans="1:19" ht="15" customHeight="1">
      <c r="A1098" s="3">
        <f t="shared" si="92"/>
        <v>2077</v>
      </c>
      <c r="B1098" s="4">
        <f t="shared" ca="1" si="93"/>
        <v>28.208383333333334</v>
      </c>
      <c r="C1098" s="4">
        <f t="shared" ca="1" si="93"/>
        <v>28.214683333333337</v>
      </c>
      <c r="D1098" s="4">
        <f t="shared" ca="1" si="93"/>
        <v>28.211958333333332</v>
      </c>
      <c r="E1098" s="4">
        <f t="shared" ca="1" si="93"/>
        <v>28.212174999999998</v>
      </c>
      <c r="F1098" s="4">
        <f t="shared" ca="1" si="93"/>
        <v>28.879424999999998</v>
      </c>
      <c r="G1098" s="4">
        <f t="shared" ca="1" si="93"/>
        <v>27.718083333333329</v>
      </c>
      <c r="H1098" s="4">
        <f t="shared" ca="1" si="93"/>
        <v>28.629300000000001</v>
      </c>
      <c r="I1098" s="4">
        <f t="shared" ca="1" si="93"/>
        <v>27.351825000000002</v>
      </c>
      <c r="J1098" s="4">
        <f t="shared" ca="1" si="93"/>
        <v>27.238899999999997</v>
      </c>
      <c r="K1098" s="4"/>
      <c r="L1098" s="5">
        <f t="shared" ca="1" si="94"/>
        <v>355.53689999999995</v>
      </c>
      <c r="M1098" s="5">
        <f t="shared" ca="1" si="94"/>
        <v>142.0401</v>
      </c>
      <c r="N1098" s="5">
        <f t="shared" ca="1" si="94"/>
        <v>58.217499999999994</v>
      </c>
      <c r="O1098" s="5">
        <f t="shared" ca="1" si="94"/>
        <v>4.4046000000000003</v>
      </c>
      <c r="P1098" s="5">
        <f t="shared" ca="1" si="94"/>
        <v>14.707600000000001</v>
      </c>
      <c r="Q1098" s="5">
        <f t="shared" ca="1" si="94"/>
        <v>231.81149999999997</v>
      </c>
      <c r="R1098" s="4"/>
      <c r="S1098" s="4"/>
    </row>
    <row r="1099" spans="1:19" ht="15" customHeight="1">
      <c r="A1099" s="3">
        <f t="shared" si="92"/>
        <v>2078</v>
      </c>
      <c r="B1099" s="4">
        <f t="shared" ca="1" si="93"/>
        <v>29.129825</v>
      </c>
      <c r="C1099" s="4">
        <f t="shared" ca="1" si="93"/>
        <v>29.136125000000007</v>
      </c>
      <c r="D1099" s="4">
        <f t="shared" ca="1" si="93"/>
        <v>29.133408333333332</v>
      </c>
      <c r="E1099" s="4">
        <f t="shared" ca="1" si="93"/>
        <v>29.133633333333336</v>
      </c>
      <c r="F1099" s="4">
        <f t="shared" ca="1" si="93"/>
        <v>29.800891666666661</v>
      </c>
      <c r="G1099" s="4">
        <f t="shared" ca="1" si="93"/>
        <v>28.624266666666667</v>
      </c>
      <c r="H1099" s="4">
        <f t="shared" ca="1" si="93"/>
        <v>29.535491666666669</v>
      </c>
      <c r="I1099" s="4">
        <f t="shared" ca="1" si="93"/>
        <v>28.243033333333333</v>
      </c>
      <c r="J1099" s="4">
        <f t="shared" ca="1" si="93"/>
        <v>28.129683333333332</v>
      </c>
      <c r="K1099" s="4"/>
      <c r="L1099" s="5">
        <f t="shared" ca="1" si="94"/>
        <v>355.53689999999995</v>
      </c>
      <c r="M1099" s="5">
        <f t="shared" ca="1" si="94"/>
        <v>142.0401</v>
      </c>
      <c r="N1099" s="5">
        <f t="shared" ca="1" si="94"/>
        <v>58.217499999999994</v>
      </c>
      <c r="O1099" s="5">
        <f t="shared" ca="1" si="94"/>
        <v>4.4046000000000003</v>
      </c>
      <c r="P1099" s="5">
        <f t="shared" ca="1" si="94"/>
        <v>14.707600000000001</v>
      </c>
      <c r="Q1099" s="5">
        <f t="shared" ca="1" si="94"/>
        <v>231.81149999999997</v>
      </c>
      <c r="R1099" s="4"/>
      <c r="S1099" s="4"/>
    </row>
    <row r="1100" spans="1:19" ht="15" customHeight="1">
      <c r="A1100" s="3">
        <f t="shared" si="92"/>
        <v>2079</v>
      </c>
      <c r="B1100" s="4">
        <f t="shared" ca="1" si="93"/>
        <v>30.081433333333333</v>
      </c>
      <c r="C1100" s="4">
        <f t="shared" ca="1" si="93"/>
        <v>30.087733333333333</v>
      </c>
      <c r="D1100" s="4">
        <f t="shared" ca="1" si="93"/>
        <v>30.085008333333338</v>
      </c>
      <c r="E1100" s="4">
        <f t="shared" ca="1" si="93"/>
        <v>30.085233333333335</v>
      </c>
      <c r="F1100" s="4">
        <f t="shared" ca="1" si="93"/>
        <v>30.752483333333331</v>
      </c>
      <c r="G1100" s="4">
        <f t="shared" ca="1" si="93"/>
        <v>29.560083333333328</v>
      </c>
      <c r="H1100" s="4">
        <f t="shared" ca="1" si="93"/>
        <v>30.471308333333337</v>
      </c>
      <c r="I1100" s="4">
        <f t="shared" ca="1" si="93"/>
        <v>29.163408333333336</v>
      </c>
      <c r="J1100" s="4">
        <f t="shared" ca="1" si="93"/>
        <v>29.049591666666672</v>
      </c>
      <c r="K1100" s="4"/>
      <c r="L1100" s="5">
        <f t="shared" ca="1" si="94"/>
        <v>355.53689999999995</v>
      </c>
      <c r="M1100" s="5">
        <f t="shared" ca="1" si="94"/>
        <v>142.0401</v>
      </c>
      <c r="N1100" s="5">
        <f t="shared" ca="1" si="94"/>
        <v>58.217499999999994</v>
      </c>
      <c r="O1100" s="5">
        <f t="shared" ca="1" si="94"/>
        <v>4.4046000000000003</v>
      </c>
      <c r="P1100" s="5">
        <f t="shared" ca="1" si="94"/>
        <v>14.707600000000001</v>
      </c>
      <c r="Q1100" s="5">
        <f t="shared" ca="1" si="94"/>
        <v>231.81149999999997</v>
      </c>
      <c r="R1100" s="4"/>
      <c r="S1100" s="4"/>
    </row>
    <row r="1101" spans="1:19" ht="15" customHeight="1">
      <c r="A1101" s="3">
        <f t="shared" si="92"/>
        <v>2080</v>
      </c>
      <c r="B1101" s="4">
        <f t="shared" ca="1" si="93"/>
        <v>31.064141666666671</v>
      </c>
      <c r="C1101" s="4">
        <f t="shared" ca="1" si="93"/>
        <v>31.070441666666667</v>
      </c>
      <c r="D1101" s="4">
        <f t="shared" ca="1" si="93"/>
        <v>31.067733333333326</v>
      </c>
      <c r="E1101" s="4">
        <f t="shared" ca="1" si="93"/>
        <v>31.06795</v>
      </c>
      <c r="F1101" s="4">
        <f t="shared" ca="1" si="93"/>
        <v>31.735200000000003</v>
      </c>
      <c r="G1101" s="4">
        <f t="shared" ca="1" si="93"/>
        <v>30.526508333333329</v>
      </c>
      <c r="H1101" s="4">
        <f t="shared" ca="1" si="93"/>
        <v>31.43771666666667</v>
      </c>
      <c r="I1101" s="4">
        <f t="shared" ca="1" si="93"/>
        <v>30.113858333333329</v>
      </c>
      <c r="J1101" s="4">
        <f t="shared" ca="1" si="93"/>
        <v>29.999574999999997</v>
      </c>
      <c r="K1101" s="4"/>
      <c r="L1101" s="5">
        <f t="shared" ca="1" si="94"/>
        <v>356.48229999999995</v>
      </c>
      <c r="M1101" s="5">
        <f t="shared" ca="1" si="94"/>
        <v>142.42920000000001</v>
      </c>
      <c r="N1101" s="5">
        <f t="shared" ca="1" si="94"/>
        <v>58.377000000000002</v>
      </c>
      <c r="O1101" s="5">
        <f t="shared" ca="1" si="94"/>
        <v>4.4165999999999999</v>
      </c>
      <c r="P1101" s="5">
        <f t="shared" ca="1" si="94"/>
        <v>14.7493</v>
      </c>
      <c r="Q1101" s="5">
        <f t="shared" ca="1" si="94"/>
        <v>232.44659999999996</v>
      </c>
      <c r="R1101" s="4"/>
      <c r="S1101" s="4"/>
    </row>
    <row r="1102" spans="1:19" ht="15" customHeight="1">
      <c r="A1102" s="3">
        <f t="shared" si="92"/>
        <v>2081</v>
      </c>
      <c r="B1102" s="4">
        <f t="shared" ca="1" si="93"/>
        <v>32.07899166666666</v>
      </c>
      <c r="C1102" s="4">
        <f t="shared" ca="1" si="93"/>
        <v>32.08529166666667</v>
      </c>
      <c r="D1102" s="4">
        <f t="shared" ca="1" si="93"/>
        <v>32.082575000000006</v>
      </c>
      <c r="E1102" s="4">
        <f t="shared" ca="1" si="93"/>
        <v>32.082791666666665</v>
      </c>
      <c r="F1102" s="4">
        <f t="shared" ca="1" si="93"/>
        <v>32.750041666666668</v>
      </c>
      <c r="G1102" s="4">
        <f t="shared" ca="1" si="93"/>
        <v>31.524533333333334</v>
      </c>
      <c r="H1102" s="4">
        <f t="shared" ca="1" si="93"/>
        <v>32.435741666666665</v>
      </c>
      <c r="I1102" s="4">
        <f t="shared" ca="1" si="93"/>
        <v>31.095424999999995</v>
      </c>
      <c r="J1102" s="4">
        <f t="shared" ca="1" si="93"/>
        <v>30.98063333333333</v>
      </c>
      <c r="K1102" s="4"/>
      <c r="L1102" s="5">
        <f t="shared" ca="1" si="94"/>
        <v>355.53689999999995</v>
      </c>
      <c r="M1102" s="5">
        <f t="shared" ca="1" si="94"/>
        <v>142.0401</v>
      </c>
      <c r="N1102" s="5">
        <f t="shared" ca="1" si="94"/>
        <v>58.217499999999994</v>
      </c>
      <c r="O1102" s="5">
        <f t="shared" ca="1" si="94"/>
        <v>4.4046000000000003</v>
      </c>
      <c r="P1102" s="5">
        <f t="shared" ca="1" si="94"/>
        <v>14.707600000000001</v>
      </c>
      <c r="Q1102" s="5">
        <f t="shared" ca="1" si="94"/>
        <v>231.81149999999997</v>
      </c>
      <c r="R1102" s="4"/>
      <c r="S1102" s="4"/>
    </row>
    <row r="1103" spans="1:19" ht="15" customHeight="1">
      <c r="A1103" s="3">
        <f t="shared" si="92"/>
        <v>2082</v>
      </c>
      <c r="B1103" s="4">
        <f t="shared" ref="B1103:J1112" ca="1" si="95">AVERAGE(OFFSET(B$568,($A1103-$A$1083)*12,0,12,1))</f>
        <v>33.127024999999996</v>
      </c>
      <c r="C1103" s="4">
        <f t="shared" ca="1" si="95"/>
        <v>33.133341666666659</v>
      </c>
      <c r="D1103" s="4">
        <f t="shared" ca="1" si="95"/>
        <v>33.130633333333328</v>
      </c>
      <c r="E1103" s="4">
        <f t="shared" ca="1" si="95"/>
        <v>33.130850000000009</v>
      </c>
      <c r="F1103" s="4">
        <f t="shared" ca="1" si="95"/>
        <v>33.798091666666664</v>
      </c>
      <c r="G1103" s="4">
        <f t="shared" ca="1" si="95"/>
        <v>32.555199999999999</v>
      </c>
      <c r="H1103" s="4">
        <f t="shared" ca="1" si="95"/>
        <v>33.466416666666667</v>
      </c>
      <c r="I1103" s="4">
        <f t="shared" ca="1" si="95"/>
        <v>32.109083333333331</v>
      </c>
      <c r="J1103" s="4">
        <f t="shared" ca="1" si="95"/>
        <v>31.99379166666667</v>
      </c>
      <c r="K1103" s="4"/>
      <c r="L1103" s="5">
        <f t="shared" ref="L1103:Q1112" ca="1" si="96">SUM(OFFSET(L$568,($A1103-$A$1083)*12,0,12,1))</f>
        <v>355.53689999999995</v>
      </c>
      <c r="M1103" s="5">
        <f t="shared" ca="1" si="96"/>
        <v>142.0401</v>
      </c>
      <c r="N1103" s="5">
        <f t="shared" ca="1" si="96"/>
        <v>58.217499999999994</v>
      </c>
      <c r="O1103" s="5">
        <f t="shared" ca="1" si="96"/>
        <v>4.4046000000000003</v>
      </c>
      <c r="P1103" s="5">
        <f t="shared" ca="1" si="96"/>
        <v>14.707600000000001</v>
      </c>
      <c r="Q1103" s="5">
        <f t="shared" ca="1" si="96"/>
        <v>231.81149999999997</v>
      </c>
      <c r="R1103" s="4"/>
      <c r="S1103" s="4"/>
    </row>
    <row r="1104" spans="1:19" ht="15" customHeight="1">
      <c r="A1104" s="3">
        <f t="shared" si="92"/>
        <v>2083</v>
      </c>
      <c r="B1104" s="4">
        <f t="shared" ca="1" si="95"/>
        <v>34.209366666666668</v>
      </c>
      <c r="C1104" s="4">
        <f t="shared" ca="1" si="95"/>
        <v>34.215650000000004</v>
      </c>
      <c r="D1104" s="4">
        <f t="shared" ca="1" si="95"/>
        <v>34.212941666666666</v>
      </c>
      <c r="E1104" s="4">
        <f t="shared" ca="1" si="95"/>
        <v>34.213158333333332</v>
      </c>
      <c r="F1104" s="4">
        <f t="shared" ca="1" si="95"/>
        <v>34.880416666666669</v>
      </c>
      <c r="G1104" s="4">
        <f t="shared" ca="1" si="95"/>
        <v>33.619549999999997</v>
      </c>
      <c r="H1104" s="4">
        <f t="shared" ca="1" si="95"/>
        <v>34.530791666666666</v>
      </c>
      <c r="I1104" s="4">
        <f t="shared" ca="1" si="95"/>
        <v>33.155866666666668</v>
      </c>
      <c r="J1104" s="4">
        <f t="shared" ca="1" si="95"/>
        <v>33.040041666666667</v>
      </c>
      <c r="K1104" s="4"/>
      <c r="L1104" s="5">
        <f t="shared" ca="1" si="96"/>
        <v>355.53689999999995</v>
      </c>
      <c r="M1104" s="5">
        <f t="shared" ca="1" si="96"/>
        <v>142.0401</v>
      </c>
      <c r="N1104" s="5">
        <f t="shared" ca="1" si="96"/>
        <v>58.217499999999994</v>
      </c>
      <c r="O1104" s="5">
        <f t="shared" ca="1" si="96"/>
        <v>4.4046000000000003</v>
      </c>
      <c r="P1104" s="5">
        <f t="shared" ca="1" si="96"/>
        <v>14.707600000000001</v>
      </c>
      <c r="Q1104" s="5">
        <f t="shared" ca="1" si="96"/>
        <v>231.81149999999997</v>
      </c>
      <c r="R1104" s="4"/>
      <c r="S1104" s="4"/>
    </row>
    <row r="1105" spans="1:19" ht="15" customHeight="1">
      <c r="A1105" s="3">
        <f t="shared" si="92"/>
        <v>2084</v>
      </c>
      <c r="B1105" s="4">
        <f t="shared" ca="1" si="95"/>
        <v>35.327075000000001</v>
      </c>
      <c r="C1105" s="4">
        <f t="shared" ca="1" si="95"/>
        <v>35.333374999999997</v>
      </c>
      <c r="D1105" s="4">
        <f t="shared" ca="1" si="95"/>
        <v>35.330658333333332</v>
      </c>
      <c r="E1105" s="4">
        <f t="shared" ca="1" si="95"/>
        <v>35.330874999999999</v>
      </c>
      <c r="F1105" s="4">
        <f t="shared" ca="1" si="95"/>
        <v>35.998116666666668</v>
      </c>
      <c r="G1105" s="4">
        <f t="shared" ca="1" si="95"/>
        <v>34.718741666666666</v>
      </c>
      <c r="H1105" s="4">
        <f t="shared" ca="1" si="95"/>
        <v>35.629974999999995</v>
      </c>
      <c r="I1105" s="4">
        <f t="shared" ca="1" si="95"/>
        <v>34.236899999999999</v>
      </c>
      <c r="J1105" s="4">
        <f t="shared" ca="1" si="95"/>
        <v>34.120541666666661</v>
      </c>
      <c r="K1105" s="4"/>
      <c r="L1105" s="5">
        <f t="shared" ca="1" si="96"/>
        <v>356.48229999999995</v>
      </c>
      <c r="M1105" s="5">
        <f t="shared" ca="1" si="96"/>
        <v>142.42920000000001</v>
      </c>
      <c r="N1105" s="5">
        <f t="shared" ca="1" si="96"/>
        <v>58.377000000000002</v>
      </c>
      <c r="O1105" s="5">
        <f t="shared" ca="1" si="96"/>
        <v>4.4165999999999999</v>
      </c>
      <c r="P1105" s="5">
        <f t="shared" ca="1" si="96"/>
        <v>14.7493</v>
      </c>
      <c r="Q1105" s="5">
        <f t="shared" ca="1" si="96"/>
        <v>232.44659999999996</v>
      </c>
      <c r="R1105" s="4"/>
      <c r="S1105" s="4"/>
    </row>
    <row r="1106" spans="1:19" ht="15" customHeight="1">
      <c r="A1106" s="3">
        <f t="shared" si="92"/>
        <v>2085</v>
      </c>
      <c r="B1106" s="4">
        <f t="shared" ca="1" si="95"/>
        <v>36.481349999999999</v>
      </c>
      <c r="C1106" s="4">
        <f t="shared" ca="1" si="95"/>
        <v>36.487641666666661</v>
      </c>
      <c r="D1106" s="4">
        <f t="shared" ca="1" si="95"/>
        <v>36.484925000000004</v>
      </c>
      <c r="E1106" s="4">
        <f t="shared" ca="1" si="95"/>
        <v>36.485141666666664</v>
      </c>
      <c r="F1106" s="4">
        <f t="shared" ca="1" si="95"/>
        <v>37.152383333333333</v>
      </c>
      <c r="G1106" s="4">
        <f t="shared" ca="1" si="95"/>
        <v>35.853875000000002</v>
      </c>
      <c r="H1106" s="4">
        <f t="shared" ca="1" si="95"/>
        <v>36.765100000000004</v>
      </c>
      <c r="I1106" s="4">
        <f t="shared" ca="1" si="95"/>
        <v>35.353308333333338</v>
      </c>
      <c r="J1106" s="4">
        <f t="shared" ca="1" si="95"/>
        <v>35.236383333333336</v>
      </c>
      <c r="K1106" s="4"/>
      <c r="L1106" s="5">
        <f t="shared" ca="1" si="96"/>
        <v>355.53689999999995</v>
      </c>
      <c r="M1106" s="5">
        <f t="shared" ca="1" si="96"/>
        <v>142.0401</v>
      </c>
      <c r="N1106" s="5">
        <f t="shared" ca="1" si="96"/>
        <v>58.217499999999994</v>
      </c>
      <c r="O1106" s="5">
        <f t="shared" ca="1" si="96"/>
        <v>4.4046000000000003</v>
      </c>
      <c r="P1106" s="5">
        <f t="shared" ca="1" si="96"/>
        <v>14.707600000000001</v>
      </c>
      <c r="Q1106" s="5">
        <f t="shared" ca="1" si="96"/>
        <v>231.81149999999997</v>
      </c>
      <c r="R1106" s="4"/>
      <c r="S1106" s="4"/>
    </row>
    <row r="1107" spans="1:19" ht="15" customHeight="1">
      <c r="A1107" s="3">
        <f t="shared" si="92"/>
        <v>2086</v>
      </c>
      <c r="B1107" s="4">
        <f t="shared" ca="1" si="95"/>
        <v>37.673333333333332</v>
      </c>
      <c r="C1107" s="4">
        <f t="shared" ca="1" si="95"/>
        <v>37.679650000000002</v>
      </c>
      <c r="D1107" s="4">
        <f t="shared" ca="1" si="95"/>
        <v>37.676933333333331</v>
      </c>
      <c r="E1107" s="4">
        <f t="shared" ca="1" si="95"/>
        <v>37.677149999999997</v>
      </c>
      <c r="F1107" s="4">
        <f t="shared" ca="1" si="95"/>
        <v>38.344416666666667</v>
      </c>
      <c r="G1107" s="4">
        <f t="shared" ca="1" si="95"/>
        <v>37.026116666666667</v>
      </c>
      <c r="H1107" s="4">
        <f t="shared" ca="1" si="95"/>
        <v>37.937350000000002</v>
      </c>
      <c r="I1107" s="4">
        <f t="shared" ca="1" si="95"/>
        <v>36.5062</v>
      </c>
      <c r="J1107" s="4">
        <f t="shared" ca="1" si="95"/>
        <v>36.388708333333334</v>
      </c>
      <c r="K1107" s="4"/>
      <c r="L1107" s="5">
        <f t="shared" ca="1" si="96"/>
        <v>355.53689999999995</v>
      </c>
      <c r="M1107" s="5">
        <f t="shared" ca="1" si="96"/>
        <v>142.0401</v>
      </c>
      <c r="N1107" s="5">
        <f t="shared" ca="1" si="96"/>
        <v>58.217499999999994</v>
      </c>
      <c r="O1107" s="5">
        <f t="shared" ca="1" si="96"/>
        <v>4.4046000000000003</v>
      </c>
      <c r="P1107" s="5">
        <f t="shared" ca="1" si="96"/>
        <v>14.707600000000001</v>
      </c>
      <c r="Q1107" s="5">
        <f t="shared" ca="1" si="96"/>
        <v>231.81149999999997</v>
      </c>
      <c r="R1107" s="4"/>
      <c r="S1107" s="4"/>
    </row>
    <row r="1108" spans="1:19" ht="15" customHeight="1">
      <c r="A1108" s="3">
        <f t="shared" si="92"/>
        <v>2087</v>
      </c>
      <c r="B1108" s="4">
        <f t="shared" ca="1" si="95"/>
        <v>38.904374999999995</v>
      </c>
      <c r="C1108" s="4">
        <f t="shared" ca="1" si="95"/>
        <v>38.910649999999997</v>
      </c>
      <c r="D1108" s="4">
        <f t="shared" ca="1" si="95"/>
        <v>38.907933333333332</v>
      </c>
      <c r="E1108" s="4">
        <f t="shared" ca="1" si="95"/>
        <v>38.908150000000006</v>
      </c>
      <c r="F1108" s="4">
        <f t="shared" ca="1" si="95"/>
        <v>39.575399999999995</v>
      </c>
      <c r="G1108" s="4">
        <f t="shared" ca="1" si="95"/>
        <v>38.236699999999992</v>
      </c>
      <c r="H1108" s="4">
        <f t="shared" ca="1" si="95"/>
        <v>39.147933333333334</v>
      </c>
      <c r="I1108" s="4">
        <f t="shared" ca="1" si="95"/>
        <v>37.696791666666662</v>
      </c>
      <c r="J1108" s="4">
        <f t="shared" ca="1" si="95"/>
        <v>37.578700000000005</v>
      </c>
      <c r="K1108" s="4"/>
      <c r="L1108" s="5">
        <f t="shared" ca="1" si="96"/>
        <v>355.53689999999995</v>
      </c>
      <c r="M1108" s="5">
        <f t="shared" ca="1" si="96"/>
        <v>142.0401</v>
      </c>
      <c r="N1108" s="5">
        <f t="shared" ca="1" si="96"/>
        <v>58.217499999999994</v>
      </c>
      <c r="O1108" s="5">
        <f t="shared" ca="1" si="96"/>
        <v>4.4046000000000003</v>
      </c>
      <c r="P1108" s="5">
        <f t="shared" ca="1" si="96"/>
        <v>14.707600000000001</v>
      </c>
      <c r="Q1108" s="5">
        <f t="shared" ca="1" si="96"/>
        <v>231.81149999999997</v>
      </c>
      <c r="R1108" s="4"/>
      <c r="S1108" s="4"/>
    </row>
    <row r="1109" spans="1:19" ht="15" customHeight="1">
      <c r="A1109" s="3">
        <f t="shared" si="92"/>
        <v>2088</v>
      </c>
      <c r="B1109" s="4">
        <f t="shared" ca="1" si="95"/>
        <v>40.175600000000003</v>
      </c>
      <c r="C1109" s="4">
        <f t="shared" ca="1" si="95"/>
        <v>40.181908333333332</v>
      </c>
      <c r="D1109" s="4">
        <f t="shared" ca="1" si="95"/>
        <v>40.179191666666661</v>
      </c>
      <c r="E1109" s="4">
        <f t="shared" ca="1" si="95"/>
        <v>40.179408333333335</v>
      </c>
      <c r="F1109" s="4">
        <f t="shared" ca="1" si="95"/>
        <v>40.846674999999998</v>
      </c>
      <c r="G1109" s="4">
        <f t="shared" ca="1" si="95"/>
        <v>39.486883333333346</v>
      </c>
      <c r="H1109" s="4">
        <f t="shared" ca="1" si="95"/>
        <v>40.398116666666667</v>
      </c>
      <c r="I1109" s="4">
        <f t="shared" ca="1" si="95"/>
        <v>38.926350000000006</v>
      </c>
      <c r="J1109" s="4">
        <f t="shared" ca="1" si="95"/>
        <v>38.807633333333335</v>
      </c>
      <c r="K1109" s="4"/>
      <c r="L1109" s="5">
        <f t="shared" ca="1" si="96"/>
        <v>356.48229999999995</v>
      </c>
      <c r="M1109" s="5">
        <f t="shared" ca="1" si="96"/>
        <v>142.42920000000001</v>
      </c>
      <c r="N1109" s="5">
        <f t="shared" ca="1" si="96"/>
        <v>58.377000000000002</v>
      </c>
      <c r="O1109" s="5">
        <f t="shared" ca="1" si="96"/>
        <v>4.4165999999999999</v>
      </c>
      <c r="P1109" s="5">
        <f t="shared" ca="1" si="96"/>
        <v>14.7493</v>
      </c>
      <c r="Q1109" s="5">
        <f t="shared" ca="1" si="96"/>
        <v>232.44659999999996</v>
      </c>
      <c r="R1109" s="4"/>
      <c r="S1109" s="4"/>
    </row>
    <row r="1110" spans="1:19" ht="15" customHeight="1">
      <c r="A1110" s="3">
        <f t="shared" si="92"/>
        <v>2089</v>
      </c>
      <c r="B1110" s="4">
        <f t="shared" ca="1" si="95"/>
        <v>41.488441666666667</v>
      </c>
      <c r="C1110" s="4">
        <f t="shared" ca="1" si="95"/>
        <v>41.494725000000003</v>
      </c>
      <c r="D1110" s="4">
        <f t="shared" ca="1" si="95"/>
        <v>41.492025000000005</v>
      </c>
      <c r="E1110" s="4">
        <f t="shared" ca="1" si="95"/>
        <v>41.492241666666665</v>
      </c>
      <c r="F1110" s="4">
        <f t="shared" ca="1" si="95"/>
        <v>42.159500000000001</v>
      </c>
      <c r="G1110" s="4">
        <f t="shared" ca="1" si="95"/>
        <v>40.777950000000004</v>
      </c>
      <c r="H1110" s="4">
        <f t="shared" ca="1" si="95"/>
        <v>41.689174999999999</v>
      </c>
      <c r="I1110" s="4">
        <f t="shared" ca="1" si="95"/>
        <v>40.196100000000001</v>
      </c>
      <c r="J1110" s="4">
        <f t="shared" ca="1" si="95"/>
        <v>40.076750000000004</v>
      </c>
      <c r="K1110" s="4"/>
      <c r="L1110" s="5">
        <f t="shared" ca="1" si="96"/>
        <v>355.53689999999995</v>
      </c>
      <c r="M1110" s="5">
        <f t="shared" ca="1" si="96"/>
        <v>142.0401</v>
      </c>
      <c r="N1110" s="5">
        <f t="shared" ca="1" si="96"/>
        <v>58.217499999999994</v>
      </c>
      <c r="O1110" s="5">
        <f t="shared" ca="1" si="96"/>
        <v>4.4046000000000003</v>
      </c>
      <c r="P1110" s="5">
        <f t="shared" ca="1" si="96"/>
        <v>14.707600000000001</v>
      </c>
      <c r="Q1110" s="5">
        <f t="shared" ca="1" si="96"/>
        <v>231.81149999999997</v>
      </c>
      <c r="R1110" s="4"/>
      <c r="S1110" s="4"/>
    </row>
    <row r="1111" spans="1:19" ht="15" customHeight="1">
      <c r="A1111" s="3">
        <f t="shared" si="92"/>
        <v>2090</v>
      </c>
      <c r="B1111" s="4">
        <f t="shared" ca="1" si="95"/>
        <v>42.844216666666675</v>
      </c>
      <c r="C1111" s="4">
        <f t="shared" ca="1" si="95"/>
        <v>42.850516666666664</v>
      </c>
      <c r="D1111" s="4">
        <f t="shared" ca="1" si="95"/>
        <v>42.847800000000007</v>
      </c>
      <c r="E1111" s="4">
        <f t="shared" ca="1" si="95"/>
        <v>42.848025</v>
      </c>
      <c r="F1111" s="4">
        <f t="shared" ca="1" si="95"/>
        <v>43.515250000000002</v>
      </c>
      <c r="G1111" s="4">
        <f t="shared" ca="1" si="95"/>
        <v>42.111233333333331</v>
      </c>
      <c r="H1111" s="4">
        <f t="shared" ca="1" si="95"/>
        <v>43.022483333333334</v>
      </c>
      <c r="I1111" s="4">
        <f t="shared" ca="1" si="95"/>
        <v>41.50736666666667</v>
      </c>
      <c r="J1111" s="4">
        <f t="shared" ca="1" si="95"/>
        <v>41.387366666666672</v>
      </c>
      <c r="K1111" s="4"/>
      <c r="L1111" s="5">
        <f t="shared" ca="1" si="96"/>
        <v>355.53689999999995</v>
      </c>
      <c r="M1111" s="5">
        <f t="shared" ca="1" si="96"/>
        <v>142.0401</v>
      </c>
      <c r="N1111" s="5">
        <f t="shared" ca="1" si="96"/>
        <v>58.217499999999994</v>
      </c>
      <c r="O1111" s="5">
        <f t="shared" ca="1" si="96"/>
        <v>4.4046000000000003</v>
      </c>
      <c r="P1111" s="5">
        <f t="shared" ca="1" si="96"/>
        <v>14.707600000000001</v>
      </c>
      <c r="Q1111" s="5">
        <f t="shared" ca="1" si="96"/>
        <v>231.81149999999997</v>
      </c>
      <c r="R1111" s="4"/>
      <c r="S1111" s="4"/>
    </row>
    <row r="1112" spans="1:19" ht="15" customHeight="1">
      <c r="A1112" s="3">
        <f t="shared" si="92"/>
        <v>2091</v>
      </c>
      <c r="B1112" s="4">
        <f t="shared" ca="1" si="95"/>
        <v>44.244333333333337</v>
      </c>
      <c r="C1112" s="4">
        <f t="shared" ca="1" si="95"/>
        <v>44.250624999999992</v>
      </c>
      <c r="D1112" s="4">
        <f t="shared" ca="1" si="95"/>
        <v>44.247908333333335</v>
      </c>
      <c r="E1112" s="4">
        <f t="shared" ca="1" si="95"/>
        <v>44.248116666666675</v>
      </c>
      <c r="F1112" s="4">
        <f t="shared" ca="1" si="95"/>
        <v>44.915350000000011</v>
      </c>
      <c r="G1112" s="4">
        <f t="shared" ca="1" si="95"/>
        <v>43.488124999999997</v>
      </c>
      <c r="H1112" s="4">
        <f t="shared" ca="1" si="95"/>
        <v>44.399358333333339</v>
      </c>
      <c r="I1112" s="4">
        <f t="shared" ca="1" si="95"/>
        <v>42.86150833333334</v>
      </c>
      <c r="J1112" s="4">
        <f t="shared" ca="1" si="95"/>
        <v>42.740866666666669</v>
      </c>
      <c r="K1112" s="4"/>
      <c r="L1112" s="5">
        <f t="shared" ca="1" si="96"/>
        <v>355.53689999999995</v>
      </c>
      <c r="M1112" s="5">
        <f t="shared" ca="1" si="96"/>
        <v>142.0401</v>
      </c>
      <c r="N1112" s="5">
        <f t="shared" ca="1" si="96"/>
        <v>58.217499999999994</v>
      </c>
      <c r="O1112" s="5">
        <f t="shared" ca="1" si="96"/>
        <v>4.4046000000000003</v>
      </c>
      <c r="P1112" s="5">
        <f t="shared" ca="1" si="96"/>
        <v>14.707600000000001</v>
      </c>
      <c r="Q1112" s="5">
        <f t="shared" ca="1" si="96"/>
        <v>231.81149999999997</v>
      </c>
      <c r="R1112" s="4"/>
      <c r="S1112" s="4"/>
    </row>
    <row r="1113" spans="1:19" ht="15" customHeight="1">
      <c r="A1113" s="3">
        <f t="shared" si="92"/>
        <v>2092</v>
      </c>
      <c r="B1113" s="4">
        <f t="shared" ref="B1113:J1121" ca="1" si="97">AVERAGE(OFFSET(B$568,($A1113-$A$1083)*12,0,12,1))</f>
        <v>45.690200000000004</v>
      </c>
      <c r="C1113" s="4">
        <f t="shared" ca="1" si="97"/>
        <v>45.696499999999993</v>
      </c>
      <c r="D1113" s="4">
        <f t="shared" ca="1" si="97"/>
        <v>45.693783333333329</v>
      </c>
      <c r="E1113" s="4">
        <f t="shared" ca="1" si="97"/>
        <v>45.693991666666669</v>
      </c>
      <c r="F1113" s="4">
        <f t="shared" ca="1" si="97"/>
        <v>46.361274999999999</v>
      </c>
      <c r="G1113" s="4">
        <f t="shared" ca="1" si="97"/>
        <v>44.910066666666658</v>
      </c>
      <c r="H1113" s="4">
        <f t="shared" ca="1" si="97"/>
        <v>45.821274999999993</v>
      </c>
      <c r="I1113" s="4">
        <f t="shared" ca="1" si="97"/>
        <v>44.259974999999997</v>
      </c>
      <c r="J1113" s="4">
        <f t="shared" ca="1" si="97"/>
        <v>44.138591666666663</v>
      </c>
      <c r="K1113" s="4"/>
      <c r="L1113" s="5">
        <f t="shared" ref="L1113:Q1121" ca="1" si="98">SUM(OFFSET(L$568,($A1113-$A$1083)*12,0,12,1))</f>
        <v>356.48229999999995</v>
      </c>
      <c r="M1113" s="5">
        <f t="shared" ca="1" si="98"/>
        <v>142.42920000000001</v>
      </c>
      <c r="N1113" s="5">
        <f t="shared" ca="1" si="98"/>
        <v>58.377000000000002</v>
      </c>
      <c r="O1113" s="5">
        <f t="shared" ca="1" si="98"/>
        <v>4.4165999999999999</v>
      </c>
      <c r="P1113" s="5">
        <f t="shared" ca="1" si="98"/>
        <v>14.7493</v>
      </c>
      <c r="Q1113" s="5">
        <f t="shared" ca="1" si="98"/>
        <v>232.44659999999996</v>
      </c>
      <c r="R1113" s="4"/>
      <c r="S1113" s="4"/>
    </row>
    <row r="1114" spans="1:19" ht="15" customHeight="1">
      <c r="A1114" s="3">
        <f t="shared" si="92"/>
        <v>2093</v>
      </c>
      <c r="B1114" s="4">
        <f t="shared" ca="1" si="97"/>
        <v>47.183374999999991</v>
      </c>
      <c r="C1114" s="4">
        <f t="shared" ca="1" si="97"/>
        <v>47.189683333333342</v>
      </c>
      <c r="D1114" s="4">
        <f t="shared" ca="1" si="97"/>
        <v>47.18696666666667</v>
      </c>
      <c r="E1114" s="4">
        <f t="shared" ca="1" si="97"/>
        <v>47.187175000000003</v>
      </c>
      <c r="F1114" s="4">
        <f t="shared" ca="1" si="97"/>
        <v>47.854458333333326</v>
      </c>
      <c r="G1114" s="4">
        <f t="shared" ca="1" si="97"/>
        <v>46.378458333333334</v>
      </c>
      <c r="H1114" s="4">
        <f t="shared" ca="1" si="97"/>
        <v>47.289683333333336</v>
      </c>
      <c r="I1114" s="4">
        <f t="shared" ca="1" si="97"/>
        <v>45.704149999999998</v>
      </c>
      <c r="J1114" s="4">
        <f t="shared" ca="1" si="97"/>
        <v>45.582050000000002</v>
      </c>
      <c r="K1114" s="4"/>
      <c r="L1114" s="5">
        <f t="shared" ca="1" si="98"/>
        <v>355.53689999999995</v>
      </c>
      <c r="M1114" s="5">
        <f t="shared" ca="1" si="98"/>
        <v>142.0401</v>
      </c>
      <c r="N1114" s="5">
        <f t="shared" ca="1" si="98"/>
        <v>58.217499999999994</v>
      </c>
      <c r="O1114" s="5">
        <f t="shared" ca="1" si="98"/>
        <v>4.4046000000000003</v>
      </c>
      <c r="P1114" s="5">
        <f t="shared" ca="1" si="98"/>
        <v>14.707600000000001</v>
      </c>
      <c r="Q1114" s="5">
        <f t="shared" ca="1" si="98"/>
        <v>231.81149999999997</v>
      </c>
      <c r="R1114" s="4"/>
      <c r="S1114" s="4"/>
    </row>
    <row r="1115" spans="1:19" ht="15" customHeight="1">
      <c r="A1115" s="3">
        <f t="shared" si="92"/>
        <v>2094</v>
      </c>
      <c r="B1115" s="4">
        <f t="shared" ca="1" si="97"/>
        <v>48.7254</v>
      </c>
      <c r="C1115" s="4">
        <f t="shared" ca="1" si="97"/>
        <v>48.731708333333337</v>
      </c>
      <c r="D1115" s="4">
        <f t="shared" ca="1" si="97"/>
        <v>48.728991666666673</v>
      </c>
      <c r="E1115" s="4">
        <f t="shared" ca="1" si="97"/>
        <v>48.729199999999999</v>
      </c>
      <c r="F1115" s="4">
        <f t="shared" ca="1" si="97"/>
        <v>49.396466666666662</v>
      </c>
      <c r="G1115" s="4">
        <f t="shared" ca="1" si="97"/>
        <v>47.894908333333341</v>
      </c>
      <c r="H1115" s="4">
        <f t="shared" ca="1" si="97"/>
        <v>48.806133333333328</v>
      </c>
      <c r="I1115" s="4">
        <f t="shared" ca="1" si="97"/>
        <v>47.195566666666657</v>
      </c>
      <c r="J1115" s="4">
        <f t="shared" ca="1" si="97"/>
        <v>47.072724999999991</v>
      </c>
      <c r="K1115" s="4"/>
      <c r="L1115" s="5">
        <f t="shared" ca="1" si="98"/>
        <v>355.53689999999995</v>
      </c>
      <c r="M1115" s="5">
        <f t="shared" ca="1" si="98"/>
        <v>142.0401</v>
      </c>
      <c r="N1115" s="5">
        <f t="shared" ca="1" si="98"/>
        <v>58.217499999999994</v>
      </c>
      <c r="O1115" s="5">
        <f t="shared" ca="1" si="98"/>
        <v>4.4046000000000003</v>
      </c>
      <c r="P1115" s="5">
        <f t="shared" ca="1" si="98"/>
        <v>14.707600000000001</v>
      </c>
      <c r="Q1115" s="5">
        <f t="shared" ca="1" si="98"/>
        <v>231.81149999999997</v>
      </c>
      <c r="R1115" s="4"/>
      <c r="S1115" s="4"/>
    </row>
    <row r="1116" spans="1:19" ht="15" customHeight="1">
      <c r="A1116" s="3">
        <f t="shared" si="92"/>
        <v>2095</v>
      </c>
      <c r="B1116" s="4">
        <f t="shared" ca="1" si="97"/>
        <v>50.317858333333326</v>
      </c>
      <c r="C1116" s="4">
        <f t="shared" ca="1" si="97"/>
        <v>50.324150000000003</v>
      </c>
      <c r="D1116" s="4">
        <f t="shared" ca="1" si="97"/>
        <v>50.321433333333339</v>
      </c>
      <c r="E1116" s="4">
        <f t="shared" ca="1" si="97"/>
        <v>50.321649999999998</v>
      </c>
      <c r="F1116" s="4">
        <f t="shared" ca="1" si="97"/>
        <v>50.988900000000008</v>
      </c>
      <c r="G1116" s="4">
        <f t="shared" ca="1" si="97"/>
        <v>49.460949999999997</v>
      </c>
      <c r="H1116" s="4">
        <f t="shared" ca="1" si="97"/>
        <v>50.372166666666665</v>
      </c>
      <c r="I1116" s="4">
        <f t="shared" ca="1" si="97"/>
        <v>48.735733333333343</v>
      </c>
      <c r="J1116" s="4">
        <f t="shared" ca="1" si="97"/>
        <v>48.612149999999993</v>
      </c>
      <c r="K1116" s="4"/>
      <c r="L1116" s="5">
        <f t="shared" ca="1" si="98"/>
        <v>355.53689999999995</v>
      </c>
      <c r="M1116" s="5">
        <f t="shared" ca="1" si="98"/>
        <v>142.0401</v>
      </c>
      <c r="N1116" s="5">
        <f t="shared" ca="1" si="98"/>
        <v>58.217499999999994</v>
      </c>
      <c r="O1116" s="5">
        <f t="shared" ca="1" si="98"/>
        <v>4.4046000000000003</v>
      </c>
      <c r="P1116" s="5">
        <f t="shared" ca="1" si="98"/>
        <v>14.707600000000001</v>
      </c>
      <c r="Q1116" s="5">
        <f t="shared" ca="1" si="98"/>
        <v>231.81149999999997</v>
      </c>
      <c r="R1116" s="4"/>
      <c r="S1116" s="4"/>
    </row>
    <row r="1117" spans="1:19" ht="15" customHeight="1">
      <c r="A1117" s="3">
        <f t="shared" si="92"/>
        <v>2096</v>
      </c>
      <c r="B1117" s="4">
        <f t="shared" ca="1" si="97"/>
        <v>51.962358333333334</v>
      </c>
      <c r="C1117" s="4">
        <f t="shared" ca="1" si="97"/>
        <v>51.968674999999998</v>
      </c>
      <c r="D1117" s="4">
        <f t="shared" ca="1" si="97"/>
        <v>51.965958333333333</v>
      </c>
      <c r="E1117" s="4">
        <f t="shared" ca="1" si="97"/>
        <v>51.966166666666659</v>
      </c>
      <c r="F1117" s="4">
        <f t="shared" ca="1" si="97"/>
        <v>52.633433333333336</v>
      </c>
      <c r="G1117" s="4">
        <f t="shared" ca="1" si="97"/>
        <v>51.078200000000002</v>
      </c>
      <c r="H1117" s="4">
        <f t="shared" ca="1" si="97"/>
        <v>51.98942499999999</v>
      </c>
      <c r="I1117" s="4">
        <f t="shared" ca="1" si="97"/>
        <v>50.326299999999996</v>
      </c>
      <c r="J1117" s="4">
        <f t="shared" ca="1" si="97"/>
        <v>50.201900000000002</v>
      </c>
      <c r="K1117" s="4"/>
      <c r="L1117" s="5">
        <f t="shared" ca="1" si="98"/>
        <v>356.48229999999995</v>
      </c>
      <c r="M1117" s="5">
        <f t="shared" ca="1" si="98"/>
        <v>142.42920000000001</v>
      </c>
      <c r="N1117" s="5">
        <f t="shared" ca="1" si="98"/>
        <v>58.377000000000002</v>
      </c>
      <c r="O1117" s="5">
        <f t="shared" ca="1" si="98"/>
        <v>4.4165999999999999</v>
      </c>
      <c r="P1117" s="5">
        <f t="shared" ca="1" si="98"/>
        <v>14.7493</v>
      </c>
      <c r="Q1117" s="5">
        <f t="shared" ca="1" si="98"/>
        <v>232.44659999999996</v>
      </c>
      <c r="R1117" s="4"/>
      <c r="S1117" s="4"/>
    </row>
    <row r="1118" spans="1:19" ht="15" customHeight="1">
      <c r="A1118" s="3">
        <f t="shared" si="92"/>
        <v>2097</v>
      </c>
      <c r="B1118" s="4">
        <f t="shared" ca="1" si="97"/>
        <v>53.660666666666657</v>
      </c>
      <c r="C1118" s="4">
        <f t="shared" ca="1" si="97"/>
        <v>53.666975000000008</v>
      </c>
      <c r="D1118" s="4">
        <f t="shared" ca="1" si="97"/>
        <v>53.664258333333322</v>
      </c>
      <c r="E1118" s="4">
        <f t="shared" ca="1" si="97"/>
        <v>53.664475000000003</v>
      </c>
      <c r="F1118" s="4">
        <f t="shared" ca="1" si="97"/>
        <v>54.331724999999999</v>
      </c>
      <c r="G1118" s="4">
        <f t="shared" ca="1" si="97"/>
        <v>52.748349999999995</v>
      </c>
      <c r="H1118" s="4">
        <f t="shared" ca="1" si="97"/>
        <v>53.65956666666667</v>
      </c>
      <c r="I1118" s="4">
        <f t="shared" ca="1" si="97"/>
        <v>51.968858333333323</v>
      </c>
      <c r="J1118" s="4">
        <f t="shared" ca="1" si="97"/>
        <v>51.843641666666663</v>
      </c>
      <c r="K1118" s="4"/>
      <c r="L1118" s="5">
        <f t="shared" ca="1" si="98"/>
        <v>355.53689999999995</v>
      </c>
      <c r="M1118" s="5">
        <f t="shared" ca="1" si="98"/>
        <v>142.0401</v>
      </c>
      <c r="N1118" s="5">
        <f t="shared" ca="1" si="98"/>
        <v>58.217499999999994</v>
      </c>
      <c r="O1118" s="5">
        <f t="shared" ca="1" si="98"/>
        <v>4.4046000000000003</v>
      </c>
      <c r="P1118" s="5">
        <f t="shared" ca="1" si="98"/>
        <v>14.707600000000001</v>
      </c>
      <c r="Q1118" s="5">
        <f t="shared" ca="1" si="98"/>
        <v>231.81149999999997</v>
      </c>
      <c r="R1118" s="4"/>
      <c r="S1118" s="4"/>
    </row>
    <row r="1119" spans="1:19" ht="15" customHeight="1">
      <c r="A1119" s="3">
        <f t="shared" si="92"/>
        <v>2098</v>
      </c>
      <c r="B1119" s="4">
        <f t="shared" ca="1" si="97"/>
        <v>55.414508333333323</v>
      </c>
      <c r="C1119" s="4">
        <f t="shared" ca="1" si="97"/>
        <v>55.420800000000007</v>
      </c>
      <c r="D1119" s="4">
        <f t="shared" ca="1" si="97"/>
        <v>55.418083333333328</v>
      </c>
      <c r="E1119" s="4">
        <f t="shared" ca="1" si="97"/>
        <v>55.418300000000009</v>
      </c>
      <c r="F1119" s="4">
        <f t="shared" ca="1" si="97"/>
        <v>56.085583333333339</v>
      </c>
      <c r="G1119" s="4">
        <f t="shared" ca="1" si="97"/>
        <v>54.473100000000009</v>
      </c>
      <c r="H1119" s="4">
        <f t="shared" ca="1" si="97"/>
        <v>55.384316666666678</v>
      </c>
      <c r="I1119" s="4">
        <f t="shared" ca="1" si="97"/>
        <v>53.665150000000004</v>
      </c>
      <c r="J1119" s="4">
        <f t="shared" ca="1" si="97"/>
        <v>53.539091666666671</v>
      </c>
      <c r="K1119" s="4"/>
      <c r="L1119" s="5">
        <f t="shared" ca="1" si="98"/>
        <v>355.53689999999995</v>
      </c>
      <c r="M1119" s="5">
        <f t="shared" ca="1" si="98"/>
        <v>142.0401</v>
      </c>
      <c r="N1119" s="5">
        <f t="shared" ca="1" si="98"/>
        <v>58.217499999999994</v>
      </c>
      <c r="O1119" s="5">
        <f t="shared" ca="1" si="98"/>
        <v>4.4046000000000003</v>
      </c>
      <c r="P1119" s="5">
        <f t="shared" ca="1" si="98"/>
        <v>14.707600000000001</v>
      </c>
      <c r="Q1119" s="5">
        <f t="shared" ca="1" si="98"/>
        <v>231.81149999999997</v>
      </c>
      <c r="R1119" s="4"/>
      <c r="S1119" s="4"/>
    </row>
    <row r="1120" spans="1:19" ht="15" customHeight="1">
      <c r="A1120" s="3">
        <f t="shared" si="92"/>
        <v>2099</v>
      </c>
      <c r="B1120" s="4">
        <f t="shared" ca="1" si="97"/>
        <v>57.225716666666678</v>
      </c>
      <c r="C1120" s="4">
        <f t="shared" ca="1" si="97"/>
        <v>57.232025</v>
      </c>
      <c r="D1120" s="4">
        <f t="shared" ca="1" si="97"/>
        <v>57.229299999999995</v>
      </c>
      <c r="E1120" s="4">
        <f t="shared" ca="1" si="97"/>
        <v>57.229533333333315</v>
      </c>
      <c r="F1120" s="4">
        <f t="shared" ca="1" si="97"/>
        <v>57.896774999999998</v>
      </c>
      <c r="G1120" s="4">
        <f t="shared" ca="1" si="97"/>
        <v>56.254283333333326</v>
      </c>
      <c r="H1120" s="4">
        <f t="shared" ca="1" si="97"/>
        <v>57.165491666666668</v>
      </c>
      <c r="I1120" s="4">
        <f t="shared" ca="1" si="97"/>
        <v>55.416916666666673</v>
      </c>
      <c r="J1120" s="4">
        <f t="shared" ca="1" si="97"/>
        <v>55.289958333333345</v>
      </c>
      <c r="K1120" s="4"/>
      <c r="L1120" s="5">
        <f t="shared" ca="1" si="98"/>
        <v>355.53689999999995</v>
      </c>
      <c r="M1120" s="5">
        <f t="shared" ca="1" si="98"/>
        <v>142.0401</v>
      </c>
      <c r="N1120" s="5">
        <f t="shared" ca="1" si="98"/>
        <v>58.217499999999994</v>
      </c>
      <c r="O1120" s="5">
        <f t="shared" ca="1" si="98"/>
        <v>4.4046000000000003</v>
      </c>
      <c r="P1120" s="5">
        <f t="shared" ca="1" si="98"/>
        <v>14.707600000000001</v>
      </c>
      <c r="Q1120" s="5">
        <f t="shared" ca="1" si="98"/>
        <v>231.81149999999997</v>
      </c>
      <c r="R1120" s="4"/>
      <c r="S1120" s="4"/>
    </row>
    <row r="1121" spans="1:19" ht="15" customHeight="1">
      <c r="A1121" s="3">
        <f t="shared" si="92"/>
        <v>2100</v>
      </c>
      <c r="B1121" s="4">
        <f t="shared" ca="1" si="97"/>
        <v>59.096158333333335</v>
      </c>
      <c r="C1121" s="4">
        <f t="shared" ca="1" si="97"/>
        <v>59.102449999999997</v>
      </c>
      <c r="D1121" s="4">
        <f t="shared" ca="1" si="97"/>
        <v>59.099724999999999</v>
      </c>
      <c r="E1121" s="4">
        <f t="shared" ca="1" si="97"/>
        <v>59.099941666666666</v>
      </c>
      <c r="F1121" s="4">
        <f t="shared" ca="1" si="97"/>
        <v>59.767208333333322</v>
      </c>
      <c r="G1121" s="4">
        <f t="shared" ca="1" si="97"/>
        <v>58.093691666666672</v>
      </c>
      <c r="H1121" s="4">
        <f t="shared" ca="1" si="97"/>
        <v>59.004925000000007</v>
      </c>
      <c r="I1121" s="4">
        <f t="shared" ca="1" si="97"/>
        <v>57.225974999999998</v>
      </c>
      <c r="J1121" s="4">
        <f t="shared" ca="1" si="97"/>
        <v>57.09811666666667</v>
      </c>
      <c r="K1121" s="4"/>
      <c r="L1121" s="5">
        <f t="shared" ca="1" si="98"/>
        <v>355.53689999999995</v>
      </c>
      <c r="M1121" s="5">
        <f t="shared" ca="1" si="98"/>
        <v>142.0401</v>
      </c>
      <c r="N1121" s="5">
        <f t="shared" ca="1" si="98"/>
        <v>58.217499999999994</v>
      </c>
      <c r="O1121" s="5">
        <f t="shared" ca="1" si="98"/>
        <v>4.4046000000000003</v>
      </c>
      <c r="P1121" s="5">
        <f t="shared" ca="1" si="98"/>
        <v>14.707600000000001</v>
      </c>
      <c r="Q1121" s="5">
        <f t="shared" ca="1" si="98"/>
        <v>231.81149999999997</v>
      </c>
      <c r="R1121" s="4"/>
      <c r="S1121" s="4"/>
    </row>
    <row r="1122" spans="1:19">
      <c r="A1122" s="3"/>
    </row>
    <row r="1123" spans="1:19">
      <c r="A1123" s="3"/>
    </row>
    <row r="1124" spans="1:19">
      <c r="A1124" s="3"/>
    </row>
    <row r="1125" spans="1:19">
      <c r="A1125" s="3"/>
    </row>
    <row r="1126" spans="1:19">
      <c r="A1126" s="3"/>
    </row>
    <row r="1127" spans="1:19">
      <c r="A1127" s="3"/>
    </row>
    <row r="1128" spans="1:19">
      <c r="A1128" s="3"/>
    </row>
    <row r="1129" spans="1:19">
      <c r="A1129" s="3"/>
    </row>
    <row r="1130" spans="1:19">
      <c r="A1130" s="3"/>
    </row>
    <row r="1131" spans="1:19">
      <c r="A1131" s="3"/>
    </row>
    <row r="1132" spans="1:19">
      <c r="A1132" s="3"/>
    </row>
    <row r="1133" spans="1:19">
      <c r="A1133" s="3"/>
    </row>
    <row r="1134" spans="1:19">
      <c r="A1134" s="3"/>
    </row>
    <row r="1135" spans="1:19">
      <c r="A1135" s="3"/>
    </row>
    <row r="1136" spans="1:19">
      <c r="A1136" s="3"/>
    </row>
  </sheetData>
  <mergeCells count="2">
    <mergeCell ref="L12:S12"/>
    <mergeCell ref="L13:S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10</xdr:row>
                    <xdr:rowOff>142875</xdr:rowOff>
                  </from>
                  <to>
                    <xdr:col>4</xdr:col>
                    <xdr:colOff>533400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10</xdr:row>
                    <xdr:rowOff>142875</xdr:rowOff>
                  </from>
                  <to>
                    <xdr:col>6</xdr:col>
                    <xdr:colOff>257175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41"/>
  <sheetViews>
    <sheetView zoomScale="70" zoomScaleNormal="70" workbookViewId="0">
      <pane xSplit="1" ySplit="15" topLeftCell="B16" activePane="bottomRight" state="frozen"/>
      <selection activeCell="S136" sqref="S136"/>
      <selection pane="topRight" activeCell="S136" sqref="S136"/>
      <selection pane="bottomLeft" activeCell="S136" sqref="S136"/>
      <selection pane="bottomRight" activeCell="A6" sqref="A6"/>
    </sheetView>
  </sheetViews>
  <sheetFormatPr defaultColWidth="7.109375" defaultRowHeight="12.75"/>
  <cols>
    <col min="1" max="1" width="7.5546875" style="30" bestFit="1" customWidth="1"/>
    <col min="2" max="2" width="7.88671875" style="30" customWidth="1"/>
    <col min="3" max="7" width="11.33203125" style="29" customWidth="1"/>
    <col min="8" max="8" width="12.77734375" style="29" bestFit="1" customWidth="1"/>
    <col min="9" max="9" width="13.21875" style="29" customWidth="1"/>
    <col min="10" max="10" width="12.77734375" style="29" customWidth="1"/>
    <col min="11" max="11" width="7.77734375" style="29" customWidth="1"/>
    <col min="12" max="16384" width="7.109375" style="29"/>
  </cols>
  <sheetData>
    <row r="1" spans="1:20" ht="15.75">
      <c r="A1" s="81" t="s">
        <v>64</v>
      </c>
    </row>
    <row r="2" spans="1:20" ht="15.75">
      <c r="A2" s="81" t="s">
        <v>65</v>
      </c>
    </row>
    <row r="3" spans="1:20" ht="15.75">
      <c r="A3" s="81" t="s">
        <v>70</v>
      </c>
    </row>
    <row r="4" spans="1:20" ht="15.75">
      <c r="A4" s="81" t="s">
        <v>66</v>
      </c>
    </row>
    <row r="5" spans="1:20" ht="15.75">
      <c r="A5" s="81" t="s">
        <v>67</v>
      </c>
    </row>
    <row r="6" spans="1:20" ht="15.75">
      <c r="A6" s="81" t="s">
        <v>73</v>
      </c>
    </row>
    <row r="7" spans="1:20" ht="20.25">
      <c r="A7" s="28" t="s">
        <v>35</v>
      </c>
    </row>
    <row r="8" spans="1:20" ht="15.75">
      <c r="A8" s="27" t="s">
        <v>25</v>
      </c>
    </row>
    <row r="10" spans="1:20">
      <c r="A10" s="29"/>
    </row>
    <row r="11" spans="1:20" ht="15.75">
      <c r="A11" s="29"/>
      <c r="B11" s="27"/>
      <c r="C11" s="50"/>
      <c r="I11" s="21"/>
    </row>
    <row r="12" spans="1:20" ht="15.75">
      <c r="A12" s="27"/>
      <c r="B12" s="27"/>
      <c r="C12" s="50"/>
      <c r="I12" s="21"/>
    </row>
    <row r="13" spans="1:20" ht="15.75">
      <c r="A13" s="27"/>
      <c r="C13" s="83" t="s">
        <v>34</v>
      </c>
      <c r="D13" s="83"/>
      <c r="E13" s="83"/>
      <c r="F13" s="49"/>
      <c r="G13" s="48"/>
      <c r="H13" s="47"/>
      <c r="I13" s="46"/>
    </row>
    <row r="14" spans="1:20" ht="97.9" customHeight="1">
      <c r="A14" s="15"/>
      <c r="B14" s="15"/>
      <c r="C14" s="18" t="s">
        <v>20</v>
      </c>
      <c r="D14" s="45" t="s">
        <v>19</v>
      </c>
      <c r="E14" s="18" t="s">
        <v>33</v>
      </c>
      <c r="F14" s="18" t="s">
        <v>32</v>
      </c>
      <c r="G14" s="18" t="s">
        <v>16</v>
      </c>
      <c r="H14" s="44" t="s">
        <v>31</v>
      </c>
      <c r="I14" s="18" t="s">
        <v>30</v>
      </c>
      <c r="J14" s="18" t="s">
        <v>29</v>
      </c>
    </row>
    <row r="15" spans="1:20" ht="15.75">
      <c r="A15" s="17" t="s">
        <v>2</v>
      </c>
      <c r="B15" s="17" t="s">
        <v>28</v>
      </c>
      <c r="C15" s="17" t="s">
        <v>27</v>
      </c>
      <c r="D15" s="17" t="s">
        <v>27</v>
      </c>
      <c r="E15" s="17" t="s">
        <v>27</v>
      </c>
      <c r="F15" s="17" t="s">
        <v>27</v>
      </c>
      <c r="G15" s="17" t="s">
        <v>27</v>
      </c>
      <c r="H15" s="43" t="s">
        <v>27</v>
      </c>
      <c r="I15" s="17" t="s">
        <v>27</v>
      </c>
      <c r="J15" s="17" t="s">
        <v>27</v>
      </c>
    </row>
    <row r="16" spans="1:20" ht="15.75">
      <c r="A16" s="13">
        <v>42370</v>
      </c>
      <c r="B16" s="41">
        <v>31</v>
      </c>
      <c r="C16" s="32">
        <v>122.58</v>
      </c>
      <c r="D16" s="32">
        <v>297.94099999999997</v>
      </c>
      <c r="E16" s="38">
        <v>729.47900000000004</v>
      </c>
      <c r="F16" s="32">
        <v>1150</v>
      </c>
      <c r="G16" s="32">
        <v>100</v>
      </c>
      <c r="H16" s="40"/>
      <c r="I16" s="32">
        <v>695</v>
      </c>
      <c r="J16" s="32">
        <v>50</v>
      </c>
      <c r="K16" s="33"/>
      <c r="L16" s="42"/>
      <c r="M16" s="33"/>
      <c r="N16" s="33"/>
      <c r="O16" s="33"/>
      <c r="P16" s="33"/>
      <c r="Q16" s="33"/>
      <c r="R16" s="33"/>
      <c r="S16" s="33"/>
      <c r="T16" s="33"/>
    </row>
    <row r="17" spans="1:20" ht="15.75">
      <c r="A17" s="13">
        <v>42401</v>
      </c>
      <c r="B17" s="41">
        <v>29</v>
      </c>
      <c r="C17" s="32">
        <v>122.58</v>
      </c>
      <c r="D17" s="32">
        <v>297.94099999999997</v>
      </c>
      <c r="E17" s="38">
        <v>729.47900000000004</v>
      </c>
      <c r="F17" s="32">
        <v>1150</v>
      </c>
      <c r="G17" s="32">
        <v>100</v>
      </c>
      <c r="H17" s="40"/>
      <c r="I17" s="32">
        <v>695</v>
      </c>
      <c r="J17" s="32">
        <v>50</v>
      </c>
      <c r="K17" s="33"/>
      <c r="L17" s="42"/>
      <c r="M17" s="33"/>
      <c r="N17" s="33"/>
      <c r="O17" s="33"/>
      <c r="P17" s="33"/>
      <c r="Q17" s="33"/>
      <c r="R17" s="33"/>
      <c r="S17" s="33"/>
      <c r="T17" s="33"/>
    </row>
    <row r="18" spans="1:20" ht="15.75">
      <c r="A18" s="13">
        <v>42430</v>
      </c>
      <c r="B18" s="41">
        <v>31</v>
      </c>
      <c r="C18" s="32">
        <v>122.58</v>
      </c>
      <c r="D18" s="32">
        <v>297.94099999999997</v>
      </c>
      <c r="E18" s="38">
        <v>729.47900000000004</v>
      </c>
      <c r="F18" s="32">
        <v>1150</v>
      </c>
      <c r="G18" s="32">
        <v>100</v>
      </c>
      <c r="H18" s="40"/>
      <c r="I18" s="32">
        <v>695</v>
      </c>
      <c r="J18" s="32">
        <v>50</v>
      </c>
      <c r="K18" s="33"/>
      <c r="L18" s="42"/>
      <c r="M18" s="33"/>
      <c r="N18" s="33"/>
      <c r="O18" s="33"/>
      <c r="P18" s="33"/>
      <c r="Q18" s="33"/>
      <c r="R18" s="33"/>
      <c r="S18" s="33"/>
      <c r="T18" s="33"/>
    </row>
    <row r="19" spans="1:20" ht="15.75">
      <c r="A19" s="13">
        <v>42461</v>
      </c>
      <c r="B19" s="41">
        <v>30</v>
      </c>
      <c r="C19" s="32">
        <v>141.29300000000001</v>
      </c>
      <c r="D19" s="32">
        <v>267.99299999999999</v>
      </c>
      <c r="E19" s="38">
        <v>829.71400000000006</v>
      </c>
      <c r="F19" s="32">
        <v>1239</v>
      </c>
      <c r="G19" s="32">
        <v>100</v>
      </c>
      <c r="H19" s="40"/>
      <c r="I19" s="32">
        <v>695</v>
      </c>
      <c r="J19" s="32">
        <v>50</v>
      </c>
      <c r="K19" s="33"/>
      <c r="L19" s="42"/>
      <c r="M19" s="33"/>
      <c r="N19" s="33"/>
      <c r="O19" s="33"/>
      <c r="P19" s="33"/>
      <c r="Q19" s="33"/>
      <c r="R19" s="33"/>
      <c r="S19" s="33"/>
      <c r="T19" s="33"/>
    </row>
    <row r="20" spans="1:20" ht="15.75">
      <c r="A20" s="13">
        <v>42491</v>
      </c>
      <c r="B20" s="41">
        <v>31</v>
      </c>
      <c r="C20" s="32">
        <v>194.20500000000001</v>
      </c>
      <c r="D20" s="32">
        <v>267.46600000000001</v>
      </c>
      <c r="E20" s="38">
        <v>932.32899999999995</v>
      </c>
      <c r="F20" s="32">
        <v>1394</v>
      </c>
      <c r="G20" s="32">
        <v>75</v>
      </c>
      <c r="H20" s="40"/>
      <c r="I20" s="32">
        <v>695</v>
      </c>
      <c r="J20" s="32">
        <v>50</v>
      </c>
      <c r="K20" s="33"/>
      <c r="L20" s="42"/>
      <c r="M20" s="33"/>
      <c r="N20" s="33"/>
      <c r="O20" s="33"/>
      <c r="P20" s="33"/>
      <c r="Q20" s="33"/>
      <c r="R20" s="33"/>
      <c r="S20" s="33"/>
      <c r="T20" s="33"/>
    </row>
    <row r="21" spans="1:20" ht="15.75">
      <c r="A21" s="13">
        <v>42522</v>
      </c>
      <c r="B21" s="41">
        <v>30</v>
      </c>
      <c r="C21" s="32">
        <v>194.20500000000001</v>
      </c>
      <c r="D21" s="32">
        <v>267.46600000000001</v>
      </c>
      <c r="E21" s="38">
        <v>932.32899999999995</v>
      </c>
      <c r="F21" s="32">
        <v>1394</v>
      </c>
      <c r="G21" s="32">
        <v>50</v>
      </c>
      <c r="H21" s="40"/>
      <c r="I21" s="32">
        <v>695</v>
      </c>
      <c r="J21" s="32">
        <v>50</v>
      </c>
      <c r="K21" s="33"/>
      <c r="L21" s="42"/>
      <c r="M21" s="33"/>
      <c r="N21" s="33"/>
      <c r="O21" s="33"/>
      <c r="P21" s="33"/>
      <c r="Q21" s="33"/>
      <c r="R21" s="33"/>
      <c r="S21" s="33"/>
      <c r="T21" s="33"/>
    </row>
    <row r="22" spans="1:20" ht="15.75">
      <c r="A22" s="13">
        <v>42552</v>
      </c>
      <c r="B22" s="41">
        <v>31</v>
      </c>
      <c r="C22" s="32">
        <v>194.20500000000001</v>
      </c>
      <c r="D22" s="32">
        <v>267.46600000000001</v>
      </c>
      <c r="E22" s="38">
        <v>932.32899999999995</v>
      </c>
      <c r="F22" s="32">
        <v>1394</v>
      </c>
      <c r="G22" s="32">
        <v>50</v>
      </c>
      <c r="H22" s="40"/>
      <c r="I22" s="32">
        <v>695</v>
      </c>
      <c r="J22" s="32">
        <v>0</v>
      </c>
      <c r="K22" s="33"/>
      <c r="L22" s="42"/>
      <c r="M22" s="33"/>
      <c r="N22" s="33"/>
      <c r="O22" s="33"/>
      <c r="P22" s="33"/>
      <c r="Q22" s="33"/>
      <c r="R22" s="33"/>
      <c r="S22" s="33"/>
      <c r="T22" s="33"/>
    </row>
    <row r="23" spans="1:20" ht="15.75">
      <c r="A23" s="13">
        <v>42583</v>
      </c>
      <c r="B23" s="41">
        <v>31</v>
      </c>
      <c r="C23" s="32">
        <v>194.20500000000001</v>
      </c>
      <c r="D23" s="32">
        <v>267.46600000000001</v>
      </c>
      <c r="E23" s="38">
        <v>932.32899999999995</v>
      </c>
      <c r="F23" s="32">
        <v>1394</v>
      </c>
      <c r="G23" s="32">
        <v>50</v>
      </c>
      <c r="H23" s="40"/>
      <c r="I23" s="32">
        <v>695</v>
      </c>
      <c r="J23" s="32">
        <v>0</v>
      </c>
      <c r="K23" s="33"/>
      <c r="L23" s="42"/>
      <c r="M23" s="33"/>
      <c r="N23" s="33"/>
      <c r="O23" s="33"/>
      <c r="P23" s="33"/>
      <c r="Q23" s="33"/>
      <c r="R23" s="33"/>
      <c r="S23" s="33"/>
      <c r="T23" s="33"/>
    </row>
    <row r="24" spans="1:20" ht="15.75">
      <c r="A24" s="13">
        <v>42614</v>
      </c>
      <c r="B24" s="41">
        <v>30</v>
      </c>
      <c r="C24" s="32">
        <v>194.20500000000001</v>
      </c>
      <c r="D24" s="32">
        <v>267.46600000000001</v>
      </c>
      <c r="E24" s="38">
        <v>932.32899999999995</v>
      </c>
      <c r="F24" s="32">
        <v>1394</v>
      </c>
      <c r="G24" s="32">
        <v>50</v>
      </c>
      <c r="H24" s="40"/>
      <c r="I24" s="32">
        <v>695</v>
      </c>
      <c r="J24" s="32">
        <v>0</v>
      </c>
      <c r="K24" s="33"/>
      <c r="L24" s="42"/>
      <c r="M24" s="33"/>
      <c r="N24" s="33"/>
      <c r="O24" s="33"/>
      <c r="P24" s="33"/>
      <c r="Q24" s="33"/>
      <c r="R24" s="33"/>
      <c r="S24" s="33"/>
      <c r="T24" s="33"/>
    </row>
    <row r="25" spans="1:20" ht="15.75">
      <c r="A25" s="13">
        <v>42644</v>
      </c>
      <c r="B25" s="41">
        <v>31</v>
      </c>
      <c r="C25" s="32">
        <v>131.881</v>
      </c>
      <c r="D25" s="32">
        <v>277.16699999999997</v>
      </c>
      <c r="E25" s="38">
        <v>949.952</v>
      </c>
      <c r="F25" s="32">
        <v>1359</v>
      </c>
      <c r="G25" s="32">
        <v>75</v>
      </c>
      <c r="H25" s="40"/>
      <c r="I25" s="32">
        <v>695</v>
      </c>
      <c r="J25" s="32">
        <v>0</v>
      </c>
      <c r="K25" s="33"/>
      <c r="L25" s="42"/>
      <c r="M25" s="33"/>
      <c r="N25" s="33"/>
      <c r="O25" s="33"/>
      <c r="P25" s="33"/>
      <c r="Q25" s="33"/>
      <c r="R25" s="33"/>
      <c r="S25" s="33"/>
      <c r="T25" s="33"/>
    </row>
    <row r="26" spans="1:20" ht="15.75">
      <c r="A26" s="13">
        <v>42675</v>
      </c>
      <c r="B26" s="41">
        <v>30</v>
      </c>
      <c r="C26" s="32">
        <v>122.58</v>
      </c>
      <c r="D26" s="32">
        <v>297.94099999999997</v>
      </c>
      <c r="E26" s="38">
        <v>729.47900000000004</v>
      </c>
      <c r="F26" s="32">
        <v>1150</v>
      </c>
      <c r="G26" s="32">
        <v>100</v>
      </c>
      <c r="H26" s="40"/>
      <c r="I26" s="32">
        <v>695</v>
      </c>
      <c r="J26" s="32">
        <v>50</v>
      </c>
      <c r="K26" s="33"/>
      <c r="L26" s="42"/>
      <c r="M26" s="33"/>
      <c r="N26" s="33"/>
      <c r="O26" s="33"/>
      <c r="P26" s="33"/>
      <c r="Q26" s="33"/>
      <c r="R26" s="33"/>
      <c r="S26" s="33"/>
      <c r="T26" s="33"/>
    </row>
    <row r="27" spans="1:20" ht="15.75">
      <c r="A27" s="13">
        <v>42705</v>
      </c>
      <c r="B27" s="41">
        <v>31</v>
      </c>
      <c r="C27" s="32">
        <v>122.58</v>
      </c>
      <c r="D27" s="32">
        <v>297.94099999999997</v>
      </c>
      <c r="E27" s="38">
        <v>729.47900000000004</v>
      </c>
      <c r="F27" s="32">
        <v>1150</v>
      </c>
      <c r="G27" s="32">
        <v>100</v>
      </c>
      <c r="H27" s="40"/>
      <c r="I27" s="32">
        <v>695</v>
      </c>
      <c r="J27" s="32">
        <v>50</v>
      </c>
      <c r="K27" s="33"/>
      <c r="L27" s="42"/>
      <c r="M27" s="33"/>
      <c r="N27" s="33"/>
      <c r="O27" s="33"/>
      <c r="P27" s="33"/>
      <c r="Q27" s="33"/>
      <c r="R27" s="33"/>
      <c r="S27" s="33"/>
      <c r="T27" s="33"/>
    </row>
    <row r="28" spans="1:20" ht="15.75">
      <c r="A28" s="13">
        <v>42736</v>
      </c>
      <c r="B28" s="41">
        <v>31</v>
      </c>
      <c r="C28" s="32">
        <v>122.58</v>
      </c>
      <c r="D28" s="32">
        <v>297.94099999999997</v>
      </c>
      <c r="E28" s="38">
        <v>729.47900000000004</v>
      </c>
      <c r="F28" s="32">
        <v>1150</v>
      </c>
      <c r="G28" s="32">
        <v>100</v>
      </c>
      <c r="H28" s="40"/>
      <c r="I28" s="32">
        <v>695</v>
      </c>
      <c r="J28" s="32">
        <v>50</v>
      </c>
      <c r="K28" s="33"/>
      <c r="L28" s="42"/>
      <c r="M28" s="33"/>
      <c r="N28" s="33"/>
      <c r="O28" s="33"/>
      <c r="P28" s="33"/>
      <c r="Q28" s="33"/>
      <c r="R28" s="33"/>
      <c r="S28" s="33"/>
      <c r="T28" s="33"/>
    </row>
    <row r="29" spans="1:20" ht="15.75">
      <c r="A29" s="13">
        <v>42767</v>
      </c>
      <c r="B29" s="41">
        <v>28</v>
      </c>
      <c r="C29" s="32">
        <v>122.58</v>
      </c>
      <c r="D29" s="32">
        <v>297.94099999999997</v>
      </c>
      <c r="E29" s="38">
        <v>729.47900000000004</v>
      </c>
      <c r="F29" s="32">
        <v>1150</v>
      </c>
      <c r="G29" s="32">
        <v>100</v>
      </c>
      <c r="H29" s="40"/>
      <c r="I29" s="32">
        <v>695</v>
      </c>
      <c r="J29" s="32">
        <v>50</v>
      </c>
      <c r="K29" s="33"/>
      <c r="L29" s="42"/>
      <c r="M29" s="33"/>
      <c r="N29" s="33"/>
      <c r="O29" s="33"/>
      <c r="P29" s="33"/>
      <c r="Q29" s="33"/>
      <c r="R29" s="33"/>
      <c r="S29" s="33"/>
      <c r="T29" s="33"/>
    </row>
    <row r="30" spans="1:20" ht="15.75">
      <c r="A30" s="13">
        <v>42795</v>
      </c>
      <c r="B30" s="41">
        <v>31</v>
      </c>
      <c r="C30" s="32">
        <v>122.58</v>
      </c>
      <c r="D30" s="32">
        <v>297.94099999999997</v>
      </c>
      <c r="E30" s="38">
        <v>729.47900000000004</v>
      </c>
      <c r="F30" s="32">
        <v>1150</v>
      </c>
      <c r="G30" s="32">
        <v>100</v>
      </c>
      <c r="H30" s="40"/>
      <c r="I30" s="32">
        <v>695</v>
      </c>
      <c r="J30" s="32">
        <v>50</v>
      </c>
      <c r="K30" s="33"/>
      <c r="L30" s="42"/>
      <c r="M30" s="33"/>
      <c r="N30" s="33"/>
      <c r="O30" s="33"/>
      <c r="P30" s="33"/>
      <c r="Q30" s="33"/>
      <c r="R30" s="33"/>
      <c r="S30" s="33"/>
      <c r="T30" s="33"/>
    </row>
    <row r="31" spans="1:20" ht="15.75">
      <c r="A31" s="13">
        <v>42826</v>
      </c>
      <c r="B31" s="41">
        <v>30</v>
      </c>
      <c r="C31" s="32">
        <v>141.29300000000001</v>
      </c>
      <c r="D31" s="32">
        <v>267.99299999999999</v>
      </c>
      <c r="E31" s="38">
        <v>829.71400000000006</v>
      </c>
      <c r="F31" s="32">
        <v>1239</v>
      </c>
      <c r="G31" s="32">
        <v>100</v>
      </c>
      <c r="H31" s="40"/>
      <c r="I31" s="32">
        <v>695</v>
      </c>
      <c r="J31" s="32">
        <v>50</v>
      </c>
      <c r="K31" s="33"/>
      <c r="L31" s="42"/>
      <c r="M31" s="33"/>
      <c r="N31" s="33"/>
      <c r="O31" s="33"/>
      <c r="P31" s="33"/>
      <c r="Q31" s="33"/>
      <c r="R31" s="33"/>
      <c r="S31" s="33"/>
      <c r="T31" s="33"/>
    </row>
    <row r="32" spans="1:20" ht="15.75">
      <c r="A32" s="13">
        <v>42856</v>
      </c>
      <c r="B32" s="41">
        <v>31</v>
      </c>
      <c r="C32" s="32">
        <v>194.20500000000001</v>
      </c>
      <c r="D32" s="32">
        <v>267.46600000000001</v>
      </c>
      <c r="E32" s="38">
        <v>812.32899999999995</v>
      </c>
      <c r="F32" s="32">
        <v>1274</v>
      </c>
      <c r="G32" s="32">
        <v>75</v>
      </c>
      <c r="H32" s="40">
        <v>400</v>
      </c>
      <c r="I32" s="32">
        <v>695</v>
      </c>
      <c r="J32" s="32">
        <v>50</v>
      </c>
      <c r="K32" s="33"/>
      <c r="L32" s="42"/>
      <c r="M32" s="33"/>
      <c r="N32" s="33"/>
      <c r="O32" s="33"/>
      <c r="P32" s="33"/>
      <c r="Q32" s="33"/>
      <c r="R32" s="33"/>
      <c r="S32" s="33"/>
      <c r="T32" s="33"/>
    </row>
    <row r="33" spans="1:20" ht="15.75">
      <c r="A33" s="13">
        <v>42887</v>
      </c>
      <c r="B33" s="41">
        <v>30</v>
      </c>
      <c r="C33" s="32">
        <v>194.20500000000001</v>
      </c>
      <c r="D33" s="32">
        <v>267.46600000000001</v>
      </c>
      <c r="E33" s="38">
        <v>812.32899999999995</v>
      </c>
      <c r="F33" s="32">
        <v>1274</v>
      </c>
      <c r="G33" s="32">
        <v>50</v>
      </c>
      <c r="H33" s="40">
        <v>400</v>
      </c>
      <c r="I33" s="32">
        <v>695</v>
      </c>
      <c r="J33" s="32">
        <v>50</v>
      </c>
      <c r="K33" s="33"/>
      <c r="L33" s="42"/>
      <c r="M33" s="33"/>
      <c r="N33" s="33"/>
      <c r="O33" s="33"/>
      <c r="P33" s="33"/>
      <c r="Q33" s="33"/>
      <c r="R33" s="33"/>
      <c r="S33" s="33"/>
      <c r="T33" s="33"/>
    </row>
    <row r="34" spans="1:20" ht="15.75">
      <c r="A34" s="13">
        <v>42917</v>
      </c>
      <c r="B34" s="41">
        <v>31</v>
      </c>
      <c r="C34" s="32">
        <v>194.20500000000001</v>
      </c>
      <c r="D34" s="32">
        <v>267.46600000000001</v>
      </c>
      <c r="E34" s="38">
        <v>812.32899999999995</v>
      </c>
      <c r="F34" s="32">
        <v>1274</v>
      </c>
      <c r="G34" s="32">
        <v>50</v>
      </c>
      <c r="H34" s="40">
        <v>400</v>
      </c>
      <c r="I34" s="32">
        <v>695</v>
      </c>
      <c r="J34" s="32">
        <v>0</v>
      </c>
      <c r="K34" s="33"/>
      <c r="L34" s="42"/>
      <c r="M34" s="33"/>
      <c r="N34" s="33"/>
      <c r="O34" s="33"/>
      <c r="P34" s="33"/>
      <c r="Q34" s="33"/>
      <c r="R34" s="33"/>
      <c r="S34" s="33"/>
      <c r="T34" s="33"/>
    </row>
    <row r="35" spans="1:20" ht="15.75">
      <c r="A35" s="13">
        <v>42948</v>
      </c>
      <c r="B35" s="41">
        <v>31</v>
      </c>
      <c r="C35" s="32">
        <v>194.20500000000001</v>
      </c>
      <c r="D35" s="32">
        <v>267.46600000000001</v>
      </c>
      <c r="E35" s="38">
        <v>812.32899999999995</v>
      </c>
      <c r="F35" s="32">
        <v>1274</v>
      </c>
      <c r="G35" s="32">
        <v>50</v>
      </c>
      <c r="H35" s="40">
        <v>400</v>
      </c>
      <c r="I35" s="32">
        <v>695</v>
      </c>
      <c r="J35" s="32">
        <v>0</v>
      </c>
      <c r="K35" s="33"/>
      <c r="L35" s="42"/>
      <c r="M35" s="33"/>
      <c r="N35" s="33"/>
      <c r="O35" s="33"/>
      <c r="P35" s="33"/>
      <c r="Q35" s="33"/>
      <c r="R35" s="33"/>
      <c r="S35" s="33"/>
      <c r="T35" s="33"/>
    </row>
    <row r="36" spans="1:20" ht="15.75">
      <c r="A36" s="13">
        <v>42979</v>
      </c>
      <c r="B36" s="41">
        <v>30</v>
      </c>
      <c r="C36" s="32">
        <v>194.20500000000001</v>
      </c>
      <c r="D36" s="32">
        <v>267.46600000000001</v>
      </c>
      <c r="E36" s="38">
        <v>812.32899999999995</v>
      </c>
      <c r="F36" s="32">
        <v>1274</v>
      </c>
      <c r="G36" s="32">
        <v>50</v>
      </c>
      <c r="H36" s="40">
        <v>400</v>
      </c>
      <c r="I36" s="32">
        <v>695</v>
      </c>
      <c r="J36" s="32">
        <v>0</v>
      </c>
      <c r="K36" s="33"/>
      <c r="L36" s="42"/>
      <c r="M36" s="33"/>
      <c r="N36" s="33"/>
      <c r="O36" s="33"/>
      <c r="P36" s="33"/>
      <c r="Q36" s="33"/>
      <c r="R36" s="33"/>
      <c r="S36" s="33"/>
      <c r="T36" s="33"/>
    </row>
    <row r="37" spans="1:20" ht="15.75">
      <c r="A37" s="13">
        <v>43009</v>
      </c>
      <c r="B37" s="41">
        <v>31</v>
      </c>
      <c r="C37" s="32">
        <v>131.881</v>
      </c>
      <c r="D37" s="32">
        <v>277.16699999999997</v>
      </c>
      <c r="E37" s="38">
        <v>829.952</v>
      </c>
      <c r="F37" s="32">
        <v>1239</v>
      </c>
      <c r="G37" s="32">
        <v>75</v>
      </c>
      <c r="H37" s="40">
        <v>400</v>
      </c>
      <c r="I37" s="32">
        <v>695</v>
      </c>
      <c r="J37" s="32">
        <v>0</v>
      </c>
      <c r="K37" s="33"/>
      <c r="L37" s="42"/>
      <c r="M37" s="33"/>
      <c r="N37" s="33"/>
      <c r="O37" s="33"/>
      <c r="P37" s="33"/>
      <c r="Q37" s="33"/>
      <c r="R37" s="33"/>
      <c r="S37" s="33"/>
      <c r="T37" s="33"/>
    </row>
    <row r="38" spans="1:20" ht="15.75">
      <c r="A38" s="13">
        <v>43040</v>
      </c>
      <c r="B38" s="41">
        <v>30</v>
      </c>
      <c r="C38" s="32">
        <v>122.58</v>
      </c>
      <c r="D38" s="32">
        <v>297.94099999999997</v>
      </c>
      <c r="E38" s="38">
        <v>729.47900000000004</v>
      </c>
      <c r="F38" s="32">
        <v>1150</v>
      </c>
      <c r="G38" s="32">
        <v>100</v>
      </c>
      <c r="H38" s="40">
        <v>400</v>
      </c>
      <c r="I38" s="32">
        <v>695</v>
      </c>
      <c r="J38" s="32">
        <v>50</v>
      </c>
      <c r="K38" s="33"/>
      <c r="L38" s="42"/>
      <c r="M38" s="33"/>
      <c r="N38" s="33"/>
      <c r="O38" s="33"/>
      <c r="P38" s="33"/>
      <c r="Q38" s="33"/>
      <c r="R38" s="33"/>
      <c r="S38" s="33"/>
      <c r="T38" s="33"/>
    </row>
    <row r="39" spans="1:20" ht="15.75">
      <c r="A39" s="13">
        <v>43070</v>
      </c>
      <c r="B39" s="41">
        <v>31</v>
      </c>
      <c r="C39" s="32">
        <v>122.58</v>
      </c>
      <c r="D39" s="32">
        <v>297.94099999999997</v>
      </c>
      <c r="E39" s="38">
        <v>729.47900000000004</v>
      </c>
      <c r="F39" s="32">
        <v>1150</v>
      </c>
      <c r="G39" s="32">
        <v>100</v>
      </c>
      <c r="H39" s="40">
        <v>400</v>
      </c>
      <c r="I39" s="32">
        <v>695</v>
      </c>
      <c r="J39" s="32">
        <v>50</v>
      </c>
      <c r="K39" s="33"/>
      <c r="L39" s="42"/>
      <c r="M39" s="33"/>
      <c r="N39" s="33"/>
      <c r="O39" s="33"/>
      <c r="P39" s="33"/>
      <c r="Q39" s="33"/>
      <c r="R39" s="33"/>
      <c r="S39" s="33"/>
      <c r="T39" s="33"/>
    </row>
    <row r="40" spans="1:20" ht="15.75">
      <c r="A40" s="13">
        <v>43101</v>
      </c>
      <c r="B40" s="41">
        <v>31</v>
      </c>
      <c r="C40" s="32">
        <v>122.58</v>
      </c>
      <c r="D40" s="32">
        <v>297.94099999999997</v>
      </c>
      <c r="E40" s="38">
        <v>729.47900000000004</v>
      </c>
      <c r="F40" s="32">
        <v>1150</v>
      </c>
      <c r="G40" s="32">
        <v>100</v>
      </c>
      <c r="H40" s="40">
        <v>400</v>
      </c>
      <c r="I40" s="32">
        <v>695</v>
      </c>
      <c r="J40" s="32">
        <v>50</v>
      </c>
      <c r="K40" s="33"/>
      <c r="L40" s="42"/>
      <c r="M40" s="33"/>
      <c r="N40" s="33"/>
      <c r="O40" s="33"/>
      <c r="P40" s="33"/>
      <c r="Q40" s="33"/>
      <c r="R40" s="33"/>
      <c r="S40" s="33"/>
      <c r="T40" s="33"/>
    </row>
    <row r="41" spans="1:20" ht="15.75">
      <c r="A41" s="13">
        <v>43132</v>
      </c>
      <c r="B41" s="41">
        <v>28</v>
      </c>
      <c r="C41" s="32">
        <v>122.58</v>
      </c>
      <c r="D41" s="32">
        <v>297.94099999999997</v>
      </c>
      <c r="E41" s="38">
        <v>729.47900000000004</v>
      </c>
      <c r="F41" s="32">
        <v>1150</v>
      </c>
      <c r="G41" s="32">
        <v>100</v>
      </c>
      <c r="H41" s="40">
        <v>400</v>
      </c>
      <c r="I41" s="32">
        <v>695</v>
      </c>
      <c r="J41" s="32">
        <v>50</v>
      </c>
      <c r="K41" s="33"/>
      <c r="L41" s="42"/>
      <c r="M41" s="33"/>
      <c r="N41" s="33"/>
      <c r="O41" s="33"/>
      <c r="P41" s="33"/>
      <c r="Q41" s="33"/>
      <c r="R41" s="33"/>
      <c r="S41" s="33"/>
      <c r="T41" s="33"/>
    </row>
    <row r="42" spans="1:20" ht="15.75">
      <c r="A42" s="13">
        <v>43160</v>
      </c>
      <c r="B42" s="41">
        <v>31</v>
      </c>
      <c r="C42" s="32">
        <v>122.58</v>
      </c>
      <c r="D42" s="32">
        <v>297.94099999999997</v>
      </c>
      <c r="E42" s="38">
        <v>729.47900000000004</v>
      </c>
      <c r="F42" s="32">
        <v>1150</v>
      </c>
      <c r="G42" s="32">
        <v>100</v>
      </c>
      <c r="H42" s="40">
        <v>400</v>
      </c>
      <c r="I42" s="32">
        <v>695</v>
      </c>
      <c r="J42" s="32">
        <v>50</v>
      </c>
      <c r="K42" s="33"/>
      <c r="L42" s="42"/>
      <c r="M42" s="33"/>
      <c r="N42" s="33"/>
      <c r="O42" s="33"/>
      <c r="P42" s="33"/>
      <c r="Q42" s="33"/>
      <c r="R42" s="33"/>
      <c r="S42" s="33"/>
      <c r="T42" s="33"/>
    </row>
    <row r="43" spans="1:20" ht="15.75">
      <c r="A43" s="13">
        <v>43191</v>
      </c>
      <c r="B43" s="41">
        <v>30</v>
      </c>
      <c r="C43" s="32">
        <v>141.29300000000001</v>
      </c>
      <c r="D43" s="32">
        <v>267.99299999999999</v>
      </c>
      <c r="E43" s="38">
        <v>829.71400000000006</v>
      </c>
      <c r="F43" s="32">
        <v>1239</v>
      </c>
      <c r="G43" s="32">
        <v>100</v>
      </c>
      <c r="H43" s="40">
        <v>400</v>
      </c>
      <c r="I43" s="32">
        <v>695</v>
      </c>
      <c r="J43" s="32">
        <v>50</v>
      </c>
      <c r="K43" s="33"/>
      <c r="L43" s="42"/>
      <c r="M43" s="33"/>
      <c r="N43" s="33"/>
      <c r="O43" s="33"/>
      <c r="P43" s="33"/>
      <c r="Q43" s="33"/>
      <c r="R43" s="33"/>
      <c r="S43" s="33"/>
      <c r="T43" s="33"/>
    </row>
    <row r="44" spans="1:20" ht="15.75">
      <c r="A44" s="13">
        <v>43221</v>
      </c>
      <c r="B44" s="41">
        <v>31</v>
      </c>
      <c r="C44" s="32">
        <v>194.20500000000001</v>
      </c>
      <c r="D44" s="32">
        <v>267.46600000000001</v>
      </c>
      <c r="E44" s="38">
        <v>812.32899999999995</v>
      </c>
      <c r="F44" s="32">
        <v>1274</v>
      </c>
      <c r="G44" s="32">
        <v>75</v>
      </c>
      <c r="H44" s="40">
        <v>400</v>
      </c>
      <c r="I44" s="32">
        <v>695</v>
      </c>
      <c r="J44" s="32">
        <v>50</v>
      </c>
      <c r="K44" s="33"/>
      <c r="L44" s="42"/>
      <c r="M44" s="33"/>
      <c r="N44" s="33"/>
      <c r="O44" s="33"/>
      <c r="P44" s="33"/>
      <c r="Q44" s="33"/>
      <c r="R44" s="33"/>
      <c r="S44" s="33"/>
      <c r="T44" s="33"/>
    </row>
    <row r="45" spans="1:20" ht="15.75">
      <c r="A45" s="13">
        <v>43252</v>
      </c>
      <c r="B45" s="41">
        <v>30</v>
      </c>
      <c r="C45" s="32">
        <v>194.20500000000001</v>
      </c>
      <c r="D45" s="32">
        <v>267.46600000000001</v>
      </c>
      <c r="E45" s="38">
        <v>812.32899999999995</v>
      </c>
      <c r="F45" s="32">
        <v>1274</v>
      </c>
      <c r="G45" s="32">
        <v>50</v>
      </c>
      <c r="H45" s="40">
        <v>400</v>
      </c>
      <c r="I45" s="32">
        <v>695</v>
      </c>
      <c r="J45" s="32">
        <v>50</v>
      </c>
      <c r="K45" s="33"/>
      <c r="L45" s="42"/>
      <c r="M45" s="33"/>
      <c r="N45" s="33"/>
      <c r="O45" s="33"/>
      <c r="P45" s="33"/>
      <c r="Q45" s="33"/>
      <c r="R45" s="33"/>
      <c r="S45" s="33"/>
      <c r="T45" s="33"/>
    </row>
    <row r="46" spans="1:20" ht="15.75">
      <c r="A46" s="13">
        <v>43282</v>
      </c>
      <c r="B46" s="41">
        <v>31</v>
      </c>
      <c r="C46" s="32">
        <v>194.20500000000001</v>
      </c>
      <c r="D46" s="32">
        <v>267.46600000000001</v>
      </c>
      <c r="E46" s="38">
        <v>812.32899999999995</v>
      </c>
      <c r="F46" s="32">
        <v>1274</v>
      </c>
      <c r="G46" s="32">
        <v>50</v>
      </c>
      <c r="H46" s="40">
        <v>400</v>
      </c>
      <c r="I46" s="32">
        <v>695</v>
      </c>
      <c r="J46" s="32">
        <v>0</v>
      </c>
      <c r="K46" s="33"/>
      <c r="L46" s="42"/>
      <c r="M46" s="33"/>
      <c r="N46" s="33"/>
      <c r="O46" s="33"/>
      <c r="P46" s="33"/>
      <c r="Q46" s="33"/>
      <c r="R46" s="33"/>
      <c r="S46" s="33"/>
      <c r="T46" s="33"/>
    </row>
    <row r="47" spans="1:20" ht="15.75">
      <c r="A47" s="13">
        <v>43313</v>
      </c>
      <c r="B47" s="41">
        <v>31</v>
      </c>
      <c r="C47" s="32">
        <v>194.20500000000001</v>
      </c>
      <c r="D47" s="32">
        <v>267.46600000000001</v>
      </c>
      <c r="E47" s="38">
        <v>812.32899999999995</v>
      </c>
      <c r="F47" s="32">
        <v>1274</v>
      </c>
      <c r="G47" s="32">
        <v>50</v>
      </c>
      <c r="H47" s="40">
        <v>400</v>
      </c>
      <c r="I47" s="32">
        <v>695</v>
      </c>
      <c r="J47" s="32">
        <v>0</v>
      </c>
      <c r="K47" s="33"/>
      <c r="L47" s="42"/>
      <c r="M47" s="33"/>
      <c r="N47" s="33"/>
      <c r="O47" s="33"/>
      <c r="P47" s="33"/>
      <c r="Q47" s="33"/>
      <c r="R47" s="33"/>
      <c r="S47" s="33"/>
      <c r="T47" s="33"/>
    </row>
    <row r="48" spans="1:20" ht="15.75">
      <c r="A48" s="13">
        <v>43344</v>
      </c>
      <c r="B48" s="41">
        <v>30</v>
      </c>
      <c r="C48" s="32">
        <v>194.20500000000001</v>
      </c>
      <c r="D48" s="32">
        <v>267.46600000000001</v>
      </c>
      <c r="E48" s="38">
        <v>812.32899999999995</v>
      </c>
      <c r="F48" s="32">
        <v>1274</v>
      </c>
      <c r="G48" s="32">
        <v>50</v>
      </c>
      <c r="H48" s="40">
        <v>400</v>
      </c>
      <c r="I48" s="32">
        <v>695</v>
      </c>
      <c r="J48" s="32">
        <v>0</v>
      </c>
      <c r="K48" s="33"/>
      <c r="L48" s="42"/>
      <c r="M48" s="33"/>
      <c r="N48" s="33"/>
      <c r="O48" s="33"/>
      <c r="P48" s="33"/>
      <c r="Q48" s="33"/>
      <c r="R48" s="33"/>
      <c r="S48" s="33"/>
      <c r="T48" s="33"/>
    </row>
    <row r="49" spans="1:20" ht="15.75">
      <c r="A49" s="13">
        <v>43374</v>
      </c>
      <c r="B49" s="41">
        <v>31</v>
      </c>
      <c r="C49" s="32">
        <v>131.881</v>
      </c>
      <c r="D49" s="32">
        <v>277.16699999999997</v>
      </c>
      <c r="E49" s="38">
        <v>829.952</v>
      </c>
      <c r="F49" s="32">
        <v>1239</v>
      </c>
      <c r="G49" s="32">
        <v>75</v>
      </c>
      <c r="H49" s="40">
        <v>400</v>
      </c>
      <c r="I49" s="32">
        <v>695</v>
      </c>
      <c r="J49" s="32">
        <v>0</v>
      </c>
      <c r="K49" s="33"/>
      <c r="L49" s="42"/>
      <c r="M49" s="33"/>
      <c r="N49" s="33"/>
      <c r="O49" s="33"/>
      <c r="P49" s="33"/>
      <c r="Q49" s="33"/>
      <c r="R49" s="33"/>
      <c r="S49" s="33"/>
      <c r="T49" s="33"/>
    </row>
    <row r="50" spans="1:20" ht="15.75">
      <c r="A50" s="13">
        <v>43405</v>
      </c>
      <c r="B50" s="41">
        <v>30</v>
      </c>
      <c r="C50" s="32">
        <v>122.58</v>
      </c>
      <c r="D50" s="32">
        <v>297.94099999999997</v>
      </c>
      <c r="E50" s="38">
        <v>729.47900000000004</v>
      </c>
      <c r="F50" s="32">
        <v>1150</v>
      </c>
      <c r="G50" s="32">
        <v>100</v>
      </c>
      <c r="H50" s="40">
        <v>400</v>
      </c>
      <c r="I50" s="32">
        <v>695</v>
      </c>
      <c r="J50" s="32">
        <v>50</v>
      </c>
      <c r="K50" s="33"/>
      <c r="L50" s="42"/>
      <c r="M50" s="33"/>
      <c r="N50" s="33"/>
      <c r="O50" s="33"/>
      <c r="P50" s="33"/>
      <c r="Q50" s="33"/>
      <c r="R50" s="33"/>
      <c r="S50" s="33"/>
      <c r="T50" s="33"/>
    </row>
    <row r="51" spans="1:20" ht="15.75">
      <c r="A51" s="13">
        <v>43435</v>
      </c>
      <c r="B51" s="41">
        <v>31</v>
      </c>
      <c r="C51" s="32">
        <v>122.58</v>
      </c>
      <c r="D51" s="32">
        <v>297.94099999999997</v>
      </c>
      <c r="E51" s="38">
        <v>729.47900000000004</v>
      </c>
      <c r="F51" s="32">
        <v>1150</v>
      </c>
      <c r="G51" s="32">
        <v>100</v>
      </c>
      <c r="H51" s="40">
        <v>400</v>
      </c>
      <c r="I51" s="32">
        <v>695</v>
      </c>
      <c r="J51" s="32">
        <v>50</v>
      </c>
      <c r="K51" s="33"/>
      <c r="L51" s="42"/>
      <c r="M51" s="33"/>
      <c r="N51" s="33"/>
      <c r="O51" s="33"/>
      <c r="P51" s="33"/>
      <c r="Q51" s="33"/>
      <c r="R51" s="33"/>
      <c r="S51" s="33"/>
      <c r="T51" s="33"/>
    </row>
    <row r="52" spans="1:20" ht="15.75">
      <c r="A52" s="13">
        <v>43466</v>
      </c>
      <c r="B52" s="41">
        <v>31</v>
      </c>
      <c r="C52" s="32">
        <v>122.58</v>
      </c>
      <c r="D52" s="32">
        <v>297.94099999999997</v>
      </c>
      <c r="E52" s="38">
        <v>729.47900000000004</v>
      </c>
      <c r="F52" s="32">
        <v>1150</v>
      </c>
      <c r="G52" s="32">
        <v>100</v>
      </c>
      <c r="H52" s="40">
        <v>400</v>
      </c>
      <c r="I52" s="32">
        <v>695</v>
      </c>
      <c r="J52" s="32">
        <v>50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ht="15.75">
      <c r="A53" s="13">
        <v>43497</v>
      </c>
      <c r="B53" s="41">
        <v>28</v>
      </c>
      <c r="C53" s="32">
        <v>122.58</v>
      </c>
      <c r="D53" s="32">
        <v>297.94099999999997</v>
      </c>
      <c r="E53" s="38">
        <v>729.47900000000004</v>
      </c>
      <c r="F53" s="32">
        <v>1150</v>
      </c>
      <c r="G53" s="32">
        <v>100</v>
      </c>
      <c r="H53" s="40">
        <v>400</v>
      </c>
      <c r="I53" s="32">
        <v>695</v>
      </c>
      <c r="J53" s="32">
        <v>50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15.75">
      <c r="A54" s="13">
        <v>43525</v>
      </c>
      <c r="B54" s="41">
        <v>31</v>
      </c>
      <c r="C54" s="32">
        <v>122.58</v>
      </c>
      <c r="D54" s="32">
        <v>297.94099999999997</v>
      </c>
      <c r="E54" s="38">
        <v>729.47900000000004</v>
      </c>
      <c r="F54" s="32">
        <v>1150</v>
      </c>
      <c r="G54" s="32">
        <v>100</v>
      </c>
      <c r="H54" s="40">
        <v>400</v>
      </c>
      <c r="I54" s="32">
        <v>695</v>
      </c>
      <c r="J54" s="32">
        <v>50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15.75">
      <c r="A55" s="13">
        <v>43556</v>
      </c>
      <c r="B55" s="41">
        <v>30</v>
      </c>
      <c r="C55" s="32">
        <v>141.29300000000001</v>
      </c>
      <c r="D55" s="32">
        <v>267.99299999999999</v>
      </c>
      <c r="E55" s="38">
        <v>829.71400000000006</v>
      </c>
      <c r="F55" s="32">
        <v>1239</v>
      </c>
      <c r="G55" s="32">
        <v>100</v>
      </c>
      <c r="H55" s="40">
        <v>400</v>
      </c>
      <c r="I55" s="32">
        <v>695</v>
      </c>
      <c r="J55" s="32">
        <v>50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15.75">
      <c r="A56" s="13">
        <v>43586</v>
      </c>
      <c r="B56" s="41">
        <v>31</v>
      </c>
      <c r="C56" s="32">
        <v>194.20500000000001</v>
      </c>
      <c r="D56" s="32">
        <v>267.46600000000001</v>
      </c>
      <c r="E56" s="38">
        <v>812.32899999999995</v>
      </c>
      <c r="F56" s="32">
        <v>1274</v>
      </c>
      <c r="G56" s="32">
        <v>75</v>
      </c>
      <c r="H56" s="40">
        <v>400</v>
      </c>
      <c r="I56" s="32">
        <v>695</v>
      </c>
      <c r="J56" s="32">
        <v>50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15.75">
      <c r="A57" s="13">
        <v>43617</v>
      </c>
      <c r="B57" s="41">
        <v>30</v>
      </c>
      <c r="C57" s="32">
        <v>194.20500000000001</v>
      </c>
      <c r="D57" s="32">
        <v>267.46600000000001</v>
      </c>
      <c r="E57" s="38">
        <v>812.32899999999995</v>
      </c>
      <c r="F57" s="32">
        <v>1274</v>
      </c>
      <c r="G57" s="32">
        <v>50</v>
      </c>
      <c r="H57" s="40">
        <v>400</v>
      </c>
      <c r="I57" s="32">
        <v>695</v>
      </c>
      <c r="J57" s="32">
        <v>50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15.75">
      <c r="A58" s="13">
        <v>43647</v>
      </c>
      <c r="B58" s="41">
        <v>31</v>
      </c>
      <c r="C58" s="32">
        <v>194.20500000000001</v>
      </c>
      <c r="D58" s="32">
        <v>267.46600000000001</v>
      </c>
      <c r="E58" s="38">
        <v>812.32899999999995</v>
      </c>
      <c r="F58" s="32">
        <v>1274</v>
      </c>
      <c r="G58" s="32">
        <v>50</v>
      </c>
      <c r="H58" s="40">
        <v>400</v>
      </c>
      <c r="I58" s="32">
        <v>695</v>
      </c>
      <c r="J58" s="32">
        <v>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15.75">
      <c r="A59" s="13">
        <v>43678</v>
      </c>
      <c r="B59" s="41">
        <v>31</v>
      </c>
      <c r="C59" s="32">
        <v>194.20500000000001</v>
      </c>
      <c r="D59" s="32">
        <v>267.46600000000001</v>
      </c>
      <c r="E59" s="38">
        <v>812.32899999999995</v>
      </c>
      <c r="F59" s="32">
        <v>1274</v>
      </c>
      <c r="G59" s="32">
        <v>50</v>
      </c>
      <c r="H59" s="40">
        <v>400</v>
      </c>
      <c r="I59" s="32">
        <v>695</v>
      </c>
      <c r="J59" s="32">
        <v>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15.75">
      <c r="A60" s="13">
        <v>43709</v>
      </c>
      <c r="B60" s="41">
        <v>30</v>
      </c>
      <c r="C60" s="32">
        <v>194.20500000000001</v>
      </c>
      <c r="D60" s="32">
        <v>267.46600000000001</v>
      </c>
      <c r="E60" s="38">
        <v>812.32899999999995</v>
      </c>
      <c r="F60" s="32">
        <v>1274</v>
      </c>
      <c r="G60" s="32">
        <v>50</v>
      </c>
      <c r="H60" s="40">
        <v>400</v>
      </c>
      <c r="I60" s="32">
        <v>695</v>
      </c>
      <c r="J60" s="32">
        <v>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15.75">
      <c r="A61" s="13">
        <v>43739</v>
      </c>
      <c r="B61" s="41">
        <v>31</v>
      </c>
      <c r="C61" s="32">
        <v>131.881</v>
      </c>
      <c r="D61" s="32">
        <v>277.16699999999997</v>
      </c>
      <c r="E61" s="38">
        <v>829.952</v>
      </c>
      <c r="F61" s="32">
        <v>1239</v>
      </c>
      <c r="G61" s="32">
        <v>75</v>
      </c>
      <c r="H61" s="40">
        <v>400</v>
      </c>
      <c r="I61" s="32">
        <v>695</v>
      </c>
      <c r="J61" s="32">
        <v>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15.75">
      <c r="A62" s="13">
        <v>43770</v>
      </c>
      <c r="B62" s="41">
        <v>30</v>
      </c>
      <c r="C62" s="32">
        <v>122.58</v>
      </c>
      <c r="D62" s="32">
        <v>297.94099999999997</v>
      </c>
      <c r="E62" s="38">
        <v>729.47900000000004</v>
      </c>
      <c r="F62" s="32">
        <v>1150</v>
      </c>
      <c r="G62" s="32">
        <v>100</v>
      </c>
      <c r="H62" s="40">
        <v>400</v>
      </c>
      <c r="I62" s="32">
        <v>695</v>
      </c>
      <c r="J62" s="32">
        <v>50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.75">
      <c r="A63" s="13">
        <v>43800</v>
      </c>
      <c r="B63" s="41">
        <v>31</v>
      </c>
      <c r="C63" s="32">
        <v>122.58</v>
      </c>
      <c r="D63" s="32">
        <v>297.94099999999997</v>
      </c>
      <c r="E63" s="38">
        <v>729.47900000000004</v>
      </c>
      <c r="F63" s="32">
        <v>1150</v>
      </c>
      <c r="G63" s="32">
        <v>100</v>
      </c>
      <c r="H63" s="40">
        <v>400</v>
      </c>
      <c r="I63" s="32">
        <v>695</v>
      </c>
      <c r="J63" s="32">
        <v>50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15.75">
      <c r="A64" s="13">
        <v>43831</v>
      </c>
      <c r="B64" s="41">
        <v>31</v>
      </c>
      <c r="C64" s="32">
        <v>122.58</v>
      </c>
      <c r="D64" s="32">
        <v>297.94099999999997</v>
      </c>
      <c r="E64" s="38">
        <v>729.47900000000004</v>
      </c>
      <c r="F64" s="32">
        <v>1150</v>
      </c>
      <c r="G64" s="32">
        <v>100</v>
      </c>
      <c r="H64" s="40">
        <v>400</v>
      </c>
      <c r="I64" s="32">
        <v>695</v>
      </c>
      <c r="J64" s="32">
        <v>50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15.75">
      <c r="A65" s="13">
        <v>43862</v>
      </c>
      <c r="B65" s="41">
        <v>29</v>
      </c>
      <c r="C65" s="32">
        <v>122.58</v>
      </c>
      <c r="D65" s="32">
        <v>297.94099999999997</v>
      </c>
      <c r="E65" s="38">
        <v>729.47900000000004</v>
      </c>
      <c r="F65" s="32">
        <v>1150</v>
      </c>
      <c r="G65" s="32">
        <v>100</v>
      </c>
      <c r="H65" s="40">
        <v>400</v>
      </c>
      <c r="I65" s="32">
        <v>695</v>
      </c>
      <c r="J65" s="32">
        <v>50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15.75">
      <c r="A66" s="13">
        <v>43891</v>
      </c>
      <c r="B66" s="41">
        <v>31</v>
      </c>
      <c r="C66" s="32">
        <v>122.58</v>
      </c>
      <c r="D66" s="32">
        <v>297.94099999999997</v>
      </c>
      <c r="E66" s="38">
        <v>729.47900000000004</v>
      </c>
      <c r="F66" s="32">
        <v>1150</v>
      </c>
      <c r="G66" s="32">
        <v>100</v>
      </c>
      <c r="H66" s="40">
        <v>400</v>
      </c>
      <c r="I66" s="32">
        <v>695</v>
      </c>
      <c r="J66" s="32">
        <v>50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15.75">
      <c r="A67" s="13">
        <v>43922</v>
      </c>
      <c r="B67" s="41">
        <v>30</v>
      </c>
      <c r="C67" s="32">
        <v>141.29300000000001</v>
      </c>
      <c r="D67" s="32">
        <v>267.99299999999999</v>
      </c>
      <c r="E67" s="38">
        <v>829.71400000000006</v>
      </c>
      <c r="F67" s="32">
        <v>1239</v>
      </c>
      <c r="G67" s="32">
        <v>100</v>
      </c>
      <c r="H67" s="40">
        <v>400</v>
      </c>
      <c r="I67" s="32">
        <v>695</v>
      </c>
      <c r="J67" s="32">
        <v>50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15.75">
      <c r="A68" s="13">
        <v>43952</v>
      </c>
      <c r="B68" s="41">
        <v>31</v>
      </c>
      <c r="C68" s="32">
        <v>194.20500000000001</v>
      </c>
      <c r="D68" s="32">
        <v>267.46600000000001</v>
      </c>
      <c r="E68" s="38">
        <v>812.32899999999995</v>
      </c>
      <c r="F68" s="32">
        <v>1274</v>
      </c>
      <c r="G68" s="32">
        <v>75</v>
      </c>
      <c r="H68" s="40">
        <v>600</v>
      </c>
      <c r="I68" s="32">
        <v>695</v>
      </c>
      <c r="J68" s="32">
        <v>50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15.75">
      <c r="A69" s="13">
        <v>43983</v>
      </c>
      <c r="B69" s="41">
        <v>30</v>
      </c>
      <c r="C69" s="32">
        <v>194.20500000000001</v>
      </c>
      <c r="D69" s="32">
        <v>267.46600000000001</v>
      </c>
      <c r="E69" s="38">
        <v>812.32899999999995</v>
      </c>
      <c r="F69" s="32">
        <v>1274</v>
      </c>
      <c r="G69" s="32">
        <v>50</v>
      </c>
      <c r="H69" s="40">
        <v>600</v>
      </c>
      <c r="I69" s="32">
        <v>695</v>
      </c>
      <c r="J69" s="32">
        <v>50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15.75">
      <c r="A70" s="13">
        <v>44013</v>
      </c>
      <c r="B70" s="41">
        <v>31</v>
      </c>
      <c r="C70" s="32">
        <v>194.20500000000001</v>
      </c>
      <c r="D70" s="32">
        <v>267.46600000000001</v>
      </c>
      <c r="E70" s="38">
        <v>812.32899999999995</v>
      </c>
      <c r="F70" s="32">
        <v>1274</v>
      </c>
      <c r="G70" s="32">
        <v>50</v>
      </c>
      <c r="H70" s="40">
        <v>600</v>
      </c>
      <c r="I70" s="32">
        <v>695</v>
      </c>
      <c r="J70" s="32">
        <v>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15.75">
      <c r="A71" s="13">
        <v>44044</v>
      </c>
      <c r="B71" s="41">
        <v>31</v>
      </c>
      <c r="C71" s="32">
        <v>194.20500000000001</v>
      </c>
      <c r="D71" s="32">
        <v>267.46600000000001</v>
      </c>
      <c r="E71" s="38">
        <v>812.32899999999995</v>
      </c>
      <c r="F71" s="32">
        <v>1274</v>
      </c>
      <c r="G71" s="32">
        <v>50</v>
      </c>
      <c r="H71" s="40">
        <v>600</v>
      </c>
      <c r="I71" s="32">
        <v>695</v>
      </c>
      <c r="J71" s="32">
        <v>0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15.75">
      <c r="A72" s="13">
        <v>44075</v>
      </c>
      <c r="B72" s="41">
        <v>30</v>
      </c>
      <c r="C72" s="32">
        <v>194.20500000000001</v>
      </c>
      <c r="D72" s="32">
        <v>267.46600000000001</v>
      </c>
      <c r="E72" s="38">
        <v>812.32899999999995</v>
      </c>
      <c r="F72" s="32">
        <v>1274</v>
      </c>
      <c r="G72" s="32">
        <v>50</v>
      </c>
      <c r="H72" s="40">
        <v>600</v>
      </c>
      <c r="I72" s="32">
        <v>695</v>
      </c>
      <c r="J72" s="32">
        <v>0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15.75">
      <c r="A73" s="13">
        <v>44105</v>
      </c>
      <c r="B73" s="41">
        <v>31</v>
      </c>
      <c r="C73" s="32">
        <v>131.881</v>
      </c>
      <c r="D73" s="32">
        <v>277.16699999999997</v>
      </c>
      <c r="E73" s="38">
        <v>829.952</v>
      </c>
      <c r="F73" s="32">
        <v>1239</v>
      </c>
      <c r="G73" s="32">
        <v>75</v>
      </c>
      <c r="H73" s="40">
        <v>600</v>
      </c>
      <c r="I73" s="32">
        <v>695</v>
      </c>
      <c r="J73" s="32">
        <v>0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15.75">
      <c r="A74" s="13">
        <v>44136</v>
      </c>
      <c r="B74" s="41">
        <v>30</v>
      </c>
      <c r="C74" s="32">
        <v>122.58</v>
      </c>
      <c r="D74" s="32">
        <v>297.94099999999997</v>
      </c>
      <c r="E74" s="38">
        <v>729.47900000000004</v>
      </c>
      <c r="F74" s="32">
        <v>1150</v>
      </c>
      <c r="G74" s="32">
        <v>100</v>
      </c>
      <c r="H74" s="40">
        <v>600</v>
      </c>
      <c r="I74" s="32">
        <v>695</v>
      </c>
      <c r="J74" s="32">
        <v>50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15.75">
      <c r="A75" s="13">
        <v>44166</v>
      </c>
      <c r="B75" s="41">
        <v>31</v>
      </c>
      <c r="C75" s="32">
        <v>122.58</v>
      </c>
      <c r="D75" s="32">
        <v>297.94099999999997</v>
      </c>
      <c r="E75" s="38">
        <v>729.47900000000004</v>
      </c>
      <c r="F75" s="32">
        <v>1150</v>
      </c>
      <c r="G75" s="32">
        <v>100</v>
      </c>
      <c r="H75" s="40">
        <v>600</v>
      </c>
      <c r="I75" s="32">
        <v>695</v>
      </c>
      <c r="J75" s="32">
        <v>50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15.75">
      <c r="A76" s="13">
        <v>44197</v>
      </c>
      <c r="B76" s="41">
        <v>31</v>
      </c>
      <c r="C76" s="32">
        <v>122.58</v>
      </c>
      <c r="D76" s="32">
        <v>297.94099999999997</v>
      </c>
      <c r="E76" s="38">
        <v>729.47900000000004</v>
      </c>
      <c r="F76" s="32">
        <v>1150</v>
      </c>
      <c r="G76" s="32">
        <v>100</v>
      </c>
      <c r="H76" s="40">
        <v>600</v>
      </c>
      <c r="I76" s="32">
        <v>695</v>
      </c>
      <c r="J76" s="32">
        <v>50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5.75">
      <c r="A77" s="13">
        <v>44228</v>
      </c>
      <c r="B77" s="41">
        <v>28</v>
      </c>
      <c r="C77" s="32">
        <v>122.58</v>
      </c>
      <c r="D77" s="32">
        <v>297.94099999999997</v>
      </c>
      <c r="E77" s="38">
        <v>729.47900000000004</v>
      </c>
      <c r="F77" s="32">
        <v>1150</v>
      </c>
      <c r="G77" s="32">
        <v>100</v>
      </c>
      <c r="H77" s="40">
        <v>600</v>
      </c>
      <c r="I77" s="32">
        <v>695</v>
      </c>
      <c r="J77" s="32">
        <v>50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5.75">
      <c r="A78" s="13">
        <v>44256</v>
      </c>
      <c r="B78" s="41">
        <v>31</v>
      </c>
      <c r="C78" s="32">
        <v>122.58</v>
      </c>
      <c r="D78" s="32">
        <v>297.94099999999997</v>
      </c>
      <c r="E78" s="38">
        <v>729.47900000000004</v>
      </c>
      <c r="F78" s="32">
        <v>1150</v>
      </c>
      <c r="G78" s="32">
        <v>100</v>
      </c>
      <c r="H78" s="40">
        <v>600</v>
      </c>
      <c r="I78" s="32">
        <v>695</v>
      </c>
      <c r="J78" s="32">
        <v>50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5.75">
      <c r="A79" s="13">
        <v>44287</v>
      </c>
      <c r="B79" s="41">
        <v>30</v>
      </c>
      <c r="C79" s="32">
        <v>141.29300000000001</v>
      </c>
      <c r="D79" s="32">
        <v>267.99299999999999</v>
      </c>
      <c r="E79" s="38">
        <v>829.71400000000006</v>
      </c>
      <c r="F79" s="32">
        <v>1239</v>
      </c>
      <c r="G79" s="32">
        <v>100</v>
      </c>
      <c r="H79" s="40">
        <v>600</v>
      </c>
      <c r="I79" s="32">
        <v>695</v>
      </c>
      <c r="J79" s="32">
        <v>50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15.75">
      <c r="A80" s="13">
        <v>44317</v>
      </c>
      <c r="B80" s="41">
        <v>31</v>
      </c>
      <c r="C80" s="32">
        <v>194.20500000000001</v>
      </c>
      <c r="D80" s="32">
        <v>267.46600000000001</v>
      </c>
      <c r="E80" s="38">
        <v>812.32899999999995</v>
      </c>
      <c r="F80" s="32">
        <v>1274</v>
      </c>
      <c r="G80" s="32">
        <v>75</v>
      </c>
      <c r="H80" s="40">
        <v>600</v>
      </c>
      <c r="I80" s="32">
        <v>695</v>
      </c>
      <c r="J80" s="32">
        <v>50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15.75">
      <c r="A81" s="13">
        <v>44348</v>
      </c>
      <c r="B81" s="41">
        <v>30</v>
      </c>
      <c r="C81" s="32">
        <v>194.20500000000001</v>
      </c>
      <c r="D81" s="32">
        <v>267.46600000000001</v>
      </c>
      <c r="E81" s="38">
        <v>812.32899999999995</v>
      </c>
      <c r="F81" s="32">
        <v>1274</v>
      </c>
      <c r="G81" s="32">
        <v>50</v>
      </c>
      <c r="H81" s="40">
        <v>600</v>
      </c>
      <c r="I81" s="32">
        <v>695</v>
      </c>
      <c r="J81" s="32">
        <v>50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15.75">
      <c r="A82" s="13">
        <v>44378</v>
      </c>
      <c r="B82" s="41">
        <v>31</v>
      </c>
      <c r="C82" s="32">
        <v>194.20500000000001</v>
      </c>
      <c r="D82" s="32">
        <v>267.46600000000001</v>
      </c>
      <c r="E82" s="38">
        <v>812.32899999999995</v>
      </c>
      <c r="F82" s="32">
        <v>1274</v>
      </c>
      <c r="G82" s="32">
        <v>50</v>
      </c>
      <c r="H82" s="40">
        <v>600</v>
      </c>
      <c r="I82" s="32">
        <v>695</v>
      </c>
      <c r="J82" s="32">
        <v>0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15.75">
      <c r="A83" s="13">
        <v>44409</v>
      </c>
      <c r="B83" s="41">
        <v>31</v>
      </c>
      <c r="C83" s="32">
        <v>194.20500000000001</v>
      </c>
      <c r="D83" s="32">
        <v>267.46600000000001</v>
      </c>
      <c r="E83" s="38">
        <v>812.32899999999995</v>
      </c>
      <c r="F83" s="32">
        <v>1274</v>
      </c>
      <c r="G83" s="32">
        <v>50</v>
      </c>
      <c r="H83" s="40">
        <v>600</v>
      </c>
      <c r="I83" s="32">
        <v>695</v>
      </c>
      <c r="J83" s="32">
        <v>0</v>
      </c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15.75">
      <c r="A84" s="13">
        <v>44440</v>
      </c>
      <c r="B84" s="41">
        <v>30</v>
      </c>
      <c r="C84" s="32">
        <v>194.20500000000001</v>
      </c>
      <c r="D84" s="32">
        <v>267.46600000000001</v>
      </c>
      <c r="E84" s="38">
        <v>812.32899999999995</v>
      </c>
      <c r="F84" s="32">
        <v>1274</v>
      </c>
      <c r="G84" s="32">
        <v>50</v>
      </c>
      <c r="H84" s="40">
        <v>600</v>
      </c>
      <c r="I84" s="32">
        <v>695</v>
      </c>
      <c r="J84" s="32">
        <v>0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15.75">
      <c r="A85" s="13">
        <v>44470</v>
      </c>
      <c r="B85" s="41">
        <v>31</v>
      </c>
      <c r="C85" s="32">
        <v>131.881</v>
      </c>
      <c r="D85" s="32">
        <v>277.16699999999997</v>
      </c>
      <c r="E85" s="38">
        <v>829.952</v>
      </c>
      <c r="F85" s="32">
        <v>1239</v>
      </c>
      <c r="G85" s="32">
        <v>75</v>
      </c>
      <c r="H85" s="40">
        <v>600</v>
      </c>
      <c r="I85" s="32">
        <v>695</v>
      </c>
      <c r="J85" s="32">
        <v>0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15.75">
      <c r="A86" s="13">
        <v>44501</v>
      </c>
      <c r="B86" s="41">
        <v>30</v>
      </c>
      <c r="C86" s="32">
        <v>122.58</v>
      </c>
      <c r="D86" s="32">
        <v>297.94099999999997</v>
      </c>
      <c r="E86" s="38">
        <v>729.47900000000004</v>
      </c>
      <c r="F86" s="32">
        <v>1150</v>
      </c>
      <c r="G86" s="32">
        <v>100</v>
      </c>
      <c r="H86" s="40">
        <v>600</v>
      </c>
      <c r="I86" s="32">
        <v>695</v>
      </c>
      <c r="J86" s="32">
        <v>50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15.75">
      <c r="A87" s="13">
        <v>44531</v>
      </c>
      <c r="B87" s="41">
        <v>31</v>
      </c>
      <c r="C87" s="32">
        <v>122.58</v>
      </c>
      <c r="D87" s="32">
        <v>297.94099999999997</v>
      </c>
      <c r="E87" s="38">
        <v>729.47900000000004</v>
      </c>
      <c r="F87" s="32">
        <v>1150</v>
      </c>
      <c r="G87" s="32">
        <v>100</v>
      </c>
      <c r="H87" s="40">
        <v>600</v>
      </c>
      <c r="I87" s="32">
        <v>695</v>
      </c>
      <c r="J87" s="32">
        <v>50</v>
      </c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15.75">
      <c r="A88" s="13">
        <v>44562</v>
      </c>
      <c r="B88" s="41">
        <v>31</v>
      </c>
      <c r="C88" s="32">
        <v>122.58</v>
      </c>
      <c r="D88" s="32">
        <v>297.94099999999997</v>
      </c>
      <c r="E88" s="38">
        <v>729.47900000000004</v>
      </c>
      <c r="F88" s="32">
        <v>1150</v>
      </c>
      <c r="G88" s="32">
        <v>100</v>
      </c>
      <c r="H88" s="40">
        <v>600</v>
      </c>
      <c r="I88" s="32">
        <v>695</v>
      </c>
      <c r="J88" s="32">
        <v>50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15.75">
      <c r="A89" s="13">
        <v>44593</v>
      </c>
      <c r="B89" s="41">
        <v>28</v>
      </c>
      <c r="C89" s="32">
        <v>122.58</v>
      </c>
      <c r="D89" s="32">
        <v>297.94099999999997</v>
      </c>
      <c r="E89" s="38">
        <v>729.47900000000004</v>
      </c>
      <c r="F89" s="32">
        <v>1150</v>
      </c>
      <c r="G89" s="32">
        <v>100</v>
      </c>
      <c r="H89" s="40">
        <v>600</v>
      </c>
      <c r="I89" s="32">
        <v>695</v>
      </c>
      <c r="J89" s="32">
        <v>50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15.75">
      <c r="A90" s="13">
        <v>44621</v>
      </c>
      <c r="B90" s="41">
        <v>31</v>
      </c>
      <c r="C90" s="32">
        <v>122.58</v>
      </c>
      <c r="D90" s="32">
        <v>297.94099999999997</v>
      </c>
      <c r="E90" s="38">
        <v>729.47900000000004</v>
      </c>
      <c r="F90" s="32">
        <v>1150</v>
      </c>
      <c r="G90" s="32">
        <v>100</v>
      </c>
      <c r="H90" s="40">
        <v>600</v>
      </c>
      <c r="I90" s="32">
        <v>695</v>
      </c>
      <c r="J90" s="32">
        <v>50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15.75">
      <c r="A91" s="13">
        <v>44652</v>
      </c>
      <c r="B91" s="41">
        <v>30</v>
      </c>
      <c r="C91" s="32">
        <v>141.29300000000001</v>
      </c>
      <c r="D91" s="32">
        <v>267.99299999999999</v>
      </c>
      <c r="E91" s="38">
        <v>829.71400000000006</v>
      </c>
      <c r="F91" s="32">
        <v>1239</v>
      </c>
      <c r="G91" s="32">
        <v>100</v>
      </c>
      <c r="H91" s="40">
        <v>600</v>
      </c>
      <c r="I91" s="32">
        <v>695</v>
      </c>
      <c r="J91" s="32">
        <v>50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15.75">
      <c r="A92" s="13">
        <v>44682</v>
      </c>
      <c r="B92" s="41">
        <v>31</v>
      </c>
      <c r="C92" s="32">
        <v>194.20500000000001</v>
      </c>
      <c r="D92" s="32">
        <v>267.46600000000001</v>
      </c>
      <c r="E92" s="38">
        <v>812.32899999999995</v>
      </c>
      <c r="F92" s="32">
        <v>1274</v>
      </c>
      <c r="G92" s="32">
        <v>75</v>
      </c>
      <c r="H92" s="40">
        <v>600</v>
      </c>
      <c r="I92" s="32">
        <v>695</v>
      </c>
      <c r="J92" s="32">
        <v>50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15.75">
      <c r="A93" s="13">
        <v>44713</v>
      </c>
      <c r="B93" s="41">
        <v>30</v>
      </c>
      <c r="C93" s="32">
        <v>194.20500000000001</v>
      </c>
      <c r="D93" s="32">
        <v>267.46600000000001</v>
      </c>
      <c r="E93" s="38">
        <v>812.32899999999995</v>
      </c>
      <c r="F93" s="32">
        <v>1274</v>
      </c>
      <c r="G93" s="32">
        <v>50</v>
      </c>
      <c r="H93" s="40">
        <v>600</v>
      </c>
      <c r="I93" s="32">
        <v>695</v>
      </c>
      <c r="J93" s="32">
        <v>50</v>
      </c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15.75">
      <c r="A94" s="13">
        <v>44743</v>
      </c>
      <c r="B94" s="41">
        <v>31</v>
      </c>
      <c r="C94" s="32">
        <v>194.20500000000001</v>
      </c>
      <c r="D94" s="32">
        <v>267.46600000000001</v>
      </c>
      <c r="E94" s="38">
        <v>812.32899999999995</v>
      </c>
      <c r="F94" s="32">
        <v>1274</v>
      </c>
      <c r="G94" s="32">
        <v>50</v>
      </c>
      <c r="H94" s="40">
        <v>600</v>
      </c>
      <c r="I94" s="32">
        <v>695</v>
      </c>
      <c r="J94" s="32">
        <v>0</v>
      </c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15.75">
      <c r="A95" s="13">
        <v>44774</v>
      </c>
      <c r="B95" s="41">
        <v>31</v>
      </c>
      <c r="C95" s="32">
        <v>194.20500000000001</v>
      </c>
      <c r="D95" s="32">
        <v>267.46600000000001</v>
      </c>
      <c r="E95" s="38">
        <v>812.32899999999995</v>
      </c>
      <c r="F95" s="32">
        <v>1274</v>
      </c>
      <c r="G95" s="32">
        <v>50</v>
      </c>
      <c r="H95" s="40">
        <v>600</v>
      </c>
      <c r="I95" s="32">
        <v>695</v>
      </c>
      <c r="J95" s="32">
        <v>0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15.75">
      <c r="A96" s="13">
        <v>44805</v>
      </c>
      <c r="B96" s="41">
        <v>30</v>
      </c>
      <c r="C96" s="32">
        <v>194.20500000000001</v>
      </c>
      <c r="D96" s="32">
        <v>267.46600000000001</v>
      </c>
      <c r="E96" s="38">
        <v>812.32899999999995</v>
      </c>
      <c r="F96" s="32">
        <v>1274</v>
      </c>
      <c r="G96" s="32">
        <v>50</v>
      </c>
      <c r="H96" s="40">
        <v>600</v>
      </c>
      <c r="I96" s="32">
        <v>695</v>
      </c>
      <c r="J96" s="32">
        <v>0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15.75">
      <c r="A97" s="13">
        <v>44835</v>
      </c>
      <c r="B97" s="41">
        <v>31</v>
      </c>
      <c r="C97" s="32">
        <v>131.881</v>
      </c>
      <c r="D97" s="32">
        <v>277.16699999999997</v>
      </c>
      <c r="E97" s="38">
        <v>829.952</v>
      </c>
      <c r="F97" s="32">
        <v>1239</v>
      </c>
      <c r="G97" s="32">
        <v>75</v>
      </c>
      <c r="H97" s="40">
        <v>600</v>
      </c>
      <c r="I97" s="32">
        <v>695</v>
      </c>
      <c r="J97" s="32">
        <v>0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15.75">
      <c r="A98" s="13">
        <v>44866</v>
      </c>
      <c r="B98" s="41">
        <v>30</v>
      </c>
      <c r="C98" s="32">
        <v>122.58</v>
      </c>
      <c r="D98" s="32">
        <v>297.94099999999997</v>
      </c>
      <c r="E98" s="38">
        <v>729.47900000000004</v>
      </c>
      <c r="F98" s="32">
        <v>1150</v>
      </c>
      <c r="G98" s="32">
        <v>100</v>
      </c>
      <c r="H98" s="40">
        <v>600</v>
      </c>
      <c r="I98" s="32">
        <v>695</v>
      </c>
      <c r="J98" s="32">
        <v>50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15.75">
      <c r="A99" s="13">
        <v>44896</v>
      </c>
      <c r="B99" s="41">
        <v>31</v>
      </c>
      <c r="C99" s="32">
        <v>122.58</v>
      </c>
      <c r="D99" s="32">
        <v>297.94099999999997</v>
      </c>
      <c r="E99" s="38">
        <v>729.47900000000004</v>
      </c>
      <c r="F99" s="32">
        <v>1150</v>
      </c>
      <c r="G99" s="32">
        <v>100</v>
      </c>
      <c r="H99" s="40">
        <v>600</v>
      </c>
      <c r="I99" s="32">
        <v>695</v>
      </c>
      <c r="J99" s="32">
        <v>50</v>
      </c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15.75">
      <c r="A100" s="13">
        <v>44927</v>
      </c>
      <c r="B100" s="41">
        <v>31</v>
      </c>
      <c r="C100" s="32">
        <v>122.58</v>
      </c>
      <c r="D100" s="32">
        <v>297.94099999999997</v>
      </c>
      <c r="E100" s="38">
        <v>729.47900000000004</v>
      </c>
      <c r="F100" s="32">
        <v>1150</v>
      </c>
      <c r="G100" s="32">
        <v>100</v>
      </c>
      <c r="H100" s="40">
        <v>600</v>
      </c>
      <c r="I100" s="32">
        <v>695</v>
      </c>
      <c r="J100" s="32">
        <v>50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15.75">
      <c r="A101" s="13">
        <v>44958</v>
      </c>
      <c r="B101" s="41">
        <v>28</v>
      </c>
      <c r="C101" s="32">
        <v>122.58</v>
      </c>
      <c r="D101" s="32">
        <v>297.94099999999997</v>
      </c>
      <c r="E101" s="38">
        <v>729.47900000000004</v>
      </c>
      <c r="F101" s="32">
        <v>1150</v>
      </c>
      <c r="G101" s="32">
        <v>100</v>
      </c>
      <c r="H101" s="40">
        <v>600</v>
      </c>
      <c r="I101" s="32">
        <v>695</v>
      </c>
      <c r="J101" s="32">
        <v>50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15.75">
      <c r="A102" s="13">
        <v>44986</v>
      </c>
      <c r="B102" s="41">
        <v>31</v>
      </c>
      <c r="C102" s="32">
        <v>122.58</v>
      </c>
      <c r="D102" s="32">
        <v>297.94099999999997</v>
      </c>
      <c r="E102" s="38">
        <v>729.47900000000004</v>
      </c>
      <c r="F102" s="32">
        <v>1150</v>
      </c>
      <c r="G102" s="32">
        <v>100</v>
      </c>
      <c r="H102" s="40">
        <v>600</v>
      </c>
      <c r="I102" s="32">
        <v>695</v>
      </c>
      <c r="J102" s="32">
        <v>50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15.75">
      <c r="A103" s="13">
        <v>45017</v>
      </c>
      <c r="B103" s="41">
        <v>30</v>
      </c>
      <c r="C103" s="32">
        <v>141.29300000000001</v>
      </c>
      <c r="D103" s="32">
        <v>267.99299999999999</v>
      </c>
      <c r="E103" s="38">
        <v>829.71400000000006</v>
      </c>
      <c r="F103" s="32">
        <v>1239</v>
      </c>
      <c r="G103" s="32">
        <v>100</v>
      </c>
      <c r="H103" s="40">
        <v>600</v>
      </c>
      <c r="I103" s="32">
        <v>695</v>
      </c>
      <c r="J103" s="32">
        <v>50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15.75">
      <c r="A104" s="13">
        <v>45047</v>
      </c>
      <c r="B104" s="41">
        <v>31</v>
      </c>
      <c r="C104" s="32">
        <v>194.20500000000001</v>
      </c>
      <c r="D104" s="32">
        <v>267.46600000000001</v>
      </c>
      <c r="E104" s="38">
        <v>812.32899999999995</v>
      </c>
      <c r="F104" s="32">
        <v>1274</v>
      </c>
      <c r="G104" s="32">
        <v>75</v>
      </c>
      <c r="H104" s="40">
        <v>600</v>
      </c>
      <c r="I104" s="32">
        <v>695</v>
      </c>
      <c r="J104" s="32">
        <v>50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15.75">
      <c r="A105" s="13">
        <v>45078</v>
      </c>
      <c r="B105" s="41">
        <v>30</v>
      </c>
      <c r="C105" s="32">
        <v>194.20500000000001</v>
      </c>
      <c r="D105" s="32">
        <v>267.46600000000001</v>
      </c>
      <c r="E105" s="38">
        <v>812.32899999999995</v>
      </c>
      <c r="F105" s="32">
        <v>1274</v>
      </c>
      <c r="G105" s="32">
        <v>50</v>
      </c>
      <c r="H105" s="40">
        <v>600</v>
      </c>
      <c r="I105" s="32">
        <v>695</v>
      </c>
      <c r="J105" s="32">
        <v>50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15.75">
      <c r="A106" s="13">
        <v>45108</v>
      </c>
      <c r="B106" s="41">
        <v>31</v>
      </c>
      <c r="C106" s="32">
        <v>194.20500000000001</v>
      </c>
      <c r="D106" s="32">
        <v>267.46600000000001</v>
      </c>
      <c r="E106" s="38">
        <v>812.32899999999995</v>
      </c>
      <c r="F106" s="32">
        <v>1274</v>
      </c>
      <c r="G106" s="32">
        <v>50</v>
      </c>
      <c r="H106" s="40">
        <v>600</v>
      </c>
      <c r="I106" s="32">
        <v>695</v>
      </c>
      <c r="J106" s="32">
        <v>0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15.75">
      <c r="A107" s="13">
        <v>45139</v>
      </c>
      <c r="B107" s="41">
        <v>31</v>
      </c>
      <c r="C107" s="32">
        <v>194.20500000000001</v>
      </c>
      <c r="D107" s="32">
        <v>267.46600000000001</v>
      </c>
      <c r="E107" s="38">
        <v>812.32899999999995</v>
      </c>
      <c r="F107" s="32">
        <v>1274</v>
      </c>
      <c r="G107" s="32">
        <v>50</v>
      </c>
      <c r="H107" s="40">
        <v>600</v>
      </c>
      <c r="I107" s="32">
        <v>695</v>
      </c>
      <c r="J107" s="32">
        <v>0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15.75">
      <c r="A108" s="13">
        <v>45170</v>
      </c>
      <c r="B108" s="41">
        <v>30</v>
      </c>
      <c r="C108" s="32">
        <v>194.20500000000001</v>
      </c>
      <c r="D108" s="32">
        <v>267.46600000000001</v>
      </c>
      <c r="E108" s="38">
        <v>812.32899999999995</v>
      </c>
      <c r="F108" s="32">
        <v>1274</v>
      </c>
      <c r="G108" s="32">
        <v>50</v>
      </c>
      <c r="H108" s="40">
        <v>600</v>
      </c>
      <c r="I108" s="32">
        <v>695</v>
      </c>
      <c r="J108" s="32">
        <v>0</v>
      </c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15.75">
      <c r="A109" s="13">
        <v>45200</v>
      </c>
      <c r="B109" s="41">
        <v>31</v>
      </c>
      <c r="C109" s="32">
        <v>131.881</v>
      </c>
      <c r="D109" s="32">
        <v>277.16699999999997</v>
      </c>
      <c r="E109" s="38">
        <v>829.952</v>
      </c>
      <c r="F109" s="32">
        <v>1239</v>
      </c>
      <c r="G109" s="32">
        <v>75</v>
      </c>
      <c r="H109" s="40">
        <v>600</v>
      </c>
      <c r="I109" s="32">
        <v>695</v>
      </c>
      <c r="J109" s="32">
        <v>0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15.75">
      <c r="A110" s="13">
        <v>45231</v>
      </c>
      <c r="B110" s="41">
        <v>30</v>
      </c>
      <c r="C110" s="32">
        <v>122.58</v>
      </c>
      <c r="D110" s="32">
        <v>297.94099999999997</v>
      </c>
      <c r="E110" s="38">
        <v>729.47900000000004</v>
      </c>
      <c r="F110" s="32">
        <v>1150</v>
      </c>
      <c r="G110" s="32">
        <v>100</v>
      </c>
      <c r="H110" s="40">
        <v>600</v>
      </c>
      <c r="I110" s="32">
        <v>695</v>
      </c>
      <c r="J110" s="32">
        <v>50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15.75">
      <c r="A111" s="13">
        <v>45261</v>
      </c>
      <c r="B111" s="41">
        <v>31</v>
      </c>
      <c r="C111" s="32">
        <v>122.58</v>
      </c>
      <c r="D111" s="32">
        <v>297.94099999999997</v>
      </c>
      <c r="E111" s="38">
        <v>729.47900000000004</v>
      </c>
      <c r="F111" s="32">
        <v>1150</v>
      </c>
      <c r="G111" s="32">
        <v>100</v>
      </c>
      <c r="H111" s="40">
        <v>600</v>
      </c>
      <c r="I111" s="32">
        <v>695</v>
      </c>
      <c r="J111" s="32">
        <v>50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15.75">
      <c r="A112" s="13">
        <v>45292</v>
      </c>
      <c r="B112" s="41">
        <v>31</v>
      </c>
      <c r="C112" s="32">
        <v>122.58</v>
      </c>
      <c r="D112" s="32">
        <v>297.94099999999997</v>
      </c>
      <c r="E112" s="38">
        <v>729.47900000000004</v>
      </c>
      <c r="F112" s="32">
        <v>1150</v>
      </c>
      <c r="G112" s="32">
        <v>100</v>
      </c>
      <c r="H112" s="40">
        <v>600</v>
      </c>
      <c r="I112" s="32">
        <v>695</v>
      </c>
      <c r="J112" s="32">
        <v>50</v>
      </c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.75">
      <c r="A113" s="13">
        <v>45323</v>
      </c>
      <c r="B113" s="41">
        <v>29</v>
      </c>
      <c r="C113" s="32">
        <v>122.58</v>
      </c>
      <c r="D113" s="32">
        <v>297.94099999999997</v>
      </c>
      <c r="E113" s="38">
        <v>729.47900000000004</v>
      </c>
      <c r="F113" s="32">
        <v>1150</v>
      </c>
      <c r="G113" s="32">
        <v>100</v>
      </c>
      <c r="H113" s="40">
        <v>600</v>
      </c>
      <c r="I113" s="32">
        <v>695</v>
      </c>
      <c r="J113" s="32">
        <v>50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.75">
      <c r="A114" s="13">
        <v>45352</v>
      </c>
      <c r="B114" s="41">
        <v>31</v>
      </c>
      <c r="C114" s="32">
        <v>122.58</v>
      </c>
      <c r="D114" s="32">
        <v>297.94099999999997</v>
      </c>
      <c r="E114" s="38">
        <v>729.47900000000004</v>
      </c>
      <c r="F114" s="32">
        <v>1150</v>
      </c>
      <c r="G114" s="32">
        <v>100</v>
      </c>
      <c r="H114" s="40">
        <v>600</v>
      </c>
      <c r="I114" s="32">
        <v>695</v>
      </c>
      <c r="J114" s="32">
        <v>50</v>
      </c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15.75">
      <c r="A115" s="13">
        <v>45383</v>
      </c>
      <c r="B115" s="41">
        <v>30</v>
      </c>
      <c r="C115" s="32">
        <v>141.29300000000001</v>
      </c>
      <c r="D115" s="32">
        <v>267.99299999999999</v>
      </c>
      <c r="E115" s="38">
        <v>829.71400000000006</v>
      </c>
      <c r="F115" s="32">
        <v>1239</v>
      </c>
      <c r="G115" s="32">
        <v>100</v>
      </c>
      <c r="H115" s="40">
        <v>600</v>
      </c>
      <c r="I115" s="32">
        <v>695</v>
      </c>
      <c r="J115" s="32">
        <v>50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15.75">
      <c r="A116" s="13">
        <v>45413</v>
      </c>
      <c r="B116" s="41">
        <v>31</v>
      </c>
      <c r="C116" s="32">
        <v>194.20500000000001</v>
      </c>
      <c r="D116" s="32">
        <v>267.46600000000001</v>
      </c>
      <c r="E116" s="38">
        <v>812.32899999999995</v>
      </c>
      <c r="F116" s="32">
        <v>1274</v>
      </c>
      <c r="G116" s="32">
        <v>75</v>
      </c>
      <c r="H116" s="40">
        <v>600</v>
      </c>
      <c r="I116" s="32">
        <v>695</v>
      </c>
      <c r="J116" s="32">
        <v>50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15.75">
      <c r="A117" s="13">
        <v>45444</v>
      </c>
      <c r="B117" s="41">
        <v>30</v>
      </c>
      <c r="C117" s="32">
        <v>194.20500000000001</v>
      </c>
      <c r="D117" s="32">
        <v>267.46600000000001</v>
      </c>
      <c r="E117" s="38">
        <v>812.32899999999995</v>
      </c>
      <c r="F117" s="32">
        <v>1274</v>
      </c>
      <c r="G117" s="32">
        <v>50</v>
      </c>
      <c r="H117" s="40">
        <v>600</v>
      </c>
      <c r="I117" s="32">
        <v>695</v>
      </c>
      <c r="J117" s="32">
        <v>50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15.75">
      <c r="A118" s="13">
        <v>45474</v>
      </c>
      <c r="B118" s="41">
        <v>31</v>
      </c>
      <c r="C118" s="32">
        <v>194.20500000000001</v>
      </c>
      <c r="D118" s="32">
        <v>267.46600000000001</v>
      </c>
      <c r="E118" s="38">
        <v>812.32899999999995</v>
      </c>
      <c r="F118" s="32">
        <v>1274</v>
      </c>
      <c r="G118" s="32">
        <v>50</v>
      </c>
      <c r="H118" s="40">
        <v>600</v>
      </c>
      <c r="I118" s="32">
        <v>695</v>
      </c>
      <c r="J118" s="32">
        <v>0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5.75">
      <c r="A119" s="13">
        <v>45505</v>
      </c>
      <c r="B119" s="41">
        <v>31</v>
      </c>
      <c r="C119" s="32">
        <v>194.20500000000001</v>
      </c>
      <c r="D119" s="32">
        <v>267.46600000000001</v>
      </c>
      <c r="E119" s="38">
        <v>812.32899999999995</v>
      </c>
      <c r="F119" s="32">
        <v>1274</v>
      </c>
      <c r="G119" s="32">
        <v>50</v>
      </c>
      <c r="H119" s="40">
        <v>600</v>
      </c>
      <c r="I119" s="32">
        <v>695</v>
      </c>
      <c r="J119" s="32">
        <v>0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5.75">
      <c r="A120" s="13">
        <v>45536</v>
      </c>
      <c r="B120" s="41">
        <v>30</v>
      </c>
      <c r="C120" s="32">
        <v>194.20500000000001</v>
      </c>
      <c r="D120" s="32">
        <v>267.46600000000001</v>
      </c>
      <c r="E120" s="38">
        <v>812.32899999999995</v>
      </c>
      <c r="F120" s="32">
        <v>1274</v>
      </c>
      <c r="G120" s="32">
        <v>50</v>
      </c>
      <c r="H120" s="40">
        <v>600</v>
      </c>
      <c r="I120" s="32">
        <v>695</v>
      </c>
      <c r="J120" s="32">
        <v>0</v>
      </c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15.75">
      <c r="A121" s="13">
        <v>45566</v>
      </c>
      <c r="B121" s="41">
        <v>31</v>
      </c>
      <c r="C121" s="32">
        <v>131.881</v>
      </c>
      <c r="D121" s="32">
        <v>277.16699999999997</v>
      </c>
      <c r="E121" s="38">
        <v>829.952</v>
      </c>
      <c r="F121" s="32">
        <v>1239</v>
      </c>
      <c r="G121" s="32">
        <v>75</v>
      </c>
      <c r="H121" s="40">
        <v>600</v>
      </c>
      <c r="I121" s="32">
        <v>695</v>
      </c>
      <c r="J121" s="32">
        <v>0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15.75">
      <c r="A122" s="13">
        <v>45597</v>
      </c>
      <c r="B122" s="41">
        <v>30</v>
      </c>
      <c r="C122" s="32">
        <v>122.58</v>
      </c>
      <c r="D122" s="32">
        <v>297.94099999999997</v>
      </c>
      <c r="E122" s="38">
        <v>729.47900000000004</v>
      </c>
      <c r="F122" s="32">
        <v>1150</v>
      </c>
      <c r="G122" s="32">
        <v>100</v>
      </c>
      <c r="H122" s="40">
        <v>600</v>
      </c>
      <c r="I122" s="32">
        <v>695</v>
      </c>
      <c r="J122" s="32">
        <v>50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15.75">
      <c r="A123" s="13">
        <v>45627</v>
      </c>
      <c r="B123" s="41">
        <v>31</v>
      </c>
      <c r="C123" s="32">
        <v>122.58</v>
      </c>
      <c r="D123" s="32">
        <v>297.94099999999997</v>
      </c>
      <c r="E123" s="38">
        <v>729.47900000000004</v>
      </c>
      <c r="F123" s="32">
        <v>1150</v>
      </c>
      <c r="G123" s="32">
        <v>100</v>
      </c>
      <c r="H123" s="40">
        <v>600</v>
      </c>
      <c r="I123" s="32">
        <v>695</v>
      </c>
      <c r="J123" s="32">
        <v>50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15.75">
      <c r="A124" s="13">
        <v>45658</v>
      </c>
      <c r="B124" s="41">
        <v>31</v>
      </c>
      <c r="C124" s="32">
        <v>122.58</v>
      </c>
      <c r="D124" s="32">
        <v>297.94099999999997</v>
      </c>
      <c r="E124" s="38">
        <v>729.47900000000004</v>
      </c>
      <c r="F124" s="32">
        <v>1150</v>
      </c>
      <c r="G124" s="32">
        <v>100</v>
      </c>
      <c r="H124" s="40">
        <v>600</v>
      </c>
      <c r="I124" s="32">
        <v>695</v>
      </c>
      <c r="J124" s="32">
        <v>50</v>
      </c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15.75">
      <c r="A125" s="13">
        <v>45689</v>
      </c>
      <c r="B125" s="41">
        <v>28</v>
      </c>
      <c r="C125" s="32">
        <v>122.58</v>
      </c>
      <c r="D125" s="32">
        <v>297.94099999999997</v>
      </c>
      <c r="E125" s="38">
        <v>729.47900000000004</v>
      </c>
      <c r="F125" s="32">
        <v>1150</v>
      </c>
      <c r="G125" s="32">
        <v>100</v>
      </c>
      <c r="H125" s="40">
        <v>600</v>
      </c>
      <c r="I125" s="32">
        <v>695</v>
      </c>
      <c r="J125" s="32">
        <v>50</v>
      </c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15.75">
      <c r="A126" s="13">
        <v>45717</v>
      </c>
      <c r="B126" s="41">
        <v>31</v>
      </c>
      <c r="C126" s="32">
        <v>122.58</v>
      </c>
      <c r="D126" s="32">
        <v>297.94099999999997</v>
      </c>
      <c r="E126" s="38">
        <v>729.47900000000004</v>
      </c>
      <c r="F126" s="32">
        <v>1150</v>
      </c>
      <c r="G126" s="32">
        <v>100</v>
      </c>
      <c r="H126" s="40">
        <v>600</v>
      </c>
      <c r="I126" s="32">
        <v>695</v>
      </c>
      <c r="J126" s="32">
        <v>50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5.75">
      <c r="A127" s="13">
        <v>45748</v>
      </c>
      <c r="B127" s="41">
        <v>30</v>
      </c>
      <c r="C127" s="32">
        <v>141.29300000000001</v>
      </c>
      <c r="D127" s="32">
        <v>267.99299999999999</v>
      </c>
      <c r="E127" s="38">
        <v>829.71400000000006</v>
      </c>
      <c r="F127" s="32">
        <v>1239</v>
      </c>
      <c r="G127" s="32">
        <v>100</v>
      </c>
      <c r="H127" s="40">
        <v>600</v>
      </c>
      <c r="I127" s="32">
        <v>695</v>
      </c>
      <c r="J127" s="32">
        <v>50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15.75">
      <c r="A128" s="13">
        <v>45778</v>
      </c>
      <c r="B128" s="41">
        <v>31</v>
      </c>
      <c r="C128" s="32">
        <v>194.20500000000001</v>
      </c>
      <c r="D128" s="32">
        <v>267.46600000000001</v>
      </c>
      <c r="E128" s="38">
        <v>812.32899999999995</v>
      </c>
      <c r="F128" s="32">
        <v>1274</v>
      </c>
      <c r="G128" s="32">
        <v>75</v>
      </c>
      <c r="H128" s="40">
        <v>600</v>
      </c>
      <c r="I128" s="32">
        <v>695</v>
      </c>
      <c r="J128" s="32">
        <v>50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ht="15.75">
      <c r="A129" s="13">
        <v>45809</v>
      </c>
      <c r="B129" s="41">
        <v>30</v>
      </c>
      <c r="C129" s="32">
        <v>194.20500000000001</v>
      </c>
      <c r="D129" s="32">
        <v>267.46600000000001</v>
      </c>
      <c r="E129" s="38">
        <v>812.32899999999995</v>
      </c>
      <c r="F129" s="32">
        <v>1274</v>
      </c>
      <c r="G129" s="32">
        <v>50</v>
      </c>
      <c r="H129" s="40">
        <v>600</v>
      </c>
      <c r="I129" s="32">
        <v>695</v>
      </c>
      <c r="J129" s="32">
        <v>50</v>
      </c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.75">
      <c r="A130" s="13">
        <v>45839</v>
      </c>
      <c r="B130" s="41">
        <v>31</v>
      </c>
      <c r="C130" s="32">
        <v>194.20500000000001</v>
      </c>
      <c r="D130" s="32">
        <v>267.46600000000001</v>
      </c>
      <c r="E130" s="38">
        <v>812.32899999999995</v>
      </c>
      <c r="F130" s="32">
        <v>1274</v>
      </c>
      <c r="G130" s="32">
        <v>50</v>
      </c>
      <c r="H130" s="40">
        <v>600</v>
      </c>
      <c r="I130" s="32">
        <v>695</v>
      </c>
      <c r="J130" s="32">
        <v>0</v>
      </c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.75">
      <c r="A131" s="13">
        <v>45870</v>
      </c>
      <c r="B131" s="41">
        <v>31</v>
      </c>
      <c r="C131" s="32">
        <v>194.20500000000001</v>
      </c>
      <c r="D131" s="32">
        <v>267.46600000000001</v>
      </c>
      <c r="E131" s="38">
        <v>812.32899999999995</v>
      </c>
      <c r="F131" s="32">
        <v>1274</v>
      </c>
      <c r="G131" s="32">
        <v>50</v>
      </c>
      <c r="H131" s="40">
        <v>600</v>
      </c>
      <c r="I131" s="32">
        <v>695</v>
      </c>
      <c r="J131" s="32">
        <v>0</v>
      </c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 ht="15.75">
      <c r="A132" s="13">
        <v>45901</v>
      </c>
      <c r="B132" s="41">
        <v>30</v>
      </c>
      <c r="C132" s="32">
        <v>194.20500000000001</v>
      </c>
      <c r="D132" s="32">
        <v>267.46600000000001</v>
      </c>
      <c r="E132" s="38">
        <v>812.32899999999995</v>
      </c>
      <c r="F132" s="32">
        <v>1274</v>
      </c>
      <c r="G132" s="32">
        <v>50</v>
      </c>
      <c r="H132" s="40">
        <v>600</v>
      </c>
      <c r="I132" s="32">
        <v>695</v>
      </c>
      <c r="J132" s="32">
        <v>0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 ht="15.75">
      <c r="A133" s="13">
        <v>45931</v>
      </c>
      <c r="B133" s="41">
        <v>31</v>
      </c>
      <c r="C133" s="32">
        <v>131.881</v>
      </c>
      <c r="D133" s="32">
        <v>277.16699999999997</v>
      </c>
      <c r="E133" s="38">
        <v>829.952</v>
      </c>
      <c r="F133" s="32">
        <v>1239</v>
      </c>
      <c r="G133" s="32">
        <v>75</v>
      </c>
      <c r="H133" s="40">
        <v>600</v>
      </c>
      <c r="I133" s="32">
        <v>695</v>
      </c>
      <c r="J133" s="32">
        <v>0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 ht="15.75">
      <c r="A134" s="13">
        <v>45962</v>
      </c>
      <c r="B134" s="41">
        <v>30</v>
      </c>
      <c r="C134" s="32">
        <v>122.58</v>
      </c>
      <c r="D134" s="32">
        <v>297.94099999999997</v>
      </c>
      <c r="E134" s="38">
        <v>729.47900000000004</v>
      </c>
      <c r="F134" s="32">
        <v>1150</v>
      </c>
      <c r="G134" s="32">
        <v>100</v>
      </c>
      <c r="H134" s="40">
        <v>600</v>
      </c>
      <c r="I134" s="32">
        <v>695</v>
      </c>
      <c r="J134" s="32">
        <v>50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 ht="15.75">
      <c r="A135" s="13">
        <v>45992</v>
      </c>
      <c r="B135" s="41">
        <v>31</v>
      </c>
      <c r="C135" s="32">
        <v>122.58</v>
      </c>
      <c r="D135" s="32">
        <v>297.94099999999997</v>
      </c>
      <c r="E135" s="38">
        <v>729.47900000000004</v>
      </c>
      <c r="F135" s="32">
        <v>1150</v>
      </c>
      <c r="G135" s="32">
        <v>100</v>
      </c>
      <c r="H135" s="40">
        <v>600</v>
      </c>
      <c r="I135" s="32">
        <v>695</v>
      </c>
      <c r="J135" s="32">
        <v>50</v>
      </c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 ht="15.75">
      <c r="A136" s="13">
        <v>46023</v>
      </c>
      <c r="B136" s="41">
        <v>31</v>
      </c>
      <c r="C136" s="32">
        <v>122.58</v>
      </c>
      <c r="D136" s="32">
        <v>297.94099999999997</v>
      </c>
      <c r="E136" s="38">
        <v>729.47900000000004</v>
      </c>
      <c r="F136" s="32">
        <v>1150</v>
      </c>
      <c r="G136" s="32">
        <v>100</v>
      </c>
      <c r="H136" s="40">
        <v>600</v>
      </c>
      <c r="I136" s="32">
        <v>695</v>
      </c>
      <c r="J136" s="32">
        <v>50</v>
      </c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 ht="15.75">
      <c r="A137" s="13">
        <v>46054</v>
      </c>
      <c r="B137" s="41">
        <v>28</v>
      </c>
      <c r="C137" s="32">
        <v>122.58</v>
      </c>
      <c r="D137" s="32">
        <v>297.94099999999997</v>
      </c>
      <c r="E137" s="38">
        <v>729.47900000000004</v>
      </c>
      <c r="F137" s="32">
        <v>1150</v>
      </c>
      <c r="G137" s="32">
        <v>100</v>
      </c>
      <c r="H137" s="40">
        <v>600</v>
      </c>
      <c r="I137" s="32">
        <v>695</v>
      </c>
      <c r="J137" s="32">
        <v>50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 ht="15.75">
      <c r="A138" s="13">
        <v>46082</v>
      </c>
      <c r="B138" s="41">
        <v>31</v>
      </c>
      <c r="C138" s="32">
        <v>122.58</v>
      </c>
      <c r="D138" s="32">
        <v>297.94099999999997</v>
      </c>
      <c r="E138" s="38">
        <v>729.47900000000004</v>
      </c>
      <c r="F138" s="32">
        <v>1150</v>
      </c>
      <c r="G138" s="32">
        <v>100</v>
      </c>
      <c r="H138" s="40">
        <v>600</v>
      </c>
      <c r="I138" s="32">
        <v>695</v>
      </c>
      <c r="J138" s="32">
        <v>50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 ht="15.75">
      <c r="A139" s="13">
        <v>46113</v>
      </c>
      <c r="B139" s="41">
        <v>30</v>
      </c>
      <c r="C139" s="32">
        <v>141.29300000000001</v>
      </c>
      <c r="D139" s="32">
        <v>267.99299999999999</v>
      </c>
      <c r="E139" s="38">
        <v>829.71400000000006</v>
      </c>
      <c r="F139" s="32">
        <v>1239</v>
      </c>
      <c r="G139" s="32">
        <v>100</v>
      </c>
      <c r="H139" s="40">
        <v>600</v>
      </c>
      <c r="I139" s="32">
        <v>695</v>
      </c>
      <c r="J139" s="32">
        <v>50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 ht="15.75">
      <c r="A140" s="13">
        <v>46143</v>
      </c>
      <c r="B140" s="41">
        <v>31</v>
      </c>
      <c r="C140" s="32">
        <v>194.20500000000001</v>
      </c>
      <c r="D140" s="32">
        <v>267.46600000000001</v>
      </c>
      <c r="E140" s="38">
        <v>812.32899999999995</v>
      </c>
      <c r="F140" s="32">
        <v>1274</v>
      </c>
      <c r="G140" s="32">
        <v>75</v>
      </c>
      <c r="H140" s="40">
        <v>600</v>
      </c>
      <c r="I140" s="32">
        <v>695</v>
      </c>
      <c r="J140" s="32">
        <v>50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 ht="15.75">
      <c r="A141" s="13">
        <v>46174</v>
      </c>
      <c r="B141" s="41">
        <v>30</v>
      </c>
      <c r="C141" s="32">
        <v>194.20500000000001</v>
      </c>
      <c r="D141" s="32">
        <v>267.46600000000001</v>
      </c>
      <c r="E141" s="38">
        <v>812.32899999999995</v>
      </c>
      <c r="F141" s="32">
        <v>1274</v>
      </c>
      <c r="G141" s="32">
        <v>50</v>
      </c>
      <c r="H141" s="40">
        <v>600</v>
      </c>
      <c r="I141" s="32">
        <v>695</v>
      </c>
      <c r="J141" s="32">
        <v>50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 ht="15.75">
      <c r="A142" s="13">
        <v>46204</v>
      </c>
      <c r="B142" s="41">
        <v>31</v>
      </c>
      <c r="C142" s="32">
        <v>194.20500000000001</v>
      </c>
      <c r="D142" s="32">
        <v>267.46600000000001</v>
      </c>
      <c r="E142" s="38">
        <v>812.32899999999995</v>
      </c>
      <c r="F142" s="32">
        <v>1274</v>
      </c>
      <c r="G142" s="32">
        <v>50</v>
      </c>
      <c r="H142" s="40">
        <v>600</v>
      </c>
      <c r="I142" s="32">
        <v>695</v>
      </c>
      <c r="J142" s="32">
        <v>0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 ht="15.75">
      <c r="A143" s="13">
        <v>46235</v>
      </c>
      <c r="B143" s="41">
        <v>31</v>
      </c>
      <c r="C143" s="32">
        <v>194.20500000000001</v>
      </c>
      <c r="D143" s="32">
        <v>267.46600000000001</v>
      </c>
      <c r="E143" s="38">
        <v>812.32899999999995</v>
      </c>
      <c r="F143" s="32">
        <v>1274</v>
      </c>
      <c r="G143" s="32">
        <v>50</v>
      </c>
      <c r="H143" s="40">
        <v>600</v>
      </c>
      <c r="I143" s="32">
        <v>695</v>
      </c>
      <c r="J143" s="32">
        <v>0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 ht="15.75">
      <c r="A144" s="13">
        <v>46266</v>
      </c>
      <c r="B144" s="41">
        <v>30</v>
      </c>
      <c r="C144" s="32">
        <v>194.20500000000001</v>
      </c>
      <c r="D144" s="32">
        <v>267.46600000000001</v>
      </c>
      <c r="E144" s="38">
        <v>812.32899999999995</v>
      </c>
      <c r="F144" s="32">
        <v>1274</v>
      </c>
      <c r="G144" s="32">
        <v>50</v>
      </c>
      <c r="H144" s="40">
        <v>600</v>
      </c>
      <c r="I144" s="32">
        <v>695</v>
      </c>
      <c r="J144" s="32">
        <v>0</v>
      </c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 ht="15.75">
      <c r="A145" s="13">
        <v>46296</v>
      </c>
      <c r="B145" s="41">
        <v>31</v>
      </c>
      <c r="C145" s="32">
        <v>131.881</v>
      </c>
      <c r="D145" s="32">
        <v>277.16699999999997</v>
      </c>
      <c r="E145" s="38">
        <v>829.952</v>
      </c>
      <c r="F145" s="32">
        <v>1239</v>
      </c>
      <c r="G145" s="32">
        <v>75</v>
      </c>
      <c r="H145" s="40">
        <v>600</v>
      </c>
      <c r="I145" s="32">
        <v>695</v>
      </c>
      <c r="J145" s="32">
        <v>0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 ht="15.75">
      <c r="A146" s="13">
        <v>46327</v>
      </c>
      <c r="B146" s="41">
        <v>30</v>
      </c>
      <c r="C146" s="32">
        <v>122.58</v>
      </c>
      <c r="D146" s="32">
        <v>297.94099999999997</v>
      </c>
      <c r="E146" s="38">
        <v>729.47900000000004</v>
      </c>
      <c r="F146" s="32">
        <v>1150</v>
      </c>
      <c r="G146" s="32">
        <v>100</v>
      </c>
      <c r="H146" s="40">
        <v>600</v>
      </c>
      <c r="I146" s="32">
        <v>695</v>
      </c>
      <c r="J146" s="32">
        <v>50</v>
      </c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 ht="15.75">
      <c r="A147" s="13">
        <v>46357</v>
      </c>
      <c r="B147" s="41">
        <v>31</v>
      </c>
      <c r="C147" s="32">
        <v>122.58</v>
      </c>
      <c r="D147" s="32">
        <v>297.94099999999997</v>
      </c>
      <c r="E147" s="38">
        <v>729.47900000000004</v>
      </c>
      <c r="F147" s="32">
        <v>1150</v>
      </c>
      <c r="G147" s="32">
        <v>100</v>
      </c>
      <c r="H147" s="40">
        <v>600</v>
      </c>
      <c r="I147" s="32">
        <v>695</v>
      </c>
      <c r="J147" s="32">
        <v>50</v>
      </c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 ht="15.75">
      <c r="A148" s="13">
        <v>46388</v>
      </c>
      <c r="B148" s="41">
        <v>31</v>
      </c>
      <c r="C148" s="32">
        <v>122.58</v>
      </c>
      <c r="D148" s="32">
        <v>297.94099999999997</v>
      </c>
      <c r="E148" s="38">
        <v>729.47900000000004</v>
      </c>
      <c r="F148" s="32">
        <v>1150</v>
      </c>
      <c r="G148" s="32">
        <v>100</v>
      </c>
      <c r="H148" s="40">
        <v>600</v>
      </c>
      <c r="I148" s="32">
        <v>695</v>
      </c>
      <c r="J148" s="32">
        <v>50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 ht="15.75">
      <c r="A149" s="13">
        <v>46419</v>
      </c>
      <c r="B149" s="41">
        <v>28</v>
      </c>
      <c r="C149" s="32">
        <v>122.58</v>
      </c>
      <c r="D149" s="32">
        <v>297.94099999999997</v>
      </c>
      <c r="E149" s="38">
        <v>729.47900000000004</v>
      </c>
      <c r="F149" s="32">
        <v>1150</v>
      </c>
      <c r="G149" s="32">
        <v>100</v>
      </c>
      <c r="H149" s="40">
        <v>600</v>
      </c>
      <c r="I149" s="32">
        <v>695</v>
      </c>
      <c r="J149" s="32">
        <v>50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 ht="15.75">
      <c r="A150" s="13">
        <v>46447</v>
      </c>
      <c r="B150" s="41">
        <v>31</v>
      </c>
      <c r="C150" s="32">
        <v>122.58</v>
      </c>
      <c r="D150" s="32">
        <v>297.94099999999997</v>
      </c>
      <c r="E150" s="38">
        <v>729.47900000000004</v>
      </c>
      <c r="F150" s="32">
        <v>1150</v>
      </c>
      <c r="G150" s="32">
        <v>100</v>
      </c>
      <c r="H150" s="40">
        <v>600</v>
      </c>
      <c r="I150" s="32">
        <v>695</v>
      </c>
      <c r="J150" s="32">
        <v>50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 ht="15.75">
      <c r="A151" s="13">
        <v>46478</v>
      </c>
      <c r="B151" s="41">
        <v>30</v>
      </c>
      <c r="C151" s="32">
        <v>141.29300000000001</v>
      </c>
      <c r="D151" s="32">
        <v>267.99299999999999</v>
      </c>
      <c r="E151" s="38">
        <v>829.71400000000006</v>
      </c>
      <c r="F151" s="32">
        <v>1239</v>
      </c>
      <c r="G151" s="32">
        <v>100</v>
      </c>
      <c r="H151" s="40">
        <v>600</v>
      </c>
      <c r="I151" s="32">
        <v>695</v>
      </c>
      <c r="J151" s="32">
        <v>50</v>
      </c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 ht="15.75">
      <c r="A152" s="13">
        <v>46508</v>
      </c>
      <c r="B152" s="41">
        <v>31</v>
      </c>
      <c r="C152" s="32">
        <v>194.20500000000001</v>
      </c>
      <c r="D152" s="32">
        <v>267.46600000000001</v>
      </c>
      <c r="E152" s="38">
        <v>812.32899999999995</v>
      </c>
      <c r="F152" s="32">
        <v>1274</v>
      </c>
      <c r="G152" s="32">
        <v>75</v>
      </c>
      <c r="H152" s="40">
        <v>600</v>
      </c>
      <c r="I152" s="32">
        <v>695</v>
      </c>
      <c r="J152" s="32">
        <v>50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 ht="15.75">
      <c r="A153" s="13">
        <v>46539</v>
      </c>
      <c r="B153" s="41">
        <v>30</v>
      </c>
      <c r="C153" s="32">
        <v>194.20500000000001</v>
      </c>
      <c r="D153" s="32">
        <v>267.46600000000001</v>
      </c>
      <c r="E153" s="38">
        <v>812.32899999999995</v>
      </c>
      <c r="F153" s="32">
        <v>1274</v>
      </c>
      <c r="G153" s="32">
        <v>50</v>
      </c>
      <c r="H153" s="40">
        <v>600</v>
      </c>
      <c r="I153" s="32">
        <v>695</v>
      </c>
      <c r="J153" s="32">
        <v>50</v>
      </c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 ht="15.75">
      <c r="A154" s="13">
        <v>46569</v>
      </c>
      <c r="B154" s="41">
        <v>31</v>
      </c>
      <c r="C154" s="32">
        <v>194.20500000000001</v>
      </c>
      <c r="D154" s="32">
        <v>267.46600000000001</v>
      </c>
      <c r="E154" s="38">
        <v>812.32899999999995</v>
      </c>
      <c r="F154" s="32">
        <v>1274</v>
      </c>
      <c r="G154" s="32">
        <v>50</v>
      </c>
      <c r="H154" s="40">
        <v>600</v>
      </c>
      <c r="I154" s="32">
        <v>695</v>
      </c>
      <c r="J154" s="32">
        <v>0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 ht="15.75">
      <c r="A155" s="13">
        <v>46600</v>
      </c>
      <c r="B155" s="41">
        <v>31</v>
      </c>
      <c r="C155" s="32">
        <v>194.20500000000001</v>
      </c>
      <c r="D155" s="32">
        <v>267.46600000000001</v>
      </c>
      <c r="E155" s="38">
        <v>812.32899999999995</v>
      </c>
      <c r="F155" s="32">
        <v>1274</v>
      </c>
      <c r="G155" s="32">
        <v>50</v>
      </c>
      <c r="H155" s="40">
        <v>600</v>
      </c>
      <c r="I155" s="32">
        <v>695</v>
      </c>
      <c r="J155" s="32">
        <v>0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 ht="15.75">
      <c r="A156" s="13">
        <v>46631</v>
      </c>
      <c r="B156" s="41">
        <v>30</v>
      </c>
      <c r="C156" s="32">
        <v>194.20500000000001</v>
      </c>
      <c r="D156" s="32">
        <v>267.46600000000001</v>
      </c>
      <c r="E156" s="38">
        <v>812.32899999999995</v>
      </c>
      <c r="F156" s="32">
        <v>1274</v>
      </c>
      <c r="G156" s="32">
        <v>50</v>
      </c>
      <c r="H156" s="40">
        <v>600</v>
      </c>
      <c r="I156" s="32">
        <v>695</v>
      </c>
      <c r="J156" s="32">
        <v>0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 ht="15.75">
      <c r="A157" s="13">
        <v>46661</v>
      </c>
      <c r="B157" s="41">
        <v>31</v>
      </c>
      <c r="C157" s="32">
        <v>131.881</v>
      </c>
      <c r="D157" s="32">
        <v>277.16699999999997</v>
      </c>
      <c r="E157" s="38">
        <v>829.952</v>
      </c>
      <c r="F157" s="32">
        <v>1239</v>
      </c>
      <c r="G157" s="32">
        <v>75</v>
      </c>
      <c r="H157" s="40">
        <v>600</v>
      </c>
      <c r="I157" s="32">
        <v>695</v>
      </c>
      <c r="J157" s="32">
        <v>0</v>
      </c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 ht="15.75">
      <c r="A158" s="13">
        <v>46692</v>
      </c>
      <c r="B158" s="41">
        <v>30</v>
      </c>
      <c r="C158" s="32">
        <v>122.58</v>
      </c>
      <c r="D158" s="32">
        <v>297.94099999999997</v>
      </c>
      <c r="E158" s="38">
        <v>729.47900000000004</v>
      </c>
      <c r="F158" s="32">
        <v>1150</v>
      </c>
      <c r="G158" s="32">
        <v>100</v>
      </c>
      <c r="H158" s="40">
        <v>600</v>
      </c>
      <c r="I158" s="32">
        <v>695</v>
      </c>
      <c r="J158" s="32">
        <v>50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 ht="15.75">
      <c r="A159" s="13">
        <v>46722</v>
      </c>
      <c r="B159" s="41">
        <v>31</v>
      </c>
      <c r="C159" s="32">
        <v>122.58</v>
      </c>
      <c r="D159" s="32">
        <v>297.94099999999997</v>
      </c>
      <c r="E159" s="38">
        <v>729.47900000000004</v>
      </c>
      <c r="F159" s="32">
        <v>1150</v>
      </c>
      <c r="G159" s="32">
        <v>100</v>
      </c>
      <c r="H159" s="40">
        <v>600</v>
      </c>
      <c r="I159" s="32">
        <v>695</v>
      </c>
      <c r="J159" s="32">
        <v>50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 ht="15.75">
      <c r="A160" s="13">
        <v>46753</v>
      </c>
      <c r="B160" s="41">
        <v>31</v>
      </c>
      <c r="C160" s="32">
        <v>122.58</v>
      </c>
      <c r="D160" s="32">
        <v>297.94099999999997</v>
      </c>
      <c r="E160" s="38">
        <v>729.47900000000004</v>
      </c>
      <c r="F160" s="32">
        <v>1150</v>
      </c>
      <c r="G160" s="32">
        <v>100</v>
      </c>
      <c r="H160" s="40">
        <v>600</v>
      </c>
      <c r="I160" s="32">
        <v>695</v>
      </c>
      <c r="J160" s="32">
        <v>50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 ht="15.75">
      <c r="A161" s="13">
        <v>46784</v>
      </c>
      <c r="B161" s="41">
        <v>29</v>
      </c>
      <c r="C161" s="32">
        <v>122.58</v>
      </c>
      <c r="D161" s="32">
        <v>297.94099999999997</v>
      </c>
      <c r="E161" s="38">
        <v>729.47900000000004</v>
      </c>
      <c r="F161" s="32">
        <v>1150</v>
      </c>
      <c r="G161" s="32">
        <v>100</v>
      </c>
      <c r="H161" s="40">
        <v>600</v>
      </c>
      <c r="I161" s="32">
        <v>695</v>
      </c>
      <c r="J161" s="32">
        <v>50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 ht="15.75">
      <c r="A162" s="13">
        <v>46813</v>
      </c>
      <c r="B162" s="41">
        <v>31</v>
      </c>
      <c r="C162" s="32">
        <v>122.58</v>
      </c>
      <c r="D162" s="32">
        <v>297.94099999999997</v>
      </c>
      <c r="E162" s="38">
        <v>729.47900000000004</v>
      </c>
      <c r="F162" s="32">
        <v>1150</v>
      </c>
      <c r="G162" s="32">
        <v>100</v>
      </c>
      <c r="H162" s="40">
        <v>600</v>
      </c>
      <c r="I162" s="32">
        <v>695</v>
      </c>
      <c r="J162" s="32">
        <v>50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 ht="15.75">
      <c r="A163" s="13">
        <v>46844</v>
      </c>
      <c r="B163" s="41">
        <v>30</v>
      </c>
      <c r="C163" s="32">
        <v>141.29300000000001</v>
      </c>
      <c r="D163" s="32">
        <v>267.99299999999999</v>
      </c>
      <c r="E163" s="38">
        <v>829.71400000000006</v>
      </c>
      <c r="F163" s="32">
        <v>1239</v>
      </c>
      <c r="G163" s="32">
        <v>100</v>
      </c>
      <c r="H163" s="40">
        <v>600</v>
      </c>
      <c r="I163" s="32">
        <v>695</v>
      </c>
      <c r="J163" s="32">
        <v>50</v>
      </c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 ht="15.75">
      <c r="A164" s="13">
        <v>46874</v>
      </c>
      <c r="B164" s="41">
        <v>31</v>
      </c>
      <c r="C164" s="32">
        <v>194.20500000000001</v>
      </c>
      <c r="D164" s="32">
        <v>267.46600000000001</v>
      </c>
      <c r="E164" s="38">
        <v>812.32899999999995</v>
      </c>
      <c r="F164" s="32">
        <v>1274</v>
      </c>
      <c r="G164" s="32">
        <v>75</v>
      </c>
      <c r="H164" s="40">
        <v>600</v>
      </c>
      <c r="I164" s="32">
        <v>695</v>
      </c>
      <c r="J164" s="32">
        <v>50</v>
      </c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 ht="15.75">
      <c r="A165" s="13">
        <v>46905</v>
      </c>
      <c r="B165" s="41">
        <v>30</v>
      </c>
      <c r="C165" s="32">
        <v>194.20500000000001</v>
      </c>
      <c r="D165" s="32">
        <v>267.46600000000001</v>
      </c>
      <c r="E165" s="38">
        <v>812.32899999999995</v>
      </c>
      <c r="F165" s="32">
        <v>1274</v>
      </c>
      <c r="G165" s="32">
        <v>50</v>
      </c>
      <c r="H165" s="40">
        <v>600</v>
      </c>
      <c r="I165" s="32">
        <v>695</v>
      </c>
      <c r="J165" s="32">
        <v>50</v>
      </c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 ht="15.75">
      <c r="A166" s="13">
        <v>46935</v>
      </c>
      <c r="B166" s="41">
        <v>31</v>
      </c>
      <c r="C166" s="32">
        <v>194.20500000000001</v>
      </c>
      <c r="D166" s="32">
        <v>267.46600000000001</v>
      </c>
      <c r="E166" s="38">
        <v>812.32899999999995</v>
      </c>
      <c r="F166" s="32">
        <v>1274</v>
      </c>
      <c r="G166" s="32">
        <v>50</v>
      </c>
      <c r="H166" s="40">
        <v>600</v>
      </c>
      <c r="I166" s="32">
        <v>695</v>
      </c>
      <c r="J166" s="32">
        <v>0</v>
      </c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 ht="15.75">
      <c r="A167" s="13">
        <v>46966</v>
      </c>
      <c r="B167" s="41">
        <v>31</v>
      </c>
      <c r="C167" s="32">
        <v>194.20500000000001</v>
      </c>
      <c r="D167" s="32">
        <v>267.46600000000001</v>
      </c>
      <c r="E167" s="38">
        <v>812.32899999999995</v>
      </c>
      <c r="F167" s="32">
        <v>1274</v>
      </c>
      <c r="G167" s="32">
        <v>50</v>
      </c>
      <c r="H167" s="40">
        <v>600</v>
      </c>
      <c r="I167" s="32">
        <v>695</v>
      </c>
      <c r="J167" s="32">
        <v>0</v>
      </c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 ht="15.75">
      <c r="A168" s="13">
        <v>46997</v>
      </c>
      <c r="B168" s="41">
        <v>30</v>
      </c>
      <c r="C168" s="32">
        <v>194.20500000000001</v>
      </c>
      <c r="D168" s="32">
        <v>267.46600000000001</v>
      </c>
      <c r="E168" s="38">
        <v>812.32899999999995</v>
      </c>
      <c r="F168" s="32">
        <v>1274</v>
      </c>
      <c r="G168" s="32">
        <v>50</v>
      </c>
      <c r="H168" s="40">
        <v>600</v>
      </c>
      <c r="I168" s="32">
        <v>695</v>
      </c>
      <c r="J168" s="32">
        <v>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 ht="15.75">
      <c r="A169" s="13">
        <v>47027</v>
      </c>
      <c r="B169" s="41">
        <v>31</v>
      </c>
      <c r="C169" s="32">
        <v>131.881</v>
      </c>
      <c r="D169" s="32">
        <v>277.16699999999997</v>
      </c>
      <c r="E169" s="38">
        <v>829.952</v>
      </c>
      <c r="F169" s="32">
        <v>1239</v>
      </c>
      <c r="G169" s="32">
        <v>75</v>
      </c>
      <c r="H169" s="40">
        <v>600</v>
      </c>
      <c r="I169" s="32">
        <v>695</v>
      </c>
      <c r="J169" s="32">
        <v>0</v>
      </c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 ht="15.75">
      <c r="A170" s="13">
        <v>47058</v>
      </c>
      <c r="B170" s="41">
        <v>30</v>
      </c>
      <c r="C170" s="32">
        <v>122.58</v>
      </c>
      <c r="D170" s="32">
        <v>297.94099999999997</v>
      </c>
      <c r="E170" s="38">
        <v>729.47900000000004</v>
      </c>
      <c r="F170" s="32">
        <v>1150</v>
      </c>
      <c r="G170" s="32">
        <v>100</v>
      </c>
      <c r="H170" s="40">
        <v>600</v>
      </c>
      <c r="I170" s="32">
        <v>695</v>
      </c>
      <c r="J170" s="32">
        <v>50</v>
      </c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 ht="15.75">
      <c r="A171" s="13">
        <v>47088</v>
      </c>
      <c r="B171" s="41">
        <v>31</v>
      </c>
      <c r="C171" s="32">
        <v>122.58</v>
      </c>
      <c r="D171" s="32">
        <v>297.94099999999997</v>
      </c>
      <c r="E171" s="38">
        <v>729.47900000000004</v>
      </c>
      <c r="F171" s="32">
        <v>1150</v>
      </c>
      <c r="G171" s="32">
        <v>100</v>
      </c>
      <c r="H171" s="40">
        <v>600</v>
      </c>
      <c r="I171" s="32">
        <v>695</v>
      </c>
      <c r="J171" s="32">
        <v>50</v>
      </c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 ht="15.75">
      <c r="A172" s="13">
        <v>47119</v>
      </c>
      <c r="B172" s="41">
        <v>31</v>
      </c>
      <c r="C172" s="32">
        <v>122.58</v>
      </c>
      <c r="D172" s="32">
        <v>297.94099999999997</v>
      </c>
      <c r="E172" s="38">
        <v>729.47900000000004</v>
      </c>
      <c r="F172" s="32">
        <v>1150</v>
      </c>
      <c r="G172" s="32">
        <v>100</v>
      </c>
      <c r="H172" s="40">
        <v>600</v>
      </c>
      <c r="I172" s="32">
        <v>695</v>
      </c>
      <c r="J172" s="32">
        <v>50</v>
      </c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 ht="15.75">
      <c r="A173" s="13">
        <v>47150</v>
      </c>
      <c r="B173" s="41">
        <v>28</v>
      </c>
      <c r="C173" s="32">
        <v>122.58</v>
      </c>
      <c r="D173" s="32">
        <v>297.94099999999997</v>
      </c>
      <c r="E173" s="38">
        <v>729.47900000000004</v>
      </c>
      <c r="F173" s="32">
        <v>1150</v>
      </c>
      <c r="G173" s="32">
        <v>100</v>
      </c>
      <c r="H173" s="40">
        <v>600</v>
      </c>
      <c r="I173" s="32">
        <v>695</v>
      </c>
      <c r="J173" s="32">
        <v>50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 ht="15.75">
      <c r="A174" s="13">
        <v>47178</v>
      </c>
      <c r="B174" s="41">
        <v>31</v>
      </c>
      <c r="C174" s="32">
        <v>122.58</v>
      </c>
      <c r="D174" s="32">
        <v>297.94099999999997</v>
      </c>
      <c r="E174" s="38">
        <v>729.47900000000004</v>
      </c>
      <c r="F174" s="32">
        <v>1150</v>
      </c>
      <c r="G174" s="32">
        <v>100</v>
      </c>
      <c r="H174" s="40">
        <v>600</v>
      </c>
      <c r="I174" s="32">
        <v>695</v>
      </c>
      <c r="J174" s="32">
        <v>50</v>
      </c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 ht="15.75">
      <c r="A175" s="13">
        <v>47209</v>
      </c>
      <c r="B175" s="41">
        <v>30</v>
      </c>
      <c r="C175" s="32">
        <v>141.29300000000001</v>
      </c>
      <c r="D175" s="32">
        <v>267.99299999999999</v>
      </c>
      <c r="E175" s="38">
        <v>829.71400000000006</v>
      </c>
      <c r="F175" s="32">
        <v>1239</v>
      </c>
      <c r="G175" s="32">
        <v>100</v>
      </c>
      <c r="H175" s="40">
        <v>600</v>
      </c>
      <c r="I175" s="32">
        <v>695</v>
      </c>
      <c r="J175" s="32">
        <v>50</v>
      </c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 ht="15.75">
      <c r="A176" s="13">
        <v>47239</v>
      </c>
      <c r="B176" s="41">
        <v>31</v>
      </c>
      <c r="C176" s="32">
        <v>194.20500000000001</v>
      </c>
      <c r="D176" s="32">
        <v>267.46600000000001</v>
      </c>
      <c r="E176" s="38">
        <v>812.32899999999995</v>
      </c>
      <c r="F176" s="32">
        <v>1274</v>
      </c>
      <c r="G176" s="32">
        <v>75</v>
      </c>
      <c r="H176" s="40">
        <v>600</v>
      </c>
      <c r="I176" s="32">
        <v>695</v>
      </c>
      <c r="J176" s="32">
        <v>50</v>
      </c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 ht="15.75">
      <c r="A177" s="13">
        <v>47270</v>
      </c>
      <c r="B177" s="41">
        <v>30</v>
      </c>
      <c r="C177" s="32">
        <v>194.20500000000001</v>
      </c>
      <c r="D177" s="32">
        <v>267.46600000000001</v>
      </c>
      <c r="E177" s="38">
        <v>812.32899999999995</v>
      </c>
      <c r="F177" s="32">
        <v>1274</v>
      </c>
      <c r="G177" s="32">
        <v>50</v>
      </c>
      <c r="H177" s="40">
        <v>600</v>
      </c>
      <c r="I177" s="32">
        <v>695</v>
      </c>
      <c r="J177" s="32">
        <v>50</v>
      </c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 ht="15.75">
      <c r="A178" s="13">
        <v>47300</v>
      </c>
      <c r="B178" s="41">
        <v>31</v>
      </c>
      <c r="C178" s="32">
        <v>194.20500000000001</v>
      </c>
      <c r="D178" s="32">
        <v>267.46600000000001</v>
      </c>
      <c r="E178" s="38">
        <v>812.32899999999995</v>
      </c>
      <c r="F178" s="32">
        <v>1274</v>
      </c>
      <c r="G178" s="32">
        <v>50</v>
      </c>
      <c r="H178" s="40">
        <v>600</v>
      </c>
      <c r="I178" s="32">
        <v>695</v>
      </c>
      <c r="J178" s="32">
        <v>0</v>
      </c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 ht="15.75">
      <c r="A179" s="13">
        <v>47331</v>
      </c>
      <c r="B179" s="41">
        <v>31</v>
      </c>
      <c r="C179" s="32">
        <v>194.20500000000001</v>
      </c>
      <c r="D179" s="32">
        <v>267.46600000000001</v>
      </c>
      <c r="E179" s="38">
        <v>812.32899999999995</v>
      </c>
      <c r="F179" s="32">
        <v>1274</v>
      </c>
      <c r="G179" s="32">
        <v>50</v>
      </c>
      <c r="H179" s="40">
        <v>600</v>
      </c>
      <c r="I179" s="32">
        <v>695</v>
      </c>
      <c r="J179" s="32">
        <v>0</v>
      </c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ht="15.75">
      <c r="A180" s="13">
        <v>47362</v>
      </c>
      <c r="B180" s="41">
        <v>30</v>
      </c>
      <c r="C180" s="32">
        <v>194.20500000000001</v>
      </c>
      <c r="D180" s="32">
        <v>267.46600000000001</v>
      </c>
      <c r="E180" s="38">
        <v>812.32899999999995</v>
      </c>
      <c r="F180" s="32">
        <v>1274</v>
      </c>
      <c r="G180" s="32">
        <v>50</v>
      </c>
      <c r="H180" s="40">
        <v>600</v>
      </c>
      <c r="I180" s="32">
        <v>695</v>
      </c>
      <c r="J180" s="32">
        <v>0</v>
      </c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ht="15.75">
      <c r="A181" s="13">
        <v>47392</v>
      </c>
      <c r="B181" s="41">
        <v>31</v>
      </c>
      <c r="C181" s="32">
        <v>131.881</v>
      </c>
      <c r="D181" s="32">
        <v>277.16699999999997</v>
      </c>
      <c r="E181" s="38">
        <v>829.952</v>
      </c>
      <c r="F181" s="32">
        <v>1239</v>
      </c>
      <c r="G181" s="32">
        <v>75</v>
      </c>
      <c r="H181" s="40">
        <v>600</v>
      </c>
      <c r="I181" s="32">
        <v>695</v>
      </c>
      <c r="J181" s="32">
        <v>0</v>
      </c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.75">
      <c r="A182" s="13">
        <v>47423</v>
      </c>
      <c r="B182" s="41">
        <v>30</v>
      </c>
      <c r="C182" s="32">
        <v>122.58</v>
      </c>
      <c r="D182" s="32">
        <v>297.94099999999997</v>
      </c>
      <c r="E182" s="38">
        <v>729.47900000000004</v>
      </c>
      <c r="F182" s="32">
        <v>1150</v>
      </c>
      <c r="G182" s="32">
        <v>100</v>
      </c>
      <c r="H182" s="40">
        <v>600</v>
      </c>
      <c r="I182" s="32">
        <v>695</v>
      </c>
      <c r="J182" s="32">
        <v>50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ht="15.75">
      <c r="A183" s="13">
        <v>47453</v>
      </c>
      <c r="B183" s="41">
        <v>31</v>
      </c>
      <c r="C183" s="32">
        <v>122.58</v>
      </c>
      <c r="D183" s="32">
        <v>297.94099999999997</v>
      </c>
      <c r="E183" s="38">
        <v>729.47900000000004</v>
      </c>
      <c r="F183" s="32">
        <v>1150</v>
      </c>
      <c r="G183" s="32">
        <v>100</v>
      </c>
      <c r="H183" s="40">
        <v>600</v>
      </c>
      <c r="I183" s="32">
        <v>695</v>
      </c>
      <c r="J183" s="32">
        <v>50</v>
      </c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 ht="15.75">
      <c r="A184" s="13">
        <v>47484</v>
      </c>
      <c r="B184" s="41">
        <v>31</v>
      </c>
      <c r="C184" s="32">
        <v>122.58</v>
      </c>
      <c r="D184" s="32">
        <v>297.94099999999997</v>
      </c>
      <c r="E184" s="38">
        <v>729.47900000000004</v>
      </c>
      <c r="F184" s="32">
        <v>1150</v>
      </c>
      <c r="G184" s="32">
        <v>100</v>
      </c>
      <c r="H184" s="40">
        <v>600</v>
      </c>
      <c r="I184" s="32">
        <v>695</v>
      </c>
      <c r="J184" s="32">
        <v>50</v>
      </c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ht="15.75">
      <c r="A185" s="13">
        <v>47515</v>
      </c>
      <c r="B185" s="41">
        <v>28</v>
      </c>
      <c r="C185" s="32">
        <v>122.58</v>
      </c>
      <c r="D185" s="32">
        <v>297.94099999999997</v>
      </c>
      <c r="E185" s="38">
        <v>729.47900000000004</v>
      </c>
      <c r="F185" s="32">
        <v>1150</v>
      </c>
      <c r="G185" s="32">
        <v>100</v>
      </c>
      <c r="H185" s="40">
        <v>600</v>
      </c>
      <c r="I185" s="32">
        <v>695</v>
      </c>
      <c r="J185" s="32">
        <v>50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ht="15.75">
      <c r="A186" s="13">
        <v>47543</v>
      </c>
      <c r="B186" s="41">
        <v>31</v>
      </c>
      <c r="C186" s="32">
        <v>122.58</v>
      </c>
      <c r="D186" s="32">
        <v>297.94099999999997</v>
      </c>
      <c r="E186" s="38">
        <v>729.47900000000004</v>
      </c>
      <c r="F186" s="32">
        <v>1150</v>
      </c>
      <c r="G186" s="32">
        <v>100</v>
      </c>
      <c r="H186" s="40">
        <v>600</v>
      </c>
      <c r="I186" s="32">
        <v>695</v>
      </c>
      <c r="J186" s="32">
        <v>50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ht="15.75">
      <c r="A187" s="13">
        <v>47574</v>
      </c>
      <c r="B187" s="41">
        <v>30</v>
      </c>
      <c r="C187" s="32">
        <v>141.29300000000001</v>
      </c>
      <c r="D187" s="32">
        <v>267.99299999999999</v>
      </c>
      <c r="E187" s="38">
        <v>829.71400000000006</v>
      </c>
      <c r="F187" s="32">
        <v>1239</v>
      </c>
      <c r="G187" s="32">
        <v>100</v>
      </c>
      <c r="H187" s="40">
        <v>600</v>
      </c>
      <c r="I187" s="32">
        <v>695</v>
      </c>
      <c r="J187" s="32">
        <v>50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ht="15.75">
      <c r="A188" s="13">
        <v>47604</v>
      </c>
      <c r="B188" s="41">
        <v>31</v>
      </c>
      <c r="C188" s="32">
        <v>194.20500000000001</v>
      </c>
      <c r="D188" s="32">
        <v>267.46600000000001</v>
      </c>
      <c r="E188" s="38">
        <v>812.32899999999995</v>
      </c>
      <c r="F188" s="32">
        <v>1274</v>
      </c>
      <c r="G188" s="32">
        <v>75</v>
      </c>
      <c r="H188" s="40">
        <v>600</v>
      </c>
      <c r="I188" s="32">
        <v>695</v>
      </c>
      <c r="J188" s="32">
        <v>50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ht="15.75">
      <c r="A189" s="13">
        <v>47635</v>
      </c>
      <c r="B189" s="41">
        <v>30</v>
      </c>
      <c r="C189" s="32">
        <v>194.20500000000001</v>
      </c>
      <c r="D189" s="32">
        <v>267.46600000000001</v>
      </c>
      <c r="E189" s="38">
        <v>812.32899999999995</v>
      </c>
      <c r="F189" s="32">
        <v>1274</v>
      </c>
      <c r="G189" s="32">
        <v>50</v>
      </c>
      <c r="H189" s="40">
        <v>600</v>
      </c>
      <c r="I189" s="32">
        <v>695</v>
      </c>
      <c r="J189" s="32">
        <v>50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ht="15.75">
      <c r="A190" s="13">
        <v>47665</v>
      </c>
      <c r="B190" s="41">
        <v>31</v>
      </c>
      <c r="C190" s="32">
        <v>194.20500000000001</v>
      </c>
      <c r="D190" s="32">
        <v>267.46600000000001</v>
      </c>
      <c r="E190" s="38">
        <v>812.32899999999995</v>
      </c>
      <c r="F190" s="32">
        <v>1274</v>
      </c>
      <c r="G190" s="32">
        <v>50</v>
      </c>
      <c r="H190" s="40">
        <v>600</v>
      </c>
      <c r="I190" s="32">
        <v>695</v>
      </c>
      <c r="J190" s="32">
        <v>0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ht="15.75">
      <c r="A191" s="13">
        <v>47696</v>
      </c>
      <c r="B191" s="41">
        <v>31</v>
      </c>
      <c r="C191" s="32">
        <v>194.20500000000001</v>
      </c>
      <c r="D191" s="32">
        <v>267.46600000000001</v>
      </c>
      <c r="E191" s="38">
        <v>812.32899999999995</v>
      </c>
      <c r="F191" s="32">
        <v>1274</v>
      </c>
      <c r="G191" s="32">
        <v>50</v>
      </c>
      <c r="H191" s="40">
        <v>600</v>
      </c>
      <c r="I191" s="32">
        <v>695</v>
      </c>
      <c r="J191" s="32">
        <v>0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ht="15.75">
      <c r="A192" s="13">
        <v>47727</v>
      </c>
      <c r="B192" s="41">
        <v>30</v>
      </c>
      <c r="C192" s="32">
        <v>194.20500000000001</v>
      </c>
      <c r="D192" s="32">
        <v>267.46600000000001</v>
      </c>
      <c r="E192" s="38">
        <v>812.32899999999995</v>
      </c>
      <c r="F192" s="32">
        <v>1274</v>
      </c>
      <c r="G192" s="32">
        <v>50</v>
      </c>
      <c r="H192" s="40">
        <v>600</v>
      </c>
      <c r="I192" s="32">
        <v>695</v>
      </c>
      <c r="J192" s="32">
        <v>0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ht="15.75">
      <c r="A193" s="13">
        <v>47757</v>
      </c>
      <c r="B193" s="41">
        <v>31</v>
      </c>
      <c r="C193" s="32">
        <v>131.881</v>
      </c>
      <c r="D193" s="32">
        <v>277.16699999999997</v>
      </c>
      <c r="E193" s="38">
        <v>829.952</v>
      </c>
      <c r="F193" s="32">
        <v>1239</v>
      </c>
      <c r="G193" s="32">
        <v>75</v>
      </c>
      <c r="H193" s="40">
        <v>600</v>
      </c>
      <c r="I193" s="32">
        <v>695</v>
      </c>
      <c r="J193" s="32">
        <v>0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5.75">
      <c r="A194" s="13">
        <v>47788</v>
      </c>
      <c r="B194" s="41">
        <v>30</v>
      </c>
      <c r="C194" s="32">
        <v>122.58</v>
      </c>
      <c r="D194" s="32">
        <v>297.94099999999997</v>
      </c>
      <c r="E194" s="38">
        <v>729.47900000000004</v>
      </c>
      <c r="F194" s="32">
        <v>1150</v>
      </c>
      <c r="G194" s="32">
        <v>100</v>
      </c>
      <c r="H194" s="40">
        <v>600</v>
      </c>
      <c r="I194" s="32">
        <v>695</v>
      </c>
      <c r="J194" s="32">
        <v>50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5.75">
      <c r="A195" s="13">
        <v>47818</v>
      </c>
      <c r="B195" s="41">
        <v>31</v>
      </c>
      <c r="C195" s="32">
        <v>122.58</v>
      </c>
      <c r="D195" s="32">
        <v>297.94099999999997</v>
      </c>
      <c r="E195" s="38">
        <v>729.47900000000004</v>
      </c>
      <c r="F195" s="32">
        <v>1150</v>
      </c>
      <c r="G195" s="32">
        <v>100</v>
      </c>
      <c r="H195" s="40">
        <v>600</v>
      </c>
      <c r="I195" s="32">
        <v>695</v>
      </c>
      <c r="J195" s="32">
        <v>50</v>
      </c>
      <c r="K195" s="33"/>
      <c r="L195" s="33"/>
      <c r="M195" s="33"/>
      <c r="N195" s="33"/>
      <c r="O195" s="33"/>
      <c r="P195" s="33"/>
      <c r="Q195" s="33"/>
      <c r="R195" s="33"/>
      <c r="S195" s="33"/>
      <c r="T195" s="33"/>
    </row>
    <row r="196" spans="1:20" ht="15.75">
      <c r="A196" s="13">
        <v>47849</v>
      </c>
      <c r="B196" s="41">
        <v>31</v>
      </c>
      <c r="C196" s="32">
        <v>122.58</v>
      </c>
      <c r="D196" s="32">
        <v>297.94099999999997</v>
      </c>
      <c r="E196" s="38">
        <v>729.47900000000004</v>
      </c>
      <c r="F196" s="32">
        <v>1150</v>
      </c>
      <c r="G196" s="32">
        <v>100</v>
      </c>
      <c r="H196" s="40">
        <v>600</v>
      </c>
      <c r="I196" s="32">
        <v>695</v>
      </c>
      <c r="J196" s="32">
        <v>50</v>
      </c>
      <c r="K196" s="33"/>
      <c r="L196" s="33"/>
      <c r="M196" s="33"/>
      <c r="N196" s="33"/>
      <c r="O196" s="33"/>
      <c r="P196" s="33"/>
      <c r="Q196" s="33"/>
      <c r="R196" s="33"/>
      <c r="S196" s="33"/>
      <c r="T196" s="33"/>
    </row>
    <row r="197" spans="1:20" ht="15.75">
      <c r="A197" s="13">
        <v>47880</v>
      </c>
      <c r="B197" s="41">
        <v>28</v>
      </c>
      <c r="C197" s="32">
        <v>122.58</v>
      </c>
      <c r="D197" s="32">
        <v>297.94099999999997</v>
      </c>
      <c r="E197" s="38">
        <v>729.47900000000004</v>
      </c>
      <c r="F197" s="32">
        <v>1150</v>
      </c>
      <c r="G197" s="32">
        <v>100</v>
      </c>
      <c r="H197" s="40">
        <v>600</v>
      </c>
      <c r="I197" s="32">
        <v>695</v>
      </c>
      <c r="J197" s="32">
        <v>50</v>
      </c>
      <c r="K197" s="33"/>
      <c r="L197" s="33"/>
      <c r="M197" s="33"/>
      <c r="N197" s="33"/>
      <c r="O197" s="33"/>
      <c r="P197" s="33"/>
      <c r="Q197" s="33"/>
      <c r="R197" s="33"/>
      <c r="S197" s="33"/>
      <c r="T197" s="33"/>
    </row>
    <row r="198" spans="1:20" ht="15.75">
      <c r="A198" s="13">
        <v>47908</v>
      </c>
      <c r="B198" s="41">
        <v>31</v>
      </c>
      <c r="C198" s="32">
        <v>122.58</v>
      </c>
      <c r="D198" s="32">
        <v>297.94099999999997</v>
      </c>
      <c r="E198" s="38">
        <v>729.47900000000004</v>
      </c>
      <c r="F198" s="32">
        <v>1150</v>
      </c>
      <c r="G198" s="32">
        <v>100</v>
      </c>
      <c r="H198" s="40">
        <v>600</v>
      </c>
      <c r="I198" s="32">
        <v>695</v>
      </c>
      <c r="J198" s="32">
        <v>50</v>
      </c>
      <c r="K198" s="33"/>
      <c r="L198" s="33"/>
      <c r="M198" s="33"/>
      <c r="N198" s="33"/>
      <c r="O198" s="33"/>
      <c r="P198" s="33"/>
      <c r="Q198" s="33"/>
      <c r="R198" s="33"/>
      <c r="S198" s="33"/>
      <c r="T198" s="33"/>
    </row>
    <row r="199" spans="1:20" ht="15.75">
      <c r="A199" s="13">
        <v>47939</v>
      </c>
      <c r="B199" s="41">
        <v>30</v>
      </c>
      <c r="C199" s="32">
        <v>141.29300000000001</v>
      </c>
      <c r="D199" s="32">
        <v>267.99299999999999</v>
      </c>
      <c r="E199" s="38">
        <v>829.71400000000006</v>
      </c>
      <c r="F199" s="32">
        <v>1239</v>
      </c>
      <c r="G199" s="32">
        <v>100</v>
      </c>
      <c r="H199" s="40">
        <v>600</v>
      </c>
      <c r="I199" s="32">
        <v>695</v>
      </c>
      <c r="J199" s="32">
        <v>50</v>
      </c>
      <c r="K199" s="33"/>
      <c r="L199" s="33"/>
      <c r="M199" s="33"/>
      <c r="N199" s="33"/>
      <c r="O199" s="33"/>
      <c r="P199" s="33"/>
      <c r="Q199" s="33"/>
      <c r="R199" s="33"/>
      <c r="S199" s="33"/>
      <c r="T199" s="33"/>
    </row>
    <row r="200" spans="1:20" ht="15.75">
      <c r="A200" s="13">
        <v>47969</v>
      </c>
      <c r="B200" s="41">
        <v>31</v>
      </c>
      <c r="C200" s="32">
        <v>194.20500000000001</v>
      </c>
      <c r="D200" s="32">
        <v>267.46600000000001</v>
      </c>
      <c r="E200" s="38">
        <v>812.32899999999995</v>
      </c>
      <c r="F200" s="32">
        <v>1274</v>
      </c>
      <c r="G200" s="32">
        <v>75</v>
      </c>
      <c r="H200" s="40">
        <v>600</v>
      </c>
      <c r="I200" s="32">
        <v>695</v>
      </c>
      <c r="J200" s="32">
        <v>50</v>
      </c>
      <c r="K200" s="33"/>
      <c r="L200" s="33"/>
      <c r="M200" s="33"/>
      <c r="N200" s="33"/>
      <c r="O200" s="33"/>
      <c r="P200" s="33"/>
      <c r="Q200" s="33"/>
      <c r="R200" s="33"/>
      <c r="S200" s="33"/>
      <c r="T200" s="33"/>
    </row>
    <row r="201" spans="1:20" ht="15.75">
      <c r="A201" s="13">
        <v>48000</v>
      </c>
      <c r="B201" s="41">
        <v>30</v>
      </c>
      <c r="C201" s="32">
        <v>194.20500000000001</v>
      </c>
      <c r="D201" s="32">
        <v>267.46600000000001</v>
      </c>
      <c r="E201" s="38">
        <v>812.32899999999995</v>
      </c>
      <c r="F201" s="32">
        <v>1274</v>
      </c>
      <c r="G201" s="32">
        <v>50</v>
      </c>
      <c r="H201" s="40">
        <v>600</v>
      </c>
      <c r="I201" s="32">
        <v>695</v>
      </c>
      <c r="J201" s="32">
        <v>50</v>
      </c>
      <c r="K201" s="33"/>
      <c r="L201" s="33"/>
      <c r="M201" s="33"/>
      <c r="N201" s="33"/>
      <c r="O201" s="33"/>
      <c r="P201" s="33"/>
      <c r="Q201" s="33"/>
      <c r="R201" s="33"/>
      <c r="S201" s="33"/>
      <c r="T201" s="33"/>
    </row>
    <row r="202" spans="1:20" ht="15.75">
      <c r="A202" s="13">
        <v>48030</v>
      </c>
      <c r="B202" s="41">
        <v>31</v>
      </c>
      <c r="C202" s="32">
        <v>194.20500000000001</v>
      </c>
      <c r="D202" s="32">
        <v>267.46600000000001</v>
      </c>
      <c r="E202" s="38">
        <v>812.32899999999995</v>
      </c>
      <c r="F202" s="32">
        <v>1274</v>
      </c>
      <c r="G202" s="32">
        <v>50</v>
      </c>
      <c r="H202" s="40">
        <v>600</v>
      </c>
      <c r="I202" s="32">
        <v>695</v>
      </c>
      <c r="J202" s="32">
        <v>0</v>
      </c>
      <c r="K202" s="33"/>
      <c r="L202" s="33"/>
      <c r="M202" s="33"/>
      <c r="N202" s="33"/>
      <c r="O202" s="33"/>
      <c r="P202" s="33"/>
      <c r="Q202" s="33"/>
      <c r="R202" s="33"/>
      <c r="S202" s="33"/>
      <c r="T202" s="33"/>
    </row>
    <row r="203" spans="1:20" ht="15.75">
      <c r="A203" s="13">
        <v>48061</v>
      </c>
      <c r="B203" s="41">
        <v>31</v>
      </c>
      <c r="C203" s="32">
        <v>194.20500000000001</v>
      </c>
      <c r="D203" s="32">
        <v>267.46600000000001</v>
      </c>
      <c r="E203" s="38">
        <v>812.32899999999995</v>
      </c>
      <c r="F203" s="32">
        <v>1274</v>
      </c>
      <c r="G203" s="32">
        <v>50</v>
      </c>
      <c r="H203" s="40">
        <v>600</v>
      </c>
      <c r="I203" s="32">
        <v>695</v>
      </c>
      <c r="J203" s="32">
        <v>0</v>
      </c>
      <c r="K203" s="33"/>
      <c r="L203" s="33"/>
      <c r="M203" s="33"/>
      <c r="N203" s="33"/>
      <c r="O203" s="33"/>
      <c r="P203" s="33"/>
      <c r="Q203" s="33"/>
      <c r="R203" s="33"/>
      <c r="S203" s="33"/>
      <c r="T203" s="33"/>
    </row>
    <row r="204" spans="1:20" ht="15.75">
      <c r="A204" s="13">
        <v>48092</v>
      </c>
      <c r="B204" s="41">
        <v>30</v>
      </c>
      <c r="C204" s="32">
        <v>194.20500000000001</v>
      </c>
      <c r="D204" s="32">
        <v>267.46600000000001</v>
      </c>
      <c r="E204" s="38">
        <v>812.32899999999995</v>
      </c>
      <c r="F204" s="32">
        <v>1274</v>
      </c>
      <c r="G204" s="32">
        <v>50</v>
      </c>
      <c r="H204" s="40">
        <v>600</v>
      </c>
      <c r="I204" s="32">
        <v>695</v>
      </c>
      <c r="J204" s="32">
        <v>0</v>
      </c>
      <c r="K204" s="33"/>
      <c r="L204" s="33"/>
      <c r="M204" s="33"/>
      <c r="N204" s="33"/>
      <c r="O204" s="33"/>
      <c r="P204" s="33"/>
      <c r="Q204" s="33"/>
      <c r="R204" s="33"/>
      <c r="S204" s="33"/>
      <c r="T204" s="33"/>
    </row>
    <row r="205" spans="1:20" ht="15.75">
      <c r="A205" s="13">
        <v>48122</v>
      </c>
      <c r="B205" s="41">
        <v>31</v>
      </c>
      <c r="C205" s="32">
        <v>131.881</v>
      </c>
      <c r="D205" s="32">
        <v>277.16699999999997</v>
      </c>
      <c r="E205" s="38">
        <v>829.952</v>
      </c>
      <c r="F205" s="32">
        <v>1239</v>
      </c>
      <c r="G205" s="32">
        <v>75</v>
      </c>
      <c r="H205" s="40">
        <v>600</v>
      </c>
      <c r="I205" s="32">
        <v>695</v>
      </c>
      <c r="J205" s="32">
        <v>0</v>
      </c>
      <c r="K205" s="33"/>
      <c r="L205" s="33"/>
      <c r="M205" s="33"/>
      <c r="N205" s="33"/>
      <c r="O205" s="33"/>
      <c r="P205" s="33"/>
      <c r="Q205" s="33"/>
      <c r="R205" s="33"/>
      <c r="S205" s="33"/>
      <c r="T205" s="33"/>
    </row>
    <row r="206" spans="1:20" ht="15.75">
      <c r="A206" s="13">
        <v>48153</v>
      </c>
      <c r="B206" s="41">
        <v>30</v>
      </c>
      <c r="C206" s="32">
        <v>122.58</v>
      </c>
      <c r="D206" s="32">
        <v>297.94099999999997</v>
      </c>
      <c r="E206" s="38">
        <v>729.47900000000004</v>
      </c>
      <c r="F206" s="32">
        <v>1150</v>
      </c>
      <c r="G206" s="32">
        <v>100</v>
      </c>
      <c r="H206" s="40">
        <v>600</v>
      </c>
      <c r="I206" s="32">
        <v>695</v>
      </c>
      <c r="J206" s="32">
        <v>50</v>
      </c>
      <c r="K206" s="33"/>
      <c r="L206" s="33"/>
      <c r="M206" s="33"/>
      <c r="N206" s="33"/>
      <c r="O206" s="33"/>
      <c r="P206" s="33"/>
      <c r="Q206" s="33"/>
      <c r="R206" s="33"/>
      <c r="S206" s="33"/>
      <c r="T206" s="33"/>
    </row>
    <row r="207" spans="1:20" ht="15.75">
      <c r="A207" s="13">
        <v>48183</v>
      </c>
      <c r="B207" s="41">
        <v>31</v>
      </c>
      <c r="C207" s="32">
        <v>122.58</v>
      </c>
      <c r="D207" s="32">
        <v>297.94099999999997</v>
      </c>
      <c r="E207" s="38">
        <v>729.47900000000004</v>
      </c>
      <c r="F207" s="32">
        <v>1150</v>
      </c>
      <c r="G207" s="32">
        <v>100</v>
      </c>
      <c r="H207" s="40">
        <v>600</v>
      </c>
      <c r="I207" s="32">
        <v>695</v>
      </c>
      <c r="J207" s="32">
        <v>50</v>
      </c>
      <c r="K207" s="33"/>
      <c r="L207" s="33"/>
      <c r="M207" s="33"/>
      <c r="N207" s="33"/>
      <c r="O207" s="33"/>
      <c r="P207" s="33"/>
      <c r="Q207" s="33"/>
      <c r="R207" s="33"/>
      <c r="S207" s="33"/>
      <c r="T207" s="33"/>
    </row>
    <row r="208" spans="1:20" ht="15.75">
      <c r="A208" s="13">
        <v>48214</v>
      </c>
      <c r="B208" s="41">
        <v>31</v>
      </c>
      <c r="C208" s="32">
        <v>122.58</v>
      </c>
      <c r="D208" s="32">
        <v>297.94099999999997</v>
      </c>
      <c r="E208" s="38">
        <v>729.47900000000004</v>
      </c>
      <c r="F208" s="32">
        <v>1150</v>
      </c>
      <c r="G208" s="32">
        <v>100</v>
      </c>
      <c r="H208" s="40">
        <v>600</v>
      </c>
      <c r="I208" s="32">
        <v>695</v>
      </c>
      <c r="J208" s="32">
        <v>50</v>
      </c>
      <c r="K208" s="33"/>
      <c r="L208" s="33"/>
      <c r="M208" s="33"/>
      <c r="N208" s="33"/>
      <c r="O208" s="33"/>
      <c r="P208" s="33"/>
      <c r="Q208" s="33"/>
      <c r="R208" s="33"/>
      <c r="S208" s="33"/>
      <c r="T208" s="33"/>
    </row>
    <row r="209" spans="1:20" ht="15.75">
      <c r="A209" s="13">
        <v>48245</v>
      </c>
      <c r="B209" s="41">
        <v>29</v>
      </c>
      <c r="C209" s="32">
        <v>122.58</v>
      </c>
      <c r="D209" s="32">
        <v>297.94099999999997</v>
      </c>
      <c r="E209" s="38">
        <v>729.47900000000004</v>
      </c>
      <c r="F209" s="32">
        <v>1150</v>
      </c>
      <c r="G209" s="32">
        <v>100</v>
      </c>
      <c r="H209" s="40">
        <v>600</v>
      </c>
      <c r="I209" s="32">
        <v>695</v>
      </c>
      <c r="J209" s="32">
        <v>50</v>
      </c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ht="15.75">
      <c r="A210" s="13">
        <v>48274</v>
      </c>
      <c r="B210" s="41">
        <v>31</v>
      </c>
      <c r="C210" s="32">
        <v>122.58</v>
      </c>
      <c r="D210" s="32">
        <v>297.94099999999997</v>
      </c>
      <c r="E210" s="38">
        <v>729.47900000000004</v>
      </c>
      <c r="F210" s="32">
        <v>1150</v>
      </c>
      <c r="G210" s="32">
        <v>100</v>
      </c>
      <c r="H210" s="40">
        <v>600</v>
      </c>
      <c r="I210" s="32">
        <v>695</v>
      </c>
      <c r="J210" s="32">
        <v>50</v>
      </c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ht="15.75">
      <c r="A211" s="13">
        <v>48305</v>
      </c>
      <c r="B211" s="41">
        <v>30</v>
      </c>
      <c r="C211" s="32">
        <v>141.29300000000001</v>
      </c>
      <c r="D211" s="32">
        <v>267.99299999999999</v>
      </c>
      <c r="E211" s="38">
        <v>829.71400000000006</v>
      </c>
      <c r="F211" s="32">
        <v>1239</v>
      </c>
      <c r="G211" s="32">
        <v>100</v>
      </c>
      <c r="H211" s="40">
        <v>600</v>
      </c>
      <c r="I211" s="32">
        <v>695</v>
      </c>
      <c r="J211" s="32">
        <v>50</v>
      </c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ht="15.75">
      <c r="A212" s="13">
        <v>48335</v>
      </c>
      <c r="B212" s="41">
        <v>31</v>
      </c>
      <c r="C212" s="32">
        <v>194.20500000000001</v>
      </c>
      <c r="D212" s="32">
        <v>267.46600000000001</v>
      </c>
      <c r="E212" s="38">
        <v>812.32899999999995</v>
      </c>
      <c r="F212" s="32">
        <v>1274</v>
      </c>
      <c r="G212" s="32">
        <v>75</v>
      </c>
      <c r="H212" s="40">
        <v>600</v>
      </c>
      <c r="I212" s="32">
        <v>695</v>
      </c>
      <c r="J212" s="32">
        <v>50</v>
      </c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ht="15.75">
      <c r="A213" s="13">
        <v>48366</v>
      </c>
      <c r="B213" s="41">
        <v>30</v>
      </c>
      <c r="C213" s="32">
        <v>194.20500000000001</v>
      </c>
      <c r="D213" s="32">
        <v>267.46600000000001</v>
      </c>
      <c r="E213" s="38">
        <v>812.32899999999995</v>
      </c>
      <c r="F213" s="32">
        <v>1274</v>
      </c>
      <c r="G213" s="32">
        <v>50</v>
      </c>
      <c r="H213" s="40">
        <v>600</v>
      </c>
      <c r="I213" s="32">
        <v>695</v>
      </c>
      <c r="J213" s="32">
        <v>50</v>
      </c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ht="15.75">
      <c r="A214" s="13">
        <v>48396</v>
      </c>
      <c r="B214" s="41">
        <v>31</v>
      </c>
      <c r="C214" s="32">
        <v>194.20500000000001</v>
      </c>
      <c r="D214" s="32">
        <v>267.46600000000001</v>
      </c>
      <c r="E214" s="38">
        <v>812.32899999999995</v>
      </c>
      <c r="F214" s="32">
        <v>1274</v>
      </c>
      <c r="G214" s="32">
        <v>50</v>
      </c>
      <c r="H214" s="40">
        <v>600</v>
      </c>
      <c r="I214" s="32">
        <v>695</v>
      </c>
      <c r="J214" s="32">
        <v>0</v>
      </c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15.75">
      <c r="A215" s="13">
        <v>48427</v>
      </c>
      <c r="B215" s="41">
        <v>31</v>
      </c>
      <c r="C215" s="32">
        <v>194.20500000000001</v>
      </c>
      <c r="D215" s="32">
        <v>267.46600000000001</v>
      </c>
      <c r="E215" s="38">
        <v>812.32899999999995</v>
      </c>
      <c r="F215" s="32">
        <v>1274</v>
      </c>
      <c r="G215" s="32">
        <v>50</v>
      </c>
      <c r="H215" s="40">
        <v>600</v>
      </c>
      <c r="I215" s="32">
        <v>695</v>
      </c>
      <c r="J215" s="32">
        <v>0</v>
      </c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15.75">
      <c r="A216" s="13">
        <v>48458</v>
      </c>
      <c r="B216" s="41">
        <v>30</v>
      </c>
      <c r="C216" s="32">
        <v>194.20500000000001</v>
      </c>
      <c r="D216" s="32">
        <v>267.46600000000001</v>
      </c>
      <c r="E216" s="38">
        <v>812.32899999999995</v>
      </c>
      <c r="F216" s="32">
        <v>1274</v>
      </c>
      <c r="G216" s="32">
        <v>50</v>
      </c>
      <c r="H216" s="40">
        <v>600</v>
      </c>
      <c r="I216" s="32">
        <v>695</v>
      </c>
      <c r="J216" s="32">
        <v>0</v>
      </c>
      <c r="K216" s="33"/>
      <c r="L216" s="33"/>
      <c r="M216" s="33"/>
      <c r="N216" s="33"/>
      <c r="O216" s="33"/>
      <c r="P216" s="33"/>
      <c r="Q216" s="33"/>
      <c r="R216" s="33"/>
      <c r="S216" s="33"/>
      <c r="T216" s="33"/>
    </row>
    <row r="217" spans="1:20" ht="15.75">
      <c r="A217" s="13">
        <v>48488</v>
      </c>
      <c r="B217" s="41">
        <v>31</v>
      </c>
      <c r="C217" s="32">
        <v>131.881</v>
      </c>
      <c r="D217" s="32">
        <v>277.16699999999997</v>
      </c>
      <c r="E217" s="38">
        <v>829.952</v>
      </c>
      <c r="F217" s="32">
        <v>1239</v>
      </c>
      <c r="G217" s="32">
        <v>75</v>
      </c>
      <c r="H217" s="40">
        <v>600</v>
      </c>
      <c r="I217" s="32">
        <v>695</v>
      </c>
      <c r="J217" s="32">
        <v>0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ht="15.75">
      <c r="A218" s="13">
        <v>48519</v>
      </c>
      <c r="B218" s="41">
        <v>30</v>
      </c>
      <c r="C218" s="32">
        <v>122.58</v>
      </c>
      <c r="D218" s="32">
        <v>297.94099999999997</v>
      </c>
      <c r="E218" s="38">
        <v>729.47900000000004</v>
      </c>
      <c r="F218" s="32">
        <v>1150</v>
      </c>
      <c r="G218" s="32">
        <v>100</v>
      </c>
      <c r="H218" s="40">
        <v>600</v>
      </c>
      <c r="I218" s="32">
        <v>695</v>
      </c>
      <c r="J218" s="32">
        <v>50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15.75">
      <c r="A219" s="13">
        <v>48549</v>
      </c>
      <c r="B219" s="41">
        <v>31</v>
      </c>
      <c r="C219" s="32">
        <v>122.58</v>
      </c>
      <c r="D219" s="32">
        <v>297.94099999999997</v>
      </c>
      <c r="E219" s="38">
        <v>729.47900000000004</v>
      </c>
      <c r="F219" s="32">
        <v>1150</v>
      </c>
      <c r="G219" s="32">
        <v>100</v>
      </c>
      <c r="H219" s="40">
        <v>600</v>
      </c>
      <c r="I219" s="32">
        <v>695</v>
      </c>
      <c r="J219" s="32">
        <v>50</v>
      </c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ht="15.75">
      <c r="A220" s="13">
        <v>48580</v>
      </c>
      <c r="B220" s="41">
        <v>31</v>
      </c>
      <c r="C220" s="32">
        <v>122.58</v>
      </c>
      <c r="D220" s="32">
        <v>297.94099999999997</v>
      </c>
      <c r="E220" s="38">
        <v>729.47900000000004</v>
      </c>
      <c r="F220" s="32">
        <v>1150</v>
      </c>
      <c r="G220" s="32">
        <v>100</v>
      </c>
      <c r="H220" s="40">
        <v>600</v>
      </c>
      <c r="I220" s="32">
        <v>695</v>
      </c>
      <c r="J220" s="32">
        <v>50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ht="15.75">
      <c r="A221" s="13">
        <v>48611</v>
      </c>
      <c r="B221" s="41">
        <v>28</v>
      </c>
      <c r="C221" s="32">
        <v>122.58</v>
      </c>
      <c r="D221" s="32">
        <v>297.94099999999997</v>
      </c>
      <c r="E221" s="38">
        <v>729.47900000000004</v>
      </c>
      <c r="F221" s="32">
        <v>1150</v>
      </c>
      <c r="G221" s="32">
        <v>100</v>
      </c>
      <c r="H221" s="40">
        <v>600</v>
      </c>
      <c r="I221" s="32">
        <v>695</v>
      </c>
      <c r="J221" s="32">
        <v>50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.75">
      <c r="A222" s="13">
        <v>48639</v>
      </c>
      <c r="B222" s="41">
        <v>31</v>
      </c>
      <c r="C222" s="32">
        <v>122.58</v>
      </c>
      <c r="D222" s="32">
        <v>297.94099999999997</v>
      </c>
      <c r="E222" s="38">
        <v>729.47900000000004</v>
      </c>
      <c r="F222" s="32">
        <v>1150</v>
      </c>
      <c r="G222" s="32">
        <v>100</v>
      </c>
      <c r="H222" s="40">
        <v>600</v>
      </c>
      <c r="I222" s="32">
        <v>695</v>
      </c>
      <c r="J222" s="32">
        <v>50</v>
      </c>
      <c r="K222" s="33"/>
      <c r="L222" s="33"/>
      <c r="M222" s="33"/>
      <c r="N222" s="33"/>
      <c r="O222" s="33"/>
      <c r="P222" s="33"/>
      <c r="Q222" s="33"/>
      <c r="R222" s="33"/>
      <c r="S222" s="33"/>
      <c r="T222" s="33"/>
    </row>
    <row r="223" spans="1:20" ht="15.75">
      <c r="A223" s="13">
        <v>48670</v>
      </c>
      <c r="B223" s="41">
        <v>30</v>
      </c>
      <c r="C223" s="32">
        <v>141.29300000000001</v>
      </c>
      <c r="D223" s="32">
        <v>267.99299999999999</v>
      </c>
      <c r="E223" s="38">
        <v>829.71400000000006</v>
      </c>
      <c r="F223" s="32">
        <v>1239</v>
      </c>
      <c r="G223" s="32">
        <v>100</v>
      </c>
      <c r="H223" s="40">
        <v>600</v>
      </c>
      <c r="I223" s="32">
        <v>695</v>
      </c>
      <c r="J223" s="32">
        <v>50</v>
      </c>
      <c r="K223" s="33"/>
      <c r="L223" s="33"/>
      <c r="M223" s="33"/>
      <c r="N223" s="33"/>
      <c r="O223" s="33"/>
      <c r="P223" s="33"/>
      <c r="Q223" s="33"/>
      <c r="R223" s="33"/>
      <c r="S223" s="33"/>
      <c r="T223" s="33"/>
    </row>
    <row r="224" spans="1:20" ht="15.75">
      <c r="A224" s="13">
        <v>48700</v>
      </c>
      <c r="B224" s="41">
        <v>31</v>
      </c>
      <c r="C224" s="32">
        <v>194.20500000000001</v>
      </c>
      <c r="D224" s="32">
        <v>267.46600000000001</v>
      </c>
      <c r="E224" s="38">
        <v>812.32899999999995</v>
      </c>
      <c r="F224" s="32">
        <v>1274</v>
      </c>
      <c r="G224" s="32">
        <v>75</v>
      </c>
      <c r="H224" s="40">
        <v>600</v>
      </c>
      <c r="I224" s="32">
        <v>695</v>
      </c>
      <c r="J224" s="32">
        <v>50</v>
      </c>
      <c r="K224" s="33"/>
      <c r="L224" s="33"/>
      <c r="M224" s="33"/>
      <c r="N224" s="33"/>
      <c r="O224" s="33"/>
      <c r="P224" s="33"/>
      <c r="Q224" s="33"/>
      <c r="R224" s="33"/>
      <c r="S224" s="33"/>
      <c r="T224" s="33"/>
    </row>
    <row r="225" spans="1:20" ht="15.75">
      <c r="A225" s="13">
        <v>48731</v>
      </c>
      <c r="B225" s="41">
        <v>30</v>
      </c>
      <c r="C225" s="32">
        <v>194.20500000000001</v>
      </c>
      <c r="D225" s="32">
        <v>267.46600000000001</v>
      </c>
      <c r="E225" s="38">
        <v>812.32899999999995</v>
      </c>
      <c r="F225" s="32">
        <v>1274</v>
      </c>
      <c r="G225" s="32">
        <v>50</v>
      </c>
      <c r="H225" s="40">
        <v>600</v>
      </c>
      <c r="I225" s="32">
        <v>695</v>
      </c>
      <c r="J225" s="32">
        <v>50</v>
      </c>
      <c r="K225" s="33"/>
      <c r="L225" s="33"/>
      <c r="M225" s="33"/>
      <c r="N225" s="33"/>
      <c r="O225" s="33"/>
      <c r="P225" s="33"/>
      <c r="Q225" s="33"/>
      <c r="R225" s="33"/>
      <c r="S225" s="33"/>
      <c r="T225" s="33"/>
    </row>
    <row r="226" spans="1:20" ht="15.75">
      <c r="A226" s="13">
        <v>48761</v>
      </c>
      <c r="B226" s="41">
        <v>31</v>
      </c>
      <c r="C226" s="32">
        <v>194.20500000000001</v>
      </c>
      <c r="D226" s="32">
        <v>267.46600000000001</v>
      </c>
      <c r="E226" s="38">
        <v>812.32899999999995</v>
      </c>
      <c r="F226" s="32">
        <v>1274</v>
      </c>
      <c r="G226" s="32">
        <v>50</v>
      </c>
      <c r="H226" s="40">
        <v>600</v>
      </c>
      <c r="I226" s="32">
        <v>695</v>
      </c>
      <c r="J226" s="32">
        <v>0</v>
      </c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ht="15.75">
      <c r="A227" s="13">
        <v>48792</v>
      </c>
      <c r="B227" s="41">
        <v>31</v>
      </c>
      <c r="C227" s="32">
        <v>194.20500000000001</v>
      </c>
      <c r="D227" s="32">
        <v>267.46600000000001</v>
      </c>
      <c r="E227" s="38">
        <v>812.32899999999995</v>
      </c>
      <c r="F227" s="32">
        <v>1274</v>
      </c>
      <c r="G227" s="32">
        <v>50</v>
      </c>
      <c r="H227" s="40">
        <v>600</v>
      </c>
      <c r="I227" s="32">
        <v>695</v>
      </c>
      <c r="J227" s="32">
        <v>0</v>
      </c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ht="15.75">
      <c r="A228" s="13">
        <v>48823</v>
      </c>
      <c r="B228" s="41">
        <v>30</v>
      </c>
      <c r="C228" s="32">
        <v>194.20500000000001</v>
      </c>
      <c r="D228" s="32">
        <v>267.46600000000001</v>
      </c>
      <c r="E228" s="38">
        <v>812.32899999999995</v>
      </c>
      <c r="F228" s="32">
        <v>1274</v>
      </c>
      <c r="G228" s="32">
        <v>50</v>
      </c>
      <c r="H228" s="40">
        <v>600</v>
      </c>
      <c r="I228" s="32">
        <v>695</v>
      </c>
      <c r="J228" s="32">
        <v>0</v>
      </c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ht="15.75">
      <c r="A229" s="13">
        <v>48853</v>
      </c>
      <c r="B229" s="41">
        <v>31</v>
      </c>
      <c r="C229" s="32">
        <v>131.881</v>
      </c>
      <c r="D229" s="32">
        <v>277.16699999999997</v>
      </c>
      <c r="E229" s="38">
        <v>829.952</v>
      </c>
      <c r="F229" s="32">
        <v>1239</v>
      </c>
      <c r="G229" s="32">
        <v>75</v>
      </c>
      <c r="H229" s="40">
        <v>600</v>
      </c>
      <c r="I229" s="32">
        <v>695</v>
      </c>
      <c r="J229" s="32">
        <v>0</v>
      </c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ht="15.75">
      <c r="A230" s="13">
        <v>48884</v>
      </c>
      <c r="B230" s="41">
        <v>30</v>
      </c>
      <c r="C230" s="32">
        <v>122.58</v>
      </c>
      <c r="D230" s="32">
        <v>297.94099999999997</v>
      </c>
      <c r="E230" s="38">
        <v>729.47900000000004</v>
      </c>
      <c r="F230" s="32">
        <v>1150</v>
      </c>
      <c r="G230" s="32">
        <v>100</v>
      </c>
      <c r="H230" s="40">
        <v>600</v>
      </c>
      <c r="I230" s="32">
        <v>695</v>
      </c>
      <c r="J230" s="32">
        <v>50</v>
      </c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15.75">
      <c r="A231" s="13">
        <v>48914</v>
      </c>
      <c r="B231" s="41">
        <v>31</v>
      </c>
      <c r="C231" s="32">
        <v>122.58</v>
      </c>
      <c r="D231" s="32">
        <v>297.94099999999997</v>
      </c>
      <c r="E231" s="38">
        <v>729.47900000000004</v>
      </c>
      <c r="F231" s="32">
        <v>1150</v>
      </c>
      <c r="G231" s="32">
        <v>100</v>
      </c>
      <c r="H231" s="40">
        <v>600</v>
      </c>
      <c r="I231" s="32">
        <v>695</v>
      </c>
      <c r="J231" s="32">
        <v>50</v>
      </c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ht="15.75">
      <c r="A232" s="13">
        <v>48945</v>
      </c>
      <c r="B232" s="41">
        <v>31</v>
      </c>
      <c r="C232" s="32">
        <v>122.58</v>
      </c>
      <c r="D232" s="32">
        <v>297.94099999999997</v>
      </c>
      <c r="E232" s="38">
        <v>729.47900000000004</v>
      </c>
      <c r="F232" s="32">
        <v>1150</v>
      </c>
      <c r="G232" s="32">
        <v>100</v>
      </c>
      <c r="H232" s="40">
        <v>600</v>
      </c>
      <c r="I232" s="32">
        <v>695</v>
      </c>
      <c r="J232" s="32">
        <v>50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ht="15.75">
      <c r="A233" s="13">
        <v>48976</v>
      </c>
      <c r="B233" s="41">
        <v>28</v>
      </c>
      <c r="C233" s="32">
        <v>122.58</v>
      </c>
      <c r="D233" s="32">
        <v>297.94099999999997</v>
      </c>
      <c r="E233" s="38">
        <v>729.47900000000004</v>
      </c>
      <c r="F233" s="32">
        <v>1150</v>
      </c>
      <c r="G233" s="32">
        <v>100</v>
      </c>
      <c r="H233" s="40">
        <v>600</v>
      </c>
      <c r="I233" s="32">
        <v>695</v>
      </c>
      <c r="J233" s="32">
        <v>50</v>
      </c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ht="15.75">
      <c r="A234" s="13">
        <v>49004</v>
      </c>
      <c r="B234" s="41">
        <v>31</v>
      </c>
      <c r="C234" s="32">
        <v>122.58</v>
      </c>
      <c r="D234" s="32">
        <v>297.94099999999997</v>
      </c>
      <c r="E234" s="38">
        <v>729.47900000000004</v>
      </c>
      <c r="F234" s="32">
        <v>1150</v>
      </c>
      <c r="G234" s="32">
        <v>100</v>
      </c>
      <c r="H234" s="40">
        <v>600</v>
      </c>
      <c r="I234" s="32">
        <v>695</v>
      </c>
      <c r="J234" s="32">
        <v>50</v>
      </c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ht="15.75">
      <c r="A235" s="13">
        <v>49035</v>
      </c>
      <c r="B235" s="41">
        <v>30</v>
      </c>
      <c r="C235" s="32">
        <v>141.29300000000001</v>
      </c>
      <c r="D235" s="32">
        <v>267.99299999999999</v>
      </c>
      <c r="E235" s="38">
        <v>829.71400000000006</v>
      </c>
      <c r="F235" s="32">
        <v>1239</v>
      </c>
      <c r="G235" s="32">
        <v>100</v>
      </c>
      <c r="H235" s="40">
        <v>600</v>
      </c>
      <c r="I235" s="32">
        <v>695</v>
      </c>
      <c r="J235" s="32">
        <v>50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ht="15.75">
      <c r="A236" s="13">
        <v>49065</v>
      </c>
      <c r="B236" s="41">
        <v>31</v>
      </c>
      <c r="C236" s="32">
        <v>194.20500000000001</v>
      </c>
      <c r="D236" s="32">
        <v>267.46600000000001</v>
      </c>
      <c r="E236" s="38">
        <v>812.32899999999995</v>
      </c>
      <c r="F236" s="32">
        <v>1274</v>
      </c>
      <c r="G236" s="32">
        <v>75</v>
      </c>
      <c r="H236" s="40">
        <v>600</v>
      </c>
      <c r="I236" s="32">
        <v>695</v>
      </c>
      <c r="J236" s="32">
        <v>50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ht="15.75">
      <c r="A237" s="13">
        <v>49096</v>
      </c>
      <c r="B237" s="41">
        <v>30</v>
      </c>
      <c r="C237" s="32">
        <v>194.20500000000001</v>
      </c>
      <c r="D237" s="32">
        <v>267.46600000000001</v>
      </c>
      <c r="E237" s="38">
        <v>812.32899999999995</v>
      </c>
      <c r="F237" s="32">
        <v>1274</v>
      </c>
      <c r="G237" s="32">
        <v>50</v>
      </c>
      <c r="H237" s="40">
        <v>600</v>
      </c>
      <c r="I237" s="32">
        <v>695</v>
      </c>
      <c r="J237" s="32">
        <v>50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ht="15.75">
      <c r="A238" s="13">
        <v>49126</v>
      </c>
      <c r="B238" s="41">
        <v>31</v>
      </c>
      <c r="C238" s="32">
        <v>194.20500000000001</v>
      </c>
      <c r="D238" s="32">
        <v>267.46600000000001</v>
      </c>
      <c r="E238" s="38">
        <v>812.32899999999995</v>
      </c>
      <c r="F238" s="32">
        <v>1274</v>
      </c>
      <c r="G238" s="32">
        <v>50</v>
      </c>
      <c r="H238" s="40">
        <v>600</v>
      </c>
      <c r="I238" s="32">
        <v>695</v>
      </c>
      <c r="J238" s="32">
        <v>0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ht="15.75">
      <c r="A239" s="13">
        <v>49157</v>
      </c>
      <c r="B239" s="41">
        <v>31</v>
      </c>
      <c r="C239" s="32">
        <v>194.20500000000001</v>
      </c>
      <c r="D239" s="32">
        <v>267.46600000000001</v>
      </c>
      <c r="E239" s="38">
        <v>812.32899999999995</v>
      </c>
      <c r="F239" s="32">
        <v>1274</v>
      </c>
      <c r="G239" s="32">
        <v>50</v>
      </c>
      <c r="H239" s="40">
        <v>600</v>
      </c>
      <c r="I239" s="32">
        <v>695</v>
      </c>
      <c r="J239" s="32">
        <v>0</v>
      </c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ht="15.75">
      <c r="A240" s="13">
        <v>49188</v>
      </c>
      <c r="B240" s="41">
        <v>30</v>
      </c>
      <c r="C240" s="32">
        <v>194.20500000000001</v>
      </c>
      <c r="D240" s="32">
        <v>267.46600000000001</v>
      </c>
      <c r="E240" s="38">
        <v>812.32899999999995</v>
      </c>
      <c r="F240" s="32">
        <v>1274</v>
      </c>
      <c r="G240" s="32">
        <v>50</v>
      </c>
      <c r="H240" s="40">
        <v>600</v>
      </c>
      <c r="I240" s="32">
        <v>695</v>
      </c>
      <c r="J240" s="32">
        <v>0</v>
      </c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ht="15.75">
      <c r="A241" s="13">
        <v>49218</v>
      </c>
      <c r="B241" s="41">
        <v>31</v>
      </c>
      <c r="C241" s="32">
        <v>131.881</v>
      </c>
      <c r="D241" s="32">
        <v>277.16699999999997</v>
      </c>
      <c r="E241" s="38">
        <v>829.952</v>
      </c>
      <c r="F241" s="32">
        <v>1239</v>
      </c>
      <c r="G241" s="32">
        <v>75</v>
      </c>
      <c r="H241" s="40">
        <v>600</v>
      </c>
      <c r="I241" s="32">
        <v>695</v>
      </c>
      <c r="J241" s="32">
        <v>0</v>
      </c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ht="15.75">
      <c r="A242" s="13">
        <v>49249</v>
      </c>
      <c r="B242" s="41">
        <v>30</v>
      </c>
      <c r="C242" s="32">
        <v>122.58</v>
      </c>
      <c r="D242" s="32">
        <v>297.94099999999997</v>
      </c>
      <c r="E242" s="38">
        <v>729.47900000000004</v>
      </c>
      <c r="F242" s="32">
        <v>1150</v>
      </c>
      <c r="G242" s="32">
        <v>100</v>
      </c>
      <c r="H242" s="40">
        <v>600</v>
      </c>
      <c r="I242" s="32">
        <v>695</v>
      </c>
      <c r="J242" s="32">
        <v>50</v>
      </c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ht="15.75">
      <c r="A243" s="13">
        <v>49279</v>
      </c>
      <c r="B243" s="41">
        <v>31</v>
      </c>
      <c r="C243" s="32">
        <v>122.58</v>
      </c>
      <c r="D243" s="32">
        <v>297.94099999999997</v>
      </c>
      <c r="E243" s="38">
        <v>729.47900000000004</v>
      </c>
      <c r="F243" s="32">
        <v>1150</v>
      </c>
      <c r="G243" s="32">
        <v>100</v>
      </c>
      <c r="H243" s="40">
        <v>600</v>
      </c>
      <c r="I243" s="32">
        <v>695</v>
      </c>
      <c r="J243" s="32">
        <v>50</v>
      </c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ht="15.75">
      <c r="A244" s="13">
        <v>49310</v>
      </c>
      <c r="B244" s="41">
        <v>31</v>
      </c>
      <c r="C244" s="32">
        <v>122.58</v>
      </c>
      <c r="D244" s="32">
        <v>297.94099999999997</v>
      </c>
      <c r="E244" s="38">
        <v>729.47900000000004</v>
      </c>
      <c r="F244" s="32">
        <v>1150</v>
      </c>
      <c r="G244" s="32">
        <v>100</v>
      </c>
      <c r="H244" s="40">
        <v>600</v>
      </c>
      <c r="I244" s="32">
        <v>695</v>
      </c>
      <c r="J244" s="32">
        <v>50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5.75">
      <c r="A245" s="13">
        <v>49341</v>
      </c>
      <c r="B245" s="41">
        <v>28</v>
      </c>
      <c r="C245" s="32">
        <v>122.58</v>
      </c>
      <c r="D245" s="32">
        <v>297.94099999999997</v>
      </c>
      <c r="E245" s="38">
        <v>729.47900000000004</v>
      </c>
      <c r="F245" s="32">
        <v>1150</v>
      </c>
      <c r="G245" s="32">
        <v>100</v>
      </c>
      <c r="H245" s="40">
        <v>600</v>
      </c>
      <c r="I245" s="32">
        <v>695</v>
      </c>
      <c r="J245" s="32">
        <v>50</v>
      </c>
      <c r="K245" s="33"/>
      <c r="L245" s="33"/>
      <c r="M245" s="33"/>
      <c r="N245" s="33"/>
      <c r="O245" s="33"/>
      <c r="P245" s="33"/>
      <c r="Q245" s="33"/>
      <c r="R245" s="33"/>
      <c r="S245" s="33"/>
      <c r="T245" s="33"/>
    </row>
    <row r="246" spans="1:20" ht="15.75">
      <c r="A246" s="13">
        <v>49369</v>
      </c>
      <c r="B246" s="41">
        <v>31</v>
      </c>
      <c r="C246" s="32">
        <v>122.58</v>
      </c>
      <c r="D246" s="32">
        <v>297.94099999999997</v>
      </c>
      <c r="E246" s="38">
        <v>729.47900000000004</v>
      </c>
      <c r="F246" s="32">
        <v>1150</v>
      </c>
      <c r="G246" s="32">
        <v>100</v>
      </c>
      <c r="H246" s="40">
        <v>600</v>
      </c>
      <c r="I246" s="32">
        <v>695</v>
      </c>
      <c r="J246" s="32">
        <v>50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</row>
    <row r="247" spans="1:20" ht="15.75">
      <c r="A247" s="13">
        <v>49400</v>
      </c>
      <c r="B247" s="41">
        <v>30</v>
      </c>
      <c r="C247" s="32">
        <v>141.29300000000001</v>
      </c>
      <c r="D247" s="32">
        <v>267.99299999999999</v>
      </c>
      <c r="E247" s="38">
        <v>829.71400000000006</v>
      </c>
      <c r="F247" s="32">
        <v>1239</v>
      </c>
      <c r="G247" s="32">
        <v>100</v>
      </c>
      <c r="H247" s="40">
        <v>600</v>
      </c>
      <c r="I247" s="32">
        <v>695</v>
      </c>
      <c r="J247" s="32">
        <v>50</v>
      </c>
      <c r="K247" s="33"/>
      <c r="L247" s="33"/>
      <c r="M247" s="33"/>
      <c r="N247" s="33"/>
      <c r="O247" s="33"/>
      <c r="P247" s="33"/>
      <c r="Q247" s="33"/>
      <c r="R247" s="33"/>
      <c r="S247" s="33"/>
      <c r="T247" s="33"/>
    </row>
    <row r="248" spans="1:20" ht="15.75">
      <c r="A248" s="13">
        <v>49430</v>
      </c>
      <c r="B248" s="41">
        <v>31</v>
      </c>
      <c r="C248" s="32">
        <v>194.20500000000001</v>
      </c>
      <c r="D248" s="32">
        <v>267.46600000000001</v>
      </c>
      <c r="E248" s="38">
        <v>812.32899999999995</v>
      </c>
      <c r="F248" s="32">
        <v>1274</v>
      </c>
      <c r="G248" s="32">
        <v>75</v>
      </c>
      <c r="H248" s="40">
        <v>600</v>
      </c>
      <c r="I248" s="32">
        <v>695</v>
      </c>
      <c r="J248" s="32">
        <v>50</v>
      </c>
      <c r="K248" s="33"/>
      <c r="L248" s="33"/>
      <c r="M248" s="33"/>
      <c r="N248" s="33"/>
      <c r="O248" s="33"/>
      <c r="P248" s="33"/>
      <c r="Q248" s="33"/>
      <c r="R248" s="33"/>
      <c r="S248" s="33"/>
      <c r="T248" s="33"/>
    </row>
    <row r="249" spans="1:20" ht="15.75">
      <c r="A249" s="14">
        <v>49461</v>
      </c>
      <c r="B249" s="41">
        <v>30</v>
      </c>
      <c r="C249" s="32">
        <v>194.20500000000001</v>
      </c>
      <c r="D249" s="32">
        <v>267.46600000000001</v>
      </c>
      <c r="E249" s="38">
        <v>812.32899999999995</v>
      </c>
      <c r="F249" s="32">
        <v>1274</v>
      </c>
      <c r="G249" s="32">
        <v>50</v>
      </c>
      <c r="H249" s="40">
        <v>600</v>
      </c>
      <c r="I249" s="32">
        <v>695</v>
      </c>
      <c r="J249" s="32">
        <v>50</v>
      </c>
      <c r="K249" s="33"/>
      <c r="L249" s="33"/>
      <c r="M249" s="33"/>
      <c r="N249" s="33"/>
      <c r="O249" s="33"/>
      <c r="P249" s="33"/>
      <c r="Q249" s="33"/>
      <c r="R249" s="33"/>
      <c r="S249" s="33"/>
      <c r="T249" s="33"/>
    </row>
    <row r="250" spans="1:20" ht="15.75">
      <c r="A250" s="14">
        <v>49491</v>
      </c>
      <c r="B250" s="41">
        <v>31</v>
      </c>
      <c r="C250" s="32">
        <v>194.20500000000001</v>
      </c>
      <c r="D250" s="32">
        <v>267.46600000000001</v>
      </c>
      <c r="E250" s="38">
        <v>812.32899999999995</v>
      </c>
      <c r="F250" s="32">
        <v>1274</v>
      </c>
      <c r="G250" s="32">
        <v>50</v>
      </c>
      <c r="H250" s="40">
        <v>600</v>
      </c>
      <c r="I250" s="32">
        <v>695</v>
      </c>
      <c r="J250" s="32">
        <v>0</v>
      </c>
      <c r="K250" s="33"/>
      <c r="L250" s="33"/>
      <c r="M250" s="33"/>
      <c r="N250" s="33"/>
      <c r="O250" s="33"/>
      <c r="P250" s="33"/>
      <c r="Q250" s="33"/>
      <c r="R250" s="33"/>
      <c r="S250" s="33"/>
      <c r="T250" s="33"/>
    </row>
    <row r="251" spans="1:20" ht="15.75">
      <c r="A251" s="14">
        <v>49522</v>
      </c>
      <c r="B251" s="41">
        <v>31</v>
      </c>
      <c r="C251" s="32">
        <v>194.20500000000001</v>
      </c>
      <c r="D251" s="32">
        <v>267.46600000000001</v>
      </c>
      <c r="E251" s="38">
        <v>812.32899999999995</v>
      </c>
      <c r="F251" s="32">
        <v>1274</v>
      </c>
      <c r="G251" s="32">
        <v>50</v>
      </c>
      <c r="H251" s="40">
        <v>600</v>
      </c>
      <c r="I251" s="32">
        <v>695</v>
      </c>
      <c r="J251" s="32">
        <v>0</v>
      </c>
      <c r="K251" s="33"/>
      <c r="L251" s="33"/>
      <c r="M251" s="33"/>
      <c r="N251" s="33"/>
      <c r="O251" s="33"/>
      <c r="P251" s="33"/>
      <c r="Q251" s="33"/>
      <c r="R251" s="33"/>
      <c r="S251" s="33"/>
      <c r="T251" s="33"/>
    </row>
    <row r="252" spans="1:20" ht="15.75">
      <c r="A252" s="14">
        <v>49553</v>
      </c>
      <c r="B252" s="41">
        <v>30</v>
      </c>
      <c r="C252" s="32">
        <v>194.20500000000001</v>
      </c>
      <c r="D252" s="32">
        <v>267.46600000000001</v>
      </c>
      <c r="E252" s="38">
        <v>812.32899999999995</v>
      </c>
      <c r="F252" s="32">
        <v>1274</v>
      </c>
      <c r="G252" s="32">
        <v>50</v>
      </c>
      <c r="H252" s="40">
        <v>600</v>
      </c>
      <c r="I252" s="32">
        <v>695</v>
      </c>
      <c r="J252" s="32">
        <v>0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</row>
    <row r="253" spans="1:20" ht="15.75">
      <c r="A253" s="14">
        <v>49583</v>
      </c>
      <c r="B253" s="41">
        <v>31</v>
      </c>
      <c r="C253" s="32">
        <v>131.881</v>
      </c>
      <c r="D253" s="32">
        <v>277.16699999999997</v>
      </c>
      <c r="E253" s="38">
        <v>829.952</v>
      </c>
      <c r="F253" s="32">
        <v>1239</v>
      </c>
      <c r="G253" s="32">
        <v>75</v>
      </c>
      <c r="H253" s="40">
        <v>600</v>
      </c>
      <c r="I253" s="32">
        <v>695</v>
      </c>
      <c r="J253" s="32">
        <v>0</v>
      </c>
      <c r="K253" s="33"/>
      <c r="L253" s="33"/>
      <c r="M253" s="33"/>
      <c r="N253" s="33"/>
      <c r="O253" s="33"/>
      <c r="P253" s="33"/>
      <c r="Q253" s="33"/>
      <c r="R253" s="33"/>
      <c r="S253" s="33"/>
      <c r="T253" s="33"/>
    </row>
    <row r="254" spans="1:20" ht="15.75">
      <c r="A254" s="14">
        <v>49614</v>
      </c>
      <c r="B254" s="41">
        <v>30</v>
      </c>
      <c r="C254" s="32">
        <v>122.58</v>
      </c>
      <c r="D254" s="32">
        <v>297.94099999999997</v>
      </c>
      <c r="E254" s="38">
        <v>729.47900000000004</v>
      </c>
      <c r="F254" s="32">
        <v>1150</v>
      </c>
      <c r="G254" s="32">
        <v>100</v>
      </c>
      <c r="H254" s="40">
        <v>600</v>
      </c>
      <c r="I254" s="32">
        <v>695</v>
      </c>
      <c r="J254" s="32">
        <v>50</v>
      </c>
      <c r="K254" s="33"/>
      <c r="L254" s="33"/>
      <c r="M254" s="33"/>
      <c r="N254" s="33"/>
      <c r="O254" s="33"/>
      <c r="P254" s="33"/>
      <c r="Q254" s="33"/>
      <c r="R254" s="33"/>
      <c r="S254" s="33"/>
      <c r="T254" s="33"/>
    </row>
    <row r="255" spans="1:20" ht="15.75">
      <c r="A255" s="14">
        <v>49644</v>
      </c>
      <c r="B255" s="41">
        <v>31</v>
      </c>
      <c r="C255" s="32">
        <v>122.58</v>
      </c>
      <c r="D255" s="32">
        <v>297.94099999999997</v>
      </c>
      <c r="E255" s="38">
        <v>729.47900000000004</v>
      </c>
      <c r="F255" s="32">
        <v>1150</v>
      </c>
      <c r="G255" s="32">
        <v>100</v>
      </c>
      <c r="H255" s="40">
        <v>600</v>
      </c>
      <c r="I255" s="32">
        <v>695</v>
      </c>
      <c r="J255" s="32">
        <v>50</v>
      </c>
      <c r="K255" s="33"/>
      <c r="L255" s="33"/>
      <c r="M255" s="33"/>
      <c r="N255" s="33"/>
      <c r="O255" s="33"/>
      <c r="P255" s="33"/>
      <c r="Q255" s="33"/>
      <c r="R255" s="33"/>
      <c r="S255" s="33"/>
      <c r="T255" s="33"/>
    </row>
    <row r="256" spans="1:20" ht="15.75">
      <c r="A256" s="14">
        <v>49675</v>
      </c>
      <c r="B256" s="41">
        <v>31</v>
      </c>
      <c r="C256" s="32">
        <v>122.58</v>
      </c>
      <c r="D256" s="32">
        <v>297.94099999999997</v>
      </c>
      <c r="E256" s="38">
        <v>729.47900000000004</v>
      </c>
      <c r="F256" s="32">
        <v>1150</v>
      </c>
      <c r="G256" s="32">
        <v>100</v>
      </c>
      <c r="H256" s="40">
        <v>600</v>
      </c>
      <c r="I256" s="32">
        <v>695</v>
      </c>
      <c r="J256" s="32">
        <v>50</v>
      </c>
      <c r="K256" s="33"/>
      <c r="L256" s="33"/>
      <c r="M256" s="33"/>
      <c r="N256" s="33"/>
      <c r="O256" s="33"/>
      <c r="P256" s="33"/>
      <c r="Q256" s="33"/>
      <c r="R256" s="33"/>
      <c r="S256" s="33"/>
      <c r="T256" s="33"/>
    </row>
    <row r="257" spans="1:20" ht="15.75">
      <c r="A257" s="14">
        <v>49706</v>
      </c>
      <c r="B257" s="41">
        <v>29</v>
      </c>
      <c r="C257" s="32">
        <v>122.58</v>
      </c>
      <c r="D257" s="32">
        <v>297.94099999999997</v>
      </c>
      <c r="E257" s="38">
        <v>729.47900000000004</v>
      </c>
      <c r="F257" s="32">
        <v>1150</v>
      </c>
      <c r="G257" s="32">
        <v>100</v>
      </c>
      <c r="H257" s="40">
        <v>600</v>
      </c>
      <c r="I257" s="32">
        <v>695</v>
      </c>
      <c r="J257" s="32">
        <v>50</v>
      </c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ht="15.75">
      <c r="A258" s="14">
        <v>49735</v>
      </c>
      <c r="B258" s="41">
        <v>31</v>
      </c>
      <c r="C258" s="32">
        <v>122.58</v>
      </c>
      <c r="D258" s="32">
        <v>297.94099999999997</v>
      </c>
      <c r="E258" s="38">
        <v>729.47900000000004</v>
      </c>
      <c r="F258" s="32">
        <v>1150</v>
      </c>
      <c r="G258" s="32">
        <v>100</v>
      </c>
      <c r="H258" s="40">
        <v>600</v>
      </c>
      <c r="I258" s="32">
        <v>695</v>
      </c>
      <c r="J258" s="32">
        <v>50</v>
      </c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ht="15.75">
      <c r="A259" s="14">
        <v>49766</v>
      </c>
      <c r="B259" s="41">
        <v>30</v>
      </c>
      <c r="C259" s="32">
        <v>141.29300000000001</v>
      </c>
      <c r="D259" s="32">
        <v>267.99299999999999</v>
      </c>
      <c r="E259" s="38">
        <v>829.71400000000006</v>
      </c>
      <c r="F259" s="32">
        <v>1239</v>
      </c>
      <c r="G259" s="32">
        <v>100</v>
      </c>
      <c r="H259" s="40">
        <v>600</v>
      </c>
      <c r="I259" s="32">
        <v>695</v>
      </c>
      <c r="J259" s="32">
        <v>50</v>
      </c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ht="15.75">
      <c r="A260" s="14">
        <v>49796</v>
      </c>
      <c r="B260" s="41">
        <v>31</v>
      </c>
      <c r="C260" s="32">
        <v>194.20500000000001</v>
      </c>
      <c r="D260" s="32">
        <v>267.46600000000001</v>
      </c>
      <c r="E260" s="38">
        <v>812.32899999999995</v>
      </c>
      <c r="F260" s="32">
        <v>1274</v>
      </c>
      <c r="G260" s="32">
        <v>75</v>
      </c>
      <c r="H260" s="40">
        <v>600</v>
      </c>
      <c r="I260" s="32">
        <v>695</v>
      </c>
      <c r="J260" s="32">
        <v>50</v>
      </c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ht="15.75">
      <c r="A261" s="14">
        <v>49827</v>
      </c>
      <c r="B261" s="41">
        <v>30</v>
      </c>
      <c r="C261" s="32">
        <v>194.20500000000001</v>
      </c>
      <c r="D261" s="32">
        <v>267.46600000000001</v>
      </c>
      <c r="E261" s="38">
        <v>812.32899999999995</v>
      </c>
      <c r="F261" s="32">
        <v>1274</v>
      </c>
      <c r="G261" s="32">
        <v>50</v>
      </c>
      <c r="H261" s="40">
        <v>600</v>
      </c>
      <c r="I261" s="32">
        <v>695</v>
      </c>
      <c r="J261" s="32">
        <v>50</v>
      </c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.75">
      <c r="A262" s="14">
        <v>49857</v>
      </c>
      <c r="B262" s="41">
        <v>31</v>
      </c>
      <c r="C262" s="32">
        <v>194.20500000000001</v>
      </c>
      <c r="D262" s="32">
        <v>267.46600000000001</v>
      </c>
      <c r="E262" s="38">
        <v>812.32899999999995</v>
      </c>
      <c r="F262" s="32">
        <v>1274</v>
      </c>
      <c r="G262" s="32">
        <v>50</v>
      </c>
      <c r="H262" s="40">
        <v>600</v>
      </c>
      <c r="I262" s="32">
        <v>695</v>
      </c>
      <c r="J262" s="32">
        <v>0</v>
      </c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ht="15.75">
      <c r="A263" s="14">
        <v>49888</v>
      </c>
      <c r="B263" s="41">
        <v>31</v>
      </c>
      <c r="C263" s="32">
        <v>194.20500000000001</v>
      </c>
      <c r="D263" s="32">
        <v>267.46600000000001</v>
      </c>
      <c r="E263" s="38">
        <v>812.32899999999995</v>
      </c>
      <c r="F263" s="32">
        <v>1274</v>
      </c>
      <c r="G263" s="32">
        <v>50</v>
      </c>
      <c r="H263" s="40">
        <v>600</v>
      </c>
      <c r="I263" s="32">
        <v>695</v>
      </c>
      <c r="J263" s="32">
        <v>0</v>
      </c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ht="15.75">
      <c r="A264" s="14">
        <v>49919</v>
      </c>
      <c r="B264" s="41">
        <v>30</v>
      </c>
      <c r="C264" s="32">
        <v>194.20500000000001</v>
      </c>
      <c r="D264" s="32">
        <v>267.46600000000001</v>
      </c>
      <c r="E264" s="38">
        <v>812.32899999999995</v>
      </c>
      <c r="F264" s="32">
        <v>1274</v>
      </c>
      <c r="G264" s="32">
        <v>50</v>
      </c>
      <c r="H264" s="40">
        <v>600</v>
      </c>
      <c r="I264" s="32">
        <v>695</v>
      </c>
      <c r="J264" s="32">
        <v>0</v>
      </c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1:20" ht="15.75">
      <c r="A265" s="14">
        <v>49949</v>
      </c>
      <c r="B265" s="41">
        <v>31</v>
      </c>
      <c r="C265" s="32">
        <v>131.881</v>
      </c>
      <c r="D265" s="32">
        <v>277.16699999999997</v>
      </c>
      <c r="E265" s="38">
        <v>829.952</v>
      </c>
      <c r="F265" s="32">
        <v>1239</v>
      </c>
      <c r="G265" s="32">
        <v>75</v>
      </c>
      <c r="H265" s="40">
        <v>600</v>
      </c>
      <c r="I265" s="32">
        <v>695</v>
      </c>
      <c r="J265" s="32">
        <v>0</v>
      </c>
      <c r="K265" s="33"/>
      <c r="L265" s="33"/>
      <c r="M265" s="33"/>
      <c r="N265" s="33"/>
      <c r="O265" s="33"/>
      <c r="P265" s="33"/>
      <c r="Q265" s="33"/>
      <c r="R265" s="33"/>
      <c r="S265" s="33"/>
      <c r="T265" s="33"/>
    </row>
    <row r="266" spans="1:20" ht="15.75">
      <c r="A266" s="14">
        <v>49980</v>
      </c>
      <c r="B266" s="41">
        <v>30</v>
      </c>
      <c r="C266" s="32">
        <v>122.58</v>
      </c>
      <c r="D266" s="32">
        <v>297.94099999999997</v>
      </c>
      <c r="E266" s="38">
        <v>729.47900000000004</v>
      </c>
      <c r="F266" s="32">
        <v>1150</v>
      </c>
      <c r="G266" s="32">
        <v>100</v>
      </c>
      <c r="H266" s="40">
        <v>600</v>
      </c>
      <c r="I266" s="32">
        <v>695</v>
      </c>
      <c r="J266" s="32">
        <v>50</v>
      </c>
      <c r="K266" s="33"/>
      <c r="L266" s="33"/>
      <c r="M266" s="33"/>
      <c r="N266" s="33"/>
      <c r="O266" s="33"/>
      <c r="P266" s="33"/>
      <c r="Q266" s="33"/>
      <c r="R266" s="33"/>
      <c r="S266" s="33"/>
      <c r="T266" s="33"/>
    </row>
    <row r="267" spans="1:20" ht="15.75">
      <c r="A267" s="14">
        <v>50010</v>
      </c>
      <c r="B267" s="41">
        <v>31</v>
      </c>
      <c r="C267" s="32">
        <v>122.58</v>
      </c>
      <c r="D267" s="32">
        <v>297.94099999999997</v>
      </c>
      <c r="E267" s="38">
        <v>729.47900000000004</v>
      </c>
      <c r="F267" s="32">
        <v>1150</v>
      </c>
      <c r="G267" s="32">
        <v>100</v>
      </c>
      <c r="H267" s="40">
        <v>600</v>
      </c>
      <c r="I267" s="32">
        <v>695</v>
      </c>
      <c r="J267" s="32">
        <v>50</v>
      </c>
      <c r="K267" s="33"/>
      <c r="L267" s="33"/>
      <c r="M267" s="33"/>
      <c r="N267" s="33"/>
      <c r="O267" s="33"/>
      <c r="P267" s="33"/>
      <c r="Q267" s="33"/>
      <c r="R267" s="33"/>
      <c r="S267" s="33"/>
      <c r="T267" s="33"/>
    </row>
    <row r="268" spans="1:20" ht="15.75">
      <c r="A268" s="14">
        <v>50041</v>
      </c>
      <c r="B268" s="41">
        <v>31</v>
      </c>
      <c r="C268" s="32">
        <v>122.58</v>
      </c>
      <c r="D268" s="32">
        <v>297.94099999999997</v>
      </c>
      <c r="E268" s="38">
        <v>729.47900000000004</v>
      </c>
      <c r="F268" s="32">
        <v>1150</v>
      </c>
      <c r="G268" s="32">
        <v>100</v>
      </c>
      <c r="H268" s="40">
        <v>600</v>
      </c>
      <c r="I268" s="32">
        <v>695</v>
      </c>
      <c r="J268" s="32">
        <v>50</v>
      </c>
      <c r="K268" s="33"/>
      <c r="L268" s="33"/>
      <c r="M268" s="33"/>
      <c r="N268" s="33"/>
      <c r="O268" s="33"/>
      <c r="P268" s="33"/>
      <c r="Q268" s="33"/>
      <c r="R268" s="33"/>
      <c r="S268" s="33"/>
      <c r="T268" s="33"/>
    </row>
    <row r="269" spans="1:20" ht="15.75">
      <c r="A269" s="14">
        <v>50072</v>
      </c>
      <c r="B269" s="41">
        <v>28</v>
      </c>
      <c r="C269" s="32">
        <v>122.58</v>
      </c>
      <c r="D269" s="32">
        <v>297.94099999999997</v>
      </c>
      <c r="E269" s="38">
        <v>729.47900000000004</v>
      </c>
      <c r="F269" s="32">
        <v>1150</v>
      </c>
      <c r="G269" s="32">
        <v>100</v>
      </c>
      <c r="H269" s="40">
        <v>600</v>
      </c>
      <c r="I269" s="32">
        <v>695</v>
      </c>
      <c r="J269" s="32">
        <v>50</v>
      </c>
      <c r="K269" s="33"/>
      <c r="L269" s="33"/>
      <c r="M269" s="33"/>
      <c r="N269" s="33"/>
      <c r="O269" s="33"/>
      <c r="P269" s="33"/>
      <c r="Q269" s="33"/>
      <c r="R269" s="33"/>
      <c r="S269" s="33"/>
      <c r="T269" s="33"/>
    </row>
    <row r="270" spans="1:20" ht="15.75">
      <c r="A270" s="14">
        <v>50100</v>
      </c>
      <c r="B270" s="41">
        <v>31</v>
      </c>
      <c r="C270" s="32">
        <v>122.58</v>
      </c>
      <c r="D270" s="32">
        <v>297.94099999999997</v>
      </c>
      <c r="E270" s="38">
        <v>729.47900000000004</v>
      </c>
      <c r="F270" s="32">
        <v>1150</v>
      </c>
      <c r="G270" s="32">
        <v>100</v>
      </c>
      <c r="H270" s="40">
        <v>600</v>
      </c>
      <c r="I270" s="32">
        <v>695</v>
      </c>
      <c r="J270" s="32">
        <v>50</v>
      </c>
      <c r="K270" s="33"/>
      <c r="L270" s="33"/>
      <c r="M270" s="33"/>
      <c r="N270" s="33"/>
      <c r="O270" s="33"/>
      <c r="P270" s="33"/>
      <c r="Q270" s="33"/>
      <c r="R270" s="33"/>
      <c r="S270" s="33"/>
      <c r="T270" s="33"/>
    </row>
    <row r="271" spans="1:20" ht="15.75">
      <c r="A271" s="14">
        <v>50131</v>
      </c>
      <c r="B271" s="41">
        <v>30</v>
      </c>
      <c r="C271" s="32">
        <v>141.29300000000001</v>
      </c>
      <c r="D271" s="32">
        <v>267.99299999999999</v>
      </c>
      <c r="E271" s="38">
        <v>829.71400000000006</v>
      </c>
      <c r="F271" s="32">
        <v>1239</v>
      </c>
      <c r="G271" s="32">
        <v>100</v>
      </c>
      <c r="H271" s="40">
        <v>600</v>
      </c>
      <c r="I271" s="32">
        <v>695</v>
      </c>
      <c r="J271" s="32">
        <v>50</v>
      </c>
      <c r="K271" s="33"/>
      <c r="L271" s="33"/>
      <c r="M271" s="33"/>
      <c r="N271" s="33"/>
      <c r="O271" s="33"/>
      <c r="P271" s="33"/>
      <c r="Q271" s="33"/>
      <c r="R271" s="33"/>
      <c r="S271" s="33"/>
      <c r="T271" s="33"/>
    </row>
    <row r="272" spans="1:20" ht="15.75">
      <c r="A272" s="14">
        <v>50161</v>
      </c>
      <c r="B272" s="41">
        <v>31</v>
      </c>
      <c r="C272" s="32">
        <v>194.20500000000001</v>
      </c>
      <c r="D272" s="32">
        <v>267.46600000000001</v>
      </c>
      <c r="E272" s="38">
        <v>812.32899999999995</v>
      </c>
      <c r="F272" s="32">
        <v>1274</v>
      </c>
      <c r="G272" s="32">
        <v>75</v>
      </c>
      <c r="H272" s="40">
        <v>600</v>
      </c>
      <c r="I272" s="32">
        <v>695</v>
      </c>
      <c r="J272" s="32">
        <v>50</v>
      </c>
      <c r="K272" s="33"/>
      <c r="L272" s="33"/>
      <c r="M272" s="33"/>
      <c r="N272" s="33"/>
      <c r="O272" s="33"/>
      <c r="P272" s="33"/>
      <c r="Q272" s="33"/>
      <c r="R272" s="33"/>
      <c r="S272" s="33"/>
      <c r="T272" s="33"/>
    </row>
    <row r="273" spans="1:20" ht="15.75">
      <c r="A273" s="14">
        <v>50192</v>
      </c>
      <c r="B273" s="41">
        <v>30</v>
      </c>
      <c r="C273" s="32">
        <v>194.20500000000001</v>
      </c>
      <c r="D273" s="32">
        <v>267.46600000000001</v>
      </c>
      <c r="E273" s="38">
        <v>812.32899999999995</v>
      </c>
      <c r="F273" s="32">
        <v>1274</v>
      </c>
      <c r="G273" s="32">
        <v>50</v>
      </c>
      <c r="H273" s="40">
        <v>600</v>
      </c>
      <c r="I273" s="32">
        <v>695</v>
      </c>
      <c r="J273" s="32">
        <v>50</v>
      </c>
      <c r="K273" s="33"/>
      <c r="L273" s="33"/>
      <c r="M273" s="33"/>
      <c r="N273" s="33"/>
      <c r="O273" s="33"/>
      <c r="P273" s="33"/>
      <c r="Q273" s="33"/>
      <c r="R273" s="33"/>
      <c r="S273" s="33"/>
      <c r="T273" s="33"/>
    </row>
    <row r="274" spans="1:20" ht="15.75">
      <c r="A274" s="14">
        <v>50222</v>
      </c>
      <c r="B274" s="41">
        <v>31</v>
      </c>
      <c r="C274" s="32">
        <v>194.20500000000001</v>
      </c>
      <c r="D274" s="32">
        <v>267.46600000000001</v>
      </c>
      <c r="E274" s="38">
        <v>812.32899999999995</v>
      </c>
      <c r="F274" s="32">
        <v>1274</v>
      </c>
      <c r="G274" s="32">
        <v>50</v>
      </c>
      <c r="H274" s="40">
        <v>600</v>
      </c>
      <c r="I274" s="32">
        <v>695</v>
      </c>
      <c r="J274" s="32">
        <v>0</v>
      </c>
      <c r="K274" s="33"/>
      <c r="L274" s="33"/>
      <c r="M274" s="33"/>
      <c r="N274" s="33"/>
      <c r="O274" s="33"/>
      <c r="P274" s="33"/>
      <c r="Q274" s="33"/>
      <c r="R274" s="33"/>
      <c r="S274" s="33"/>
      <c r="T274" s="33"/>
    </row>
    <row r="275" spans="1:20" ht="15.75">
      <c r="A275" s="14">
        <v>50253</v>
      </c>
      <c r="B275" s="41">
        <v>31</v>
      </c>
      <c r="C275" s="32">
        <v>194.20500000000001</v>
      </c>
      <c r="D275" s="32">
        <v>267.46600000000001</v>
      </c>
      <c r="E275" s="38">
        <v>812.32899999999995</v>
      </c>
      <c r="F275" s="32">
        <v>1274</v>
      </c>
      <c r="G275" s="32">
        <v>50</v>
      </c>
      <c r="H275" s="40">
        <v>600</v>
      </c>
      <c r="I275" s="32">
        <v>695</v>
      </c>
      <c r="J275" s="32">
        <v>0</v>
      </c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ht="15.75">
      <c r="A276" s="14">
        <v>50284</v>
      </c>
      <c r="B276" s="41">
        <v>30</v>
      </c>
      <c r="C276" s="32">
        <v>194.20500000000001</v>
      </c>
      <c r="D276" s="32">
        <v>267.46600000000001</v>
      </c>
      <c r="E276" s="38">
        <v>812.32899999999995</v>
      </c>
      <c r="F276" s="32">
        <v>1274</v>
      </c>
      <c r="G276" s="32">
        <v>50</v>
      </c>
      <c r="H276" s="40">
        <v>600</v>
      </c>
      <c r="I276" s="32">
        <v>695</v>
      </c>
      <c r="J276" s="32">
        <v>0</v>
      </c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ht="15.75">
      <c r="A277" s="14">
        <v>50314</v>
      </c>
      <c r="B277" s="41">
        <v>31</v>
      </c>
      <c r="C277" s="32">
        <v>131.881</v>
      </c>
      <c r="D277" s="32">
        <v>277.16699999999997</v>
      </c>
      <c r="E277" s="38">
        <v>829.952</v>
      </c>
      <c r="F277" s="32">
        <v>1239</v>
      </c>
      <c r="G277" s="32">
        <v>75</v>
      </c>
      <c r="H277" s="40">
        <v>600</v>
      </c>
      <c r="I277" s="32">
        <v>695</v>
      </c>
      <c r="J277" s="32">
        <v>0</v>
      </c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.75">
      <c r="A278" s="14">
        <v>50345</v>
      </c>
      <c r="B278" s="41">
        <v>30</v>
      </c>
      <c r="C278" s="32">
        <v>122.58</v>
      </c>
      <c r="D278" s="32">
        <v>297.94099999999997</v>
      </c>
      <c r="E278" s="38">
        <v>729.47900000000004</v>
      </c>
      <c r="F278" s="32">
        <v>1150</v>
      </c>
      <c r="G278" s="32">
        <v>100</v>
      </c>
      <c r="H278" s="40">
        <v>600</v>
      </c>
      <c r="I278" s="32">
        <v>695</v>
      </c>
      <c r="J278" s="32">
        <v>50</v>
      </c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ht="15.75">
      <c r="A279" s="14">
        <v>50375</v>
      </c>
      <c r="B279" s="41">
        <v>31</v>
      </c>
      <c r="C279" s="32">
        <v>122.58</v>
      </c>
      <c r="D279" s="32">
        <v>297.94099999999997</v>
      </c>
      <c r="E279" s="38">
        <v>729.47900000000004</v>
      </c>
      <c r="F279" s="32">
        <v>1150</v>
      </c>
      <c r="G279" s="32">
        <v>100</v>
      </c>
      <c r="H279" s="40">
        <v>600</v>
      </c>
      <c r="I279" s="32">
        <v>695</v>
      </c>
      <c r="J279" s="32">
        <v>50</v>
      </c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ht="15.75">
      <c r="A280" s="13">
        <v>50436</v>
      </c>
      <c r="B280" s="41">
        <v>31</v>
      </c>
      <c r="C280" s="32">
        <v>122.58</v>
      </c>
      <c r="D280" s="32">
        <v>297.94099999999997</v>
      </c>
      <c r="E280" s="38">
        <v>729.47900000000004</v>
      </c>
      <c r="F280" s="32">
        <v>1150</v>
      </c>
      <c r="G280" s="32">
        <v>100</v>
      </c>
      <c r="H280" s="40">
        <v>600</v>
      </c>
      <c r="I280" s="32">
        <v>695</v>
      </c>
      <c r="J280" s="32">
        <v>50</v>
      </c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ht="15.75">
      <c r="A281" s="13">
        <v>50464</v>
      </c>
      <c r="B281" s="41">
        <v>28</v>
      </c>
      <c r="C281" s="32">
        <v>122.58</v>
      </c>
      <c r="D281" s="32">
        <v>297.94099999999997</v>
      </c>
      <c r="E281" s="38">
        <v>729.47900000000004</v>
      </c>
      <c r="F281" s="32">
        <v>1150</v>
      </c>
      <c r="G281" s="32">
        <v>100</v>
      </c>
      <c r="H281" s="40">
        <v>600</v>
      </c>
      <c r="I281" s="32">
        <v>695</v>
      </c>
      <c r="J281" s="32">
        <v>50</v>
      </c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ht="15.75">
      <c r="A282" s="13">
        <v>50495</v>
      </c>
      <c r="B282" s="41">
        <v>31</v>
      </c>
      <c r="C282" s="32">
        <v>122.58</v>
      </c>
      <c r="D282" s="32">
        <v>297.94099999999997</v>
      </c>
      <c r="E282" s="38">
        <v>729.47900000000004</v>
      </c>
      <c r="F282" s="32">
        <v>1150</v>
      </c>
      <c r="G282" s="32">
        <v>100</v>
      </c>
      <c r="H282" s="40">
        <v>600</v>
      </c>
      <c r="I282" s="32">
        <v>695</v>
      </c>
      <c r="J282" s="32">
        <v>50</v>
      </c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ht="15.75">
      <c r="A283" s="13">
        <v>50525</v>
      </c>
      <c r="B283" s="41">
        <v>30</v>
      </c>
      <c r="C283" s="32">
        <v>141.29300000000001</v>
      </c>
      <c r="D283" s="32">
        <v>267.99299999999999</v>
      </c>
      <c r="E283" s="38">
        <v>829.71400000000006</v>
      </c>
      <c r="F283" s="32">
        <v>1239</v>
      </c>
      <c r="G283" s="32">
        <v>100</v>
      </c>
      <c r="H283" s="40">
        <v>600</v>
      </c>
      <c r="I283" s="32">
        <v>695</v>
      </c>
      <c r="J283" s="32">
        <v>50</v>
      </c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ht="15.75">
      <c r="A284" s="13">
        <v>50556</v>
      </c>
      <c r="B284" s="41">
        <v>31</v>
      </c>
      <c r="C284" s="32">
        <v>194.20500000000001</v>
      </c>
      <c r="D284" s="32">
        <v>267.46600000000001</v>
      </c>
      <c r="E284" s="38">
        <v>812.32899999999995</v>
      </c>
      <c r="F284" s="32">
        <v>1274</v>
      </c>
      <c r="G284" s="32">
        <v>75</v>
      </c>
      <c r="H284" s="40">
        <v>600</v>
      </c>
      <c r="I284" s="32">
        <v>695</v>
      </c>
      <c r="J284" s="32">
        <v>50</v>
      </c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ht="15.75">
      <c r="A285" s="13">
        <v>50586</v>
      </c>
      <c r="B285" s="41">
        <v>30</v>
      </c>
      <c r="C285" s="32">
        <v>194.20500000000001</v>
      </c>
      <c r="D285" s="32">
        <v>267.46600000000001</v>
      </c>
      <c r="E285" s="38">
        <v>812.32899999999995</v>
      </c>
      <c r="F285" s="32">
        <v>1274</v>
      </c>
      <c r="G285" s="32">
        <v>50</v>
      </c>
      <c r="H285" s="40">
        <v>600</v>
      </c>
      <c r="I285" s="32">
        <v>695</v>
      </c>
      <c r="J285" s="32">
        <v>50</v>
      </c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ht="15.75">
      <c r="A286" s="13">
        <v>50617</v>
      </c>
      <c r="B286" s="41">
        <v>31</v>
      </c>
      <c r="C286" s="32">
        <v>194.20500000000001</v>
      </c>
      <c r="D286" s="32">
        <v>267.46600000000001</v>
      </c>
      <c r="E286" s="38">
        <v>812.32899999999995</v>
      </c>
      <c r="F286" s="32">
        <v>1274</v>
      </c>
      <c r="G286" s="32">
        <v>50</v>
      </c>
      <c r="H286" s="40">
        <v>600</v>
      </c>
      <c r="I286" s="32">
        <v>695</v>
      </c>
      <c r="J286" s="32">
        <v>0</v>
      </c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ht="15.75">
      <c r="A287" s="13">
        <v>50648</v>
      </c>
      <c r="B287" s="41">
        <v>31</v>
      </c>
      <c r="C287" s="32">
        <v>194.20500000000001</v>
      </c>
      <c r="D287" s="32">
        <v>267.46600000000001</v>
      </c>
      <c r="E287" s="38">
        <v>812.32899999999995</v>
      </c>
      <c r="F287" s="32">
        <v>1274</v>
      </c>
      <c r="G287" s="32">
        <v>50</v>
      </c>
      <c r="H287" s="40">
        <v>600</v>
      </c>
      <c r="I287" s="32">
        <v>695</v>
      </c>
      <c r="J287" s="32">
        <v>0</v>
      </c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ht="15.75">
      <c r="A288" s="13">
        <v>50678</v>
      </c>
      <c r="B288" s="41">
        <v>30</v>
      </c>
      <c r="C288" s="32">
        <v>194.20500000000001</v>
      </c>
      <c r="D288" s="32">
        <v>267.46600000000001</v>
      </c>
      <c r="E288" s="38">
        <v>812.32899999999995</v>
      </c>
      <c r="F288" s="32">
        <v>1274</v>
      </c>
      <c r="G288" s="32">
        <v>50</v>
      </c>
      <c r="H288" s="40">
        <v>600</v>
      </c>
      <c r="I288" s="32">
        <v>695</v>
      </c>
      <c r="J288" s="32">
        <v>0</v>
      </c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ht="15.75">
      <c r="A289" s="13">
        <v>50709</v>
      </c>
      <c r="B289" s="41">
        <v>31</v>
      </c>
      <c r="C289" s="32">
        <v>131.881</v>
      </c>
      <c r="D289" s="32">
        <v>277.16699999999997</v>
      </c>
      <c r="E289" s="38">
        <v>829.952</v>
      </c>
      <c r="F289" s="32">
        <v>1239</v>
      </c>
      <c r="G289" s="32">
        <v>75</v>
      </c>
      <c r="H289" s="40">
        <v>600</v>
      </c>
      <c r="I289" s="32">
        <v>695</v>
      </c>
      <c r="J289" s="32">
        <v>0</v>
      </c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ht="15.75">
      <c r="A290" s="13">
        <v>50739</v>
      </c>
      <c r="B290" s="41">
        <v>30</v>
      </c>
      <c r="C290" s="32">
        <v>122.58</v>
      </c>
      <c r="D290" s="32">
        <v>297.94099999999997</v>
      </c>
      <c r="E290" s="38">
        <v>729.47900000000004</v>
      </c>
      <c r="F290" s="32">
        <v>1150</v>
      </c>
      <c r="G290" s="32">
        <v>100</v>
      </c>
      <c r="H290" s="40">
        <v>600</v>
      </c>
      <c r="I290" s="32">
        <v>695</v>
      </c>
      <c r="J290" s="32">
        <v>50</v>
      </c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ht="15.75">
      <c r="A291" s="13">
        <v>50770</v>
      </c>
      <c r="B291" s="41">
        <v>31</v>
      </c>
      <c r="C291" s="32">
        <v>122.58</v>
      </c>
      <c r="D291" s="32">
        <v>297.94099999999997</v>
      </c>
      <c r="E291" s="38">
        <v>729.47900000000004</v>
      </c>
      <c r="F291" s="32">
        <v>1150</v>
      </c>
      <c r="G291" s="32">
        <v>100</v>
      </c>
      <c r="H291" s="40">
        <v>600</v>
      </c>
      <c r="I291" s="32">
        <v>695</v>
      </c>
      <c r="J291" s="32">
        <v>50</v>
      </c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ht="15.75">
      <c r="A292" s="13">
        <v>50801</v>
      </c>
      <c r="B292" s="41">
        <v>31</v>
      </c>
      <c r="C292" s="32">
        <v>122.58</v>
      </c>
      <c r="D292" s="32">
        <v>297.94099999999997</v>
      </c>
      <c r="E292" s="38">
        <v>729.47900000000004</v>
      </c>
      <c r="F292" s="32">
        <v>1150</v>
      </c>
      <c r="G292" s="32">
        <v>100</v>
      </c>
      <c r="H292" s="40">
        <v>600</v>
      </c>
      <c r="I292" s="32">
        <v>695</v>
      </c>
      <c r="J292" s="32">
        <v>50</v>
      </c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ht="15.75">
      <c r="A293" s="13">
        <v>50829</v>
      </c>
      <c r="B293" s="41">
        <v>28</v>
      </c>
      <c r="C293" s="32">
        <v>122.58</v>
      </c>
      <c r="D293" s="32">
        <v>297.94099999999997</v>
      </c>
      <c r="E293" s="38">
        <v>729.47900000000004</v>
      </c>
      <c r="F293" s="32">
        <v>1150</v>
      </c>
      <c r="G293" s="32">
        <v>100</v>
      </c>
      <c r="H293" s="40">
        <v>600</v>
      </c>
      <c r="I293" s="32">
        <v>695</v>
      </c>
      <c r="J293" s="32">
        <v>50</v>
      </c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5.75">
      <c r="A294" s="13">
        <v>50860</v>
      </c>
      <c r="B294" s="41">
        <v>31</v>
      </c>
      <c r="C294" s="32">
        <v>122.58</v>
      </c>
      <c r="D294" s="32">
        <v>297.94099999999997</v>
      </c>
      <c r="E294" s="38">
        <v>729.47900000000004</v>
      </c>
      <c r="F294" s="32">
        <v>1150</v>
      </c>
      <c r="G294" s="32">
        <v>100</v>
      </c>
      <c r="H294" s="40">
        <v>600</v>
      </c>
      <c r="I294" s="32">
        <v>695</v>
      </c>
      <c r="J294" s="32">
        <v>50</v>
      </c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ht="15.75">
      <c r="A295" s="13">
        <v>50890</v>
      </c>
      <c r="B295" s="41">
        <v>30</v>
      </c>
      <c r="C295" s="32">
        <v>141.29300000000001</v>
      </c>
      <c r="D295" s="32">
        <v>267.99299999999999</v>
      </c>
      <c r="E295" s="38">
        <v>829.71400000000006</v>
      </c>
      <c r="F295" s="32">
        <v>1239</v>
      </c>
      <c r="G295" s="32">
        <v>100</v>
      </c>
      <c r="H295" s="40">
        <v>600</v>
      </c>
      <c r="I295" s="32">
        <v>695</v>
      </c>
      <c r="J295" s="32">
        <v>50</v>
      </c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ht="15.75">
      <c r="A296" s="13">
        <v>50921</v>
      </c>
      <c r="B296" s="41">
        <v>31</v>
      </c>
      <c r="C296" s="32">
        <v>194.20500000000001</v>
      </c>
      <c r="D296" s="32">
        <v>267.46600000000001</v>
      </c>
      <c r="E296" s="38">
        <v>812.32899999999995</v>
      </c>
      <c r="F296" s="32">
        <v>1274</v>
      </c>
      <c r="G296" s="32">
        <v>75</v>
      </c>
      <c r="H296" s="40">
        <v>600</v>
      </c>
      <c r="I296" s="32">
        <v>695</v>
      </c>
      <c r="J296" s="32">
        <v>50</v>
      </c>
      <c r="K296" s="33"/>
      <c r="L296" s="33"/>
      <c r="M296" s="33"/>
      <c r="N296" s="33"/>
      <c r="O296" s="33"/>
      <c r="P296" s="33"/>
      <c r="Q296" s="33"/>
      <c r="R296" s="33"/>
      <c r="S296" s="33"/>
      <c r="T296" s="33"/>
    </row>
    <row r="297" spans="1:20" ht="15.75">
      <c r="A297" s="13">
        <v>50951</v>
      </c>
      <c r="B297" s="41">
        <v>30</v>
      </c>
      <c r="C297" s="32">
        <v>194.20500000000001</v>
      </c>
      <c r="D297" s="32">
        <v>267.46600000000001</v>
      </c>
      <c r="E297" s="38">
        <v>812.32899999999995</v>
      </c>
      <c r="F297" s="32">
        <v>1274</v>
      </c>
      <c r="G297" s="32">
        <v>50</v>
      </c>
      <c r="H297" s="40">
        <v>600</v>
      </c>
      <c r="I297" s="32">
        <v>695</v>
      </c>
      <c r="J297" s="32">
        <v>50</v>
      </c>
      <c r="K297" s="33"/>
      <c r="L297" s="33"/>
      <c r="M297" s="33"/>
      <c r="N297" s="33"/>
      <c r="O297" s="33"/>
      <c r="P297" s="33"/>
      <c r="Q297" s="33"/>
      <c r="R297" s="33"/>
      <c r="S297" s="33"/>
      <c r="T297" s="33"/>
    </row>
    <row r="298" spans="1:20" ht="15.75">
      <c r="A298" s="13">
        <v>50982</v>
      </c>
      <c r="B298" s="41">
        <v>31</v>
      </c>
      <c r="C298" s="32">
        <v>194.20500000000001</v>
      </c>
      <c r="D298" s="32">
        <v>267.46600000000001</v>
      </c>
      <c r="E298" s="38">
        <v>812.32899999999995</v>
      </c>
      <c r="F298" s="32">
        <v>1274</v>
      </c>
      <c r="G298" s="32">
        <v>50</v>
      </c>
      <c r="H298" s="40">
        <v>600</v>
      </c>
      <c r="I298" s="32">
        <v>695</v>
      </c>
      <c r="J298" s="32">
        <v>0</v>
      </c>
      <c r="K298" s="33"/>
      <c r="L298" s="33"/>
      <c r="M298" s="33"/>
      <c r="N298" s="33"/>
      <c r="O298" s="33"/>
      <c r="P298" s="33"/>
      <c r="Q298" s="33"/>
      <c r="R298" s="33"/>
      <c r="S298" s="33"/>
      <c r="T298" s="33"/>
    </row>
    <row r="299" spans="1:20" ht="15.75">
      <c r="A299" s="13">
        <v>51013</v>
      </c>
      <c r="B299" s="41">
        <v>31</v>
      </c>
      <c r="C299" s="32">
        <v>194.20500000000001</v>
      </c>
      <c r="D299" s="32">
        <v>267.46600000000001</v>
      </c>
      <c r="E299" s="38">
        <v>812.32899999999995</v>
      </c>
      <c r="F299" s="32">
        <v>1274</v>
      </c>
      <c r="G299" s="32">
        <v>50</v>
      </c>
      <c r="H299" s="40">
        <v>600</v>
      </c>
      <c r="I299" s="32">
        <v>695</v>
      </c>
      <c r="J299" s="32">
        <v>0</v>
      </c>
      <c r="K299" s="33"/>
      <c r="L299" s="33"/>
      <c r="M299" s="33"/>
      <c r="N299" s="33"/>
      <c r="O299" s="33"/>
      <c r="P299" s="33"/>
      <c r="Q299" s="33"/>
      <c r="R299" s="33"/>
      <c r="S299" s="33"/>
      <c r="T299" s="33"/>
    </row>
    <row r="300" spans="1:20" ht="15.75">
      <c r="A300" s="13">
        <v>51043</v>
      </c>
      <c r="B300" s="41">
        <v>30</v>
      </c>
      <c r="C300" s="32">
        <v>194.20500000000001</v>
      </c>
      <c r="D300" s="32">
        <v>267.46600000000001</v>
      </c>
      <c r="E300" s="38">
        <v>812.32899999999995</v>
      </c>
      <c r="F300" s="32">
        <v>1274</v>
      </c>
      <c r="G300" s="32">
        <v>50</v>
      </c>
      <c r="H300" s="40">
        <v>600</v>
      </c>
      <c r="I300" s="32">
        <v>695</v>
      </c>
      <c r="J300" s="32">
        <v>0</v>
      </c>
      <c r="K300" s="33"/>
      <c r="L300" s="33"/>
      <c r="M300" s="33"/>
      <c r="N300" s="33"/>
      <c r="O300" s="33"/>
      <c r="P300" s="33"/>
      <c r="Q300" s="33"/>
      <c r="R300" s="33"/>
      <c r="S300" s="33"/>
      <c r="T300" s="33"/>
    </row>
    <row r="301" spans="1:20" ht="15.75">
      <c r="A301" s="13">
        <v>51074</v>
      </c>
      <c r="B301" s="41">
        <v>31</v>
      </c>
      <c r="C301" s="32">
        <v>131.881</v>
      </c>
      <c r="D301" s="32">
        <v>277.16699999999997</v>
      </c>
      <c r="E301" s="38">
        <v>829.952</v>
      </c>
      <c r="F301" s="32">
        <v>1239</v>
      </c>
      <c r="G301" s="32">
        <v>75</v>
      </c>
      <c r="H301" s="40">
        <v>600</v>
      </c>
      <c r="I301" s="32">
        <v>695</v>
      </c>
      <c r="J301" s="32">
        <v>0</v>
      </c>
      <c r="K301" s="33"/>
      <c r="L301" s="33"/>
      <c r="M301" s="33"/>
      <c r="N301" s="33"/>
      <c r="O301" s="33"/>
      <c r="P301" s="33"/>
      <c r="Q301" s="33"/>
      <c r="R301" s="33"/>
      <c r="S301" s="33"/>
      <c r="T301" s="33"/>
    </row>
    <row r="302" spans="1:20" ht="15.75">
      <c r="A302" s="13">
        <v>51104</v>
      </c>
      <c r="B302" s="41">
        <v>30</v>
      </c>
      <c r="C302" s="32">
        <v>122.58</v>
      </c>
      <c r="D302" s="32">
        <v>297.94099999999997</v>
      </c>
      <c r="E302" s="38">
        <v>729.47900000000004</v>
      </c>
      <c r="F302" s="32">
        <v>1150</v>
      </c>
      <c r="G302" s="32">
        <v>100</v>
      </c>
      <c r="H302" s="40">
        <v>600</v>
      </c>
      <c r="I302" s="32">
        <v>695</v>
      </c>
      <c r="J302" s="32">
        <v>50</v>
      </c>
      <c r="K302" s="33"/>
      <c r="L302" s="33"/>
      <c r="M302" s="33"/>
      <c r="N302" s="33"/>
      <c r="O302" s="33"/>
      <c r="P302" s="33"/>
      <c r="Q302" s="33"/>
      <c r="R302" s="33"/>
      <c r="S302" s="33"/>
      <c r="T302" s="33"/>
    </row>
    <row r="303" spans="1:20" ht="15.75">
      <c r="A303" s="13">
        <v>51135</v>
      </c>
      <c r="B303" s="41">
        <v>31</v>
      </c>
      <c r="C303" s="32">
        <v>122.58</v>
      </c>
      <c r="D303" s="32">
        <v>297.94099999999997</v>
      </c>
      <c r="E303" s="38">
        <v>729.47900000000004</v>
      </c>
      <c r="F303" s="32">
        <v>1150</v>
      </c>
      <c r="G303" s="32">
        <v>100</v>
      </c>
      <c r="H303" s="40">
        <v>600</v>
      </c>
      <c r="I303" s="32">
        <v>695</v>
      </c>
      <c r="J303" s="32">
        <v>50</v>
      </c>
      <c r="K303" s="33"/>
      <c r="L303" s="33"/>
      <c r="M303" s="33"/>
      <c r="N303" s="33"/>
      <c r="O303" s="33"/>
      <c r="P303" s="33"/>
      <c r="Q303" s="33"/>
      <c r="R303" s="33"/>
      <c r="S303" s="33"/>
      <c r="T303" s="33"/>
    </row>
    <row r="304" spans="1:20" ht="15.75">
      <c r="A304" s="13">
        <v>51166</v>
      </c>
      <c r="B304" s="41">
        <v>31</v>
      </c>
      <c r="C304" s="32">
        <v>122.58</v>
      </c>
      <c r="D304" s="32">
        <v>297.94099999999997</v>
      </c>
      <c r="E304" s="38">
        <v>729.47900000000004</v>
      </c>
      <c r="F304" s="32">
        <v>1150</v>
      </c>
      <c r="G304" s="32">
        <v>100</v>
      </c>
      <c r="H304" s="40">
        <v>600</v>
      </c>
      <c r="I304" s="32">
        <v>695</v>
      </c>
      <c r="J304" s="32">
        <v>50</v>
      </c>
      <c r="K304" s="33"/>
      <c r="L304" s="33"/>
      <c r="M304" s="33"/>
      <c r="N304" s="33"/>
      <c r="O304" s="33"/>
      <c r="P304" s="33"/>
      <c r="Q304" s="33"/>
      <c r="R304" s="33"/>
      <c r="S304" s="33"/>
      <c r="T304" s="33"/>
    </row>
    <row r="305" spans="1:20" ht="15.75">
      <c r="A305" s="13">
        <v>51194</v>
      </c>
      <c r="B305" s="41">
        <v>29</v>
      </c>
      <c r="C305" s="32">
        <v>122.58</v>
      </c>
      <c r="D305" s="32">
        <v>297.94099999999997</v>
      </c>
      <c r="E305" s="38">
        <v>729.47900000000004</v>
      </c>
      <c r="F305" s="32">
        <v>1150</v>
      </c>
      <c r="G305" s="32">
        <v>100</v>
      </c>
      <c r="H305" s="40">
        <v>600</v>
      </c>
      <c r="I305" s="32">
        <v>695</v>
      </c>
      <c r="J305" s="32">
        <v>50</v>
      </c>
      <c r="K305" s="33"/>
      <c r="L305" s="33"/>
      <c r="M305" s="33"/>
      <c r="N305" s="33"/>
      <c r="O305" s="33"/>
      <c r="P305" s="33"/>
      <c r="Q305" s="33"/>
      <c r="R305" s="33"/>
      <c r="S305" s="33"/>
      <c r="T305" s="33"/>
    </row>
    <row r="306" spans="1:20" ht="15.75">
      <c r="A306" s="13">
        <v>51226</v>
      </c>
      <c r="B306" s="41">
        <v>31</v>
      </c>
      <c r="C306" s="32">
        <v>122.58</v>
      </c>
      <c r="D306" s="32">
        <v>297.94099999999997</v>
      </c>
      <c r="E306" s="38">
        <v>729.47900000000004</v>
      </c>
      <c r="F306" s="32">
        <v>1150</v>
      </c>
      <c r="G306" s="32">
        <v>100</v>
      </c>
      <c r="H306" s="40">
        <v>600</v>
      </c>
      <c r="I306" s="32">
        <v>695</v>
      </c>
      <c r="J306" s="32">
        <v>50</v>
      </c>
      <c r="K306" s="33"/>
      <c r="L306" s="33"/>
      <c r="M306" s="33"/>
      <c r="N306" s="33"/>
      <c r="O306" s="33"/>
      <c r="P306" s="33"/>
      <c r="Q306" s="33"/>
      <c r="R306" s="33"/>
      <c r="S306" s="33"/>
      <c r="T306" s="33"/>
    </row>
    <row r="307" spans="1:20" ht="15.75">
      <c r="A307" s="13">
        <v>51256</v>
      </c>
      <c r="B307" s="41">
        <v>30</v>
      </c>
      <c r="C307" s="32">
        <v>141.29300000000001</v>
      </c>
      <c r="D307" s="32">
        <v>267.99299999999999</v>
      </c>
      <c r="E307" s="38">
        <v>829.71400000000006</v>
      </c>
      <c r="F307" s="32">
        <v>1239</v>
      </c>
      <c r="G307" s="32">
        <v>100</v>
      </c>
      <c r="H307" s="40">
        <v>600</v>
      </c>
      <c r="I307" s="32">
        <v>695</v>
      </c>
      <c r="J307" s="32">
        <v>50</v>
      </c>
      <c r="K307" s="33"/>
      <c r="L307" s="33"/>
      <c r="M307" s="33"/>
      <c r="N307" s="33"/>
      <c r="O307" s="33"/>
      <c r="P307" s="33"/>
      <c r="Q307" s="33"/>
      <c r="R307" s="33"/>
      <c r="S307" s="33"/>
      <c r="T307" s="33"/>
    </row>
    <row r="308" spans="1:20" ht="15.75">
      <c r="A308" s="13">
        <v>51287</v>
      </c>
      <c r="B308" s="41">
        <v>31</v>
      </c>
      <c r="C308" s="32">
        <v>194.20500000000001</v>
      </c>
      <c r="D308" s="32">
        <v>267.46600000000001</v>
      </c>
      <c r="E308" s="38">
        <v>812.32899999999995</v>
      </c>
      <c r="F308" s="32">
        <v>1274</v>
      </c>
      <c r="G308" s="32">
        <v>75</v>
      </c>
      <c r="H308" s="40">
        <v>600</v>
      </c>
      <c r="I308" s="32">
        <v>695</v>
      </c>
      <c r="J308" s="32">
        <v>50</v>
      </c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ht="15.75">
      <c r="A309" s="13">
        <v>51317</v>
      </c>
      <c r="B309" s="41">
        <v>30</v>
      </c>
      <c r="C309" s="32">
        <v>194.20500000000001</v>
      </c>
      <c r="D309" s="32">
        <v>267.46600000000001</v>
      </c>
      <c r="E309" s="38">
        <v>812.32899999999995</v>
      </c>
      <c r="F309" s="32">
        <v>1274</v>
      </c>
      <c r="G309" s="32">
        <v>50</v>
      </c>
      <c r="H309" s="40">
        <v>600</v>
      </c>
      <c r="I309" s="32">
        <v>695</v>
      </c>
      <c r="J309" s="32">
        <v>50</v>
      </c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ht="15.75">
      <c r="A310" s="13">
        <v>51348</v>
      </c>
      <c r="B310" s="41">
        <v>31</v>
      </c>
      <c r="C310" s="32">
        <v>194.20500000000001</v>
      </c>
      <c r="D310" s="32">
        <v>267.46600000000001</v>
      </c>
      <c r="E310" s="38">
        <v>812.32899999999995</v>
      </c>
      <c r="F310" s="32">
        <v>1274</v>
      </c>
      <c r="G310" s="32">
        <v>50</v>
      </c>
      <c r="H310" s="40">
        <v>600</v>
      </c>
      <c r="I310" s="32">
        <v>695</v>
      </c>
      <c r="J310" s="32">
        <v>0</v>
      </c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ht="15.75">
      <c r="A311" s="13">
        <v>51379</v>
      </c>
      <c r="B311" s="41">
        <v>31</v>
      </c>
      <c r="C311" s="32">
        <v>194.20500000000001</v>
      </c>
      <c r="D311" s="32">
        <v>267.46600000000001</v>
      </c>
      <c r="E311" s="38">
        <v>812.32899999999995</v>
      </c>
      <c r="F311" s="32">
        <v>1274</v>
      </c>
      <c r="G311" s="32">
        <v>50</v>
      </c>
      <c r="H311" s="40">
        <v>600</v>
      </c>
      <c r="I311" s="32">
        <v>695</v>
      </c>
      <c r="J311" s="32">
        <v>0</v>
      </c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ht="15.75">
      <c r="A312" s="13">
        <v>51409</v>
      </c>
      <c r="B312" s="41">
        <v>30</v>
      </c>
      <c r="C312" s="32">
        <v>194.20500000000001</v>
      </c>
      <c r="D312" s="32">
        <v>267.46600000000001</v>
      </c>
      <c r="E312" s="38">
        <v>812.32899999999995</v>
      </c>
      <c r="F312" s="32">
        <v>1274</v>
      </c>
      <c r="G312" s="32">
        <v>50</v>
      </c>
      <c r="H312" s="40">
        <v>600</v>
      </c>
      <c r="I312" s="32">
        <v>695</v>
      </c>
      <c r="J312" s="32">
        <v>0</v>
      </c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.75">
      <c r="A313" s="13">
        <v>51440</v>
      </c>
      <c r="B313" s="41">
        <v>31</v>
      </c>
      <c r="C313" s="32">
        <v>131.881</v>
      </c>
      <c r="D313" s="32">
        <v>277.16699999999997</v>
      </c>
      <c r="E313" s="38">
        <v>829.952</v>
      </c>
      <c r="F313" s="32">
        <v>1239</v>
      </c>
      <c r="G313" s="32">
        <v>75</v>
      </c>
      <c r="H313" s="40">
        <v>600</v>
      </c>
      <c r="I313" s="32">
        <v>695</v>
      </c>
      <c r="J313" s="32">
        <v>0</v>
      </c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ht="15.75">
      <c r="A314" s="13">
        <v>51470</v>
      </c>
      <c r="B314" s="41">
        <v>30</v>
      </c>
      <c r="C314" s="32">
        <v>122.58</v>
      </c>
      <c r="D314" s="32">
        <v>297.94099999999997</v>
      </c>
      <c r="E314" s="38">
        <v>729.47900000000004</v>
      </c>
      <c r="F314" s="32">
        <v>1150</v>
      </c>
      <c r="G314" s="32">
        <v>100</v>
      </c>
      <c r="H314" s="40">
        <v>600</v>
      </c>
      <c r="I314" s="32">
        <v>695</v>
      </c>
      <c r="J314" s="32">
        <v>50</v>
      </c>
      <c r="K314" s="33"/>
      <c r="L314" s="33"/>
      <c r="M314" s="33"/>
      <c r="N314" s="33"/>
      <c r="O314" s="33"/>
      <c r="P314" s="33"/>
      <c r="Q314" s="33"/>
      <c r="R314" s="33"/>
      <c r="S314" s="33"/>
      <c r="T314" s="33"/>
    </row>
    <row r="315" spans="1:20" ht="15.75">
      <c r="A315" s="13">
        <v>51501</v>
      </c>
      <c r="B315" s="41">
        <v>31</v>
      </c>
      <c r="C315" s="32">
        <v>122.58</v>
      </c>
      <c r="D315" s="32">
        <v>297.94099999999997</v>
      </c>
      <c r="E315" s="38">
        <v>729.47900000000004</v>
      </c>
      <c r="F315" s="32">
        <v>1150</v>
      </c>
      <c r="G315" s="32">
        <v>100</v>
      </c>
      <c r="H315" s="40">
        <v>600</v>
      </c>
      <c r="I315" s="32">
        <v>695</v>
      </c>
      <c r="J315" s="32">
        <v>50</v>
      </c>
      <c r="K315" s="33"/>
      <c r="L315" s="33"/>
      <c r="M315" s="33"/>
      <c r="N315" s="33"/>
      <c r="O315" s="33"/>
      <c r="P315" s="33"/>
      <c r="Q315" s="33"/>
      <c r="R315" s="33"/>
      <c r="S315" s="33"/>
      <c r="T315" s="33"/>
    </row>
    <row r="316" spans="1:20" ht="15.75">
      <c r="A316" s="13">
        <v>51532</v>
      </c>
      <c r="B316" s="41">
        <v>31</v>
      </c>
      <c r="C316" s="32">
        <v>122.58</v>
      </c>
      <c r="D316" s="32">
        <v>297.94099999999997</v>
      </c>
      <c r="E316" s="38">
        <v>729.47900000000004</v>
      </c>
      <c r="F316" s="32">
        <v>1150</v>
      </c>
      <c r="G316" s="32">
        <v>100</v>
      </c>
      <c r="H316" s="40">
        <v>600</v>
      </c>
      <c r="I316" s="32">
        <v>695</v>
      </c>
      <c r="J316" s="32">
        <v>50</v>
      </c>
      <c r="K316" s="33"/>
      <c r="L316" s="33"/>
      <c r="M316" s="33"/>
      <c r="N316" s="33"/>
      <c r="O316" s="33"/>
      <c r="P316" s="33"/>
      <c r="Q316" s="33"/>
      <c r="R316" s="33"/>
      <c r="S316" s="33"/>
      <c r="T316" s="33"/>
    </row>
    <row r="317" spans="1:20" ht="15.75">
      <c r="A317" s="13">
        <v>51560</v>
      </c>
      <c r="B317" s="41">
        <v>28</v>
      </c>
      <c r="C317" s="32">
        <v>122.58</v>
      </c>
      <c r="D317" s="32">
        <v>297.94099999999997</v>
      </c>
      <c r="E317" s="38">
        <v>729.47900000000004</v>
      </c>
      <c r="F317" s="32">
        <v>1150</v>
      </c>
      <c r="G317" s="32">
        <v>100</v>
      </c>
      <c r="H317" s="40">
        <v>600</v>
      </c>
      <c r="I317" s="32">
        <v>695</v>
      </c>
      <c r="J317" s="32">
        <v>50</v>
      </c>
      <c r="K317" s="33"/>
      <c r="L317" s="33"/>
      <c r="M317" s="33"/>
      <c r="N317" s="33"/>
      <c r="O317" s="33"/>
      <c r="P317" s="33"/>
      <c r="Q317" s="33"/>
      <c r="R317" s="33"/>
      <c r="S317" s="33"/>
      <c r="T317" s="33"/>
    </row>
    <row r="318" spans="1:20" ht="15.75">
      <c r="A318" s="13">
        <v>51591</v>
      </c>
      <c r="B318" s="41">
        <v>31</v>
      </c>
      <c r="C318" s="32">
        <v>122.58</v>
      </c>
      <c r="D318" s="32">
        <v>297.94099999999997</v>
      </c>
      <c r="E318" s="38">
        <v>729.47900000000004</v>
      </c>
      <c r="F318" s="32">
        <v>1150</v>
      </c>
      <c r="G318" s="32">
        <v>100</v>
      </c>
      <c r="H318" s="40">
        <v>600</v>
      </c>
      <c r="I318" s="32">
        <v>695</v>
      </c>
      <c r="J318" s="32">
        <v>50</v>
      </c>
      <c r="K318" s="33"/>
      <c r="L318" s="33"/>
      <c r="M318" s="33"/>
      <c r="N318" s="33"/>
      <c r="O318" s="33"/>
      <c r="P318" s="33"/>
      <c r="Q318" s="33"/>
      <c r="R318" s="33"/>
      <c r="S318" s="33"/>
      <c r="T318" s="33"/>
    </row>
    <row r="319" spans="1:20" ht="15.75">
      <c r="A319" s="13">
        <v>51621</v>
      </c>
      <c r="B319" s="41">
        <v>30</v>
      </c>
      <c r="C319" s="32">
        <v>141.29300000000001</v>
      </c>
      <c r="D319" s="32">
        <v>267.99299999999999</v>
      </c>
      <c r="E319" s="38">
        <v>829.71400000000006</v>
      </c>
      <c r="F319" s="32">
        <v>1239</v>
      </c>
      <c r="G319" s="32">
        <v>100</v>
      </c>
      <c r="H319" s="40">
        <v>600</v>
      </c>
      <c r="I319" s="32">
        <v>695</v>
      </c>
      <c r="J319" s="32">
        <v>50</v>
      </c>
      <c r="K319" s="33"/>
      <c r="L319" s="33"/>
      <c r="M319" s="33"/>
      <c r="N319" s="33"/>
      <c r="O319" s="33"/>
      <c r="P319" s="33"/>
      <c r="Q319" s="33"/>
      <c r="R319" s="33"/>
      <c r="S319" s="33"/>
      <c r="T319" s="33"/>
    </row>
    <row r="320" spans="1:20" ht="15.75">
      <c r="A320" s="13">
        <v>51652</v>
      </c>
      <c r="B320" s="41">
        <v>31</v>
      </c>
      <c r="C320" s="32">
        <v>194.20500000000001</v>
      </c>
      <c r="D320" s="32">
        <v>267.46600000000001</v>
      </c>
      <c r="E320" s="38">
        <v>812.32899999999995</v>
      </c>
      <c r="F320" s="32">
        <v>1274</v>
      </c>
      <c r="G320" s="32">
        <v>75</v>
      </c>
      <c r="H320" s="40">
        <v>600</v>
      </c>
      <c r="I320" s="32">
        <v>695</v>
      </c>
      <c r="J320" s="32">
        <v>50</v>
      </c>
      <c r="K320" s="33"/>
      <c r="L320" s="33"/>
      <c r="M320" s="33"/>
      <c r="N320" s="33"/>
      <c r="O320" s="33"/>
      <c r="P320" s="33"/>
      <c r="Q320" s="33"/>
      <c r="R320" s="33"/>
      <c r="S320" s="33"/>
      <c r="T320" s="33"/>
    </row>
    <row r="321" spans="1:20" ht="15.75">
      <c r="A321" s="13">
        <v>51682</v>
      </c>
      <c r="B321" s="41">
        <v>30</v>
      </c>
      <c r="C321" s="32">
        <v>194.20500000000001</v>
      </c>
      <c r="D321" s="32">
        <v>267.46600000000001</v>
      </c>
      <c r="E321" s="38">
        <v>812.32899999999995</v>
      </c>
      <c r="F321" s="32">
        <v>1274</v>
      </c>
      <c r="G321" s="32">
        <v>50</v>
      </c>
      <c r="H321" s="40">
        <v>600</v>
      </c>
      <c r="I321" s="32">
        <v>695</v>
      </c>
      <c r="J321" s="32">
        <v>50</v>
      </c>
      <c r="K321" s="33"/>
      <c r="L321" s="33"/>
      <c r="M321" s="33"/>
      <c r="N321" s="33"/>
      <c r="O321" s="33"/>
      <c r="P321" s="33"/>
      <c r="Q321" s="33"/>
      <c r="R321" s="33"/>
      <c r="S321" s="33"/>
      <c r="T321" s="33"/>
    </row>
    <row r="322" spans="1:20" ht="15.75">
      <c r="A322" s="13">
        <v>51713</v>
      </c>
      <c r="B322" s="41">
        <v>31</v>
      </c>
      <c r="C322" s="32">
        <v>194.20500000000001</v>
      </c>
      <c r="D322" s="32">
        <v>267.46600000000001</v>
      </c>
      <c r="E322" s="38">
        <v>812.32899999999995</v>
      </c>
      <c r="F322" s="32">
        <v>1274</v>
      </c>
      <c r="G322" s="32">
        <v>50</v>
      </c>
      <c r="H322" s="40">
        <v>600</v>
      </c>
      <c r="I322" s="32">
        <v>695</v>
      </c>
      <c r="J322" s="32">
        <v>0</v>
      </c>
      <c r="K322" s="33"/>
      <c r="L322" s="33"/>
      <c r="M322" s="33"/>
      <c r="N322" s="33"/>
      <c r="O322" s="33"/>
      <c r="P322" s="33"/>
      <c r="Q322" s="33"/>
      <c r="R322" s="33"/>
      <c r="S322" s="33"/>
      <c r="T322" s="33"/>
    </row>
    <row r="323" spans="1:20" ht="15.75">
      <c r="A323" s="13">
        <v>51744</v>
      </c>
      <c r="B323" s="41">
        <v>31</v>
      </c>
      <c r="C323" s="32">
        <v>194.20500000000001</v>
      </c>
      <c r="D323" s="32">
        <v>267.46600000000001</v>
      </c>
      <c r="E323" s="38">
        <v>812.32899999999995</v>
      </c>
      <c r="F323" s="32">
        <v>1274</v>
      </c>
      <c r="G323" s="32">
        <v>50</v>
      </c>
      <c r="H323" s="40">
        <v>600</v>
      </c>
      <c r="I323" s="32">
        <v>695</v>
      </c>
      <c r="J323" s="32">
        <v>0</v>
      </c>
      <c r="K323" s="33"/>
      <c r="L323" s="33"/>
      <c r="M323" s="33"/>
      <c r="N323" s="33"/>
      <c r="O323" s="33"/>
      <c r="P323" s="33"/>
      <c r="Q323" s="33"/>
      <c r="R323" s="33"/>
      <c r="S323" s="33"/>
      <c r="T323" s="33"/>
    </row>
    <row r="324" spans="1:20" ht="15.75">
      <c r="A324" s="13">
        <v>51774</v>
      </c>
      <c r="B324" s="41">
        <v>30</v>
      </c>
      <c r="C324" s="32">
        <v>194.20500000000001</v>
      </c>
      <c r="D324" s="32">
        <v>267.46600000000001</v>
      </c>
      <c r="E324" s="38">
        <v>812.32899999999995</v>
      </c>
      <c r="F324" s="32">
        <v>1274</v>
      </c>
      <c r="G324" s="32">
        <v>50</v>
      </c>
      <c r="H324" s="40">
        <v>600</v>
      </c>
      <c r="I324" s="32">
        <v>695</v>
      </c>
      <c r="J324" s="32">
        <v>0</v>
      </c>
      <c r="K324" s="33"/>
      <c r="L324" s="33"/>
      <c r="M324" s="33"/>
      <c r="N324" s="33"/>
      <c r="O324" s="33"/>
      <c r="P324" s="33"/>
      <c r="Q324" s="33"/>
      <c r="R324" s="33"/>
      <c r="S324" s="33"/>
      <c r="T324" s="33"/>
    </row>
    <row r="325" spans="1:20" ht="15.75">
      <c r="A325" s="13">
        <v>51805</v>
      </c>
      <c r="B325" s="41">
        <v>31</v>
      </c>
      <c r="C325" s="32">
        <v>131.881</v>
      </c>
      <c r="D325" s="32">
        <v>277.16699999999997</v>
      </c>
      <c r="E325" s="38">
        <v>829.952</v>
      </c>
      <c r="F325" s="32">
        <v>1239</v>
      </c>
      <c r="G325" s="32">
        <v>75</v>
      </c>
      <c r="H325" s="40">
        <v>600</v>
      </c>
      <c r="I325" s="32">
        <v>695</v>
      </c>
      <c r="J325" s="32">
        <v>0</v>
      </c>
      <c r="K325" s="33"/>
      <c r="L325" s="33"/>
      <c r="M325" s="33"/>
      <c r="N325" s="33"/>
      <c r="O325" s="33"/>
      <c r="P325" s="33"/>
      <c r="Q325" s="33"/>
      <c r="R325" s="33"/>
      <c r="S325" s="33"/>
      <c r="T325" s="33"/>
    </row>
    <row r="326" spans="1:20" ht="15.75">
      <c r="A326" s="13">
        <v>51835</v>
      </c>
      <c r="B326" s="41">
        <v>30</v>
      </c>
      <c r="C326" s="32">
        <v>122.58</v>
      </c>
      <c r="D326" s="32">
        <v>297.94099999999997</v>
      </c>
      <c r="E326" s="38">
        <v>729.47900000000004</v>
      </c>
      <c r="F326" s="32">
        <v>1150</v>
      </c>
      <c r="G326" s="32">
        <v>100</v>
      </c>
      <c r="H326" s="40">
        <v>600</v>
      </c>
      <c r="I326" s="32">
        <v>695</v>
      </c>
      <c r="J326" s="32">
        <v>50</v>
      </c>
      <c r="K326" s="33"/>
      <c r="L326" s="33"/>
      <c r="M326" s="33"/>
      <c r="N326" s="33"/>
      <c r="O326" s="33"/>
      <c r="P326" s="33"/>
      <c r="Q326" s="33"/>
      <c r="R326" s="33"/>
      <c r="S326" s="33"/>
      <c r="T326" s="33"/>
    </row>
    <row r="327" spans="1:20" ht="15.75">
      <c r="A327" s="13">
        <v>51866</v>
      </c>
      <c r="B327" s="41">
        <v>31</v>
      </c>
      <c r="C327" s="32">
        <v>122.58</v>
      </c>
      <c r="D327" s="32">
        <v>297.94099999999997</v>
      </c>
      <c r="E327" s="38">
        <v>729.47900000000004</v>
      </c>
      <c r="F327" s="32">
        <v>1150</v>
      </c>
      <c r="G327" s="32">
        <v>100</v>
      </c>
      <c r="H327" s="40">
        <v>600</v>
      </c>
      <c r="I327" s="32">
        <v>695</v>
      </c>
      <c r="J327" s="32">
        <v>50</v>
      </c>
      <c r="K327" s="33"/>
      <c r="L327" s="33"/>
      <c r="M327" s="33"/>
      <c r="N327" s="33"/>
      <c r="O327" s="33"/>
      <c r="P327" s="33"/>
      <c r="Q327" s="33"/>
      <c r="R327" s="33"/>
      <c r="S327" s="33"/>
      <c r="T327" s="33"/>
    </row>
    <row r="328" spans="1:20" ht="15.75">
      <c r="A328" s="13">
        <v>51897</v>
      </c>
      <c r="B328" s="41">
        <v>31</v>
      </c>
      <c r="C328" s="32">
        <v>122.58</v>
      </c>
      <c r="D328" s="32">
        <v>297.94099999999997</v>
      </c>
      <c r="E328" s="38">
        <v>729.47900000000004</v>
      </c>
      <c r="F328" s="32">
        <v>1150</v>
      </c>
      <c r="G328" s="32">
        <v>100</v>
      </c>
      <c r="H328" s="40">
        <v>600</v>
      </c>
      <c r="I328" s="32">
        <v>695</v>
      </c>
      <c r="J328" s="32">
        <v>50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</row>
    <row r="329" spans="1:20" ht="15.75">
      <c r="A329" s="13">
        <v>51925</v>
      </c>
      <c r="B329" s="41">
        <v>28</v>
      </c>
      <c r="C329" s="32">
        <v>122.58</v>
      </c>
      <c r="D329" s="32">
        <v>297.94099999999997</v>
      </c>
      <c r="E329" s="38">
        <v>729.47900000000004</v>
      </c>
      <c r="F329" s="32">
        <v>1150</v>
      </c>
      <c r="G329" s="32">
        <v>100</v>
      </c>
      <c r="H329" s="40">
        <v>600</v>
      </c>
      <c r="I329" s="32">
        <v>695</v>
      </c>
      <c r="J329" s="32">
        <v>50</v>
      </c>
      <c r="K329" s="33"/>
      <c r="L329" s="33"/>
      <c r="M329" s="33"/>
      <c r="N329" s="33"/>
      <c r="O329" s="33"/>
      <c r="P329" s="33"/>
      <c r="Q329" s="33"/>
      <c r="R329" s="33"/>
      <c r="S329" s="33"/>
      <c r="T329" s="33"/>
    </row>
    <row r="330" spans="1:20" ht="15.75">
      <c r="A330" s="13">
        <v>51956</v>
      </c>
      <c r="B330" s="41">
        <v>31</v>
      </c>
      <c r="C330" s="32">
        <v>122.58</v>
      </c>
      <c r="D330" s="32">
        <v>297.94099999999997</v>
      </c>
      <c r="E330" s="38">
        <v>729.47900000000004</v>
      </c>
      <c r="F330" s="32">
        <v>1150</v>
      </c>
      <c r="G330" s="32">
        <v>100</v>
      </c>
      <c r="H330" s="40">
        <v>600</v>
      </c>
      <c r="I330" s="32">
        <v>695</v>
      </c>
      <c r="J330" s="32">
        <v>50</v>
      </c>
      <c r="K330" s="33"/>
      <c r="L330" s="33"/>
      <c r="M330" s="33"/>
      <c r="N330" s="33"/>
      <c r="O330" s="33"/>
      <c r="P330" s="33"/>
      <c r="Q330" s="33"/>
      <c r="R330" s="33"/>
      <c r="S330" s="33"/>
      <c r="T330" s="33"/>
    </row>
    <row r="331" spans="1:20" ht="15.75">
      <c r="A331" s="13">
        <v>51986</v>
      </c>
      <c r="B331" s="41">
        <v>30</v>
      </c>
      <c r="C331" s="32">
        <v>141.29300000000001</v>
      </c>
      <c r="D331" s="32">
        <v>267.99299999999999</v>
      </c>
      <c r="E331" s="38">
        <v>829.71400000000006</v>
      </c>
      <c r="F331" s="32">
        <v>1239</v>
      </c>
      <c r="G331" s="32">
        <v>100</v>
      </c>
      <c r="H331" s="40">
        <v>600</v>
      </c>
      <c r="I331" s="32">
        <v>695</v>
      </c>
      <c r="J331" s="32">
        <v>50</v>
      </c>
      <c r="K331" s="33"/>
      <c r="L331" s="33"/>
      <c r="M331" s="33"/>
      <c r="N331" s="33"/>
      <c r="O331" s="33"/>
      <c r="P331" s="33"/>
      <c r="Q331" s="33"/>
      <c r="R331" s="33"/>
      <c r="S331" s="33"/>
      <c r="T331" s="33"/>
    </row>
    <row r="332" spans="1:20" ht="15.75">
      <c r="A332" s="13">
        <v>52017</v>
      </c>
      <c r="B332" s="41">
        <v>31</v>
      </c>
      <c r="C332" s="32">
        <v>194.20500000000001</v>
      </c>
      <c r="D332" s="32">
        <v>267.46600000000001</v>
      </c>
      <c r="E332" s="38">
        <v>812.32899999999995</v>
      </c>
      <c r="F332" s="32">
        <v>1274</v>
      </c>
      <c r="G332" s="32">
        <v>75</v>
      </c>
      <c r="H332" s="40">
        <v>600</v>
      </c>
      <c r="I332" s="32">
        <v>695</v>
      </c>
      <c r="J332" s="32">
        <v>50</v>
      </c>
      <c r="K332" s="33"/>
      <c r="L332" s="33"/>
      <c r="M332" s="33"/>
      <c r="N332" s="33"/>
      <c r="O332" s="33"/>
      <c r="P332" s="33"/>
      <c r="Q332" s="33"/>
      <c r="R332" s="33"/>
      <c r="S332" s="33"/>
      <c r="T332" s="33"/>
    </row>
    <row r="333" spans="1:20" ht="15.75">
      <c r="A333" s="13">
        <v>52047</v>
      </c>
      <c r="B333" s="41">
        <v>30</v>
      </c>
      <c r="C333" s="32">
        <v>194.20500000000001</v>
      </c>
      <c r="D333" s="32">
        <v>267.46600000000001</v>
      </c>
      <c r="E333" s="38">
        <v>812.32899999999995</v>
      </c>
      <c r="F333" s="32">
        <v>1274</v>
      </c>
      <c r="G333" s="32">
        <v>50</v>
      </c>
      <c r="H333" s="40">
        <v>600</v>
      </c>
      <c r="I333" s="32">
        <v>695</v>
      </c>
      <c r="J333" s="32">
        <v>50</v>
      </c>
      <c r="K333" s="33"/>
      <c r="L333" s="33"/>
      <c r="M333" s="33"/>
      <c r="N333" s="33"/>
      <c r="O333" s="33"/>
      <c r="P333" s="33"/>
      <c r="Q333" s="33"/>
      <c r="R333" s="33"/>
      <c r="S333" s="33"/>
      <c r="T333" s="33"/>
    </row>
    <row r="334" spans="1:20" ht="15.75">
      <c r="A334" s="13">
        <v>52078</v>
      </c>
      <c r="B334" s="41">
        <v>31</v>
      </c>
      <c r="C334" s="32">
        <v>194.20500000000001</v>
      </c>
      <c r="D334" s="32">
        <v>267.46600000000001</v>
      </c>
      <c r="E334" s="38">
        <v>812.32899999999995</v>
      </c>
      <c r="F334" s="32">
        <v>1274</v>
      </c>
      <c r="G334" s="32">
        <v>50</v>
      </c>
      <c r="H334" s="40">
        <v>600</v>
      </c>
      <c r="I334" s="32">
        <v>695</v>
      </c>
      <c r="J334" s="32">
        <v>0</v>
      </c>
      <c r="K334" s="33"/>
      <c r="L334" s="33"/>
      <c r="M334" s="33"/>
      <c r="N334" s="33"/>
      <c r="O334" s="33"/>
      <c r="P334" s="33"/>
      <c r="Q334" s="33"/>
      <c r="R334" s="33"/>
      <c r="S334" s="33"/>
      <c r="T334" s="33"/>
    </row>
    <row r="335" spans="1:20" ht="15.75">
      <c r="A335" s="13">
        <v>52109</v>
      </c>
      <c r="B335" s="41">
        <v>31</v>
      </c>
      <c r="C335" s="32">
        <v>194.20500000000001</v>
      </c>
      <c r="D335" s="32">
        <v>267.46600000000001</v>
      </c>
      <c r="E335" s="38">
        <v>812.32899999999995</v>
      </c>
      <c r="F335" s="32">
        <v>1274</v>
      </c>
      <c r="G335" s="32">
        <v>50</v>
      </c>
      <c r="H335" s="40">
        <v>600</v>
      </c>
      <c r="I335" s="32">
        <v>695</v>
      </c>
      <c r="J335" s="32">
        <v>0</v>
      </c>
      <c r="K335" s="33"/>
      <c r="L335" s="33"/>
      <c r="M335" s="33"/>
      <c r="N335" s="33"/>
      <c r="O335" s="33"/>
      <c r="P335" s="33"/>
      <c r="Q335" s="33"/>
      <c r="R335" s="33"/>
      <c r="S335" s="33"/>
      <c r="T335" s="33"/>
    </row>
    <row r="336" spans="1:20" ht="15.75">
      <c r="A336" s="13">
        <v>52139</v>
      </c>
      <c r="B336" s="41">
        <v>30</v>
      </c>
      <c r="C336" s="32">
        <v>194.20500000000001</v>
      </c>
      <c r="D336" s="32">
        <v>267.46600000000001</v>
      </c>
      <c r="E336" s="38">
        <v>812.32899999999995</v>
      </c>
      <c r="F336" s="32">
        <v>1274</v>
      </c>
      <c r="G336" s="32">
        <v>50</v>
      </c>
      <c r="H336" s="40">
        <v>600</v>
      </c>
      <c r="I336" s="32">
        <v>695</v>
      </c>
      <c r="J336" s="32">
        <v>0</v>
      </c>
      <c r="K336" s="33"/>
      <c r="L336" s="33"/>
      <c r="M336" s="33"/>
      <c r="N336" s="33"/>
      <c r="O336" s="33"/>
      <c r="P336" s="33"/>
      <c r="Q336" s="33"/>
      <c r="R336" s="33"/>
      <c r="S336" s="33"/>
      <c r="T336" s="33"/>
    </row>
    <row r="337" spans="1:20" ht="15.75">
      <c r="A337" s="13">
        <v>52170</v>
      </c>
      <c r="B337" s="41">
        <v>31</v>
      </c>
      <c r="C337" s="32">
        <v>131.881</v>
      </c>
      <c r="D337" s="32">
        <v>277.16699999999997</v>
      </c>
      <c r="E337" s="38">
        <v>829.952</v>
      </c>
      <c r="F337" s="32">
        <v>1239</v>
      </c>
      <c r="G337" s="32">
        <v>75</v>
      </c>
      <c r="H337" s="40">
        <v>600</v>
      </c>
      <c r="I337" s="32">
        <v>695</v>
      </c>
      <c r="J337" s="32">
        <v>0</v>
      </c>
      <c r="K337" s="33"/>
      <c r="L337" s="33"/>
      <c r="M337" s="33"/>
      <c r="N337" s="33"/>
      <c r="O337" s="33"/>
      <c r="P337" s="33"/>
      <c r="Q337" s="33"/>
      <c r="R337" s="33"/>
      <c r="S337" s="33"/>
      <c r="T337" s="33"/>
    </row>
    <row r="338" spans="1:20" ht="15.75">
      <c r="A338" s="13">
        <v>52200</v>
      </c>
      <c r="B338" s="41">
        <v>30</v>
      </c>
      <c r="C338" s="32">
        <v>122.58</v>
      </c>
      <c r="D338" s="32">
        <v>297.94099999999997</v>
      </c>
      <c r="E338" s="38">
        <v>729.47900000000004</v>
      </c>
      <c r="F338" s="32">
        <v>1150</v>
      </c>
      <c r="G338" s="32">
        <v>100</v>
      </c>
      <c r="H338" s="40">
        <v>600</v>
      </c>
      <c r="I338" s="32">
        <v>695</v>
      </c>
      <c r="J338" s="32">
        <v>50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</row>
    <row r="339" spans="1:20" ht="15.75">
      <c r="A339" s="13">
        <v>52231</v>
      </c>
      <c r="B339" s="41">
        <v>31</v>
      </c>
      <c r="C339" s="32">
        <v>122.58</v>
      </c>
      <c r="D339" s="32">
        <v>297.94099999999997</v>
      </c>
      <c r="E339" s="38">
        <v>729.47900000000004</v>
      </c>
      <c r="F339" s="32">
        <v>1150</v>
      </c>
      <c r="G339" s="32">
        <v>100</v>
      </c>
      <c r="H339" s="40">
        <v>600</v>
      </c>
      <c r="I339" s="32">
        <v>695</v>
      </c>
      <c r="J339" s="32">
        <v>50</v>
      </c>
      <c r="K339" s="33"/>
      <c r="L339" s="33"/>
      <c r="M339" s="33"/>
      <c r="N339" s="33"/>
      <c r="O339" s="33"/>
      <c r="P339" s="33"/>
      <c r="Q339" s="33"/>
      <c r="R339" s="33"/>
      <c r="S339" s="33"/>
      <c r="T339" s="33"/>
    </row>
    <row r="340" spans="1:20" ht="15.75">
      <c r="A340" s="13">
        <v>52262</v>
      </c>
      <c r="B340" s="41">
        <v>31</v>
      </c>
      <c r="C340" s="32">
        <v>122.58</v>
      </c>
      <c r="D340" s="32">
        <v>297.94099999999997</v>
      </c>
      <c r="E340" s="38">
        <v>729.47900000000004</v>
      </c>
      <c r="F340" s="32">
        <v>1150</v>
      </c>
      <c r="G340" s="32">
        <v>100</v>
      </c>
      <c r="H340" s="40">
        <v>600</v>
      </c>
      <c r="I340" s="32">
        <v>695</v>
      </c>
      <c r="J340" s="32">
        <v>50</v>
      </c>
      <c r="K340" s="33"/>
      <c r="L340" s="33"/>
      <c r="M340" s="33"/>
      <c r="N340" s="33"/>
      <c r="O340" s="33"/>
      <c r="P340" s="33"/>
      <c r="Q340" s="33"/>
      <c r="R340" s="33"/>
      <c r="S340" s="33"/>
      <c r="T340" s="33"/>
    </row>
    <row r="341" spans="1:20" ht="15.75">
      <c r="A341" s="13">
        <v>52290</v>
      </c>
      <c r="B341" s="41">
        <v>28</v>
      </c>
      <c r="C341" s="32">
        <v>122.58</v>
      </c>
      <c r="D341" s="32">
        <v>297.94099999999997</v>
      </c>
      <c r="E341" s="38">
        <v>729.47900000000004</v>
      </c>
      <c r="F341" s="32">
        <v>1150</v>
      </c>
      <c r="G341" s="32">
        <v>100</v>
      </c>
      <c r="H341" s="40">
        <v>600</v>
      </c>
      <c r="I341" s="32">
        <v>695</v>
      </c>
      <c r="J341" s="32">
        <v>50</v>
      </c>
      <c r="K341" s="33"/>
      <c r="L341" s="33"/>
      <c r="M341" s="33"/>
      <c r="N341" s="33"/>
      <c r="O341" s="33"/>
      <c r="P341" s="33"/>
      <c r="Q341" s="33"/>
      <c r="R341" s="33"/>
      <c r="S341" s="33"/>
      <c r="T341" s="33"/>
    </row>
    <row r="342" spans="1:20" ht="15.75">
      <c r="A342" s="13">
        <v>52321</v>
      </c>
      <c r="B342" s="41">
        <v>31</v>
      </c>
      <c r="C342" s="32">
        <v>122.58</v>
      </c>
      <c r="D342" s="32">
        <v>297.94099999999997</v>
      </c>
      <c r="E342" s="38">
        <v>729.47900000000004</v>
      </c>
      <c r="F342" s="32">
        <v>1150</v>
      </c>
      <c r="G342" s="32">
        <v>100</v>
      </c>
      <c r="H342" s="40">
        <v>600</v>
      </c>
      <c r="I342" s="32">
        <v>695</v>
      </c>
      <c r="J342" s="32">
        <v>50</v>
      </c>
      <c r="K342" s="33"/>
      <c r="L342" s="33"/>
      <c r="M342" s="33"/>
      <c r="N342" s="33"/>
      <c r="O342" s="33"/>
      <c r="P342" s="33"/>
      <c r="Q342" s="33"/>
      <c r="R342" s="33"/>
      <c r="S342" s="33"/>
      <c r="T342" s="33"/>
    </row>
    <row r="343" spans="1:20" ht="15.75">
      <c r="A343" s="13">
        <v>52351</v>
      </c>
      <c r="B343" s="41">
        <v>30</v>
      </c>
      <c r="C343" s="32">
        <v>141.29300000000001</v>
      </c>
      <c r="D343" s="32">
        <v>267.99299999999999</v>
      </c>
      <c r="E343" s="38">
        <v>829.71400000000006</v>
      </c>
      <c r="F343" s="32">
        <v>1239</v>
      </c>
      <c r="G343" s="32">
        <v>100</v>
      </c>
      <c r="H343" s="40">
        <v>600</v>
      </c>
      <c r="I343" s="32">
        <v>695</v>
      </c>
      <c r="J343" s="32">
        <v>50</v>
      </c>
      <c r="K343" s="33"/>
      <c r="L343" s="33"/>
      <c r="M343" s="33"/>
      <c r="N343" s="33"/>
      <c r="O343" s="33"/>
      <c r="P343" s="33"/>
      <c r="Q343" s="33"/>
      <c r="R343" s="33"/>
      <c r="S343" s="33"/>
      <c r="T343" s="33"/>
    </row>
    <row r="344" spans="1:20" ht="15.75">
      <c r="A344" s="13">
        <v>52382</v>
      </c>
      <c r="B344" s="41">
        <v>31</v>
      </c>
      <c r="C344" s="32">
        <v>194.20500000000001</v>
      </c>
      <c r="D344" s="32">
        <v>267.46600000000001</v>
      </c>
      <c r="E344" s="38">
        <v>812.32899999999995</v>
      </c>
      <c r="F344" s="32">
        <v>1274</v>
      </c>
      <c r="G344" s="32">
        <v>75</v>
      </c>
      <c r="H344" s="40">
        <v>600</v>
      </c>
      <c r="I344" s="32">
        <v>695</v>
      </c>
      <c r="J344" s="32">
        <v>50</v>
      </c>
      <c r="K344" s="33"/>
      <c r="L344" s="33"/>
      <c r="M344" s="33"/>
      <c r="N344" s="33"/>
      <c r="O344" s="33"/>
      <c r="P344" s="33"/>
      <c r="Q344" s="33"/>
      <c r="R344" s="33"/>
      <c r="S344" s="33"/>
      <c r="T344" s="33"/>
    </row>
    <row r="345" spans="1:20" ht="15.75">
      <c r="A345" s="13">
        <v>52412</v>
      </c>
      <c r="B345" s="41">
        <v>30</v>
      </c>
      <c r="C345" s="32">
        <v>194.20500000000001</v>
      </c>
      <c r="D345" s="32">
        <v>267.46600000000001</v>
      </c>
      <c r="E345" s="38">
        <v>812.32899999999995</v>
      </c>
      <c r="F345" s="32">
        <v>1274</v>
      </c>
      <c r="G345" s="32">
        <v>50</v>
      </c>
      <c r="H345" s="40">
        <v>600</v>
      </c>
      <c r="I345" s="32">
        <v>695</v>
      </c>
      <c r="J345" s="32">
        <v>50</v>
      </c>
      <c r="K345" s="33"/>
      <c r="L345" s="33"/>
      <c r="M345" s="33"/>
      <c r="N345" s="33"/>
      <c r="O345" s="33"/>
      <c r="P345" s="33"/>
      <c r="Q345" s="33"/>
      <c r="R345" s="33"/>
      <c r="S345" s="33"/>
      <c r="T345" s="33"/>
    </row>
    <row r="346" spans="1:20" ht="15.75">
      <c r="A346" s="13">
        <v>52443</v>
      </c>
      <c r="B346" s="41">
        <v>31</v>
      </c>
      <c r="C346" s="32">
        <v>194.20500000000001</v>
      </c>
      <c r="D346" s="32">
        <v>267.46600000000001</v>
      </c>
      <c r="E346" s="38">
        <v>812.32899999999995</v>
      </c>
      <c r="F346" s="32">
        <v>1274</v>
      </c>
      <c r="G346" s="32">
        <v>50</v>
      </c>
      <c r="H346" s="40">
        <v>600</v>
      </c>
      <c r="I346" s="32">
        <v>695</v>
      </c>
      <c r="J346" s="32">
        <v>0</v>
      </c>
      <c r="K346" s="33"/>
      <c r="L346" s="33"/>
      <c r="M346" s="33"/>
      <c r="N346" s="33"/>
      <c r="O346" s="33"/>
      <c r="P346" s="33"/>
      <c r="Q346" s="33"/>
      <c r="R346" s="33"/>
      <c r="S346" s="33"/>
      <c r="T346" s="33"/>
    </row>
    <row r="347" spans="1:20" ht="15.75">
      <c r="A347" s="13">
        <v>52474</v>
      </c>
      <c r="B347" s="41">
        <v>31</v>
      </c>
      <c r="C347" s="32">
        <v>194.20500000000001</v>
      </c>
      <c r="D347" s="32">
        <v>267.46600000000001</v>
      </c>
      <c r="E347" s="38">
        <v>812.32899999999995</v>
      </c>
      <c r="F347" s="32">
        <v>1274</v>
      </c>
      <c r="G347" s="32">
        <v>50</v>
      </c>
      <c r="H347" s="40">
        <v>600</v>
      </c>
      <c r="I347" s="32">
        <v>695</v>
      </c>
      <c r="J347" s="32">
        <v>0</v>
      </c>
      <c r="K347" s="33"/>
      <c r="L347" s="33"/>
      <c r="M347" s="33"/>
      <c r="N347" s="33"/>
      <c r="O347" s="33"/>
      <c r="P347" s="33"/>
      <c r="Q347" s="33"/>
      <c r="R347" s="33"/>
      <c r="S347" s="33"/>
      <c r="T347" s="33"/>
    </row>
    <row r="348" spans="1:20" ht="15.75">
      <c r="A348" s="13">
        <v>52504</v>
      </c>
      <c r="B348" s="41">
        <v>30</v>
      </c>
      <c r="C348" s="32">
        <v>194.20500000000001</v>
      </c>
      <c r="D348" s="32">
        <v>267.46600000000001</v>
      </c>
      <c r="E348" s="38">
        <v>812.32899999999995</v>
      </c>
      <c r="F348" s="32">
        <v>1274</v>
      </c>
      <c r="G348" s="32">
        <v>50</v>
      </c>
      <c r="H348" s="40">
        <v>600</v>
      </c>
      <c r="I348" s="32">
        <v>695</v>
      </c>
      <c r="J348" s="32">
        <v>0</v>
      </c>
      <c r="K348" s="33"/>
      <c r="L348" s="33"/>
      <c r="M348" s="33"/>
      <c r="N348" s="33"/>
      <c r="O348" s="33"/>
      <c r="P348" s="33"/>
      <c r="Q348" s="33"/>
      <c r="R348" s="33"/>
      <c r="S348" s="33"/>
      <c r="T348" s="33"/>
    </row>
    <row r="349" spans="1:20" ht="15.75">
      <c r="A349" s="13">
        <v>52535</v>
      </c>
      <c r="B349" s="41">
        <v>31</v>
      </c>
      <c r="C349" s="32">
        <v>131.881</v>
      </c>
      <c r="D349" s="32">
        <v>277.16699999999997</v>
      </c>
      <c r="E349" s="38">
        <v>829.952</v>
      </c>
      <c r="F349" s="32">
        <v>1239</v>
      </c>
      <c r="G349" s="32">
        <v>75</v>
      </c>
      <c r="H349" s="40">
        <v>600</v>
      </c>
      <c r="I349" s="32">
        <v>695</v>
      </c>
      <c r="J349" s="32">
        <v>0</v>
      </c>
      <c r="K349" s="33"/>
      <c r="L349" s="33"/>
      <c r="M349" s="33"/>
      <c r="N349" s="33"/>
      <c r="O349" s="33"/>
      <c r="P349" s="33"/>
      <c r="Q349" s="33"/>
      <c r="R349" s="33"/>
      <c r="S349" s="33"/>
      <c r="T349" s="33"/>
    </row>
    <row r="350" spans="1:20" ht="15.75">
      <c r="A350" s="13">
        <v>52565</v>
      </c>
      <c r="B350" s="41">
        <v>30</v>
      </c>
      <c r="C350" s="32">
        <v>122.58</v>
      </c>
      <c r="D350" s="32">
        <v>297.94099999999997</v>
      </c>
      <c r="E350" s="38">
        <v>729.47900000000004</v>
      </c>
      <c r="F350" s="32">
        <v>1150</v>
      </c>
      <c r="G350" s="32">
        <v>100</v>
      </c>
      <c r="H350" s="40">
        <v>600</v>
      </c>
      <c r="I350" s="32">
        <v>695</v>
      </c>
      <c r="J350" s="32">
        <v>50</v>
      </c>
      <c r="K350" s="33"/>
      <c r="L350" s="33"/>
      <c r="M350" s="33"/>
      <c r="N350" s="33"/>
      <c r="O350" s="33"/>
      <c r="P350" s="33"/>
      <c r="Q350" s="33"/>
      <c r="R350" s="33"/>
      <c r="S350" s="33"/>
      <c r="T350" s="33"/>
    </row>
    <row r="351" spans="1:20" ht="15.75">
      <c r="A351" s="13">
        <v>52596</v>
      </c>
      <c r="B351" s="41">
        <v>31</v>
      </c>
      <c r="C351" s="32">
        <v>122.58</v>
      </c>
      <c r="D351" s="32">
        <v>297.94099999999997</v>
      </c>
      <c r="E351" s="38">
        <v>729.47900000000004</v>
      </c>
      <c r="F351" s="32">
        <v>1150</v>
      </c>
      <c r="G351" s="32">
        <v>100</v>
      </c>
      <c r="H351" s="40">
        <v>600</v>
      </c>
      <c r="I351" s="32">
        <v>695</v>
      </c>
      <c r="J351" s="32">
        <v>50</v>
      </c>
      <c r="K351" s="33"/>
      <c r="L351" s="33"/>
      <c r="M351" s="33"/>
      <c r="N351" s="33"/>
      <c r="O351" s="33"/>
      <c r="P351" s="33"/>
      <c r="Q351" s="33"/>
      <c r="R351" s="33"/>
      <c r="S351" s="33"/>
      <c r="T351" s="33"/>
    </row>
    <row r="352" spans="1:20" ht="15.75">
      <c r="A352" s="13">
        <v>52627</v>
      </c>
      <c r="B352" s="41">
        <v>31</v>
      </c>
      <c r="C352" s="32">
        <v>122.58</v>
      </c>
      <c r="D352" s="32">
        <v>297.94099999999997</v>
      </c>
      <c r="E352" s="38">
        <v>729.47900000000004</v>
      </c>
      <c r="F352" s="32">
        <v>1150</v>
      </c>
      <c r="G352" s="32">
        <v>100</v>
      </c>
      <c r="H352" s="40">
        <v>600</v>
      </c>
      <c r="I352" s="32">
        <v>695</v>
      </c>
      <c r="J352" s="32">
        <v>50</v>
      </c>
      <c r="K352" s="33"/>
      <c r="L352" s="33"/>
      <c r="M352" s="33"/>
      <c r="N352" s="33"/>
      <c r="O352" s="33"/>
      <c r="P352" s="33"/>
      <c r="Q352" s="33"/>
      <c r="R352" s="33"/>
      <c r="S352" s="33"/>
      <c r="T352" s="33"/>
    </row>
    <row r="353" spans="1:20" ht="15.75">
      <c r="A353" s="13">
        <v>52655</v>
      </c>
      <c r="B353" s="41">
        <v>29</v>
      </c>
      <c r="C353" s="32">
        <v>122.58</v>
      </c>
      <c r="D353" s="32">
        <v>297.94099999999997</v>
      </c>
      <c r="E353" s="38">
        <v>729.47900000000004</v>
      </c>
      <c r="F353" s="32">
        <v>1150</v>
      </c>
      <c r="G353" s="32">
        <v>100</v>
      </c>
      <c r="H353" s="40">
        <v>600</v>
      </c>
      <c r="I353" s="32">
        <v>695</v>
      </c>
      <c r="J353" s="32">
        <v>50</v>
      </c>
      <c r="K353" s="33"/>
      <c r="L353" s="33"/>
      <c r="M353" s="33"/>
      <c r="N353" s="33"/>
      <c r="O353" s="33"/>
      <c r="P353" s="33"/>
      <c r="Q353" s="33"/>
      <c r="R353" s="33"/>
      <c r="S353" s="33"/>
      <c r="T353" s="33"/>
    </row>
    <row r="354" spans="1:20" ht="15.75">
      <c r="A354" s="13">
        <v>52687</v>
      </c>
      <c r="B354" s="41">
        <v>31</v>
      </c>
      <c r="C354" s="32">
        <v>122.58</v>
      </c>
      <c r="D354" s="32">
        <v>297.94099999999997</v>
      </c>
      <c r="E354" s="38">
        <v>729.47900000000004</v>
      </c>
      <c r="F354" s="32">
        <v>1150</v>
      </c>
      <c r="G354" s="32">
        <v>100</v>
      </c>
      <c r="H354" s="40">
        <v>600</v>
      </c>
      <c r="I354" s="32">
        <v>695</v>
      </c>
      <c r="J354" s="32">
        <v>50</v>
      </c>
      <c r="K354" s="33"/>
      <c r="L354" s="33"/>
      <c r="M354" s="33"/>
      <c r="N354" s="33"/>
      <c r="O354" s="33"/>
      <c r="P354" s="33"/>
      <c r="Q354" s="33"/>
      <c r="R354" s="33"/>
      <c r="S354" s="33"/>
      <c r="T354" s="33"/>
    </row>
    <row r="355" spans="1:20" ht="15.75">
      <c r="A355" s="13">
        <v>52717</v>
      </c>
      <c r="B355" s="41">
        <v>30</v>
      </c>
      <c r="C355" s="32">
        <v>141.29300000000001</v>
      </c>
      <c r="D355" s="32">
        <v>267.99299999999999</v>
      </c>
      <c r="E355" s="38">
        <v>829.71400000000006</v>
      </c>
      <c r="F355" s="32">
        <v>1239</v>
      </c>
      <c r="G355" s="32">
        <v>100</v>
      </c>
      <c r="H355" s="40">
        <v>600</v>
      </c>
      <c r="I355" s="32">
        <v>695</v>
      </c>
      <c r="J355" s="32">
        <v>50</v>
      </c>
      <c r="K355" s="33"/>
      <c r="L355" s="33"/>
      <c r="M355" s="33"/>
      <c r="N355" s="33"/>
      <c r="O355" s="33"/>
      <c r="P355" s="33"/>
      <c r="Q355" s="33"/>
      <c r="R355" s="33"/>
      <c r="S355" s="33"/>
      <c r="T355" s="33"/>
    </row>
    <row r="356" spans="1:20" ht="15.75">
      <c r="A356" s="13">
        <v>52748</v>
      </c>
      <c r="B356" s="41">
        <v>31</v>
      </c>
      <c r="C356" s="32">
        <v>194.20500000000001</v>
      </c>
      <c r="D356" s="32">
        <v>267.46600000000001</v>
      </c>
      <c r="E356" s="38">
        <v>812.32899999999995</v>
      </c>
      <c r="F356" s="32">
        <v>1274</v>
      </c>
      <c r="G356" s="32">
        <v>75</v>
      </c>
      <c r="H356" s="40">
        <v>600</v>
      </c>
      <c r="I356" s="32">
        <v>695</v>
      </c>
      <c r="J356" s="32">
        <v>50</v>
      </c>
      <c r="K356" s="33"/>
      <c r="L356" s="33"/>
      <c r="M356" s="33"/>
      <c r="N356" s="33"/>
      <c r="O356" s="33"/>
      <c r="P356" s="33"/>
      <c r="Q356" s="33"/>
      <c r="R356" s="33"/>
      <c r="S356" s="33"/>
      <c r="T356" s="33"/>
    </row>
    <row r="357" spans="1:20" ht="15.75">
      <c r="A357" s="13">
        <v>52778</v>
      </c>
      <c r="B357" s="41">
        <v>30</v>
      </c>
      <c r="C357" s="32">
        <v>194.20500000000001</v>
      </c>
      <c r="D357" s="32">
        <v>267.46600000000001</v>
      </c>
      <c r="E357" s="38">
        <v>812.32899999999995</v>
      </c>
      <c r="F357" s="32">
        <v>1274</v>
      </c>
      <c r="G357" s="32">
        <v>50</v>
      </c>
      <c r="H357" s="40">
        <v>600</v>
      </c>
      <c r="I357" s="32">
        <v>695</v>
      </c>
      <c r="J357" s="32">
        <v>50</v>
      </c>
      <c r="K357" s="33"/>
      <c r="L357" s="33"/>
      <c r="M357" s="33"/>
      <c r="N357" s="33"/>
      <c r="O357" s="33"/>
      <c r="P357" s="33"/>
      <c r="Q357" s="33"/>
      <c r="R357" s="33"/>
      <c r="S357" s="33"/>
      <c r="T357" s="33"/>
    </row>
    <row r="358" spans="1:20" ht="15.75">
      <c r="A358" s="13">
        <v>52809</v>
      </c>
      <c r="B358" s="41">
        <v>31</v>
      </c>
      <c r="C358" s="32">
        <v>194.20500000000001</v>
      </c>
      <c r="D358" s="32">
        <v>267.46600000000001</v>
      </c>
      <c r="E358" s="38">
        <v>812.32899999999995</v>
      </c>
      <c r="F358" s="32">
        <v>1274</v>
      </c>
      <c r="G358" s="32">
        <v>50</v>
      </c>
      <c r="H358" s="40">
        <v>600</v>
      </c>
      <c r="I358" s="32">
        <v>695</v>
      </c>
      <c r="J358" s="32">
        <v>0</v>
      </c>
      <c r="K358" s="33"/>
      <c r="L358" s="33"/>
      <c r="M358" s="33"/>
      <c r="N358" s="33"/>
      <c r="O358" s="33"/>
      <c r="P358" s="33"/>
      <c r="Q358" s="33"/>
      <c r="R358" s="33"/>
      <c r="S358" s="33"/>
      <c r="T358" s="33"/>
    </row>
    <row r="359" spans="1:20" ht="15.75">
      <c r="A359" s="13">
        <v>52840</v>
      </c>
      <c r="B359" s="41">
        <v>31</v>
      </c>
      <c r="C359" s="32">
        <v>194.20500000000001</v>
      </c>
      <c r="D359" s="32">
        <v>267.46600000000001</v>
      </c>
      <c r="E359" s="38">
        <v>812.32899999999995</v>
      </c>
      <c r="F359" s="32">
        <v>1274</v>
      </c>
      <c r="G359" s="32">
        <v>50</v>
      </c>
      <c r="H359" s="40">
        <v>600</v>
      </c>
      <c r="I359" s="32">
        <v>695</v>
      </c>
      <c r="J359" s="32">
        <v>0</v>
      </c>
      <c r="K359" s="33"/>
      <c r="L359" s="33"/>
      <c r="M359" s="33"/>
      <c r="N359" s="33"/>
      <c r="O359" s="33"/>
      <c r="P359" s="33"/>
      <c r="Q359" s="33"/>
      <c r="R359" s="33"/>
      <c r="S359" s="33"/>
      <c r="T359" s="33"/>
    </row>
    <row r="360" spans="1:20" ht="15.75">
      <c r="A360" s="13">
        <v>52870</v>
      </c>
      <c r="B360" s="41">
        <v>30</v>
      </c>
      <c r="C360" s="32">
        <v>194.20500000000001</v>
      </c>
      <c r="D360" s="32">
        <v>267.46600000000001</v>
      </c>
      <c r="E360" s="38">
        <v>812.32899999999995</v>
      </c>
      <c r="F360" s="32">
        <v>1274</v>
      </c>
      <c r="G360" s="32">
        <v>50</v>
      </c>
      <c r="H360" s="40">
        <v>600</v>
      </c>
      <c r="I360" s="32">
        <v>695</v>
      </c>
      <c r="J360" s="32">
        <v>0</v>
      </c>
      <c r="K360" s="33"/>
      <c r="L360" s="33"/>
      <c r="M360" s="33"/>
      <c r="N360" s="33"/>
      <c r="O360" s="33"/>
      <c r="P360" s="33"/>
      <c r="Q360" s="33"/>
      <c r="R360" s="33"/>
      <c r="S360" s="33"/>
      <c r="T360" s="33"/>
    </row>
    <row r="361" spans="1:20" ht="15.75">
      <c r="A361" s="13">
        <v>52901</v>
      </c>
      <c r="B361" s="41">
        <v>31</v>
      </c>
      <c r="C361" s="32">
        <v>131.881</v>
      </c>
      <c r="D361" s="32">
        <v>277.16699999999997</v>
      </c>
      <c r="E361" s="38">
        <v>829.952</v>
      </c>
      <c r="F361" s="32">
        <v>1239</v>
      </c>
      <c r="G361" s="32">
        <v>75</v>
      </c>
      <c r="H361" s="40">
        <v>600</v>
      </c>
      <c r="I361" s="32">
        <v>695</v>
      </c>
      <c r="J361" s="32">
        <v>0</v>
      </c>
      <c r="K361" s="33"/>
      <c r="L361" s="33"/>
      <c r="M361" s="33"/>
      <c r="N361" s="33"/>
      <c r="O361" s="33"/>
      <c r="P361" s="33"/>
      <c r="Q361" s="33"/>
      <c r="R361" s="33"/>
      <c r="S361" s="33"/>
      <c r="T361" s="33"/>
    </row>
    <row r="362" spans="1:20" ht="15.75">
      <c r="A362" s="13">
        <v>52931</v>
      </c>
      <c r="B362" s="41">
        <v>30</v>
      </c>
      <c r="C362" s="32">
        <v>122.58</v>
      </c>
      <c r="D362" s="32">
        <v>297.94099999999997</v>
      </c>
      <c r="E362" s="38">
        <v>729.47900000000004</v>
      </c>
      <c r="F362" s="32">
        <v>1150</v>
      </c>
      <c r="G362" s="32">
        <v>100</v>
      </c>
      <c r="H362" s="40">
        <v>600</v>
      </c>
      <c r="I362" s="32">
        <v>695</v>
      </c>
      <c r="J362" s="32">
        <v>50</v>
      </c>
      <c r="K362" s="33"/>
      <c r="L362" s="33"/>
      <c r="M362" s="33"/>
      <c r="N362" s="33"/>
      <c r="O362" s="33"/>
      <c r="P362" s="33"/>
      <c r="Q362" s="33"/>
      <c r="R362" s="33"/>
      <c r="S362" s="33"/>
      <c r="T362" s="33"/>
    </row>
    <row r="363" spans="1:20" ht="15.75">
      <c r="A363" s="13">
        <v>52962</v>
      </c>
      <c r="B363" s="41">
        <v>31</v>
      </c>
      <c r="C363" s="32">
        <v>122.58</v>
      </c>
      <c r="D363" s="32">
        <v>297.94099999999997</v>
      </c>
      <c r="E363" s="38">
        <v>729.47900000000004</v>
      </c>
      <c r="F363" s="32">
        <v>1150</v>
      </c>
      <c r="G363" s="32">
        <v>100</v>
      </c>
      <c r="H363" s="40">
        <v>600</v>
      </c>
      <c r="I363" s="32">
        <v>695</v>
      </c>
      <c r="J363" s="32">
        <v>50</v>
      </c>
      <c r="K363" s="33"/>
      <c r="L363" s="33"/>
      <c r="M363" s="33"/>
      <c r="N363" s="33"/>
      <c r="O363" s="33"/>
      <c r="P363" s="33"/>
      <c r="Q363" s="33"/>
      <c r="R363" s="33"/>
      <c r="S363" s="33"/>
      <c r="T363" s="33"/>
    </row>
    <row r="364" spans="1:20" ht="15.75">
      <c r="A364" s="13">
        <v>52993</v>
      </c>
      <c r="B364" s="41">
        <v>31</v>
      </c>
      <c r="C364" s="32">
        <v>122.58</v>
      </c>
      <c r="D364" s="32">
        <v>297.94099999999997</v>
      </c>
      <c r="E364" s="38">
        <v>729.47900000000004</v>
      </c>
      <c r="F364" s="32">
        <v>1150</v>
      </c>
      <c r="G364" s="32">
        <v>100</v>
      </c>
      <c r="H364" s="40">
        <v>600</v>
      </c>
      <c r="I364" s="32">
        <v>695</v>
      </c>
      <c r="J364" s="32">
        <v>50</v>
      </c>
      <c r="K364" s="33"/>
      <c r="L364" s="33"/>
      <c r="M364" s="33"/>
      <c r="N364" s="33"/>
      <c r="O364" s="33"/>
      <c r="P364" s="33"/>
      <c r="Q364" s="33"/>
      <c r="R364" s="33"/>
      <c r="S364" s="33"/>
      <c r="T364" s="33"/>
    </row>
    <row r="365" spans="1:20" ht="15.75">
      <c r="A365" s="13">
        <v>53021</v>
      </c>
      <c r="B365" s="41">
        <v>28</v>
      </c>
      <c r="C365" s="32">
        <v>122.58</v>
      </c>
      <c r="D365" s="32">
        <v>297.94099999999997</v>
      </c>
      <c r="E365" s="38">
        <v>729.47900000000004</v>
      </c>
      <c r="F365" s="32">
        <v>1150</v>
      </c>
      <c r="G365" s="32">
        <v>100</v>
      </c>
      <c r="H365" s="40">
        <v>600</v>
      </c>
      <c r="I365" s="32">
        <v>695</v>
      </c>
      <c r="J365" s="32">
        <v>50</v>
      </c>
      <c r="K365" s="33"/>
      <c r="L365" s="33"/>
      <c r="M365" s="33"/>
      <c r="N365" s="33"/>
      <c r="O365" s="33"/>
      <c r="P365" s="33"/>
      <c r="Q365" s="33"/>
      <c r="R365" s="33"/>
      <c r="S365" s="33"/>
      <c r="T365" s="33"/>
    </row>
    <row r="366" spans="1:20" ht="15.75">
      <c r="A366" s="13">
        <v>53052</v>
      </c>
      <c r="B366" s="41">
        <v>31</v>
      </c>
      <c r="C366" s="32">
        <v>122.58</v>
      </c>
      <c r="D366" s="32">
        <v>297.94099999999997</v>
      </c>
      <c r="E366" s="38">
        <v>729.47900000000004</v>
      </c>
      <c r="F366" s="32">
        <v>1150</v>
      </c>
      <c r="G366" s="32">
        <v>100</v>
      </c>
      <c r="H366" s="40">
        <v>600</v>
      </c>
      <c r="I366" s="32">
        <v>695</v>
      </c>
      <c r="J366" s="32">
        <v>50</v>
      </c>
      <c r="K366" s="33"/>
      <c r="L366" s="33"/>
      <c r="M366" s="33"/>
      <c r="N366" s="33"/>
      <c r="O366" s="33"/>
      <c r="P366" s="33"/>
      <c r="Q366" s="33"/>
      <c r="R366" s="33"/>
      <c r="S366" s="33"/>
      <c r="T366" s="33"/>
    </row>
    <row r="367" spans="1:20" ht="15.75">
      <c r="A367" s="13">
        <v>53082</v>
      </c>
      <c r="B367" s="41">
        <v>30</v>
      </c>
      <c r="C367" s="32">
        <v>141.29300000000001</v>
      </c>
      <c r="D367" s="32">
        <v>267.99299999999999</v>
      </c>
      <c r="E367" s="38">
        <v>829.71400000000006</v>
      </c>
      <c r="F367" s="32">
        <v>1239</v>
      </c>
      <c r="G367" s="32">
        <v>100</v>
      </c>
      <c r="H367" s="40">
        <v>600</v>
      </c>
      <c r="I367" s="32">
        <v>695</v>
      </c>
      <c r="J367" s="32">
        <v>50</v>
      </c>
      <c r="K367" s="33"/>
      <c r="L367" s="33"/>
      <c r="M367" s="33"/>
      <c r="N367" s="33"/>
      <c r="O367" s="33"/>
      <c r="P367" s="33"/>
      <c r="Q367" s="33"/>
      <c r="R367" s="33"/>
      <c r="S367" s="33"/>
      <c r="T367" s="33"/>
    </row>
    <row r="368" spans="1:20" ht="15.75">
      <c r="A368" s="13">
        <v>53113</v>
      </c>
      <c r="B368" s="41">
        <v>31</v>
      </c>
      <c r="C368" s="32">
        <v>194.20500000000001</v>
      </c>
      <c r="D368" s="32">
        <v>267.46600000000001</v>
      </c>
      <c r="E368" s="38">
        <v>812.32899999999995</v>
      </c>
      <c r="F368" s="32">
        <v>1274</v>
      </c>
      <c r="G368" s="32">
        <v>75</v>
      </c>
      <c r="H368" s="40">
        <v>600</v>
      </c>
      <c r="I368" s="32">
        <v>695</v>
      </c>
      <c r="J368" s="32">
        <v>50</v>
      </c>
      <c r="K368" s="33"/>
      <c r="L368" s="33"/>
      <c r="M368" s="33"/>
      <c r="N368" s="33"/>
      <c r="O368" s="33"/>
      <c r="P368" s="33"/>
      <c r="Q368" s="33"/>
      <c r="R368" s="33"/>
      <c r="S368" s="33"/>
      <c r="T368" s="33"/>
    </row>
    <row r="369" spans="1:20" ht="15.75">
      <c r="A369" s="13">
        <v>53143</v>
      </c>
      <c r="B369" s="41">
        <v>30</v>
      </c>
      <c r="C369" s="32">
        <v>194.20500000000001</v>
      </c>
      <c r="D369" s="32">
        <v>267.46600000000001</v>
      </c>
      <c r="E369" s="38">
        <v>812.32899999999995</v>
      </c>
      <c r="F369" s="32">
        <v>1274</v>
      </c>
      <c r="G369" s="32">
        <v>50</v>
      </c>
      <c r="H369" s="40">
        <v>600</v>
      </c>
      <c r="I369" s="32">
        <v>695</v>
      </c>
      <c r="J369" s="32">
        <v>50</v>
      </c>
      <c r="K369" s="33"/>
      <c r="L369" s="33"/>
      <c r="M369" s="33"/>
      <c r="N369" s="33"/>
      <c r="O369" s="33"/>
      <c r="P369" s="33"/>
      <c r="Q369" s="33"/>
      <c r="R369" s="33"/>
      <c r="S369" s="33"/>
      <c r="T369" s="33"/>
    </row>
    <row r="370" spans="1:20" ht="15.75">
      <c r="A370" s="13">
        <v>53174</v>
      </c>
      <c r="B370" s="41">
        <v>31</v>
      </c>
      <c r="C370" s="32">
        <v>194.20500000000001</v>
      </c>
      <c r="D370" s="32">
        <v>267.46600000000001</v>
      </c>
      <c r="E370" s="38">
        <v>812.32899999999995</v>
      </c>
      <c r="F370" s="32">
        <v>1274</v>
      </c>
      <c r="G370" s="32">
        <v>50</v>
      </c>
      <c r="H370" s="40">
        <v>600</v>
      </c>
      <c r="I370" s="32">
        <v>695</v>
      </c>
      <c r="J370" s="32">
        <v>0</v>
      </c>
      <c r="K370" s="33"/>
      <c r="L370" s="33"/>
      <c r="M370" s="33"/>
      <c r="N370" s="33"/>
      <c r="O370" s="33"/>
      <c r="P370" s="33"/>
      <c r="Q370" s="33"/>
      <c r="R370" s="33"/>
      <c r="S370" s="33"/>
      <c r="T370" s="33"/>
    </row>
    <row r="371" spans="1:20" ht="15.75">
      <c r="A371" s="13">
        <v>53205</v>
      </c>
      <c r="B371" s="41">
        <v>31</v>
      </c>
      <c r="C371" s="32">
        <v>194.20500000000001</v>
      </c>
      <c r="D371" s="32">
        <v>267.46600000000001</v>
      </c>
      <c r="E371" s="38">
        <v>812.32899999999995</v>
      </c>
      <c r="F371" s="32">
        <v>1274</v>
      </c>
      <c r="G371" s="32">
        <v>50</v>
      </c>
      <c r="H371" s="40">
        <v>600</v>
      </c>
      <c r="I371" s="32">
        <v>695</v>
      </c>
      <c r="J371" s="32">
        <v>0</v>
      </c>
      <c r="K371" s="33"/>
      <c r="L371" s="33"/>
      <c r="M371" s="33"/>
      <c r="N371" s="33"/>
      <c r="O371" s="33"/>
      <c r="P371" s="33"/>
      <c r="Q371" s="33"/>
      <c r="R371" s="33"/>
      <c r="S371" s="33"/>
      <c r="T371" s="33"/>
    </row>
    <row r="372" spans="1:20" ht="15.75">
      <c r="A372" s="13">
        <v>53235</v>
      </c>
      <c r="B372" s="41">
        <v>30</v>
      </c>
      <c r="C372" s="32">
        <v>194.20500000000001</v>
      </c>
      <c r="D372" s="32">
        <v>267.46600000000001</v>
      </c>
      <c r="E372" s="38">
        <v>812.32899999999995</v>
      </c>
      <c r="F372" s="32">
        <v>1274</v>
      </c>
      <c r="G372" s="32">
        <v>50</v>
      </c>
      <c r="H372" s="40">
        <v>600</v>
      </c>
      <c r="I372" s="32">
        <v>695</v>
      </c>
      <c r="J372" s="32">
        <v>0</v>
      </c>
      <c r="K372" s="33"/>
      <c r="L372" s="33"/>
      <c r="M372" s="33"/>
      <c r="N372" s="33"/>
      <c r="O372" s="33"/>
      <c r="P372" s="33"/>
      <c r="Q372" s="33"/>
      <c r="R372" s="33"/>
      <c r="S372" s="33"/>
      <c r="T372" s="33"/>
    </row>
    <row r="373" spans="1:20" ht="15.75">
      <c r="A373" s="13">
        <v>53266</v>
      </c>
      <c r="B373" s="41">
        <v>31</v>
      </c>
      <c r="C373" s="32">
        <v>131.881</v>
      </c>
      <c r="D373" s="32">
        <v>277.16699999999997</v>
      </c>
      <c r="E373" s="38">
        <v>829.952</v>
      </c>
      <c r="F373" s="32">
        <v>1239</v>
      </c>
      <c r="G373" s="32">
        <v>75</v>
      </c>
      <c r="H373" s="40">
        <v>600</v>
      </c>
      <c r="I373" s="32">
        <v>695</v>
      </c>
      <c r="J373" s="32">
        <v>0</v>
      </c>
      <c r="K373" s="33"/>
      <c r="L373" s="33"/>
      <c r="M373" s="33"/>
      <c r="N373" s="33"/>
      <c r="O373" s="33"/>
      <c r="P373" s="33"/>
      <c r="Q373" s="33"/>
      <c r="R373" s="33"/>
      <c r="S373" s="33"/>
      <c r="T373" s="33"/>
    </row>
    <row r="374" spans="1:20" ht="15.75">
      <c r="A374" s="13">
        <v>53296</v>
      </c>
      <c r="B374" s="41">
        <v>30</v>
      </c>
      <c r="C374" s="32">
        <v>122.58</v>
      </c>
      <c r="D374" s="32">
        <v>297.94099999999997</v>
      </c>
      <c r="E374" s="38">
        <v>729.47900000000004</v>
      </c>
      <c r="F374" s="32">
        <v>1150</v>
      </c>
      <c r="G374" s="32">
        <v>100</v>
      </c>
      <c r="H374" s="40">
        <v>600</v>
      </c>
      <c r="I374" s="32">
        <v>695</v>
      </c>
      <c r="J374" s="32">
        <v>50</v>
      </c>
      <c r="K374" s="33"/>
      <c r="L374" s="33"/>
      <c r="M374" s="33"/>
      <c r="N374" s="33"/>
      <c r="O374" s="33"/>
      <c r="P374" s="33"/>
      <c r="Q374" s="33"/>
      <c r="R374" s="33"/>
      <c r="S374" s="33"/>
      <c r="T374" s="33"/>
    </row>
    <row r="375" spans="1:20" ht="15.75">
      <c r="A375" s="13">
        <v>53327</v>
      </c>
      <c r="B375" s="41">
        <v>31</v>
      </c>
      <c r="C375" s="32">
        <v>122.58</v>
      </c>
      <c r="D375" s="32">
        <v>297.94099999999997</v>
      </c>
      <c r="E375" s="38">
        <v>729.47900000000004</v>
      </c>
      <c r="F375" s="32">
        <v>1150</v>
      </c>
      <c r="G375" s="32">
        <v>100</v>
      </c>
      <c r="H375" s="40">
        <v>600</v>
      </c>
      <c r="I375" s="32">
        <v>695</v>
      </c>
      <c r="J375" s="32">
        <v>50</v>
      </c>
      <c r="K375" s="33"/>
      <c r="L375" s="33"/>
      <c r="M375" s="33"/>
      <c r="N375" s="33"/>
      <c r="O375" s="33"/>
      <c r="P375" s="33"/>
      <c r="Q375" s="33"/>
      <c r="R375" s="33"/>
      <c r="S375" s="33"/>
      <c r="T375" s="33"/>
    </row>
    <row r="376" spans="1:20" ht="15.75">
      <c r="A376" s="13">
        <v>53358</v>
      </c>
      <c r="B376" s="41">
        <v>31</v>
      </c>
      <c r="C376" s="32">
        <v>122.58</v>
      </c>
      <c r="D376" s="32">
        <v>297.94099999999997</v>
      </c>
      <c r="E376" s="38">
        <v>729.47900000000004</v>
      </c>
      <c r="F376" s="32">
        <v>1150</v>
      </c>
      <c r="G376" s="32">
        <v>100</v>
      </c>
      <c r="H376" s="40">
        <v>600</v>
      </c>
      <c r="I376" s="32">
        <v>695</v>
      </c>
      <c r="J376" s="32">
        <v>50</v>
      </c>
      <c r="K376" s="33"/>
      <c r="L376" s="33"/>
      <c r="M376" s="33"/>
      <c r="N376" s="33"/>
      <c r="O376" s="33"/>
      <c r="P376" s="33"/>
      <c r="Q376" s="33"/>
      <c r="R376" s="33"/>
      <c r="S376" s="33"/>
      <c r="T376" s="33"/>
    </row>
    <row r="377" spans="1:20" ht="15.75">
      <c r="A377" s="13">
        <v>53386</v>
      </c>
      <c r="B377" s="41">
        <v>28</v>
      </c>
      <c r="C377" s="32">
        <v>122.58</v>
      </c>
      <c r="D377" s="32">
        <v>297.94099999999997</v>
      </c>
      <c r="E377" s="38">
        <v>729.47900000000004</v>
      </c>
      <c r="F377" s="32">
        <v>1150</v>
      </c>
      <c r="G377" s="32">
        <v>100</v>
      </c>
      <c r="H377" s="40">
        <v>600</v>
      </c>
      <c r="I377" s="32">
        <v>695</v>
      </c>
      <c r="J377" s="32">
        <v>50</v>
      </c>
      <c r="K377" s="33"/>
      <c r="L377" s="33"/>
      <c r="M377" s="33"/>
      <c r="N377" s="33"/>
      <c r="O377" s="33"/>
      <c r="P377" s="33"/>
      <c r="Q377" s="33"/>
      <c r="R377" s="33"/>
      <c r="S377" s="33"/>
      <c r="T377" s="33"/>
    </row>
    <row r="378" spans="1:20" ht="15.75">
      <c r="A378" s="13">
        <v>53417</v>
      </c>
      <c r="B378" s="41">
        <v>31</v>
      </c>
      <c r="C378" s="32">
        <v>122.58</v>
      </c>
      <c r="D378" s="32">
        <v>297.94099999999997</v>
      </c>
      <c r="E378" s="38">
        <v>729.47900000000004</v>
      </c>
      <c r="F378" s="32">
        <v>1150</v>
      </c>
      <c r="G378" s="32">
        <v>100</v>
      </c>
      <c r="H378" s="40">
        <v>600</v>
      </c>
      <c r="I378" s="32">
        <v>695</v>
      </c>
      <c r="J378" s="32">
        <v>50</v>
      </c>
      <c r="K378" s="33"/>
      <c r="L378" s="33"/>
      <c r="M378" s="33"/>
      <c r="N378" s="33"/>
      <c r="O378" s="33"/>
      <c r="P378" s="33"/>
      <c r="Q378" s="33"/>
      <c r="R378" s="33"/>
      <c r="S378" s="33"/>
      <c r="T378" s="33"/>
    </row>
    <row r="379" spans="1:20" ht="15.75">
      <c r="A379" s="13">
        <v>53447</v>
      </c>
      <c r="B379" s="41">
        <v>30</v>
      </c>
      <c r="C379" s="32">
        <v>141.29300000000001</v>
      </c>
      <c r="D379" s="32">
        <v>267.99299999999999</v>
      </c>
      <c r="E379" s="38">
        <v>829.71400000000006</v>
      </c>
      <c r="F379" s="32">
        <v>1239</v>
      </c>
      <c r="G379" s="32">
        <v>100</v>
      </c>
      <c r="H379" s="40">
        <v>600</v>
      </c>
      <c r="I379" s="32">
        <v>695</v>
      </c>
      <c r="J379" s="32">
        <v>50</v>
      </c>
      <c r="K379" s="33"/>
      <c r="L379" s="33"/>
      <c r="M379" s="33"/>
      <c r="N379" s="33"/>
      <c r="O379" s="33"/>
      <c r="P379" s="33"/>
      <c r="Q379" s="33"/>
      <c r="R379" s="33"/>
      <c r="S379" s="33"/>
      <c r="T379" s="33"/>
    </row>
    <row r="380" spans="1:20" ht="15.75">
      <c r="A380" s="13">
        <v>53478</v>
      </c>
      <c r="B380" s="41">
        <v>31</v>
      </c>
      <c r="C380" s="32">
        <v>194.20500000000001</v>
      </c>
      <c r="D380" s="32">
        <v>267.46600000000001</v>
      </c>
      <c r="E380" s="38">
        <v>812.32899999999995</v>
      </c>
      <c r="F380" s="32">
        <v>1274</v>
      </c>
      <c r="G380" s="32">
        <v>75</v>
      </c>
      <c r="H380" s="40">
        <v>600</v>
      </c>
      <c r="I380" s="32">
        <v>695</v>
      </c>
      <c r="J380" s="32">
        <v>50</v>
      </c>
      <c r="K380" s="33"/>
      <c r="L380" s="33"/>
      <c r="M380" s="33"/>
      <c r="N380" s="33"/>
      <c r="O380" s="33"/>
      <c r="P380" s="33"/>
      <c r="Q380" s="33"/>
      <c r="R380" s="33"/>
      <c r="S380" s="33"/>
      <c r="T380" s="33"/>
    </row>
    <row r="381" spans="1:20" ht="15.75">
      <c r="A381" s="13">
        <v>53508</v>
      </c>
      <c r="B381" s="41">
        <v>30</v>
      </c>
      <c r="C381" s="32">
        <v>194.20500000000001</v>
      </c>
      <c r="D381" s="32">
        <v>267.46600000000001</v>
      </c>
      <c r="E381" s="38">
        <v>812.32899999999995</v>
      </c>
      <c r="F381" s="32">
        <v>1274</v>
      </c>
      <c r="G381" s="32">
        <v>50</v>
      </c>
      <c r="H381" s="40">
        <v>600</v>
      </c>
      <c r="I381" s="32">
        <v>695</v>
      </c>
      <c r="J381" s="32">
        <v>50</v>
      </c>
      <c r="K381" s="33"/>
      <c r="L381" s="33"/>
      <c r="M381" s="33"/>
      <c r="N381" s="33"/>
      <c r="O381" s="33"/>
      <c r="P381" s="33"/>
      <c r="Q381" s="33"/>
      <c r="R381" s="33"/>
      <c r="S381" s="33"/>
      <c r="T381" s="33"/>
    </row>
    <row r="382" spans="1:20" ht="15.75">
      <c r="A382" s="13">
        <v>53539</v>
      </c>
      <c r="B382" s="41">
        <v>31</v>
      </c>
      <c r="C382" s="32">
        <v>194.20500000000001</v>
      </c>
      <c r="D382" s="32">
        <v>267.46600000000001</v>
      </c>
      <c r="E382" s="38">
        <v>812.32899999999995</v>
      </c>
      <c r="F382" s="32">
        <v>1274</v>
      </c>
      <c r="G382" s="32">
        <v>50</v>
      </c>
      <c r="H382" s="40">
        <v>600</v>
      </c>
      <c r="I382" s="32">
        <v>695</v>
      </c>
      <c r="J382" s="32">
        <v>0</v>
      </c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ht="15.75">
      <c r="A383" s="13">
        <v>53570</v>
      </c>
      <c r="B383" s="41">
        <v>31</v>
      </c>
      <c r="C383" s="32">
        <v>194.20500000000001</v>
      </c>
      <c r="D383" s="32">
        <v>267.46600000000001</v>
      </c>
      <c r="E383" s="38">
        <v>812.32899999999995</v>
      </c>
      <c r="F383" s="32">
        <v>1274</v>
      </c>
      <c r="G383" s="32">
        <v>50</v>
      </c>
      <c r="H383" s="40">
        <v>600</v>
      </c>
      <c r="I383" s="32">
        <v>695</v>
      </c>
      <c r="J383" s="32">
        <v>0</v>
      </c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ht="15.75">
      <c r="A384" s="13">
        <v>53600</v>
      </c>
      <c r="B384" s="41">
        <v>30</v>
      </c>
      <c r="C384" s="32">
        <v>194.20500000000001</v>
      </c>
      <c r="D384" s="32">
        <v>267.46600000000001</v>
      </c>
      <c r="E384" s="38">
        <v>812.32899999999995</v>
      </c>
      <c r="F384" s="32">
        <v>1274</v>
      </c>
      <c r="G384" s="32">
        <v>50</v>
      </c>
      <c r="H384" s="40">
        <v>600</v>
      </c>
      <c r="I384" s="32">
        <v>695</v>
      </c>
      <c r="J384" s="32">
        <v>0</v>
      </c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ht="15.75">
      <c r="A385" s="13">
        <v>53631</v>
      </c>
      <c r="B385" s="41">
        <v>31</v>
      </c>
      <c r="C385" s="32">
        <v>131.881</v>
      </c>
      <c r="D385" s="32">
        <v>277.16699999999997</v>
      </c>
      <c r="E385" s="38">
        <v>829.952</v>
      </c>
      <c r="F385" s="32">
        <v>1239</v>
      </c>
      <c r="G385" s="32">
        <v>75</v>
      </c>
      <c r="H385" s="40">
        <v>600</v>
      </c>
      <c r="I385" s="32">
        <v>695</v>
      </c>
      <c r="J385" s="32">
        <v>0</v>
      </c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ht="15.75">
      <c r="A386" s="13">
        <v>53661</v>
      </c>
      <c r="B386" s="41">
        <v>30</v>
      </c>
      <c r="C386" s="32">
        <v>122.58</v>
      </c>
      <c r="D386" s="32">
        <v>297.94099999999997</v>
      </c>
      <c r="E386" s="38">
        <v>729.47900000000004</v>
      </c>
      <c r="F386" s="32">
        <v>1150</v>
      </c>
      <c r="G386" s="32">
        <v>100</v>
      </c>
      <c r="H386" s="40">
        <v>600</v>
      </c>
      <c r="I386" s="32">
        <v>695</v>
      </c>
      <c r="J386" s="32">
        <v>50</v>
      </c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ht="15.75">
      <c r="A387" s="13">
        <v>53692</v>
      </c>
      <c r="B387" s="41">
        <v>31</v>
      </c>
      <c r="C387" s="32">
        <v>122.58</v>
      </c>
      <c r="D387" s="32">
        <v>297.94099999999997</v>
      </c>
      <c r="E387" s="38">
        <v>729.47900000000004</v>
      </c>
      <c r="F387" s="32">
        <v>1150</v>
      </c>
      <c r="G387" s="32">
        <v>100</v>
      </c>
      <c r="H387" s="40">
        <v>600</v>
      </c>
      <c r="I387" s="32">
        <v>695</v>
      </c>
      <c r="J387" s="32">
        <v>50</v>
      </c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ht="15.75">
      <c r="A388" s="13">
        <v>53723</v>
      </c>
      <c r="B388" s="41">
        <v>31</v>
      </c>
      <c r="C388" s="32">
        <v>122.58</v>
      </c>
      <c r="D388" s="32">
        <v>297.94099999999997</v>
      </c>
      <c r="E388" s="38">
        <v>729.47900000000004</v>
      </c>
      <c r="F388" s="32">
        <v>1150</v>
      </c>
      <c r="G388" s="32">
        <v>100</v>
      </c>
      <c r="H388" s="40">
        <v>600</v>
      </c>
      <c r="I388" s="32">
        <v>695</v>
      </c>
      <c r="J388" s="32">
        <v>50</v>
      </c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ht="15.75">
      <c r="A389" s="13">
        <v>53751</v>
      </c>
      <c r="B389" s="41">
        <v>28</v>
      </c>
      <c r="C389" s="32">
        <v>122.58</v>
      </c>
      <c r="D389" s="32">
        <v>297.94099999999997</v>
      </c>
      <c r="E389" s="38">
        <v>729.47900000000004</v>
      </c>
      <c r="F389" s="32">
        <v>1150</v>
      </c>
      <c r="G389" s="32">
        <v>100</v>
      </c>
      <c r="H389" s="40">
        <v>600</v>
      </c>
      <c r="I389" s="32">
        <v>695</v>
      </c>
      <c r="J389" s="32">
        <v>50</v>
      </c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ht="15.75">
      <c r="A390" s="13">
        <v>53782</v>
      </c>
      <c r="B390" s="41">
        <v>31</v>
      </c>
      <c r="C390" s="32">
        <v>122.58</v>
      </c>
      <c r="D390" s="32">
        <v>297.94099999999997</v>
      </c>
      <c r="E390" s="38">
        <v>729.47900000000004</v>
      </c>
      <c r="F390" s="32">
        <v>1150</v>
      </c>
      <c r="G390" s="32">
        <v>100</v>
      </c>
      <c r="H390" s="40">
        <v>600</v>
      </c>
      <c r="I390" s="32">
        <v>695</v>
      </c>
      <c r="J390" s="32">
        <v>50</v>
      </c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ht="15.75">
      <c r="A391" s="13">
        <v>53812</v>
      </c>
      <c r="B391" s="41">
        <v>30</v>
      </c>
      <c r="C391" s="32">
        <v>141.29300000000001</v>
      </c>
      <c r="D391" s="32">
        <v>267.99299999999999</v>
      </c>
      <c r="E391" s="38">
        <v>829.71400000000006</v>
      </c>
      <c r="F391" s="32">
        <v>1239</v>
      </c>
      <c r="G391" s="32">
        <v>100</v>
      </c>
      <c r="H391" s="40">
        <v>600</v>
      </c>
      <c r="I391" s="32">
        <v>695</v>
      </c>
      <c r="J391" s="32">
        <v>50</v>
      </c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ht="15.75">
      <c r="A392" s="13">
        <v>53843</v>
      </c>
      <c r="B392" s="41">
        <v>31</v>
      </c>
      <c r="C392" s="32">
        <v>194.20500000000001</v>
      </c>
      <c r="D392" s="32">
        <v>267.46600000000001</v>
      </c>
      <c r="E392" s="38">
        <v>812.32899999999995</v>
      </c>
      <c r="F392" s="32">
        <v>1274</v>
      </c>
      <c r="G392" s="32">
        <v>75</v>
      </c>
      <c r="H392" s="40">
        <v>600</v>
      </c>
      <c r="I392" s="32">
        <v>695</v>
      </c>
      <c r="J392" s="32">
        <v>50</v>
      </c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ht="15.75">
      <c r="A393" s="13">
        <v>53873</v>
      </c>
      <c r="B393" s="41">
        <v>30</v>
      </c>
      <c r="C393" s="32">
        <v>194.20500000000001</v>
      </c>
      <c r="D393" s="32">
        <v>267.46600000000001</v>
      </c>
      <c r="E393" s="38">
        <v>812.32899999999995</v>
      </c>
      <c r="F393" s="32">
        <v>1274</v>
      </c>
      <c r="G393" s="32">
        <v>50</v>
      </c>
      <c r="H393" s="40">
        <v>600</v>
      </c>
      <c r="I393" s="32">
        <v>695</v>
      </c>
      <c r="J393" s="32">
        <v>50</v>
      </c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ht="15.75">
      <c r="A394" s="13">
        <v>53904</v>
      </c>
      <c r="B394" s="41">
        <v>31</v>
      </c>
      <c r="C394" s="32">
        <v>194.20500000000001</v>
      </c>
      <c r="D394" s="32">
        <v>267.46600000000001</v>
      </c>
      <c r="E394" s="38">
        <v>812.32899999999995</v>
      </c>
      <c r="F394" s="32">
        <v>1274</v>
      </c>
      <c r="G394" s="32">
        <v>50</v>
      </c>
      <c r="H394" s="40">
        <v>600</v>
      </c>
      <c r="I394" s="32">
        <v>695</v>
      </c>
      <c r="J394" s="32">
        <v>0</v>
      </c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5.75">
      <c r="A395" s="13">
        <v>53935</v>
      </c>
      <c r="B395" s="41">
        <v>31</v>
      </c>
      <c r="C395" s="32">
        <v>194.20500000000001</v>
      </c>
      <c r="D395" s="32">
        <v>267.46600000000001</v>
      </c>
      <c r="E395" s="38">
        <v>812.32899999999995</v>
      </c>
      <c r="F395" s="32">
        <v>1274</v>
      </c>
      <c r="G395" s="32">
        <v>50</v>
      </c>
      <c r="H395" s="40">
        <v>600</v>
      </c>
      <c r="I395" s="32">
        <v>695</v>
      </c>
      <c r="J395" s="32">
        <v>0</v>
      </c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ht="15.75">
      <c r="A396" s="13">
        <v>53965</v>
      </c>
      <c r="B396" s="41">
        <v>30</v>
      </c>
      <c r="C396" s="32">
        <v>194.20500000000001</v>
      </c>
      <c r="D396" s="32">
        <v>267.46600000000001</v>
      </c>
      <c r="E396" s="38">
        <v>812.32899999999995</v>
      </c>
      <c r="F396" s="32">
        <v>1274</v>
      </c>
      <c r="G396" s="32">
        <v>50</v>
      </c>
      <c r="H396" s="40">
        <v>600</v>
      </c>
      <c r="I396" s="32">
        <v>695</v>
      </c>
      <c r="J396" s="32">
        <v>0</v>
      </c>
      <c r="K396" s="33"/>
      <c r="L396" s="33"/>
      <c r="M396" s="33"/>
      <c r="N396" s="33"/>
      <c r="O396" s="33"/>
      <c r="P396" s="33"/>
      <c r="Q396" s="33"/>
      <c r="R396" s="33"/>
      <c r="S396" s="33"/>
      <c r="T396" s="33"/>
    </row>
    <row r="397" spans="1:20" ht="15.75">
      <c r="A397" s="13">
        <v>53996</v>
      </c>
      <c r="B397" s="41">
        <v>31</v>
      </c>
      <c r="C397" s="32">
        <v>131.881</v>
      </c>
      <c r="D397" s="32">
        <v>277.16699999999997</v>
      </c>
      <c r="E397" s="38">
        <v>829.952</v>
      </c>
      <c r="F397" s="32">
        <v>1239</v>
      </c>
      <c r="G397" s="32">
        <v>75</v>
      </c>
      <c r="H397" s="40">
        <v>600</v>
      </c>
      <c r="I397" s="32">
        <v>695</v>
      </c>
      <c r="J397" s="32">
        <v>0</v>
      </c>
      <c r="K397" s="33"/>
      <c r="L397" s="33"/>
      <c r="M397" s="33"/>
      <c r="N397" s="33"/>
      <c r="O397" s="33"/>
      <c r="P397" s="33"/>
      <c r="Q397" s="33"/>
      <c r="R397" s="33"/>
      <c r="S397" s="33"/>
      <c r="T397" s="33"/>
    </row>
    <row r="398" spans="1:20" ht="15.75">
      <c r="A398" s="13">
        <v>54026</v>
      </c>
      <c r="B398" s="41">
        <v>30</v>
      </c>
      <c r="C398" s="32">
        <v>122.58</v>
      </c>
      <c r="D398" s="32">
        <v>297.94099999999997</v>
      </c>
      <c r="E398" s="38">
        <v>729.47900000000004</v>
      </c>
      <c r="F398" s="32">
        <v>1150</v>
      </c>
      <c r="G398" s="32">
        <v>100</v>
      </c>
      <c r="H398" s="40">
        <v>600</v>
      </c>
      <c r="I398" s="32">
        <v>695</v>
      </c>
      <c r="J398" s="32">
        <v>50</v>
      </c>
      <c r="K398" s="33"/>
      <c r="L398" s="33"/>
      <c r="M398" s="33"/>
      <c r="N398" s="33"/>
      <c r="O398" s="33"/>
      <c r="P398" s="33"/>
      <c r="Q398" s="33"/>
      <c r="R398" s="33"/>
      <c r="S398" s="33"/>
      <c r="T398" s="33"/>
    </row>
    <row r="399" spans="1:20" ht="15.75">
      <c r="A399" s="13">
        <v>54057</v>
      </c>
      <c r="B399" s="41">
        <v>31</v>
      </c>
      <c r="C399" s="32">
        <v>122.58</v>
      </c>
      <c r="D399" s="32">
        <v>297.94099999999997</v>
      </c>
      <c r="E399" s="38">
        <v>729.47900000000004</v>
      </c>
      <c r="F399" s="32">
        <v>1150</v>
      </c>
      <c r="G399" s="32">
        <v>100</v>
      </c>
      <c r="H399" s="40">
        <v>600</v>
      </c>
      <c r="I399" s="32">
        <v>695</v>
      </c>
      <c r="J399" s="32">
        <v>50</v>
      </c>
      <c r="K399" s="33"/>
      <c r="L399" s="33"/>
      <c r="M399" s="33"/>
      <c r="N399" s="33"/>
      <c r="O399" s="33"/>
      <c r="P399" s="33"/>
      <c r="Q399" s="33"/>
      <c r="R399" s="33"/>
      <c r="S399" s="33"/>
      <c r="T399" s="33"/>
    </row>
    <row r="400" spans="1:20" ht="15.75">
      <c r="A400" s="13">
        <v>54088</v>
      </c>
      <c r="B400" s="41">
        <v>31</v>
      </c>
      <c r="C400" s="32">
        <v>122.58</v>
      </c>
      <c r="D400" s="32">
        <v>297.94099999999997</v>
      </c>
      <c r="E400" s="38">
        <v>729.47900000000004</v>
      </c>
      <c r="F400" s="32">
        <v>1150</v>
      </c>
      <c r="G400" s="32">
        <v>100</v>
      </c>
      <c r="H400" s="40">
        <v>600</v>
      </c>
      <c r="I400" s="32">
        <v>695</v>
      </c>
      <c r="J400" s="32">
        <v>50</v>
      </c>
      <c r="K400" s="33"/>
      <c r="L400" s="33"/>
      <c r="M400" s="33"/>
      <c r="N400" s="33"/>
      <c r="O400" s="33"/>
      <c r="P400" s="33"/>
      <c r="Q400" s="33"/>
      <c r="R400" s="33"/>
      <c r="S400" s="33"/>
      <c r="T400" s="33"/>
    </row>
    <row r="401" spans="1:20" ht="15.75">
      <c r="A401" s="13">
        <v>54116</v>
      </c>
      <c r="B401" s="41">
        <v>29</v>
      </c>
      <c r="C401" s="32">
        <v>122.58</v>
      </c>
      <c r="D401" s="32">
        <v>297.94099999999997</v>
      </c>
      <c r="E401" s="38">
        <v>729.47900000000004</v>
      </c>
      <c r="F401" s="32">
        <v>1150</v>
      </c>
      <c r="G401" s="32">
        <v>100</v>
      </c>
      <c r="H401" s="40">
        <v>600</v>
      </c>
      <c r="I401" s="32">
        <v>695</v>
      </c>
      <c r="J401" s="32">
        <v>50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</row>
    <row r="402" spans="1:20" ht="15.75">
      <c r="A402" s="13">
        <v>54148</v>
      </c>
      <c r="B402" s="41">
        <v>31</v>
      </c>
      <c r="C402" s="32">
        <v>122.58</v>
      </c>
      <c r="D402" s="32">
        <v>297.94099999999997</v>
      </c>
      <c r="E402" s="38">
        <v>729.47900000000004</v>
      </c>
      <c r="F402" s="32">
        <v>1150</v>
      </c>
      <c r="G402" s="32">
        <v>100</v>
      </c>
      <c r="H402" s="40">
        <v>600</v>
      </c>
      <c r="I402" s="32">
        <v>695</v>
      </c>
      <c r="J402" s="32">
        <v>50</v>
      </c>
      <c r="K402" s="33"/>
      <c r="L402" s="33"/>
      <c r="M402" s="33"/>
      <c r="N402" s="33"/>
      <c r="O402" s="33"/>
      <c r="P402" s="33"/>
      <c r="Q402" s="33"/>
      <c r="R402" s="33"/>
      <c r="S402" s="33"/>
      <c r="T402" s="33"/>
    </row>
    <row r="403" spans="1:20" ht="15.75">
      <c r="A403" s="13">
        <v>54178</v>
      </c>
      <c r="B403" s="41">
        <v>30</v>
      </c>
      <c r="C403" s="32">
        <v>141.29300000000001</v>
      </c>
      <c r="D403" s="32">
        <v>267.99299999999999</v>
      </c>
      <c r="E403" s="38">
        <v>829.71400000000006</v>
      </c>
      <c r="F403" s="32">
        <v>1239</v>
      </c>
      <c r="G403" s="32">
        <v>100</v>
      </c>
      <c r="H403" s="40">
        <v>600</v>
      </c>
      <c r="I403" s="32">
        <v>695</v>
      </c>
      <c r="J403" s="32">
        <v>50</v>
      </c>
      <c r="K403" s="33"/>
      <c r="L403" s="33"/>
      <c r="M403" s="33"/>
      <c r="N403" s="33"/>
      <c r="O403" s="33"/>
      <c r="P403" s="33"/>
      <c r="Q403" s="33"/>
      <c r="R403" s="33"/>
      <c r="S403" s="33"/>
      <c r="T403" s="33"/>
    </row>
    <row r="404" spans="1:20" ht="15.75">
      <c r="A404" s="13">
        <v>54209</v>
      </c>
      <c r="B404" s="41">
        <v>31</v>
      </c>
      <c r="C404" s="32">
        <v>194.20500000000001</v>
      </c>
      <c r="D404" s="32">
        <v>267.46600000000001</v>
      </c>
      <c r="E404" s="38">
        <v>812.32899999999995</v>
      </c>
      <c r="F404" s="32">
        <v>1274</v>
      </c>
      <c r="G404" s="32">
        <v>75</v>
      </c>
      <c r="H404" s="40">
        <v>600</v>
      </c>
      <c r="I404" s="32">
        <v>695</v>
      </c>
      <c r="J404" s="32">
        <v>50</v>
      </c>
      <c r="K404" s="33"/>
      <c r="L404" s="33"/>
      <c r="M404" s="33"/>
      <c r="N404" s="33"/>
      <c r="O404" s="33"/>
      <c r="P404" s="33"/>
      <c r="Q404" s="33"/>
      <c r="R404" s="33"/>
      <c r="S404" s="33"/>
      <c r="T404" s="33"/>
    </row>
    <row r="405" spans="1:20" ht="15.75">
      <c r="A405" s="13">
        <v>54239</v>
      </c>
      <c r="B405" s="41">
        <v>30</v>
      </c>
      <c r="C405" s="32">
        <v>194.20500000000001</v>
      </c>
      <c r="D405" s="32">
        <v>267.46600000000001</v>
      </c>
      <c r="E405" s="38">
        <v>812.32899999999995</v>
      </c>
      <c r="F405" s="32">
        <v>1274</v>
      </c>
      <c r="G405" s="32">
        <v>50</v>
      </c>
      <c r="H405" s="40">
        <v>600</v>
      </c>
      <c r="I405" s="32">
        <v>695</v>
      </c>
      <c r="J405" s="32">
        <v>50</v>
      </c>
      <c r="K405" s="33"/>
      <c r="L405" s="33"/>
      <c r="M405" s="33"/>
      <c r="N405" s="33"/>
      <c r="O405" s="33"/>
      <c r="P405" s="33"/>
      <c r="Q405" s="33"/>
      <c r="R405" s="33"/>
      <c r="S405" s="33"/>
      <c r="T405" s="33"/>
    </row>
    <row r="406" spans="1:20" ht="15.75">
      <c r="A406" s="13">
        <v>54270</v>
      </c>
      <c r="B406" s="41">
        <v>31</v>
      </c>
      <c r="C406" s="32">
        <v>194.20500000000001</v>
      </c>
      <c r="D406" s="32">
        <v>267.46600000000001</v>
      </c>
      <c r="E406" s="38">
        <v>812.32899999999995</v>
      </c>
      <c r="F406" s="32">
        <v>1274</v>
      </c>
      <c r="G406" s="32">
        <v>50</v>
      </c>
      <c r="H406" s="40">
        <v>600</v>
      </c>
      <c r="I406" s="32">
        <v>695</v>
      </c>
      <c r="J406" s="32">
        <v>0</v>
      </c>
      <c r="K406" s="33"/>
      <c r="L406" s="33"/>
      <c r="M406" s="33"/>
      <c r="N406" s="33"/>
      <c r="O406" s="33"/>
      <c r="P406" s="33"/>
      <c r="Q406" s="33"/>
      <c r="R406" s="33"/>
      <c r="S406" s="33"/>
      <c r="T406" s="33"/>
    </row>
    <row r="407" spans="1:20" ht="15.75">
      <c r="A407" s="13">
        <v>54301</v>
      </c>
      <c r="B407" s="41">
        <v>31</v>
      </c>
      <c r="C407" s="32">
        <v>194.20500000000001</v>
      </c>
      <c r="D407" s="32">
        <v>267.46600000000001</v>
      </c>
      <c r="E407" s="38">
        <v>812.32899999999995</v>
      </c>
      <c r="F407" s="32">
        <v>1274</v>
      </c>
      <c r="G407" s="32">
        <v>50</v>
      </c>
      <c r="H407" s="40">
        <v>600</v>
      </c>
      <c r="I407" s="32">
        <v>695</v>
      </c>
      <c r="J407" s="32">
        <v>0</v>
      </c>
      <c r="K407" s="33"/>
      <c r="L407" s="33"/>
      <c r="M407" s="33"/>
      <c r="N407" s="33"/>
      <c r="O407" s="33"/>
      <c r="P407" s="33"/>
      <c r="Q407" s="33"/>
      <c r="R407" s="33"/>
      <c r="S407" s="33"/>
      <c r="T407" s="33"/>
    </row>
    <row r="408" spans="1:20" ht="15.75">
      <c r="A408" s="13">
        <v>54331</v>
      </c>
      <c r="B408" s="41">
        <v>30</v>
      </c>
      <c r="C408" s="32">
        <v>194.20500000000001</v>
      </c>
      <c r="D408" s="32">
        <v>267.46600000000001</v>
      </c>
      <c r="E408" s="38">
        <v>812.32899999999995</v>
      </c>
      <c r="F408" s="32">
        <v>1274</v>
      </c>
      <c r="G408" s="32">
        <v>50</v>
      </c>
      <c r="H408" s="40">
        <v>600</v>
      </c>
      <c r="I408" s="32">
        <v>695</v>
      </c>
      <c r="J408" s="32">
        <v>0</v>
      </c>
      <c r="K408" s="33"/>
      <c r="L408" s="33"/>
      <c r="M408" s="33"/>
      <c r="N408" s="33"/>
      <c r="O408" s="33"/>
      <c r="P408" s="33"/>
      <c r="Q408" s="33"/>
      <c r="R408" s="33"/>
      <c r="S408" s="33"/>
      <c r="T408" s="33"/>
    </row>
    <row r="409" spans="1:20" ht="15.75">
      <c r="A409" s="13">
        <v>54362</v>
      </c>
      <c r="B409" s="41">
        <v>31</v>
      </c>
      <c r="C409" s="32">
        <v>131.881</v>
      </c>
      <c r="D409" s="32">
        <v>277.16699999999997</v>
      </c>
      <c r="E409" s="38">
        <v>829.952</v>
      </c>
      <c r="F409" s="32">
        <v>1239</v>
      </c>
      <c r="G409" s="32">
        <v>75</v>
      </c>
      <c r="H409" s="40">
        <v>600</v>
      </c>
      <c r="I409" s="32">
        <v>695</v>
      </c>
      <c r="J409" s="32">
        <v>0</v>
      </c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ht="15.75">
      <c r="A410" s="13">
        <v>54392</v>
      </c>
      <c r="B410" s="41">
        <v>30</v>
      </c>
      <c r="C410" s="32">
        <v>122.58</v>
      </c>
      <c r="D410" s="32">
        <v>297.94099999999997</v>
      </c>
      <c r="E410" s="38">
        <v>729.47900000000004</v>
      </c>
      <c r="F410" s="32">
        <v>1150</v>
      </c>
      <c r="G410" s="32">
        <v>100</v>
      </c>
      <c r="H410" s="40">
        <v>600</v>
      </c>
      <c r="I410" s="32">
        <v>695</v>
      </c>
      <c r="J410" s="32">
        <v>50</v>
      </c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ht="15.75">
      <c r="A411" s="13">
        <v>54423</v>
      </c>
      <c r="B411" s="41">
        <v>31</v>
      </c>
      <c r="C411" s="32">
        <v>122.58</v>
      </c>
      <c r="D411" s="32">
        <v>297.94099999999997</v>
      </c>
      <c r="E411" s="38">
        <v>729.47900000000004</v>
      </c>
      <c r="F411" s="32">
        <v>1150</v>
      </c>
      <c r="G411" s="32">
        <v>100</v>
      </c>
      <c r="H411" s="40">
        <v>600</v>
      </c>
      <c r="I411" s="32">
        <v>695</v>
      </c>
      <c r="J411" s="32">
        <v>50</v>
      </c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ht="15.75">
      <c r="A412" s="13">
        <v>54454</v>
      </c>
      <c r="B412" s="41">
        <v>31</v>
      </c>
      <c r="C412" s="32">
        <v>122.58</v>
      </c>
      <c r="D412" s="32">
        <v>297.94099999999997</v>
      </c>
      <c r="E412" s="38">
        <v>729.47900000000004</v>
      </c>
      <c r="F412" s="32">
        <v>1150</v>
      </c>
      <c r="G412" s="32">
        <v>100</v>
      </c>
      <c r="H412" s="40">
        <v>600</v>
      </c>
      <c r="I412" s="32">
        <v>695</v>
      </c>
      <c r="J412" s="32">
        <v>50</v>
      </c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ht="15.75">
      <c r="A413" s="13">
        <v>54482</v>
      </c>
      <c r="B413" s="41">
        <v>28</v>
      </c>
      <c r="C413" s="32">
        <v>122.58</v>
      </c>
      <c r="D413" s="32">
        <v>297.94099999999997</v>
      </c>
      <c r="E413" s="38">
        <v>729.47900000000004</v>
      </c>
      <c r="F413" s="32">
        <v>1150</v>
      </c>
      <c r="G413" s="32">
        <v>100</v>
      </c>
      <c r="H413" s="40">
        <v>600</v>
      </c>
      <c r="I413" s="32">
        <v>695</v>
      </c>
      <c r="J413" s="32">
        <v>50</v>
      </c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.75">
      <c r="A414" s="13">
        <v>54513</v>
      </c>
      <c r="B414" s="41">
        <v>31</v>
      </c>
      <c r="C414" s="32">
        <v>122.58</v>
      </c>
      <c r="D414" s="32">
        <v>297.94099999999997</v>
      </c>
      <c r="E414" s="38">
        <v>729.47900000000004</v>
      </c>
      <c r="F414" s="32">
        <v>1150</v>
      </c>
      <c r="G414" s="32">
        <v>100</v>
      </c>
      <c r="H414" s="40">
        <v>600</v>
      </c>
      <c r="I414" s="32">
        <v>695</v>
      </c>
      <c r="J414" s="32">
        <v>50</v>
      </c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ht="15.75">
      <c r="A415" s="13">
        <v>54543</v>
      </c>
      <c r="B415" s="41">
        <v>30</v>
      </c>
      <c r="C415" s="32">
        <v>141.29300000000001</v>
      </c>
      <c r="D415" s="32">
        <v>267.99299999999999</v>
      </c>
      <c r="E415" s="38">
        <v>829.71400000000006</v>
      </c>
      <c r="F415" s="32">
        <v>1239</v>
      </c>
      <c r="G415" s="32">
        <v>100</v>
      </c>
      <c r="H415" s="40">
        <v>600</v>
      </c>
      <c r="I415" s="32">
        <v>695</v>
      </c>
      <c r="J415" s="32">
        <v>50</v>
      </c>
      <c r="K415" s="33"/>
      <c r="L415" s="33"/>
      <c r="M415" s="33"/>
      <c r="N415" s="33"/>
      <c r="O415" s="33"/>
      <c r="P415" s="33"/>
      <c r="Q415" s="33"/>
      <c r="R415" s="33"/>
      <c r="S415" s="33"/>
      <c r="T415" s="33"/>
    </row>
    <row r="416" spans="1:20" ht="15.75">
      <c r="A416" s="13">
        <v>54574</v>
      </c>
      <c r="B416" s="41">
        <v>31</v>
      </c>
      <c r="C416" s="32">
        <v>194.20500000000001</v>
      </c>
      <c r="D416" s="32">
        <v>267.46600000000001</v>
      </c>
      <c r="E416" s="38">
        <v>812.32899999999995</v>
      </c>
      <c r="F416" s="32">
        <v>1274</v>
      </c>
      <c r="G416" s="32">
        <v>75</v>
      </c>
      <c r="H416" s="40">
        <v>600</v>
      </c>
      <c r="I416" s="32">
        <v>695</v>
      </c>
      <c r="J416" s="32">
        <v>50</v>
      </c>
      <c r="K416" s="33"/>
      <c r="L416" s="33"/>
      <c r="M416" s="33"/>
      <c r="N416" s="33"/>
      <c r="O416" s="33"/>
      <c r="P416" s="33"/>
      <c r="Q416" s="33"/>
      <c r="R416" s="33"/>
      <c r="S416" s="33"/>
      <c r="T416" s="33"/>
    </row>
    <row r="417" spans="1:20" ht="15.75">
      <c r="A417" s="13">
        <v>54604</v>
      </c>
      <c r="B417" s="41">
        <v>30</v>
      </c>
      <c r="C417" s="32">
        <v>194.20500000000001</v>
      </c>
      <c r="D417" s="32">
        <v>267.46600000000001</v>
      </c>
      <c r="E417" s="38">
        <v>812.32899999999995</v>
      </c>
      <c r="F417" s="32">
        <v>1274</v>
      </c>
      <c r="G417" s="32">
        <v>50</v>
      </c>
      <c r="H417" s="40">
        <v>600</v>
      </c>
      <c r="I417" s="32">
        <v>695</v>
      </c>
      <c r="J417" s="32">
        <v>50</v>
      </c>
      <c r="K417" s="33"/>
      <c r="L417" s="33"/>
      <c r="M417" s="33"/>
      <c r="N417" s="33"/>
      <c r="O417" s="33"/>
      <c r="P417" s="33"/>
      <c r="Q417" s="33"/>
      <c r="R417" s="33"/>
      <c r="S417" s="33"/>
      <c r="T417" s="33"/>
    </row>
    <row r="418" spans="1:20" ht="15.75">
      <c r="A418" s="13">
        <v>54635</v>
      </c>
      <c r="B418" s="41">
        <v>31</v>
      </c>
      <c r="C418" s="32">
        <v>194.20500000000001</v>
      </c>
      <c r="D418" s="32">
        <v>267.46600000000001</v>
      </c>
      <c r="E418" s="38">
        <v>812.32899999999995</v>
      </c>
      <c r="F418" s="32">
        <v>1274</v>
      </c>
      <c r="G418" s="32">
        <v>50</v>
      </c>
      <c r="H418" s="40">
        <v>600</v>
      </c>
      <c r="I418" s="32">
        <v>695</v>
      </c>
      <c r="J418" s="32">
        <v>0</v>
      </c>
      <c r="K418" s="33"/>
      <c r="L418" s="33"/>
      <c r="M418" s="33"/>
      <c r="N418" s="33"/>
      <c r="O418" s="33"/>
      <c r="P418" s="33"/>
      <c r="Q418" s="33"/>
      <c r="R418" s="33"/>
      <c r="S418" s="33"/>
      <c r="T418" s="33"/>
    </row>
    <row r="419" spans="1:20" ht="15.75">
      <c r="A419" s="13">
        <v>54666</v>
      </c>
      <c r="B419" s="41">
        <v>31</v>
      </c>
      <c r="C419" s="32">
        <v>194.20500000000001</v>
      </c>
      <c r="D419" s="32">
        <v>267.46600000000001</v>
      </c>
      <c r="E419" s="38">
        <v>812.32899999999995</v>
      </c>
      <c r="F419" s="32">
        <v>1274</v>
      </c>
      <c r="G419" s="32">
        <v>50</v>
      </c>
      <c r="H419" s="40">
        <v>600</v>
      </c>
      <c r="I419" s="32">
        <v>695</v>
      </c>
      <c r="J419" s="32">
        <v>0</v>
      </c>
      <c r="K419" s="33"/>
      <c r="L419" s="33"/>
      <c r="M419" s="33"/>
      <c r="N419" s="33"/>
      <c r="O419" s="33"/>
      <c r="P419" s="33"/>
      <c r="Q419" s="33"/>
      <c r="R419" s="33"/>
      <c r="S419" s="33"/>
      <c r="T419" s="33"/>
    </row>
    <row r="420" spans="1:20" ht="15.75">
      <c r="A420" s="13">
        <v>54696</v>
      </c>
      <c r="B420" s="41">
        <v>30</v>
      </c>
      <c r="C420" s="32">
        <v>194.20500000000001</v>
      </c>
      <c r="D420" s="32">
        <v>267.46600000000001</v>
      </c>
      <c r="E420" s="38">
        <v>812.32899999999995</v>
      </c>
      <c r="F420" s="32">
        <v>1274</v>
      </c>
      <c r="G420" s="32">
        <v>50</v>
      </c>
      <c r="H420" s="40">
        <v>600</v>
      </c>
      <c r="I420" s="32">
        <v>695</v>
      </c>
      <c r="J420" s="32">
        <v>0</v>
      </c>
      <c r="K420" s="33"/>
      <c r="L420" s="33"/>
      <c r="M420" s="33"/>
      <c r="N420" s="33"/>
      <c r="O420" s="33"/>
      <c r="P420" s="33"/>
      <c r="Q420" s="33"/>
      <c r="R420" s="33"/>
      <c r="S420" s="33"/>
      <c r="T420" s="33"/>
    </row>
    <row r="421" spans="1:20" ht="15.75">
      <c r="A421" s="13">
        <v>54727</v>
      </c>
      <c r="B421" s="41">
        <v>31</v>
      </c>
      <c r="C421" s="32">
        <v>131.881</v>
      </c>
      <c r="D421" s="32">
        <v>277.16699999999997</v>
      </c>
      <c r="E421" s="38">
        <v>829.952</v>
      </c>
      <c r="F421" s="32">
        <v>1239</v>
      </c>
      <c r="G421" s="32">
        <v>75</v>
      </c>
      <c r="H421" s="40">
        <v>600</v>
      </c>
      <c r="I421" s="32">
        <v>695</v>
      </c>
      <c r="J421" s="32">
        <v>0</v>
      </c>
      <c r="K421" s="33"/>
      <c r="L421" s="33"/>
      <c r="M421" s="33"/>
      <c r="N421" s="33"/>
      <c r="O421" s="33"/>
      <c r="P421" s="33"/>
      <c r="Q421" s="33"/>
      <c r="R421" s="33"/>
      <c r="S421" s="33"/>
      <c r="T421" s="33"/>
    </row>
    <row r="422" spans="1:20" ht="15.75">
      <c r="A422" s="13">
        <v>54757</v>
      </c>
      <c r="B422" s="41">
        <v>30</v>
      </c>
      <c r="C422" s="32">
        <v>122.58</v>
      </c>
      <c r="D422" s="32">
        <v>297.94099999999997</v>
      </c>
      <c r="E422" s="38">
        <v>729.47900000000004</v>
      </c>
      <c r="F422" s="32">
        <v>1150</v>
      </c>
      <c r="G422" s="32">
        <v>100</v>
      </c>
      <c r="H422" s="40">
        <v>600</v>
      </c>
      <c r="I422" s="32">
        <v>695</v>
      </c>
      <c r="J422" s="32">
        <v>50</v>
      </c>
      <c r="K422" s="33"/>
      <c r="L422" s="33"/>
      <c r="M422" s="33"/>
      <c r="N422" s="33"/>
      <c r="O422" s="33"/>
      <c r="P422" s="33"/>
      <c r="Q422" s="33"/>
      <c r="R422" s="33"/>
      <c r="S422" s="33"/>
      <c r="T422" s="33"/>
    </row>
    <row r="423" spans="1:20" ht="15.75">
      <c r="A423" s="13">
        <v>54788</v>
      </c>
      <c r="B423" s="41">
        <v>31</v>
      </c>
      <c r="C423" s="32">
        <v>122.58</v>
      </c>
      <c r="D423" s="32">
        <v>297.94099999999997</v>
      </c>
      <c r="E423" s="38">
        <v>729.47900000000004</v>
      </c>
      <c r="F423" s="32">
        <v>1150</v>
      </c>
      <c r="G423" s="32">
        <v>100</v>
      </c>
      <c r="H423" s="40">
        <v>600</v>
      </c>
      <c r="I423" s="32">
        <v>695</v>
      </c>
      <c r="J423" s="32">
        <v>50</v>
      </c>
      <c r="K423" s="33"/>
      <c r="L423" s="33"/>
      <c r="M423" s="33"/>
      <c r="N423" s="33"/>
      <c r="O423" s="33"/>
      <c r="P423" s="33"/>
      <c r="Q423" s="33"/>
      <c r="R423" s="33"/>
      <c r="S423" s="33"/>
      <c r="T423" s="33"/>
    </row>
    <row r="424" spans="1:20" ht="15.75">
      <c r="A424" s="13">
        <v>54819</v>
      </c>
      <c r="B424" s="41">
        <v>31</v>
      </c>
      <c r="C424" s="32">
        <v>122.58</v>
      </c>
      <c r="D424" s="32">
        <v>297.94099999999997</v>
      </c>
      <c r="E424" s="38">
        <v>729.47900000000004</v>
      </c>
      <c r="F424" s="32">
        <v>1150</v>
      </c>
      <c r="G424" s="32">
        <v>100</v>
      </c>
      <c r="H424" s="40">
        <v>600</v>
      </c>
      <c r="I424" s="32">
        <v>695</v>
      </c>
      <c r="J424" s="32">
        <v>50</v>
      </c>
      <c r="K424" s="33"/>
      <c r="L424" s="33"/>
      <c r="M424" s="33"/>
      <c r="N424" s="33"/>
      <c r="O424" s="33"/>
      <c r="P424" s="33"/>
      <c r="Q424" s="33"/>
      <c r="R424" s="33"/>
      <c r="S424" s="33"/>
      <c r="T424" s="33"/>
    </row>
    <row r="425" spans="1:20" ht="15.75">
      <c r="A425" s="13">
        <v>54847</v>
      </c>
      <c r="B425" s="41">
        <v>28</v>
      </c>
      <c r="C425" s="32">
        <v>122.58</v>
      </c>
      <c r="D425" s="32">
        <v>297.94099999999997</v>
      </c>
      <c r="E425" s="38">
        <v>729.47900000000004</v>
      </c>
      <c r="F425" s="32">
        <v>1150</v>
      </c>
      <c r="G425" s="32">
        <v>100</v>
      </c>
      <c r="H425" s="40">
        <v>600</v>
      </c>
      <c r="I425" s="32">
        <v>695</v>
      </c>
      <c r="J425" s="32">
        <v>50</v>
      </c>
      <c r="K425" s="33"/>
      <c r="L425" s="33"/>
      <c r="M425" s="33"/>
      <c r="N425" s="33"/>
      <c r="O425" s="33"/>
      <c r="P425" s="33"/>
      <c r="Q425" s="33"/>
      <c r="R425" s="33"/>
      <c r="S425" s="33"/>
      <c r="T425" s="33"/>
    </row>
    <row r="426" spans="1:20" ht="15.75">
      <c r="A426" s="13">
        <v>54878</v>
      </c>
      <c r="B426" s="41">
        <v>31</v>
      </c>
      <c r="C426" s="32">
        <v>122.58</v>
      </c>
      <c r="D426" s="32">
        <v>297.94099999999997</v>
      </c>
      <c r="E426" s="38">
        <v>729.47900000000004</v>
      </c>
      <c r="F426" s="32">
        <v>1150</v>
      </c>
      <c r="G426" s="32">
        <v>100</v>
      </c>
      <c r="H426" s="40">
        <v>600</v>
      </c>
      <c r="I426" s="32">
        <v>695</v>
      </c>
      <c r="J426" s="32">
        <v>50</v>
      </c>
      <c r="K426" s="33"/>
      <c r="L426" s="33"/>
      <c r="M426" s="33"/>
      <c r="N426" s="33"/>
      <c r="O426" s="33"/>
      <c r="P426" s="33"/>
      <c r="Q426" s="33"/>
      <c r="R426" s="33"/>
      <c r="S426" s="33"/>
      <c r="T426" s="33"/>
    </row>
    <row r="427" spans="1:20" ht="15.75">
      <c r="A427" s="13">
        <v>54908</v>
      </c>
      <c r="B427" s="41">
        <v>30</v>
      </c>
      <c r="C427" s="32">
        <v>141.29300000000001</v>
      </c>
      <c r="D427" s="32">
        <v>267.99299999999999</v>
      </c>
      <c r="E427" s="38">
        <v>829.71400000000006</v>
      </c>
      <c r="F427" s="32">
        <v>1239</v>
      </c>
      <c r="G427" s="32">
        <v>100</v>
      </c>
      <c r="H427" s="40">
        <v>600</v>
      </c>
      <c r="I427" s="32">
        <v>695</v>
      </c>
      <c r="J427" s="32">
        <v>50</v>
      </c>
      <c r="K427" s="33"/>
      <c r="L427" s="33"/>
      <c r="M427" s="33"/>
      <c r="N427" s="33"/>
      <c r="O427" s="33"/>
      <c r="P427" s="33"/>
      <c r="Q427" s="33"/>
      <c r="R427" s="33"/>
      <c r="S427" s="33"/>
      <c r="T427" s="33"/>
    </row>
    <row r="428" spans="1:20" ht="15.75">
      <c r="A428" s="13">
        <v>54939</v>
      </c>
      <c r="B428" s="41">
        <v>31</v>
      </c>
      <c r="C428" s="32">
        <v>194.20500000000001</v>
      </c>
      <c r="D428" s="32">
        <v>267.46600000000001</v>
      </c>
      <c r="E428" s="38">
        <v>812.32899999999995</v>
      </c>
      <c r="F428" s="32">
        <v>1274</v>
      </c>
      <c r="G428" s="32">
        <v>75</v>
      </c>
      <c r="H428" s="40">
        <v>600</v>
      </c>
      <c r="I428" s="32">
        <v>695</v>
      </c>
      <c r="J428" s="32">
        <v>50</v>
      </c>
      <c r="K428" s="33"/>
      <c r="L428" s="33"/>
      <c r="M428" s="33"/>
      <c r="N428" s="33"/>
      <c r="O428" s="33"/>
      <c r="P428" s="33"/>
      <c r="Q428" s="33"/>
      <c r="R428" s="33"/>
      <c r="S428" s="33"/>
      <c r="T428" s="33"/>
    </row>
    <row r="429" spans="1:20" ht="15.75">
      <c r="A429" s="13">
        <v>54969</v>
      </c>
      <c r="B429" s="41">
        <v>30</v>
      </c>
      <c r="C429" s="32">
        <v>194.20500000000001</v>
      </c>
      <c r="D429" s="32">
        <v>267.46600000000001</v>
      </c>
      <c r="E429" s="38">
        <v>812.32899999999995</v>
      </c>
      <c r="F429" s="32">
        <v>1274</v>
      </c>
      <c r="G429" s="32">
        <v>50</v>
      </c>
      <c r="H429" s="40">
        <v>600</v>
      </c>
      <c r="I429" s="32">
        <v>695</v>
      </c>
      <c r="J429" s="32">
        <v>50</v>
      </c>
      <c r="K429" s="33"/>
      <c r="L429" s="33"/>
      <c r="M429" s="33"/>
      <c r="N429" s="33"/>
      <c r="O429" s="33"/>
      <c r="P429" s="33"/>
      <c r="Q429" s="33"/>
      <c r="R429" s="33"/>
      <c r="S429" s="33"/>
      <c r="T429" s="33"/>
    </row>
    <row r="430" spans="1:20" ht="15.75">
      <c r="A430" s="13">
        <v>55000</v>
      </c>
      <c r="B430" s="41">
        <v>31</v>
      </c>
      <c r="C430" s="32">
        <v>194.20500000000001</v>
      </c>
      <c r="D430" s="32">
        <v>267.46600000000001</v>
      </c>
      <c r="E430" s="38">
        <v>812.32899999999995</v>
      </c>
      <c r="F430" s="32">
        <v>1274</v>
      </c>
      <c r="G430" s="32">
        <v>50</v>
      </c>
      <c r="H430" s="40">
        <v>600</v>
      </c>
      <c r="I430" s="32">
        <v>695</v>
      </c>
      <c r="J430" s="32">
        <v>0</v>
      </c>
      <c r="K430" s="33"/>
      <c r="L430" s="33"/>
      <c r="M430" s="33"/>
      <c r="N430" s="33"/>
      <c r="O430" s="33"/>
      <c r="P430" s="33"/>
      <c r="Q430" s="33"/>
      <c r="R430" s="33"/>
      <c r="S430" s="33"/>
      <c r="T430" s="33"/>
    </row>
    <row r="431" spans="1:20" ht="15.75">
      <c r="A431" s="13">
        <v>55031</v>
      </c>
      <c r="B431" s="41">
        <v>31</v>
      </c>
      <c r="C431" s="32">
        <v>194.20500000000001</v>
      </c>
      <c r="D431" s="32">
        <v>267.46600000000001</v>
      </c>
      <c r="E431" s="38">
        <v>812.32899999999995</v>
      </c>
      <c r="F431" s="32">
        <v>1274</v>
      </c>
      <c r="G431" s="32">
        <v>50</v>
      </c>
      <c r="H431" s="40">
        <v>600</v>
      </c>
      <c r="I431" s="32">
        <v>695</v>
      </c>
      <c r="J431" s="32">
        <v>0</v>
      </c>
      <c r="K431" s="33"/>
      <c r="L431" s="33"/>
      <c r="M431" s="33"/>
      <c r="N431" s="33"/>
      <c r="O431" s="33"/>
      <c r="P431" s="33"/>
      <c r="Q431" s="33"/>
      <c r="R431" s="33"/>
      <c r="S431" s="33"/>
      <c r="T431" s="33"/>
    </row>
    <row r="432" spans="1:20" ht="15.75">
      <c r="A432" s="13">
        <v>55061</v>
      </c>
      <c r="B432" s="41">
        <v>30</v>
      </c>
      <c r="C432" s="32">
        <v>194.20500000000001</v>
      </c>
      <c r="D432" s="32">
        <v>267.46600000000001</v>
      </c>
      <c r="E432" s="38">
        <v>812.32899999999995</v>
      </c>
      <c r="F432" s="32">
        <v>1274</v>
      </c>
      <c r="G432" s="32">
        <v>50</v>
      </c>
      <c r="H432" s="40">
        <v>600</v>
      </c>
      <c r="I432" s="32">
        <v>695</v>
      </c>
      <c r="J432" s="32">
        <v>0</v>
      </c>
      <c r="K432" s="33"/>
      <c r="L432" s="33"/>
      <c r="M432" s="33"/>
      <c r="N432" s="33"/>
      <c r="O432" s="33"/>
      <c r="P432" s="33"/>
      <c r="Q432" s="33"/>
      <c r="R432" s="33"/>
      <c r="S432" s="33"/>
      <c r="T432" s="33"/>
    </row>
    <row r="433" spans="1:20" ht="15.75">
      <c r="A433" s="13">
        <v>55092</v>
      </c>
      <c r="B433" s="41">
        <v>31</v>
      </c>
      <c r="C433" s="32">
        <v>131.881</v>
      </c>
      <c r="D433" s="32">
        <v>277.16699999999997</v>
      </c>
      <c r="E433" s="38">
        <v>829.952</v>
      </c>
      <c r="F433" s="32">
        <v>1239</v>
      </c>
      <c r="G433" s="32">
        <v>75</v>
      </c>
      <c r="H433" s="40">
        <v>600</v>
      </c>
      <c r="I433" s="32">
        <v>695</v>
      </c>
      <c r="J433" s="32">
        <v>0</v>
      </c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.75">
      <c r="A434" s="13">
        <v>55122</v>
      </c>
      <c r="B434" s="41">
        <v>30</v>
      </c>
      <c r="C434" s="32">
        <v>122.58</v>
      </c>
      <c r="D434" s="32">
        <v>297.94099999999997</v>
      </c>
      <c r="E434" s="38">
        <v>729.47900000000004</v>
      </c>
      <c r="F434" s="32">
        <v>1150</v>
      </c>
      <c r="G434" s="32">
        <v>100</v>
      </c>
      <c r="H434" s="40">
        <v>600</v>
      </c>
      <c r="I434" s="32">
        <v>695</v>
      </c>
      <c r="J434" s="32">
        <v>50</v>
      </c>
      <c r="K434" s="33"/>
      <c r="L434" s="33"/>
      <c r="M434" s="33"/>
      <c r="N434" s="33"/>
      <c r="O434" s="33"/>
      <c r="P434" s="33"/>
      <c r="Q434" s="33"/>
      <c r="R434" s="33"/>
      <c r="S434" s="33"/>
      <c r="T434" s="33"/>
    </row>
    <row r="435" spans="1:20" ht="15.75">
      <c r="A435" s="13">
        <v>55153</v>
      </c>
      <c r="B435" s="41">
        <v>31</v>
      </c>
      <c r="C435" s="32">
        <v>122.58</v>
      </c>
      <c r="D435" s="32">
        <v>297.94099999999997</v>
      </c>
      <c r="E435" s="38">
        <v>729.47900000000004</v>
      </c>
      <c r="F435" s="32">
        <v>1150</v>
      </c>
      <c r="G435" s="32">
        <v>100</v>
      </c>
      <c r="H435" s="40">
        <v>600</v>
      </c>
      <c r="I435" s="32">
        <v>695</v>
      </c>
      <c r="J435" s="32">
        <v>50</v>
      </c>
      <c r="K435" s="33"/>
      <c r="L435" s="33"/>
      <c r="M435" s="33"/>
      <c r="N435" s="33"/>
      <c r="O435" s="33"/>
      <c r="P435" s="33"/>
      <c r="Q435" s="33"/>
      <c r="R435" s="33"/>
      <c r="S435" s="33"/>
      <c r="T435" s="33"/>
    </row>
    <row r="436" spans="1:20" ht="15.75">
      <c r="A436" s="13">
        <v>55184</v>
      </c>
      <c r="B436" s="41">
        <v>31</v>
      </c>
      <c r="C436" s="32">
        <v>122.58</v>
      </c>
      <c r="D436" s="32">
        <v>297.94099999999997</v>
      </c>
      <c r="E436" s="38">
        <v>729.47900000000004</v>
      </c>
      <c r="F436" s="32">
        <v>1150</v>
      </c>
      <c r="G436" s="32">
        <v>100</v>
      </c>
      <c r="H436" s="40">
        <v>600</v>
      </c>
      <c r="I436" s="32">
        <v>695</v>
      </c>
      <c r="J436" s="32">
        <v>50</v>
      </c>
      <c r="K436" s="33"/>
      <c r="L436" s="33"/>
      <c r="M436" s="33"/>
      <c r="N436" s="33"/>
      <c r="O436" s="33"/>
      <c r="P436" s="33"/>
      <c r="Q436" s="33"/>
      <c r="R436" s="33"/>
      <c r="S436" s="33"/>
      <c r="T436" s="33"/>
    </row>
    <row r="437" spans="1:20" ht="15.75">
      <c r="A437" s="13">
        <v>55212</v>
      </c>
      <c r="B437" s="41">
        <v>28</v>
      </c>
      <c r="C437" s="32">
        <v>122.58</v>
      </c>
      <c r="D437" s="32">
        <v>297.94099999999997</v>
      </c>
      <c r="E437" s="38">
        <v>729.47900000000004</v>
      </c>
      <c r="F437" s="32">
        <v>1150</v>
      </c>
      <c r="G437" s="32">
        <v>100</v>
      </c>
      <c r="H437" s="40">
        <v>600</v>
      </c>
      <c r="I437" s="32">
        <v>695</v>
      </c>
      <c r="J437" s="32">
        <v>50</v>
      </c>
      <c r="K437" s="33"/>
      <c r="L437" s="33"/>
      <c r="M437" s="33"/>
      <c r="N437" s="33"/>
      <c r="O437" s="33"/>
      <c r="P437" s="33"/>
      <c r="Q437" s="33"/>
      <c r="R437" s="33"/>
      <c r="S437" s="33"/>
      <c r="T437" s="33"/>
    </row>
    <row r="438" spans="1:20" ht="15.75">
      <c r="A438" s="13">
        <v>55243</v>
      </c>
      <c r="B438" s="41">
        <v>31</v>
      </c>
      <c r="C438" s="32">
        <v>122.58</v>
      </c>
      <c r="D438" s="32">
        <v>297.94099999999997</v>
      </c>
      <c r="E438" s="38">
        <v>729.47900000000004</v>
      </c>
      <c r="F438" s="32">
        <v>1150</v>
      </c>
      <c r="G438" s="32">
        <v>100</v>
      </c>
      <c r="H438" s="40">
        <v>600</v>
      </c>
      <c r="I438" s="32">
        <v>695</v>
      </c>
      <c r="J438" s="32">
        <v>50</v>
      </c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ht="15.75">
      <c r="A439" s="13">
        <v>55273</v>
      </c>
      <c r="B439" s="41">
        <v>30</v>
      </c>
      <c r="C439" s="32">
        <v>141.29300000000001</v>
      </c>
      <c r="D439" s="32">
        <v>267.99299999999999</v>
      </c>
      <c r="E439" s="38">
        <v>829.71400000000006</v>
      </c>
      <c r="F439" s="32">
        <v>1239</v>
      </c>
      <c r="G439" s="32">
        <v>100</v>
      </c>
      <c r="H439" s="40">
        <v>600</v>
      </c>
      <c r="I439" s="32">
        <v>695</v>
      </c>
      <c r="J439" s="32">
        <v>50</v>
      </c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ht="15.75">
      <c r="A440" s="13">
        <v>55304</v>
      </c>
      <c r="B440" s="41">
        <v>31</v>
      </c>
      <c r="C440" s="32">
        <v>194.20500000000001</v>
      </c>
      <c r="D440" s="32">
        <v>267.46600000000001</v>
      </c>
      <c r="E440" s="38">
        <v>812.32899999999995</v>
      </c>
      <c r="F440" s="32">
        <v>1274</v>
      </c>
      <c r="G440" s="32">
        <v>75</v>
      </c>
      <c r="H440" s="40">
        <v>600</v>
      </c>
      <c r="I440" s="32">
        <v>695</v>
      </c>
      <c r="J440" s="32">
        <v>50</v>
      </c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ht="15.75">
      <c r="A441" s="13">
        <v>55334</v>
      </c>
      <c r="B441" s="41">
        <v>30</v>
      </c>
      <c r="C441" s="32">
        <v>194.20500000000001</v>
      </c>
      <c r="D441" s="32">
        <v>267.46600000000001</v>
      </c>
      <c r="E441" s="38">
        <v>812.32899999999995</v>
      </c>
      <c r="F441" s="32">
        <v>1274</v>
      </c>
      <c r="G441" s="32">
        <v>50</v>
      </c>
      <c r="H441" s="40">
        <v>600</v>
      </c>
      <c r="I441" s="32">
        <v>695</v>
      </c>
      <c r="J441" s="32">
        <v>50</v>
      </c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ht="15.75">
      <c r="A442" s="13">
        <v>55365</v>
      </c>
      <c r="B442" s="41">
        <v>31</v>
      </c>
      <c r="C442" s="32">
        <v>194.20500000000001</v>
      </c>
      <c r="D442" s="32">
        <v>267.46600000000001</v>
      </c>
      <c r="E442" s="38">
        <v>812.32899999999995</v>
      </c>
      <c r="F442" s="32">
        <v>1274</v>
      </c>
      <c r="G442" s="32">
        <v>50</v>
      </c>
      <c r="H442" s="40">
        <v>600</v>
      </c>
      <c r="I442" s="32">
        <v>695</v>
      </c>
      <c r="J442" s="32">
        <v>0</v>
      </c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ht="15.75">
      <c r="A443" s="13">
        <v>55396</v>
      </c>
      <c r="B443" s="41">
        <v>31</v>
      </c>
      <c r="C443" s="32">
        <v>194.20500000000001</v>
      </c>
      <c r="D443" s="32">
        <v>267.46600000000001</v>
      </c>
      <c r="E443" s="38">
        <v>812.32899999999995</v>
      </c>
      <c r="F443" s="32">
        <v>1274</v>
      </c>
      <c r="G443" s="32">
        <v>50</v>
      </c>
      <c r="H443" s="40">
        <v>600</v>
      </c>
      <c r="I443" s="32">
        <v>695</v>
      </c>
      <c r="J443" s="32">
        <v>0</v>
      </c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ht="15.75">
      <c r="A444" s="13">
        <v>55426</v>
      </c>
      <c r="B444" s="41">
        <v>30</v>
      </c>
      <c r="C444" s="32">
        <v>194.20500000000001</v>
      </c>
      <c r="D444" s="32">
        <v>267.46600000000001</v>
      </c>
      <c r="E444" s="38">
        <v>812.32899999999995</v>
      </c>
      <c r="F444" s="32">
        <v>1274</v>
      </c>
      <c r="G444" s="32">
        <v>50</v>
      </c>
      <c r="H444" s="40">
        <v>600</v>
      </c>
      <c r="I444" s="32">
        <v>695</v>
      </c>
      <c r="J444" s="32">
        <v>0</v>
      </c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ht="15.75">
      <c r="A445" s="13">
        <v>55457</v>
      </c>
      <c r="B445" s="41">
        <v>31</v>
      </c>
      <c r="C445" s="32">
        <v>131.881</v>
      </c>
      <c r="D445" s="32">
        <v>277.16699999999997</v>
      </c>
      <c r="E445" s="38">
        <v>829.952</v>
      </c>
      <c r="F445" s="32">
        <v>1239</v>
      </c>
      <c r="G445" s="32">
        <v>75</v>
      </c>
      <c r="H445" s="40">
        <v>600</v>
      </c>
      <c r="I445" s="32">
        <v>695</v>
      </c>
      <c r="J445" s="32">
        <v>0</v>
      </c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ht="15.75">
      <c r="A446" s="13">
        <v>55487</v>
      </c>
      <c r="B446" s="41">
        <v>30</v>
      </c>
      <c r="C446" s="32">
        <v>122.58</v>
      </c>
      <c r="D446" s="32">
        <v>297.94099999999997</v>
      </c>
      <c r="E446" s="38">
        <v>729.47900000000004</v>
      </c>
      <c r="F446" s="32">
        <v>1150</v>
      </c>
      <c r="G446" s="32">
        <v>100</v>
      </c>
      <c r="H446" s="40">
        <v>600</v>
      </c>
      <c r="I446" s="32">
        <v>695</v>
      </c>
      <c r="J446" s="32">
        <v>50</v>
      </c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5.75">
      <c r="A447" s="13">
        <v>55518</v>
      </c>
      <c r="B447" s="41">
        <v>31</v>
      </c>
      <c r="C447" s="32">
        <v>122.58</v>
      </c>
      <c r="D447" s="32">
        <v>297.94099999999997</v>
      </c>
      <c r="E447" s="38">
        <v>729.47900000000004</v>
      </c>
      <c r="F447" s="32">
        <v>1150</v>
      </c>
      <c r="G447" s="32">
        <v>100</v>
      </c>
      <c r="H447" s="40">
        <v>600</v>
      </c>
      <c r="I447" s="32">
        <v>695</v>
      </c>
      <c r="J447" s="32">
        <v>50</v>
      </c>
      <c r="K447" s="33"/>
      <c r="L447" s="33"/>
      <c r="M447" s="33"/>
      <c r="N447" s="33"/>
      <c r="O447" s="33"/>
      <c r="P447" s="33"/>
      <c r="Q447" s="33"/>
      <c r="R447" s="33"/>
      <c r="S447" s="33"/>
      <c r="T447" s="33"/>
    </row>
    <row r="448" spans="1:20" ht="15.75">
      <c r="A448" s="13">
        <v>55549</v>
      </c>
      <c r="B448" s="41">
        <v>31</v>
      </c>
      <c r="C448" s="32">
        <v>122.58</v>
      </c>
      <c r="D448" s="32">
        <v>297.94099999999997</v>
      </c>
      <c r="E448" s="38">
        <v>729.47900000000004</v>
      </c>
      <c r="F448" s="32">
        <v>1150</v>
      </c>
      <c r="G448" s="32">
        <v>100</v>
      </c>
      <c r="H448" s="40">
        <v>600</v>
      </c>
      <c r="I448" s="32">
        <v>695</v>
      </c>
      <c r="J448" s="32">
        <v>50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</row>
    <row r="449" spans="1:20" ht="15.75">
      <c r="A449" s="13">
        <v>55577</v>
      </c>
      <c r="B449" s="41">
        <v>29</v>
      </c>
      <c r="C449" s="32">
        <v>122.58</v>
      </c>
      <c r="D449" s="32">
        <v>297.94099999999997</v>
      </c>
      <c r="E449" s="38">
        <v>729.47900000000004</v>
      </c>
      <c r="F449" s="32">
        <v>1150</v>
      </c>
      <c r="G449" s="32">
        <v>100</v>
      </c>
      <c r="H449" s="40">
        <v>600</v>
      </c>
      <c r="I449" s="32">
        <v>695</v>
      </c>
      <c r="J449" s="32">
        <v>50</v>
      </c>
      <c r="K449" s="33"/>
      <c r="L449" s="33"/>
      <c r="M449" s="33"/>
      <c r="N449" s="33"/>
      <c r="O449" s="33"/>
      <c r="P449" s="33"/>
      <c r="Q449" s="33"/>
      <c r="R449" s="33"/>
      <c r="S449" s="33"/>
      <c r="T449" s="33"/>
    </row>
    <row r="450" spans="1:20" ht="15.75">
      <c r="A450" s="13">
        <v>55609</v>
      </c>
      <c r="B450" s="41">
        <v>31</v>
      </c>
      <c r="C450" s="32">
        <v>122.58</v>
      </c>
      <c r="D450" s="32">
        <v>297.94099999999997</v>
      </c>
      <c r="E450" s="38">
        <v>729.47900000000004</v>
      </c>
      <c r="F450" s="32">
        <v>1150</v>
      </c>
      <c r="G450" s="32">
        <v>100</v>
      </c>
      <c r="H450" s="40">
        <v>600</v>
      </c>
      <c r="I450" s="32">
        <v>695</v>
      </c>
      <c r="J450" s="32">
        <v>50</v>
      </c>
      <c r="K450" s="33"/>
      <c r="L450" s="33"/>
      <c r="M450" s="33"/>
      <c r="N450" s="33"/>
      <c r="O450" s="33"/>
      <c r="P450" s="33"/>
      <c r="Q450" s="33"/>
      <c r="R450" s="33"/>
      <c r="S450" s="33"/>
      <c r="T450" s="33"/>
    </row>
    <row r="451" spans="1:20" ht="15.75">
      <c r="A451" s="13">
        <v>55639</v>
      </c>
      <c r="B451" s="41">
        <v>30</v>
      </c>
      <c r="C451" s="32">
        <v>141.29300000000001</v>
      </c>
      <c r="D451" s="32">
        <v>267.99299999999999</v>
      </c>
      <c r="E451" s="38">
        <v>829.71400000000006</v>
      </c>
      <c r="F451" s="32">
        <v>1239</v>
      </c>
      <c r="G451" s="32">
        <v>100</v>
      </c>
      <c r="H451" s="40">
        <v>600</v>
      </c>
      <c r="I451" s="32">
        <v>695</v>
      </c>
      <c r="J451" s="32">
        <v>50</v>
      </c>
      <c r="K451" s="33"/>
      <c r="L451" s="33"/>
      <c r="M451" s="33"/>
      <c r="N451" s="33"/>
      <c r="O451" s="33"/>
      <c r="P451" s="33"/>
      <c r="Q451" s="33"/>
      <c r="R451" s="33"/>
      <c r="S451" s="33"/>
      <c r="T451" s="33"/>
    </row>
    <row r="452" spans="1:20" ht="15.75">
      <c r="A452" s="13">
        <v>55670</v>
      </c>
      <c r="B452" s="41">
        <v>31</v>
      </c>
      <c r="C452" s="32">
        <v>194.20500000000001</v>
      </c>
      <c r="D452" s="32">
        <v>267.46600000000001</v>
      </c>
      <c r="E452" s="38">
        <v>812.32899999999995</v>
      </c>
      <c r="F452" s="32">
        <v>1274</v>
      </c>
      <c r="G452" s="32">
        <v>75</v>
      </c>
      <c r="H452" s="40">
        <v>600</v>
      </c>
      <c r="I452" s="32">
        <v>695</v>
      </c>
      <c r="J452" s="32">
        <v>50</v>
      </c>
      <c r="K452" s="33"/>
      <c r="L452" s="33"/>
      <c r="M452" s="33"/>
      <c r="N452" s="33"/>
      <c r="O452" s="33"/>
      <c r="P452" s="33"/>
      <c r="Q452" s="33"/>
      <c r="R452" s="33"/>
      <c r="S452" s="33"/>
      <c r="T452" s="33"/>
    </row>
    <row r="453" spans="1:20" ht="15.75">
      <c r="A453" s="13">
        <v>55700</v>
      </c>
      <c r="B453" s="41">
        <v>30</v>
      </c>
      <c r="C453" s="32">
        <v>194.20500000000001</v>
      </c>
      <c r="D453" s="32">
        <v>267.46600000000001</v>
      </c>
      <c r="E453" s="38">
        <v>812.32899999999995</v>
      </c>
      <c r="F453" s="32">
        <v>1274</v>
      </c>
      <c r="G453" s="32">
        <v>50</v>
      </c>
      <c r="H453" s="40">
        <v>600</v>
      </c>
      <c r="I453" s="32">
        <v>695</v>
      </c>
      <c r="J453" s="32">
        <v>50</v>
      </c>
      <c r="K453" s="33"/>
      <c r="L453" s="33"/>
      <c r="M453" s="33"/>
      <c r="N453" s="33"/>
      <c r="O453" s="33"/>
      <c r="P453" s="33"/>
      <c r="Q453" s="33"/>
      <c r="R453" s="33"/>
      <c r="S453" s="33"/>
      <c r="T453" s="33"/>
    </row>
    <row r="454" spans="1:20" ht="15.75">
      <c r="A454" s="13">
        <v>55731</v>
      </c>
      <c r="B454" s="41">
        <v>31</v>
      </c>
      <c r="C454" s="32">
        <v>194.20500000000001</v>
      </c>
      <c r="D454" s="32">
        <v>267.46600000000001</v>
      </c>
      <c r="E454" s="38">
        <v>812.32899999999995</v>
      </c>
      <c r="F454" s="32">
        <v>1274</v>
      </c>
      <c r="G454" s="32">
        <v>50</v>
      </c>
      <c r="H454" s="40">
        <v>600</v>
      </c>
      <c r="I454" s="32">
        <v>695</v>
      </c>
      <c r="J454" s="32">
        <v>0</v>
      </c>
      <c r="K454" s="33"/>
      <c r="L454" s="33"/>
      <c r="M454" s="33"/>
      <c r="N454" s="33"/>
      <c r="O454" s="33"/>
      <c r="P454" s="33"/>
      <c r="Q454" s="33"/>
      <c r="R454" s="33"/>
      <c r="S454" s="33"/>
      <c r="T454" s="33"/>
    </row>
    <row r="455" spans="1:20" ht="15.75">
      <c r="A455" s="13">
        <v>55762</v>
      </c>
      <c r="B455" s="41">
        <v>31</v>
      </c>
      <c r="C455" s="32">
        <v>194.20500000000001</v>
      </c>
      <c r="D455" s="32">
        <v>267.46600000000001</v>
      </c>
      <c r="E455" s="38">
        <v>812.32899999999995</v>
      </c>
      <c r="F455" s="32">
        <v>1274</v>
      </c>
      <c r="G455" s="32">
        <v>50</v>
      </c>
      <c r="H455" s="40">
        <v>600</v>
      </c>
      <c r="I455" s="32">
        <v>695</v>
      </c>
      <c r="J455" s="32">
        <v>0</v>
      </c>
      <c r="K455" s="33"/>
      <c r="L455" s="33"/>
      <c r="M455" s="33"/>
      <c r="N455" s="33"/>
      <c r="O455" s="33"/>
      <c r="P455" s="33"/>
      <c r="Q455" s="33"/>
      <c r="R455" s="33"/>
      <c r="S455" s="33"/>
      <c r="T455" s="33"/>
    </row>
    <row r="456" spans="1:20" ht="15.75">
      <c r="A456" s="13">
        <v>55792</v>
      </c>
      <c r="B456" s="41">
        <v>30</v>
      </c>
      <c r="C456" s="32">
        <v>194.20500000000001</v>
      </c>
      <c r="D456" s="32">
        <v>267.46600000000001</v>
      </c>
      <c r="E456" s="38">
        <v>812.32899999999995</v>
      </c>
      <c r="F456" s="32">
        <v>1274</v>
      </c>
      <c r="G456" s="32">
        <v>50</v>
      </c>
      <c r="H456" s="40">
        <v>600</v>
      </c>
      <c r="I456" s="32">
        <v>695</v>
      </c>
      <c r="J456" s="32">
        <v>0</v>
      </c>
      <c r="K456" s="33"/>
      <c r="L456" s="33"/>
      <c r="M456" s="33"/>
      <c r="N456" s="33"/>
      <c r="O456" s="33"/>
      <c r="P456" s="33"/>
      <c r="Q456" s="33"/>
      <c r="R456" s="33"/>
      <c r="S456" s="33"/>
      <c r="T456" s="33"/>
    </row>
    <row r="457" spans="1:20" ht="15.75">
      <c r="A457" s="13">
        <v>55823</v>
      </c>
      <c r="B457" s="41">
        <v>31</v>
      </c>
      <c r="C457" s="32">
        <v>131.881</v>
      </c>
      <c r="D457" s="32">
        <v>277.16699999999997</v>
      </c>
      <c r="E457" s="38">
        <v>829.952</v>
      </c>
      <c r="F457" s="32">
        <v>1239</v>
      </c>
      <c r="G457" s="32">
        <v>75</v>
      </c>
      <c r="H457" s="40">
        <v>600</v>
      </c>
      <c r="I457" s="32">
        <v>695</v>
      </c>
      <c r="J457" s="32">
        <v>0</v>
      </c>
      <c r="K457" s="33"/>
      <c r="L457" s="33"/>
      <c r="M457" s="33"/>
      <c r="N457" s="33"/>
      <c r="O457" s="33"/>
      <c r="P457" s="33"/>
      <c r="Q457" s="33"/>
      <c r="R457" s="33"/>
      <c r="S457" s="33"/>
      <c r="T457" s="33"/>
    </row>
    <row r="458" spans="1:20" ht="15.75">
      <c r="A458" s="13">
        <v>55853</v>
      </c>
      <c r="B458" s="41">
        <v>30</v>
      </c>
      <c r="C458" s="32">
        <v>122.58</v>
      </c>
      <c r="D458" s="32">
        <v>297.94099999999997</v>
      </c>
      <c r="E458" s="38">
        <v>729.47900000000004</v>
      </c>
      <c r="F458" s="32">
        <v>1150</v>
      </c>
      <c r="G458" s="32">
        <v>100</v>
      </c>
      <c r="H458" s="40">
        <v>600</v>
      </c>
      <c r="I458" s="32">
        <v>695</v>
      </c>
      <c r="J458" s="32">
        <v>50</v>
      </c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ht="15.75">
      <c r="A459" s="13">
        <v>55884</v>
      </c>
      <c r="B459" s="41">
        <v>31</v>
      </c>
      <c r="C459" s="32">
        <v>122.58</v>
      </c>
      <c r="D459" s="32">
        <v>297.94099999999997</v>
      </c>
      <c r="E459" s="38">
        <v>729.47900000000004</v>
      </c>
      <c r="F459" s="32">
        <v>1150</v>
      </c>
      <c r="G459" s="32">
        <v>100</v>
      </c>
      <c r="H459" s="40">
        <v>600</v>
      </c>
      <c r="I459" s="32">
        <v>695</v>
      </c>
      <c r="J459" s="32">
        <v>50</v>
      </c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ht="15.75">
      <c r="A460" s="13">
        <v>55915</v>
      </c>
      <c r="B460" s="41">
        <v>31</v>
      </c>
      <c r="C460" s="32">
        <v>122.58</v>
      </c>
      <c r="D460" s="32">
        <v>297.94099999999997</v>
      </c>
      <c r="E460" s="38">
        <v>729.47900000000004</v>
      </c>
      <c r="F460" s="32">
        <v>1150</v>
      </c>
      <c r="G460" s="32">
        <v>100</v>
      </c>
      <c r="H460" s="40">
        <v>600</v>
      </c>
      <c r="I460" s="32">
        <v>695</v>
      </c>
      <c r="J460" s="32">
        <v>50</v>
      </c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ht="15.75">
      <c r="A461" s="13">
        <v>55943</v>
      </c>
      <c r="B461" s="41">
        <v>28</v>
      </c>
      <c r="C461" s="32">
        <v>122.58</v>
      </c>
      <c r="D461" s="32">
        <v>297.94099999999997</v>
      </c>
      <c r="E461" s="38">
        <v>729.47900000000004</v>
      </c>
      <c r="F461" s="32">
        <v>1150</v>
      </c>
      <c r="G461" s="32">
        <v>100</v>
      </c>
      <c r="H461" s="40">
        <v>600</v>
      </c>
      <c r="I461" s="32">
        <v>695</v>
      </c>
      <c r="J461" s="32">
        <v>50</v>
      </c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ht="15.75">
      <c r="A462" s="13">
        <v>55974</v>
      </c>
      <c r="B462" s="41">
        <v>31</v>
      </c>
      <c r="C462" s="32">
        <v>122.58</v>
      </c>
      <c r="D462" s="32">
        <v>297.94099999999997</v>
      </c>
      <c r="E462" s="38">
        <v>729.47900000000004</v>
      </c>
      <c r="F462" s="32">
        <v>1150</v>
      </c>
      <c r="G462" s="32">
        <v>100</v>
      </c>
      <c r="H462" s="40">
        <v>600</v>
      </c>
      <c r="I462" s="32">
        <v>695</v>
      </c>
      <c r="J462" s="32">
        <v>50</v>
      </c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15.75">
      <c r="A463" s="13">
        <v>56004</v>
      </c>
      <c r="B463" s="41">
        <v>30</v>
      </c>
      <c r="C463" s="32">
        <v>141.29300000000001</v>
      </c>
      <c r="D463" s="32">
        <v>267.99299999999999</v>
      </c>
      <c r="E463" s="38">
        <v>829.71400000000006</v>
      </c>
      <c r="F463" s="32">
        <v>1239</v>
      </c>
      <c r="G463" s="32">
        <v>100</v>
      </c>
      <c r="H463" s="40">
        <v>600</v>
      </c>
      <c r="I463" s="32">
        <v>695</v>
      </c>
      <c r="J463" s="32">
        <v>50</v>
      </c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ht="15.75">
      <c r="A464" s="13">
        <v>56035</v>
      </c>
      <c r="B464" s="41">
        <v>31</v>
      </c>
      <c r="C464" s="32">
        <v>194.20500000000001</v>
      </c>
      <c r="D464" s="32">
        <v>267.46600000000001</v>
      </c>
      <c r="E464" s="38">
        <v>812.32899999999995</v>
      </c>
      <c r="F464" s="32">
        <v>1274</v>
      </c>
      <c r="G464" s="32">
        <v>75</v>
      </c>
      <c r="H464" s="40">
        <v>600</v>
      </c>
      <c r="I464" s="32">
        <v>695</v>
      </c>
      <c r="J464" s="32">
        <v>50</v>
      </c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ht="15.75">
      <c r="A465" s="13">
        <v>56065</v>
      </c>
      <c r="B465" s="41">
        <v>30</v>
      </c>
      <c r="C465" s="32">
        <v>194.20500000000001</v>
      </c>
      <c r="D465" s="32">
        <v>267.46600000000001</v>
      </c>
      <c r="E465" s="38">
        <v>812.32899999999995</v>
      </c>
      <c r="F465" s="32">
        <v>1274</v>
      </c>
      <c r="G465" s="32">
        <v>50</v>
      </c>
      <c r="H465" s="40">
        <v>600</v>
      </c>
      <c r="I465" s="32">
        <v>695</v>
      </c>
      <c r="J465" s="32">
        <v>50</v>
      </c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ht="15.75">
      <c r="A466" s="13">
        <v>56096</v>
      </c>
      <c r="B466" s="41">
        <v>31</v>
      </c>
      <c r="C466" s="32">
        <v>194.20500000000001</v>
      </c>
      <c r="D466" s="32">
        <v>267.46600000000001</v>
      </c>
      <c r="E466" s="38">
        <v>812.32899999999995</v>
      </c>
      <c r="F466" s="32">
        <v>1274</v>
      </c>
      <c r="G466" s="32">
        <v>50</v>
      </c>
      <c r="H466" s="40">
        <v>600</v>
      </c>
      <c r="I466" s="32">
        <v>695</v>
      </c>
      <c r="J466" s="32">
        <v>0</v>
      </c>
      <c r="K466" s="33"/>
      <c r="L466" s="33"/>
      <c r="M466" s="33"/>
      <c r="N466" s="33"/>
      <c r="O466" s="33"/>
      <c r="P466" s="33"/>
      <c r="Q466" s="33"/>
      <c r="R466" s="33"/>
      <c r="S466" s="33"/>
      <c r="T466" s="33"/>
    </row>
    <row r="467" spans="1:20" ht="15.75">
      <c r="A467" s="13">
        <v>56127</v>
      </c>
      <c r="B467" s="41">
        <v>31</v>
      </c>
      <c r="C467" s="32">
        <v>194.20500000000001</v>
      </c>
      <c r="D467" s="32">
        <v>267.46600000000001</v>
      </c>
      <c r="E467" s="38">
        <v>812.32899999999995</v>
      </c>
      <c r="F467" s="32">
        <v>1274</v>
      </c>
      <c r="G467" s="32">
        <v>50</v>
      </c>
      <c r="H467" s="40">
        <v>600</v>
      </c>
      <c r="I467" s="32">
        <v>695</v>
      </c>
      <c r="J467" s="32">
        <v>0</v>
      </c>
      <c r="K467" s="33"/>
      <c r="L467" s="33"/>
      <c r="M467" s="33"/>
      <c r="N467" s="33"/>
      <c r="O467" s="33"/>
      <c r="P467" s="33"/>
      <c r="Q467" s="33"/>
      <c r="R467" s="33"/>
      <c r="S467" s="33"/>
      <c r="T467" s="33"/>
    </row>
    <row r="468" spans="1:20" ht="15.75">
      <c r="A468" s="13">
        <v>56157</v>
      </c>
      <c r="B468" s="41">
        <v>30</v>
      </c>
      <c r="C468" s="32">
        <v>194.20500000000001</v>
      </c>
      <c r="D468" s="32">
        <v>267.46600000000001</v>
      </c>
      <c r="E468" s="38">
        <v>812.32899999999995</v>
      </c>
      <c r="F468" s="32">
        <v>1274</v>
      </c>
      <c r="G468" s="32">
        <v>50</v>
      </c>
      <c r="H468" s="40">
        <v>600</v>
      </c>
      <c r="I468" s="32">
        <v>695</v>
      </c>
      <c r="J468" s="32">
        <v>0</v>
      </c>
      <c r="K468" s="33"/>
      <c r="L468" s="33"/>
      <c r="M468" s="33"/>
      <c r="N468" s="33"/>
      <c r="O468" s="33"/>
      <c r="P468" s="33"/>
      <c r="Q468" s="33"/>
      <c r="R468" s="33"/>
      <c r="S468" s="33"/>
      <c r="T468" s="33"/>
    </row>
    <row r="469" spans="1:20" ht="15.75">
      <c r="A469" s="13">
        <v>56188</v>
      </c>
      <c r="B469" s="41">
        <v>31</v>
      </c>
      <c r="C469" s="32">
        <v>131.881</v>
      </c>
      <c r="D469" s="32">
        <v>277.16699999999997</v>
      </c>
      <c r="E469" s="38">
        <v>829.952</v>
      </c>
      <c r="F469" s="32">
        <v>1239</v>
      </c>
      <c r="G469" s="32">
        <v>75</v>
      </c>
      <c r="H469" s="40">
        <v>600</v>
      </c>
      <c r="I469" s="32">
        <v>695</v>
      </c>
      <c r="J469" s="32">
        <v>0</v>
      </c>
      <c r="K469" s="33"/>
      <c r="L469" s="33"/>
      <c r="M469" s="33"/>
      <c r="N469" s="33"/>
      <c r="O469" s="33"/>
      <c r="P469" s="33"/>
      <c r="Q469" s="33"/>
      <c r="R469" s="33"/>
      <c r="S469" s="33"/>
      <c r="T469" s="33"/>
    </row>
    <row r="470" spans="1:20" ht="15.75">
      <c r="A470" s="13">
        <v>56218</v>
      </c>
      <c r="B470" s="41">
        <v>30</v>
      </c>
      <c r="C470" s="32">
        <v>122.58</v>
      </c>
      <c r="D470" s="32">
        <v>297.94099999999997</v>
      </c>
      <c r="E470" s="38">
        <v>729.47900000000004</v>
      </c>
      <c r="F470" s="32">
        <v>1150</v>
      </c>
      <c r="G470" s="32">
        <v>100</v>
      </c>
      <c r="H470" s="40">
        <v>600</v>
      </c>
      <c r="I470" s="32">
        <v>695</v>
      </c>
      <c r="J470" s="32">
        <v>50</v>
      </c>
      <c r="K470" s="33"/>
      <c r="L470" s="33"/>
      <c r="M470" s="33"/>
      <c r="N470" s="33"/>
      <c r="O470" s="33"/>
      <c r="P470" s="33"/>
      <c r="Q470" s="33"/>
      <c r="R470" s="33"/>
      <c r="S470" s="33"/>
      <c r="T470" s="33"/>
    </row>
    <row r="471" spans="1:20" ht="15.75">
      <c r="A471" s="13">
        <v>56249</v>
      </c>
      <c r="B471" s="41">
        <v>31</v>
      </c>
      <c r="C471" s="32">
        <v>122.58</v>
      </c>
      <c r="D471" s="32">
        <v>297.94099999999997</v>
      </c>
      <c r="E471" s="38">
        <v>729.47900000000004</v>
      </c>
      <c r="F471" s="32">
        <v>1150</v>
      </c>
      <c r="G471" s="32">
        <v>100</v>
      </c>
      <c r="H471" s="40">
        <v>600</v>
      </c>
      <c r="I471" s="32">
        <v>695</v>
      </c>
      <c r="J471" s="32">
        <v>50</v>
      </c>
      <c r="K471" s="33"/>
      <c r="L471" s="33"/>
      <c r="M471" s="33"/>
      <c r="N471" s="33"/>
      <c r="O471" s="33"/>
      <c r="P471" s="33"/>
      <c r="Q471" s="33"/>
      <c r="R471" s="33"/>
      <c r="S471" s="33"/>
      <c r="T471" s="33"/>
    </row>
    <row r="472" spans="1:20" ht="15.75">
      <c r="A472" s="13">
        <v>56280</v>
      </c>
      <c r="B472" s="41">
        <v>31</v>
      </c>
      <c r="C472" s="32">
        <v>122.58</v>
      </c>
      <c r="D472" s="32">
        <v>297.94099999999997</v>
      </c>
      <c r="E472" s="38">
        <v>729.47900000000004</v>
      </c>
      <c r="F472" s="32">
        <v>1150</v>
      </c>
      <c r="G472" s="32">
        <v>100</v>
      </c>
      <c r="H472" s="40">
        <v>600</v>
      </c>
      <c r="I472" s="32">
        <v>695</v>
      </c>
      <c r="J472" s="32">
        <v>50</v>
      </c>
      <c r="K472" s="33"/>
      <c r="L472" s="33"/>
      <c r="M472" s="33"/>
      <c r="N472" s="33"/>
      <c r="O472" s="33"/>
      <c r="P472" s="33"/>
      <c r="Q472" s="33"/>
      <c r="R472" s="33"/>
      <c r="S472" s="33"/>
      <c r="T472" s="33"/>
    </row>
    <row r="473" spans="1:20" ht="15.75">
      <c r="A473" s="13">
        <v>56308</v>
      </c>
      <c r="B473" s="41">
        <v>28</v>
      </c>
      <c r="C473" s="32">
        <v>122.58</v>
      </c>
      <c r="D473" s="32">
        <v>297.94099999999997</v>
      </c>
      <c r="E473" s="38">
        <v>729.47900000000004</v>
      </c>
      <c r="F473" s="32">
        <v>1150</v>
      </c>
      <c r="G473" s="32">
        <v>100</v>
      </c>
      <c r="H473" s="40">
        <v>600</v>
      </c>
      <c r="I473" s="32">
        <v>695</v>
      </c>
      <c r="J473" s="32">
        <v>50</v>
      </c>
      <c r="K473" s="33"/>
      <c r="L473" s="33"/>
      <c r="M473" s="33"/>
      <c r="N473" s="33"/>
      <c r="O473" s="33"/>
      <c r="P473" s="33"/>
      <c r="Q473" s="33"/>
      <c r="R473" s="33"/>
      <c r="S473" s="33"/>
      <c r="T473" s="33"/>
    </row>
    <row r="474" spans="1:20" ht="15.75">
      <c r="A474" s="13">
        <v>56339</v>
      </c>
      <c r="B474" s="41">
        <v>31</v>
      </c>
      <c r="C474" s="32">
        <v>122.58</v>
      </c>
      <c r="D474" s="32">
        <v>297.94099999999997</v>
      </c>
      <c r="E474" s="38">
        <v>729.47900000000004</v>
      </c>
      <c r="F474" s="32">
        <v>1150</v>
      </c>
      <c r="G474" s="32">
        <v>100</v>
      </c>
      <c r="H474" s="40">
        <v>600</v>
      </c>
      <c r="I474" s="32">
        <v>695</v>
      </c>
      <c r="J474" s="32">
        <v>50</v>
      </c>
      <c r="K474" s="33"/>
      <c r="L474" s="33"/>
      <c r="M474" s="33"/>
      <c r="N474" s="33"/>
      <c r="O474" s="33"/>
      <c r="P474" s="33"/>
      <c r="Q474" s="33"/>
      <c r="R474" s="33"/>
      <c r="S474" s="33"/>
      <c r="T474" s="33"/>
    </row>
    <row r="475" spans="1:20" ht="15.75">
      <c r="A475" s="13">
        <v>56369</v>
      </c>
      <c r="B475" s="41">
        <v>30</v>
      </c>
      <c r="C475" s="32">
        <v>141.29300000000001</v>
      </c>
      <c r="D475" s="32">
        <v>267.99299999999999</v>
      </c>
      <c r="E475" s="38">
        <v>829.71400000000006</v>
      </c>
      <c r="F475" s="32">
        <v>1239</v>
      </c>
      <c r="G475" s="32">
        <v>100</v>
      </c>
      <c r="H475" s="40">
        <v>600</v>
      </c>
      <c r="I475" s="32">
        <v>695</v>
      </c>
      <c r="J475" s="32">
        <v>50</v>
      </c>
      <c r="K475" s="33"/>
      <c r="L475" s="33"/>
      <c r="M475" s="33"/>
      <c r="N475" s="33"/>
      <c r="O475" s="33"/>
      <c r="P475" s="33"/>
      <c r="Q475" s="33"/>
      <c r="R475" s="33"/>
      <c r="S475" s="33"/>
      <c r="T475" s="33"/>
    </row>
    <row r="476" spans="1:20" ht="15.75">
      <c r="A476" s="13">
        <v>56400</v>
      </c>
      <c r="B476" s="41">
        <v>31</v>
      </c>
      <c r="C476" s="32">
        <v>194.20500000000001</v>
      </c>
      <c r="D476" s="32">
        <v>267.46600000000001</v>
      </c>
      <c r="E476" s="38">
        <v>812.32899999999995</v>
      </c>
      <c r="F476" s="32">
        <v>1274</v>
      </c>
      <c r="G476" s="32">
        <v>75</v>
      </c>
      <c r="H476" s="40">
        <v>600</v>
      </c>
      <c r="I476" s="32">
        <v>695</v>
      </c>
      <c r="J476" s="32">
        <v>50</v>
      </c>
      <c r="K476" s="33"/>
      <c r="L476" s="33"/>
      <c r="M476" s="33"/>
      <c r="N476" s="33"/>
      <c r="O476" s="33"/>
      <c r="P476" s="33"/>
      <c r="Q476" s="33"/>
      <c r="R476" s="33"/>
      <c r="S476" s="33"/>
      <c r="T476" s="33"/>
    </row>
    <row r="477" spans="1:20" ht="15.75">
      <c r="A477" s="13">
        <v>56430</v>
      </c>
      <c r="B477" s="41">
        <v>30</v>
      </c>
      <c r="C477" s="32">
        <v>194.20500000000001</v>
      </c>
      <c r="D477" s="32">
        <v>267.46600000000001</v>
      </c>
      <c r="E477" s="38">
        <v>812.32899999999995</v>
      </c>
      <c r="F477" s="32">
        <v>1274</v>
      </c>
      <c r="G477" s="32">
        <v>50</v>
      </c>
      <c r="H477" s="40">
        <v>600</v>
      </c>
      <c r="I477" s="32">
        <v>695</v>
      </c>
      <c r="J477" s="32">
        <v>50</v>
      </c>
      <c r="K477" s="33"/>
      <c r="L477" s="33"/>
      <c r="M477" s="33"/>
      <c r="N477" s="33"/>
      <c r="O477" s="33"/>
      <c r="P477" s="33"/>
      <c r="Q477" s="33"/>
      <c r="R477" s="33"/>
      <c r="S477" s="33"/>
      <c r="T477" s="33"/>
    </row>
    <row r="478" spans="1:20" ht="15.75">
      <c r="A478" s="13">
        <v>56461</v>
      </c>
      <c r="B478" s="41">
        <v>31</v>
      </c>
      <c r="C478" s="32">
        <v>194.20500000000001</v>
      </c>
      <c r="D478" s="32">
        <v>267.46600000000001</v>
      </c>
      <c r="E478" s="38">
        <v>812.32899999999995</v>
      </c>
      <c r="F478" s="32">
        <v>1274</v>
      </c>
      <c r="G478" s="32">
        <v>50</v>
      </c>
      <c r="H478" s="40">
        <v>600</v>
      </c>
      <c r="I478" s="32">
        <v>695</v>
      </c>
      <c r="J478" s="32">
        <v>0</v>
      </c>
      <c r="K478" s="33"/>
      <c r="L478" s="33"/>
      <c r="M478" s="33"/>
      <c r="N478" s="33"/>
      <c r="O478" s="33"/>
      <c r="P478" s="33"/>
      <c r="Q478" s="33"/>
      <c r="R478" s="33"/>
      <c r="S478" s="33"/>
      <c r="T478" s="33"/>
    </row>
    <row r="479" spans="1:20" ht="15.75">
      <c r="A479" s="13">
        <v>56492</v>
      </c>
      <c r="B479" s="41">
        <v>31</v>
      </c>
      <c r="C479" s="32">
        <v>194.20500000000001</v>
      </c>
      <c r="D479" s="32">
        <v>267.46600000000001</v>
      </c>
      <c r="E479" s="38">
        <v>812.32899999999995</v>
      </c>
      <c r="F479" s="32">
        <v>1274</v>
      </c>
      <c r="G479" s="32">
        <v>50</v>
      </c>
      <c r="H479" s="40">
        <v>600</v>
      </c>
      <c r="I479" s="32">
        <v>695</v>
      </c>
      <c r="J479" s="32">
        <v>0</v>
      </c>
      <c r="K479" s="33"/>
      <c r="L479" s="33"/>
      <c r="M479" s="33"/>
      <c r="N479" s="33"/>
      <c r="O479" s="33"/>
      <c r="P479" s="33"/>
      <c r="Q479" s="33"/>
      <c r="R479" s="33"/>
      <c r="S479" s="33"/>
      <c r="T479" s="33"/>
    </row>
    <row r="480" spans="1:20" ht="15.75">
      <c r="A480" s="13">
        <v>56522</v>
      </c>
      <c r="B480" s="41">
        <v>30</v>
      </c>
      <c r="C480" s="32">
        <v>194.20500000000001</v>
      </c>
      <c r="D480" s="32">
        <v>267.46600000000001</v>
      </c>
      <c r="E480" s="38">
        <v>812.32899999999995</v>
      </c>
      <c r="F480" s="32">
        <v>1274</v>
      </c>
      <c r="G480" s="32">
        <v>50</v>
      </c>
      <c r="H480" s="40">
        <v>600</v>
      </c>
      <c r="I480" s="32">
        <v>695</v>
      </c>
      <c r="J480" s="32">
        <v>0</v>
      </c>
      <c r="K480" s="33"/>
      <c r="L480" s="33"/>
      <c r="M480" s="33"/>
      <c r="N480" s="33"/>
      <c r="O480" s="33"/>
      <c r="P480" s="33"/>
      <c r="Q480" s="33"/>
      <c r="R480" s="33"/>
      <c r="S480" s="33"/>
      <c r="T480" s="33"/>
    </row>
    <row r="481" spans="1:20" ht="15.75">
      <c r="A481" s="13">
        <v>56553</v>
      </c>
      <c r="B481" s="41">
        <v>31</v>
      </c>
      <c r="C481" s="32">
        <v>131.881</v>
      </c>
      <c r="D481" s="32">
        <v>277.16699999999997</v>
      </c>
      <c r="E481" s="38">
        <v>829.952</v>
      </c>
      <c r="F481" s="32">
        <v>1239</v>
      </c>
      <c r="G481" s="32">
        <v>75</v>
      </c>
      <c r="H481" s="40">
        <v>600</v>
      </c>
      <c r="I481" s="32">
        <v>695</v>
      </c>
      <c r="J481" s="32">
        <v>0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</row>
    <row r="482" spans="1:20" ht="15.75">
      <c r="A482" s="13">
        <v>56583</v>
      </c>
      <c r="B482" s="41">
        <v>30</v>
      </c>
      <c r="C482" s="32">
        <v>122.58</v>
      </c>
      <c r="D482" s="32">
        <v>297.94099999999997</v>
      </c>
      <c r="E482" s="38">
        <v>729.47900000000004</v>
      </c>
      <c r="F482" s="32">
        <v>1150</v>
      </c>
      <c r="G482" s="32">
        <v>100</v>
      </c>
      <c r="H482" s="40">
        <v>600</v>
      </c>
      <c r="I482" s="32">
        <v>695</v>
      </c>
      <c r="J482" s="32">
        <v>50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</row>
    <row r="483" spans="1:20" ht="15.75">
      <c r="A483" s="13">
        <v>56614</v>
      </c>
      <c r="B483" s="41">
        <v>31</v>
      </c>
      <c r="C483" s="32">
        <v>122.58</v>
      </c>
      <c r="D483" s="32">
        <v>297.94099999999997</v>
      </c>
      <c r="E483" s="38">
        <v>729.47900000000004</v>
      </c>
      <c r="F483" s="32">
        <v>1150</v>
      </c>
      <c r="G483" s="32">
        <v>100</v>
      </c>
      <c r="H483" s="40">
        <v>600</v>
      </c>
      <c r="I483" s="32">
        <v>695</v>
      </c>
      <c r="J483" s="32">
        <v>50</v>
      </c>
      <c r="K483" s="33"/>
      <c r="L483" s="33"/>
      <c r="M483" s="33"/>
      <c r="N483" s="33"/>
      <c r="O483" s="33"/>
      <c r="P483" s="33"/>
      <c r="Q483" s="33"/>
      <c r="R483" s="33"/>
      <c r="S483" s="33"/>
      <c r="T483" s="33"/>
    </row>
    <row r="484" spans="1:20" ht="15.75">
      <c r="A484" s="13">
        <v>56645</v>
      </c>
      <c r="B484" s="41">
        <v>31</v>
      </c>
      <c r="C484" s="32">
        <v>122.58</v>
      </c>
      <c r="D484" s="32">
        <v>297.94099999999997</v>
      </c>
      <c r="E484" s="38">
        <v>729.47900000000004</v>
      </c>
      <c r="F484" s="32">
        <v>1150</v>
      </c>
      <c r="G484" s="32">
        <v>100</v>
      </c>
      <c r="H484" s="40">
        <v>600</v>
      </c>
      <c r="I484" s="32">
        <v>695</v>
      </c>
      <c r="J484" s="32">
        <v>50</v>
      </c>
      <c r="K484" s="33"/>
      <c r="L484" s="33"/>
      <c r="M484" s="33"/>
      <c r="N484" s="33"/>
      <c r="O484" s="33"/>
      <c r="P484" s="33"/>
      <c r="Q484" s="33"/>
      <c r="R484" s="33"/>
      <c r="S484" s="33"/>
      <c r="T484" s="33"/>
    </row>
    <row r="485" spans="1:20" ht="15.75">
      <c r="A485" s="13">
        <v>56673</v>
      </c>
      <c r="B485" s="41">
        <v>28</v>
      </c>
      <c r="C485" s="32">
        <v>122.58</v>
      </c>
      <c r="D485" s="32">
        <v>297.94099999999997</v>
      </c>
      <c r="E485" s="38">
        <v>729.47900000000004</v>
      </c>
      <c r="F485" s="32">
        <v>1150</v>
      </c>
      <c r="G485" s="32">
        <v>100</v>
      </c>
      <c r="H485" s="40">
        <v>600</v>
      </c>
      <c r="I485" s="32">
        <v>695</v>
      </c>
      <c r="J485" s="32">
        <v>50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</row>
    <row r="486" spans="1:20" ht="15.75">
      <c r="A486" s="13">
        <v>56704</v>
      </c>
      <c r="B486" s="41">
        <v>31</v>
      </c>
      <c r="C486" s="32">
        <v>122.58</v>
      </c>
      <c r="D486" s="32">
        <v>297.94099999999997</v>
      </c>
      <c r="E486" s="38">
        <v>729.47900000000004</v>
      </c>
      <c r="F486" s="32">
        <v>1150</v>
      </c>
      <c r="G486" s="32">
        <v>100</v>
      </c>
      <c r="H486" s="40">
        <v>600</v>
      </c>
      <c r="I486" s="32">
        <v>695</v>
      </c>
      <c r="J486" s="32">
        <v>50</v>
      </c>
      <c r="K486" s="33"/>
      <c r="L486" s="33"/>
      <c r="M486" s="33"/>
      <c r="N486" s="33"/>
      <c r="O486" s="33"/>
      <c r="P486" s="33"/>
      <c r="Q486" s="33"/>
      <c r="R486" s="33"/>
      <c r="S486" s="33"/>
      <c r="T486" s="33"/>
    </row>
    <row r="487" spans="1:20" ht="15.75">
      <c r="A487" s="13">
        <v>56734</v>
      </c>
      <c r="B487" s="41">
        <v>30</v>
      </c>
      <c r="C487" s="32">
        <v>141.29300000000001</v>
      </c>
      <c r="D487" s="32">
        <v>267.99299999999999</v>
      </c>
      <c r="E487" s="38">
        <v>829.71400000000006</v>
      </c>
      <c r="F487" s="32">
        <v>1239</v>
      </c>
      <c r="G487" s="32">
        <v>100</v>
      </c>
      <c r="H487" s="40">
        <v>600</v>
      </c>
      <c r="I487" s="32">
        <v>695</v>
      </c>
      <c r="J487" s="32">
        <v>50</v>
      </c>
      <c r="K487" s="33"/>
      <c r="L487" s="33"/>
      <c r="M487" s="33"/>
      <c r="N487" s="33"/>
      <c r="O487" s="33"/>
      <c r="P487" s="33"/>
      <c r="Q487" s="33"/>
      <c r="R487" s="33"/>
      <c r="S487" s="33"/>
      <c r="T487" s="33"/>
    </row>
    <row r="488" spans="1:20" ht="15.75">
      <c r="A488" s="13">
        <v>56765</v>
      </c>
      <c r="B488" s="41">
        <v>31</v>
      </c>
      <c r="C488" s="32">
        <v>194.20500000000001</v>
      </c>
      <c r="D488" s="32">
        <v>267.46600000000001</v>
      </c>
      <c r="E488" s="38">
        <v>812.32899999999995</v>
      </c>
      <c r="F488" s="32">
        <v>1274</v>
      </c>
      <c r="G488" s="32">
        <v>75</v>
      </c>
      <c r="H488" s="40">
        <v>600</v>
      </c>
      <c r="I488" s="32">
        <v>695</v>
      </c>
      <c r="J488" s="32">
        <v>50</v>
      </c>
      <c r="K488" s="33"/>
      <c r="L488" s="33"/>
      <c r="M488" s="33"/>
      <c r="N488" s="33"/>
      <c r="O488" s="33"/>
      <c r="P488" s="33"/>
      <c r="Q488" s="33"/>
      <c r="R488" s="33"/>
      <c r="S488" s="33"/>
      <c r="T488" s="33"/>
    </row>
    <row r="489" spans="1:20" ht="15.75">
      <c r="A489" s="13">
        <v>56795</v>
      </c>
      <c r="B489" s="41">
        <v>30</v>
      </c>
      <c r="C489" s="32">
        <v>194.20500000000001</v>
      </c>
      <c r="D489" s="32">
        <v>267.46600000000001</v>
      </c>
      <c r="E489" s="38">
        <v>812.32899999999995</v>
      </c>
      <c r="F489" s="32">
        <v>1274</v>
      </c>
      <c r="G489" s="32">
        <v>50</v>
      </c>
      <c r="H489" s="40">
        <v>600</v>
      </c>
      <c r="I489" s="32">
        <v>695</v>
      </c>
      <c r="J489" s="32">
        <v>50</v>
      </c>
      <c r="K489" s="33"/>
      <c r="L489" s="33"/>
      <c r="M489" s="33"/>
      <c r="N489" s="33"/>
      <c r="O489" s="33"/>
      <c r="P489" s="33"/>
      <c r="Q489" s="33"/>
      <c r="R489" s="33"/>
      <c r="S489" s="33"/>
      <c r="T489" s="33"/>
    </row>
    <row r="490" spans="1:20" ht="15.75">
      <c r="A490" s="13">
        <v>56826</v>
      </c>
      <c r="B490" s="41">
        <v>31</v>
      </c>
      <c r="C490" s="32">
        <v>194.20500000000001</v>
      </c>
      <c r="D490" s="32">
        <v>267.46600000000001</v>
      </c>
      <c r="E490" s="38">
        <v>812.32899999999995</v>
      </c>
      <c r="F490" s="32">
        <v>1274</v>
      </c>
      <c r="G490" s="32">
        <v>50</v>
      </c>
      <c r="H490" s="40">
        <v>600</v>
      </c>
      <c r="I490" s="32">
        <v>695</v>
      </c>
      <c r="J490" s="32">
        <v>0</v>
      </c>
      <c r="K490" s="33"/>
      <c r="L490" s="33"/>
      <c r="M490" s="33"/>
      <c r="N490" s="33"/>
      <c r="O490" s="33"/>
      <c r="P490" s="33"/>
      <c r="Q490" s="33"/>
      <c r="R490" s="33"/>
      <c r="S490" s="33"/>
      <c r="T490" s="33"/>
    </row>
    <row r="491" spans="1:20" ht="15.75">
      <c r="A491" s="13">
        <v>56857</v>
      </c>
      <c r="B491" s="41">
        <v>31</v>
      </c>
      <c r="C491" s="32">
        <v>194.20500000000001</v>
      </c>
      <c r="D491" s="32">
        <v>267.46600000000001</v>
      </c>
      <c r="E491" s="38">
        <v>812.32899999999995</v>
      </c>
      <c r="F491" s="32">
        <v>1274</v>
      </c>
      <c r="G491" s="32">
        <v>50</v>
      </c>
      <c r="H491" s="40">
        <v>600</v>
      </c>
      <c r="I491" s="32">
        <v>695</v>
      </c>
      <c r="J491" s="32">
        <v>0</v>
      </c>
      <c r="K491" s="33"/>
      <c r="L491" s="33"/>
      <c r="M491" s="33"/>
      <c r="N491" s="33"/>
      <c r="O491" s="33"/>
      <c r="P491" s="33"/>
      <c r="Q491" s="33"/>
      <c r="R491" s="33"/>
      <c r="S491" s="33"/>
      <c r="T491" s="33"/>
    </row>
    <row r="492" spans="1:20" ht="15.75">
      <c r="A492" s="13">
        <v>56887</v>
      </c>
      <c r="B492" s="41">
        <v>30</v>
      </c>
      <c r="C492" s="32">
        <v>194.20500000000001</v>
      </c>
      <c r="D492" s="32">
        <v>267.46600000000001</v>
      </c>
      <c r="E492" s="38">
        <v>812.32899999999995</v>
      </c>
      <c r="F492" s="32">
        <v>1274</v>
      </c>
      <c r="G492" s="32">
        <v>50</v>
      </c>
      <c r="H492" s="40">
        <v>600</v>
      </c>
      <c r="I492" s="32">
        <v>695</v>
      </c>
      <c r="J492" s="32">
        <v>0</v>
      </c>
      <c r="K492" s="33"/>
      <c r="L492" s="33"/>
      <c r="M492" s="33"/>
      <c r="N492" s="33"/>
      <c r="O492" s="33"/>
      <c r="P492" s="33"/>
      <c r="Q492" s="33"/>
      <c r="R492" s="33"/>
      <c r="S492" s="33"/>
      <c r="T492" s="33"/>
    </row>
    <row r="493" spans="1:20" ht="15.75">
      <c r="A493" s="13">
        <v>56918</v>
      </c>
      <c r="B493" s="41">
        <v>31</v>
      </c>
      <c r="C493" s="32">
        <v>131.881</v>
      </c>
      <c r="D493" s="32">
        <v>277.16699999999997</v>
      </c>
      <c r="E493" s="38">
        <v>829.952</v>
      </c>
      <c r="F493" s="32">
        <v>1239</v>
      </c>
      <c r="G493" s="32">
        <v>75</v>
      </c>
      <c r="H493" s="40">
        <v>600</v>
      </c>
      <c r="I493" s="32">
        <v>695</v>
      </c>
      <c r="J493" s="32">
        <v>0</v>
      </c>
      <c r="K493" s="33"/>
      <c r="L493" s="33"/>
      <c r="M493" s="33"/>
      <c r="N493" s="33"/>
      <c r="O493" s="33"/>
      <c r="P493" s="33"/>
      <c r="Q493" s="33"/>
      <c r="R493" s="33"/>
      <c r="S493" s="33"/>
      <c r="T493" s="33"/>
    </row>
    <row r="494" spans="1:20" ht="15.75">
      <c r="A494" s="13">
        <v>56948</v>
      </c>
      <c r="B494" s="41">
        <v>30</v>
      </c>
      <c r="C494" s="32">
        <v>122.58</v>
      </c>
      <c r="D494" s="32">
        <v>297.94099999999997</v>
      </c>
      <c r="E494" s="38">
        <v>729.47900000000004</v>
      </c>
      <c r="F494" s="32">
        <v>1150</v>
      </c>
      <c r="G494" s="32">
        <v>100</v>
      </c>
      <c r="H494" s="40">
        <v>600</v>
      </c>
      <c r="I494" s="32">
        <v>695</v>
      </c>
      <c r="J494" s="32">
        <v>50</v>
      </c>
      <c r="K494" s="33"/>
      <c r="L494" s="33"/>
      <c r="M494" s="33"/>
      <c r="N494" s="33"/>
      <c r="O494" s="33"/>
      <c r="P494" s="33"/>
      <c r="Q494" s="33"/>
      <c r="R494" s="33"/>
      <c r="S494" s="33"/>
      <c r="T494" s="33"/>
    </row>
    <row r="495" spans="1:20" ht="15.75">
      <c r="A495" s="13">
        <v>56979</v>
      </c>
      <c r="B495" s="41">
        <v>31</v>
      </c>
      <c r="C495" s="32">
        <v>122.58</v>
      </c>
      <c r="D495" s="32">
        <v>297.94099999999997</v>
      </c>
      <c r="E495" s="38">
        <v>729.47900000000004</v>
      </c>
      <c r="F495" s="32">
        <v>1150</v>
      </c>
      <c r="G495" s="32">
        <v>100</v>
      </c>
      <c r="H495" s="40">
        <v>600</v>
      </c>
      <c r="I495" s="32">
        <v>695</v>
      </c>
      <c r="J495" s="32">
        <v>50</v>
      </c>
      <c r="K495" s="33"/>
      <c r="L495" s="33"/>
      <c r="M495" s="33"/>
      <c r="N495" s="33"/>
      <c r="O495" s="33"/>
      <c r="P495" s="33"/>
      <c r="Q495" s="33"/>
      <c r="R495" s="33"/>
      <c r="S495" s="33"/>
      <c r="T495" s="33"/>
    </row>
    <row r="496" spans="1:20" ht="15.75">
      <c r="A496" s="13">
        <v>57010</v>
      </c>
      <c r="B496" s="41">
        <v>31</v>
      </c>
      <c r="C496" s="32">
        <v>122.58</v>
      </c>
      <c r="D496" s="32">
        <v>297.94099999999997</v>
      </c>
      <c r="E496" s="38">
        <v>729.47900000000004</v>
      </c>
      <c r="F496" s="32">
        <v>1150</v>
      </c>
      <c r="G496" s="32">
        <v>100</v>
      </c>
      <c r="H496" s="40">
        <v>600</v>
      </c>
      <c r="I496" s="32">
        <v>695</v>
      </c>
      <c r="J496" s="32">
        <v>50</v>
      </c>
      <c r="K496" s="33"/>
      <c r="L496" s="33"/>
      <c r="M496" s="33"/>
      <c r="N496" s="33"/>
      <c r="O496" s="33"/>
      <c r="P496" s="33"/>
      <c r="Q496" s="33"/>
      <c r="R496" s="33"/>
      <c r="S496" s="33"/>
      <c r="T496" s="33"/>
    </row>
    <row r="497" spans="1:20" ht="15.75">
      <c r="A497" s="13">
        <v>57038</v>
      </c>
      <c r="B497" s="41">
        <v>29</v>
      </c>
      <c r="C497" s="32">
        <v>122.58</v>
      </c>
      <c r="D497" s="32">
        <v>297.94099999999997</v>
      </c>
      <c r="E497" s="38">
        <v>729.47900000000004</v>
      </c>
      <c r="F497" s="32">
        <v>1150</v>
      </c>
      <c r="G497" s="32">
        <v>100</v>
      </c>
      <c r="H497" s="40">
        <v>600</v>
      </c>
      <c r="I497" s="32">
        <v>695</v>
      </c>
      <c r="J497" s="32">
        <v>50</v>
      </c>
      <c r="K497" s="33"/>
      <c r="L497" s="33"/>
      <c r="M497" s="33"/>
      <c r="N497" s="33"/>
      <c r="O497" s="33"/>
      <c r="P497" s="33"/>
      <c r="Q497" s="33"/>
      <c r="R497" s="33"/>
      <c r="S497" s="33"/>
      <c r="T497" s="33"/>
    </row>
    <row r="498" spans="1:20" ht="15.75">
      <c r="A498" s="13">
        <v>57070</v>
      </c>
      <c r="B498" s="41">
        <v>31</v>
      </c>
      <c r="C498" s="32">
        <v>122.58</v>
      </c>
      <c r="D498" s="32">
        <v>297.94099999999997</v>
      </c>
      <c r="E498" s="38">
        <v>729.47900000000004</v>
      </c>
      <c r="F498" s="32">
        <v>1150</v>
      </c>
      <c r="G498" s="32">
        <v>100</v>
      </c>
      <c r="H498" s="40">
        <v>600</v>
      </c>
      <c r="I498" s="32">
        <v>695</v>
      </c>
      <c r="J498" s="32">
        <v>50</v>
      </c>
      <c r="K498" s="33"/>
      <c r="L498" s="33"/>
      <c r="M498" s="33"/>
      <c r="N498" s="33"/>
      <c r="O498" s="33"/>
      <c r="P498" s="33"/>
      <c r="Q498" s="33"/>
      <c r="R498" s="33"/>
      <c r="S498" s="33"/>
      <c r="T498" s="33"/>
    </row>
    <row r="499" spans="1:20" ht="15.75">
      <c r="A499" s="13">
        <v>57100</v>
      </c>
      <c r="B499" s="41">
        <v>30</v>
      </c>
      <c r="C499" s="32">
        <v>141.29300000000001</v>
      </c>
      <c r="D499" s="32">
        <v>267.99299999999999</v>
      </c>
      <c r="E499" s="38">
        <v>829.71400000000006</v>
      </c>
      <c r="F499" s="32">
        <v>1239</v>
      </c>
      <c r="G499" s="32">
        <v>100</v>
      </c>
      <c r="H499" s="40">
        <v>600</v>
      </c>
      <c r="I499" s="32">
        <v>695</v>
      </c>
      <c r="J499" s="32">
        <v>50</v>
      </c>
      <c r="K499" s="33"/>
      <c r="L499" s="33"/>
      <c r="M499" s="33"/>
      <c r="N499" s="33"/>
      <c r="O499" s="33"/>
      <c r="P499" s="33"/>
      <c r="Q499" s="33"/>
      <c r="R499" s="33"/>
      <c r="S499" s="33"/>
      <c r="T499" s="33"/>
    </row>
    <row r="500" spans="1:20" ht="15.75">
      <c r="A500" s="13">
        <v>57131</v>
      </c>
      <c r="B500" s="41">
        <v>31</v>
      </c>
      <c r="C500" s="32">
        <v>194.20500000000001</v>
      </c>
      <c r="D500" s="32">
        <v>267.46600000000001</v>
      </c>
      <c r="E500" s="38">
        <v>812.32899999999995</v>
      </c>
      <c r="F500" s="32">
        <v>1274</v>
      </c>
      <c r="G500" s="32">
        <v>75</v>
      </c>
      <c r="H500" s="40">
        <v>600</v>
      </c>
      <c r="I500" s="32">
        <v>695</v>
      </c>
      <c r="J500" s="32">
        <v>50</v>
      </c>
      <c r="K500" s="33"/>
      <c r="L500" s="33"/>
      <c r="M500" s="33"/>
      <c r="N500" s="33"/>
      <c r="O500" s="33"/>
      <c r="P500" s="33"/>
      <c r="Q500" s="33"/>
      <c r="R500" s="33"/>
      <c r="S500" s="33"/>
      <c r="T500" s="33"/>
    </row>
    <row r="501" spans="1:20" ht="15.75">
      <c r="A501" s="13">
        <v>57161</v>
      </c>
      <c r="B501" s="41">
        <v>30</v>
      </c>
      <c r="C501" s="32">
        <v>194.20500000000001</v>
      </c>
      <c r="D501" s="32">
        <v>267.46600000000001</v>
      </c>
      <c r="E501" s="38">
        <v>812.32899999999995</v>
      </c>
      <c r="F501" s="32">
        <v>1274</v>
      </c>
      <c r="G501" s="32">
        <v>50</v>
      </c>
      <c r="H501" s="40">
        <v>600</v>
      </c>
      <c r="I501" s="32">
        <v>695</v>
      </c>
      <c r="J501" s="32">
        <v>50</v>
      </c>
      <c r="K501" s="33"/>
      <c r="L501" s="33"/>
      <c r="M501" s="33"/>
      <c r="N501" s="33"/>
      <c r="O501" s="33"/>
      <c r="P501" s="33"/>
      <c r="Q501" s="33"/>
      <c r="R501" s="33"/>
      <c r="S501" s="33"/>
      <c r="T501" s="33"/>
    </row>
    <row r="502" spans="1:20" ht="15.75">
      <c r="A502" s="13">
        <v>57192</v>
      </c>
      <c r="B502" s="41">
        <v>31</v>
      </c>
      <c r="C502" s="32">
        <v>194.20500000000001</v>
      </c>
      <c r="D502" s="32">
        <v>267.46600000000001</v>
      </c>
      <c r="E502" s="38">
        <v>812.32899999999995</v>
      </c>
      <c r="F502" s="32">
        <v>1274</v>
      </c>
      <c r="G502" s="32">
        <v>50</v>
      </c>
      <c r="H502" s="40">
        <v>600</v>
      </c>
      <c r="I502" s="32">
        <v>695</v>
      </c>
      <c r="J502" s="32">
        <v>0</v>
      </c>
      <c r="K502" s="33"/>
      <c r="L502" s="33"/>
      <c r="M502" s="33"/>
      <c r="N502" s="33"/>
      <c r="O502" s="33"/>
      <c r="P502" s="33"/>
      <c r="Q502" s="33"/>
      <c r="R502" s="33"/>
      <c r="S502" s="33"/>
      <c r="T502" s="33"/>
    </row>
    <row r="503" spans="1:20" ht="15.75">
      <c r="A503" s="13">
        <v>57223</v>
      </c>
      <c r="B503" s="41">
        <v>31</v>
      </c>
      <c r="C503" s="32">
        <v>194.20500000000001</v>
      </c>
      <c r="D503" s="32">
        <v>267.46600000000001</v>
      </c>
      <c r="E503" s="38">
        <v>812.32899999999995</v>
      </c>
      <c r="F503" s="32">
        <v>1274</v>
      </c>
      <c r="G503" s="32">
        <v>50</v>
      </c>
      <c r="H503" s="40">
        <v>600</v>
      </c>
      <c r="I503" s="32">
        <v>695</v>
      </c>
      <c r="J503" s="32">
        <v>0</v>
      </c>
      <c r="K503" s="33"/>
      <c r="L503" s="33"/>
      <c r="M503" s="33"/>
      <c r="N503" s="33"/>
      <c r="O503" s="33"/>
      <c r="P503" s="33"/>
      <c r="Q503" s="33"/>
      <c r="R503" s="33"/>
      <c r="S503" s="33"/>
      <c r="T503" s="33"/>
    </row>
    <row r="504" spans="1:20" ht="15.75">
      <c r="A504" s="13">
        <v>57253</v>
      </c>
      <c r="B504" s="41">
        <v>30</v>
      </c>
      <c r="C504" s="32">
        <v>194.20500000000001</v>
      </c>
      <c r="D504" s="32">
        <v>267.46600000000001</v>
      </c>
      <c r="E504" s="38">
        <v>812.32899999999995</v>
      </c>
      <c r="F504" s="32">
        <v>1274</v>
      </c>
      <c r="G504" s="32">
        <v>50</v>
      </c>
      <c r="H504" s="40">
        <v>600</v>
      </c>
      <c r="I504" s="32">
        <v>695</v>
      </c>
      <c r="J504" s="32">
        <v>0</v>
      </c>
      <c r="K504" s="33"/>
      <c r="L504" s="33"/>
      <c r="M504" s="33"/>
      <c r="N504" s="33"/>
      <c r="O504" s="33"/>
      <c r="P504" s="33"/>
      <c r="Q504" s="33"/>
      <c r="R504" s="33"/>
      <c r="S504" s="33"/>
      <c r="T504" s="33"/>
    </row>
    <row r="505" spans="1:20" ht="15.75">
      <c r="A505" s="13">
        <v>57284</v>
      </c>
      <c r="B505" s="41">
        <v>31</v>
      </c>
      <c r="C505" s="32">
        <v>131.881</v>
      </c>
      <c r="D505" s="32">
        <v>277.16699999999997</v>
      </c>
      <c r="E505" s="38">
        <v>829.952</v>
      </c>
      <c r="F505" s="32">
        <v>1239</v>
      </c>
      <c r="G505" s="32">
        <v>75</v>
      </c>
      <c r="H505" s="40">
        <v>600</v>
      </c>
      <c r="I505" s="32">
        <v>695</v>
      </c>
      <c r="J505" s="32">
        <v>0</v>
      </c>
      <c r="K505" s="33"/>
      <c r="L505" s="33"/>
      <c r="M505" s="33"/>
      <c r="N505" s="33"/>
      <c r="O505" s="33"/>
      <c r="P505" s="33"/>
      <c r="Q505" s="33"/>
      <c r="R505" s="33"/>
      <c r="S505" s="33"/>
      <c r="T505" s="33"/>
    </row>
    <row r="506" spans="1:20" ht="15.75">
      <c r="A506" s="13">
        <v>57314</v>
      </c>
      <c r="B506" s="41">
        <v>30</v>
      </c>
      <c r="C506" s="32">
        <v>122.58</v>
      </c>
      <c r="D506" s="32">
        <v>297.94099999999997</v>
      </c>
      <c r="E506" s="38">
        <v>729.47900000000004</v>
      </c>
      <c r="F506" s="32">
        <v>1150</v>
      </c>
      <c r="G506" s="32">
        <v>100</v>
      </c>
      <c r="H506" s="40">
        <v>600</v>
      </c>
      <c r="I506" s="32">
        <v>695</v>
      </c>
      <c r="J506" s="32">
        <v>50</v>
      </c>
      <c r="K506" s="33"/>
      <c r="L506" s="33"/>
      <c r="M506" s="33"/>
      <c r="N506" s="33"/>
      <c r="O506" s="33"/>
      <c r="P506" s="33"/>
      <c r="Q506" s="33"/>
      <c r="R506" s="33"/>
      <c r="S506" s="33"/>
      <c r="T506" s="33"/>
    </row>
    <row r="507" spans="1:20" ht="15.75">
      <c r="A507" s="13">
        <v>57345</v>
      </c>
      <c r="B507" s="41">
        <v>31</v>
      </c>
      <c r="C507" s="32">
        <v>122.58</v>
      </c>
      <c r="D507" s="32">
        <v>297.94099999999997</v>
      </c>
      <c r="E507" s="38">
        <v>729.47900000000004</v>
      </c>
      <c r="F507" s="32">
        <v>1150</v>
      </c>
      <c r="G507" s="32">
        <v>100</v>
      </c>
      <c r="H507" s="40">
        <v>600</v>
      </c>
      <c r="I507" s="32">
        <v>695</v>
      </c>
      <c r="J507" s="32">
        <v>50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</row>
    <row r="508" spans="1:20" ht="15.75">
      <c r="A508" s="13">
        <v>57376</v>
      </c>
      <c r="B508" s="41">
        <v>31</v>
      </c>
      <c r="C508" s="32">
        <v>122.58</v>
      </c>
      <c r="D508" s="32">
        <v>297.94099999999997</v>
      </c>
      <c r="E508" s="38">
        <v>729.47900000000004</v>
      </c>
      <c r="F508" s="32">
        <v>1150</v>
      </c>
      <c r="G508" s="32">
        <v>100</v>
      </c>
      <c r="H508" s="40">
        <v>600</v>
      </c>
      <c r="I508" s="32">
        <v>695</v>
      </c>
      <c r="J508" s="32">
        <v>50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</row>
    <row r="509" spans="1:20" ht="15.75">
      <c r="A509" s="13">
        <v>57404</v>
      </c>
      <c r="B509" s="41">
        <v>28</v>
      </c>
      <c r="C509" s="32">
        <v>122.58</v>
      </c>
      <c r="D509" s="32">
        <v>297.94099999999997</v>
      </c>
      <c r="E509" s="38">
        <v>729.47900000000004</v>
      </c>
      <c r="F509" s="32">
        <v>1150</v>
      </c>
      <c r="G509" s="32">
        <v>100</v>
      </c>
      <c r="H509" s="40">
        <v>600</v>
      </c>
      <c r="I509" s="32">
        <v>695</v>
      </c>
      <c r="J509" s="32">
        <v>50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</row>
    <row r="510" spans="1:20" ht="15.75">
      <c r="A510" s="13">
        <v>57435</v>
      </c>
      <c r="B510" s="41">
        <v>31</v>
      </c>
      <c r="C510" s="32">
        <v>122.58</v>
      </c>
      <c r="D510" s="32">
        <v>297.94099999999997</v>
      </c>
      <c r="E510" s="38">
        <v>729.47900000000004</v>
      </c>
      <c r="F510" s="32">
        <v>1150</v>
      </c>
      <c r="G510" s="32">
        <v>100</v>
      </c>
      <c r="H510" s="40">
        <v>600</v>
      </c>
      <c r="I510" s="32">
        <v>695</v>
      </c>
      <c r="J510" s="32">
        <v>50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</row>
    <row r="511" spans="1:20" ht="15.75">
      <c r="A511" s="13">
        <v>57465</v>
      </c>
      <c r="B511" s="41">
        <v>30</v>
      </c>
      <c r="C511" s="32">
        <v>141.29300000000001</v>
      </c>
      <c r="D511" s="32">
        <v>267.99299999999999</v>
      </c>
      <c r="E511" s="38">
        <v>829.71400000000006</v>
      </c>
      <c r="F511" s="32">
        <v>1239</v>
      </c>
      <c r="G511" s="32">
        <v>100</v>
      </c>
      <c r="H511" s="40">
        <v>600</v>
      </c>
      <c r="I511" s="32">
        <v>695</v>
      </c>
      <c r="J511" s="32">
        <v>50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</row>
    <row r="512" spans="1:20" ht="15.75">
      <c r="A512" s="13">
        <v>57496</v>
      </c>
      <c r="B512" s="41">
        <v>31</v>
      </c>
      <c r="C512" s="32">
        <v>194.20500000000001</v>
      </c>
      <c r="D512" s="32">
        <v>267.46600000000001</v>
      </c>
      <c r="E512" s="38">
        <v>812.32899999999995</v>
      </c>
      <c r="F512" s="32">
        <v>1274</v>
      </c>
      <c r="G512" s="32">
        <v>75</v>
      </c>
      <c r="H512" s="40">
        <v>600</v>
      </c>
      <c r="I512" s="32">
        <v>695</v>
      </c>
      <c r="J512" s="32">
        <v>50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</row>
    <row r="513" spans="1:20" ht="15.75">
      <c r="A513" s="13">
        <v>57526</v>
      </c>
      <c r="B513" s="41">
        <v>30</v>
      </c>
      <c r="C513" s="32">
        <v>194.20500000000001</v>
      </c>
      <c r="D513" s="32">
        <v>267.46600000000001</v>
      </c>
      <c r="E513" s="38">
        <v>812.32899999999995</v>
      </c>
      <c r="F513" s="32">
        <v>1274</v>
      </c>
      <c r="G513" s="32">
        <v>50</v>
      </c>
      <c r="H513" s="40">
        <v>600</v>
      </c>
      <c r="I513" s="32">
        <v>695</v>
      </c>
      <c r="J513" s="32">
        <v>50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</row>
    <row r="514" spans="1:20" ht="15.75">
      <c r="A514" s="13">
        <v>57557</v>
      </c>
      <c r="B514" s="41">
        <v>31</v>
      </c>
      <c r="C514" s="32">
        <v>194.20500000000001</v>
      </c>
      <c r="D514" s="32">
        <v>267.46600000000001</v>
      </c>
      <c r="E514" s="38">
        <v>812.32899999999995</v>
      </c>
      <c r="F514" s="32">
        <v>1274</v>
      </c>
      <c r="G514" s="32">
        <v>50</v>
      </c>
      <c r="H514" s="40">
        <v>600</v>
      </c>
      <c r="I514" s="32">
        <v>695</v>
      </c>
      <c r="J514" s="32">
        <v>0</v>
      </c>
      <c r="K514" s="33"/>
      <c r="L514" s="33"/>
      <c r="M514" s="33"/>
      <c r="N514" s="33"/>
      <c r="O514" s="33"/>
      <c r="P514" s="33"/>
      <c r="Q514" s="33"/>
      <c r="R514" s="33"/>
      <c r="S514" s="33"/>
      <c r="T514" s="33"/>
    </row>
    <row r="515" spans="1:20" ht="15.75">
      <c r="A515" s="13">
        <v>57588</v>
      </c>
      <c r="B515" s="41">
        <v>31</v>
      </c>
      <c r="C515" s="32">
        <v>194.20500000000001</v>
      </c>
      <c r="D515" s="32">
        <v>267.46600000000001</v>
      </c>
      <c r="E515" s="38">
        <v>812.32899999999995</v>
      </c>
      <c r="F515" s="32">
        <v>1274</v>
      </c>
      <c r="G515" s="32">
        <v>50</v>
      </c>
      <c r="H515" s="40">
        <v>600</v>
      </c>
      <c r="I515" s="32">
        <v>695</v>
      </c>
      <c r="J515" s="32">
        <v>0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</row>
    <row r="516" spans="1:20" ht="15.75">
      <c r="A516" s="13">
        <v>57618</v>
      </c>
      <c r="B516" s="41">
        <v>30</v>
      </c>
      <c r="C516" s="32">
        <v>194.20500000000001</v>
      </c>
      <c r="D516" s="32">
        <v>267.46600000000001</v>
      </c>
      <c r="E516" s="38">
        <v>812.32899999999995</v>
      </c>
      <c r="F516" s="32">
        <v>1274</v>
      </c>
      <c r="G516" s="32">
        <v>50</v>
      </c>
      <c r="H516" s="40">
        <v>600</v>
      </c>
      <c r="I516" s="32">
        <v>695</v>
      </c>
      <c r="J516" s="32">
        <v>0</v>
      </c>
      <c r="K516" s="33"/>
      <c r="L516" s="33"/>
      <c r="M516" s="33"/>
      <c r="N516" s="33"/>
      <c r="O516" s="33"/>
      <c r="P516" s="33"/>
      <c r="Q516" s="33"/>
      <c r="R516" s="33"/>
      <c r="S516" s="33"/>
      <c r="T516" s="33"/>
    </row>
    <row r="517" spans="1:20" ht="15.75">
      <c r="A517" s="13">
        <v>57649</v>
      </c>
      <c r="B517" s="41">
        <v>31</v>
      </c>
      <c r="C517" s="32">
        <v>131.881</v>
      </c>
      <c r="D517" s="32">
        <v>277.16699999999997</v>
      </c>
      <c r="E517" s="38">
        <v>829.952</v>
      </c>
      <c r="F517" s="32">
        <v>1239</v>
      </c>
      <c r="G517" s="32">
        <v>75</v>
      </c>
      <c r="H517" s="40">
        <v>600</v>
      </c>
      <c r="I517" s="32">
        <v>695</v>
      </c>
      <c r="J517" s="32">
        <v>0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</row>
    <row r="518" spans="1:20" ht="15.75">
      <c r="A518" s="13">
        <v>57679</v>
      </c>
      <c r="B518" s="41">
        <v>30</v>
      </c>
      <c r="C518" s="32">
        <v>122.58</v>
      </c>
      <c r="D518" s="32">
        <v>297.94099999999997</v>
      </c>
      <c r="E518" s="38">
        <v>729.47900000000004</v>
      </c>
      <c r="F518" s="32">
        <v>1150</v>
      </c>
      <c r="G518" s="32">
        <v>100</v>
      </c>
      <c r="H518" s="40">
        <v>600</v>
      </c>
      <c r="I518" s="32">
        <v>695</v>
      </c>
      <c r="J518" s="32">
        <v>50</v>
      </c>
      <c r="K518" s="33"/>
      <c r="L518" s="33"/>
      <c r="M518" s="33"/>
      <c r="N518" s="33"/>
      <c r="O518" s="33"/>
      <c r="P518" s="33"/>
      <c r="Q518" s="33"/>
      <c r="R518" s="33"/>
      <c r="S518" s="33"/>
      <c r="T518" s="33"/>
    </row>
    <row r="519" spans="1:20" ht="15.75">
      <c r="A519" s="13">
        <v>57710</v>
      </c>
      <c r="B519" s="41">
        <v>31</v>
      </c>
      <c r="C519" s="32">
        <v>122.58</v>
      </c>
      <c r="D519" s="32">
        <v>297.94099999999997</v>
      </c>
      <c r="E519" s="38">
        <v>729.47900000000004</v>
      </c>
      <c r="F519" s="32">
        <v>1150</v>
      </c>
      <c r="G519" s="32">
        <v>100</v>
      </c>
      <c r="H519" s="40">
        <v>600</v>
      </c>
      <c r="I519" s="32">
        <v>695</v>
      </c>
      <c r="J519" s="32">
        <v>50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</row>
    <row r="520" spans="1:20" ht="15.75">
      <c r="A520" s="13">
        <v>57741</v>
      </c>
      <c r="B520" s="41">
        <v>31</v>
      </c>
      <c r="C520" s="32">
        <v>122.58</v>
      </c>
      <c r="D520" s="32">
        <v>297.94099999999997</v>
      </c>
      <c r="E520" s="38">
        <v>729.47900000000004</v>
      </c>
      <c r="F520" s="32">
        <v>1150</v>
      </c>
      <c r="G520" s="32">
        <v>100</v>
      </c>
      <c r="H520" s="40">
        <v>600</v>
      </c>
      <c r="I520" s="32">
        <v>695</v>
      </c>
      <c r="J520" s="32">
        <v>50</v>
      </c>
      <c r="K520" s="33"/>
      <c r="L520" s="33"/>
      <c r="M520" s="33"/>
      <c r="N520" s="33"/>
      <c r="O520" s="33"/>
      <c r="P520" s="33"/>
      <c r="Q520" s="33"/>
      <c r="R520" s="33"/>
      <c r="S520" s="33"/>
      <c r="T520" s="33"/>
    </row>
    <row r="521" spans="1:20" ht="15.75">
      <c r="A521" s="13">
        <v>57769</v>
      </c>
      <c r="B521" s="41">
        <v>28</v>
      </c>
      <c r="C521" s="32">
        <v>122.58</v>
      </c>
      <c r="D521" s="32">
        <v>297.94099999999997</v>
      </c>
      <c r="E521" s="38">
        <v>729.47900000000004</v>
      </c>
      <c r="F521" s="32">
        <v>1150</v>
      </c>
      <c r="G521" s="32">
        <v>100</v>
      </c>
      <c r="H521" s="40">
        <v>600</v>
      </c>
      <c r="I521" s="32">
        <v>695</v>
      </c>
      <c r="J521" s="32">
        <v>50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</row>
    <row r="522" spans="1:20" ht="15.75">
      <c r="A522" s="13">
        <v>57800</v>
      </c>
      <c r="B522" s="41">
        <v>31</v>
      </c>
      <c r="C522" s="32">
        <v>122.58</v>
      </c>
      <c r="D522" s="32">
        <v>297.94099999999997</v>
      </c>
      <c r="E522" s="38">
        <v>729.47900000000004</v>
      </c>
      <c r="F522" s="32">
        <v>1150</v>
      </c>
      <c r="G522" s="32">
        <v>100</v>
      </c>
      <c r="H522" s="40">
        <v>600</v>
      </c>
      <c r="I522" s="32">
        <v>695</v>
      </c>
      <c r="J522" s="32">
        <v>50</v>
      </c>
      <c r="K522" s="33"/>
      <c r="L522" s="33"/>
      <c r="M522" s="33"/>
      <c r="N522" s="33"/>
      <c r="O522" s="33"/>
      <c r="P522" s="33"/>
      <c r="Q522" s="33"/>
      <c r="R522" s="33"/>
      <c r="S522" s="33"/>
      <c r="T522" s="33"/>
    </row>
    <row r="523" spans="1:20" ht="15.75">
      <c r="A523" s="13">
        <v>57830</v>
      </c>
      <c r="B523" s="41">
        <v>30</v>
      </c>
      <c r="C523" s="32">
        <v>141.29300000000001</v>
      </c>
      <c r="D523" s="32">
        <v>267.99299999999999</v>
      </c>
      <c r="E523" s="38">
        <v>829.71400000000006</v>
      </c>
      <c r="F523" s="32">
        <v>1239</v>
      </c>
      <c r="G523" s="32">
        <v>100</v>
      </c>
      <c r="H523" s="40">
        <v>600</v>
      </c>
      <c r="I523" s="32">
        <v>695</v>
      </c>
      <c r="J523" s="32">
        <v>50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</row>
    <row r="524" spans="1:20" ht="15.75">
      <c r="A524" s="13">
        <v>57861</v>
      </c>
      <c r="B524" s="41">
        <v>31</v>
      </c>
      <c r="C524" s="32">
        <v>194.20500000000001</v>
      </c>
      <c r="D524" s="32">
        <v>267.46600000000001</v>
      </c>
      <c r="E524" s="38">
        <v>812.32899999999995</v>
      </c>
      <c r="F524" s="32">
        <v>1274</v>
      </c>
      <c r="G524" s="32">
        <v>75</v>
      </c>
      <c r="H524" s="40">
        <v>600</v>
      </c>
      <c r="I524" s="32">
        <v>695</v>
      </c>
      <c r="J524" s="32">
        <v>50</v>
      </c>
      <c r="K524" s="33"/>
      <c r="L524" s="33"/>
      <c r="M524" s="33"/>
      <c r="N524" s="33"/>
      <c r="O524" s="33"/>
      <c r="P524" s="33"/>
      <c r="Q524" s="33"/>
      <c r="R524" s="33"/>
      <c r="S524" s="33"/>
      <c r="T524" s="33"/>
    </row>
    <row r="525" spans="1:20" ht="15.75">
      <c r="A525" s="13">
        <v>57891</v>
      </c>
      <c r="B525" s="41">
        <v>30</v>
      </c>
      <c r="C525" s="32">
        <v>194.20500000000001</v>
      </c>
      <c r="D525" s="32">
        <v>267.46600000000001</v>
      </c>
      <c r="E525" s="38">
        <v>812.32899999999995</v>
      </c>
      <c r="F525" s="32">
        <v>1274</v>
      </c>
      <c r="G525" s="32">
        <v>50</v>
      </c>
      <c r="H525" s="40">
        <v>600</v>
      </c>
      <c r="I525" s="32">
        <v>695</v>
      </c>
      <c r="J525" s="32">
        <v>50</v>
      </c>
      <c r="K525" s="33"/>
      <c r="L525" s="33"/>
      <c r="M525" s="33"/>
      <c r="N525" s="33"/>
      <c r="O525" s="33"/>
      <c r="P525" s="33"/>
      <c r="Q525" s="33"/>
      <c r="R525" s="33"/>
      <c r="S525" s="33"/>
      <c r="T525" s="33"/>
    </row>
    <row r="526" spans="1:20" ht="15.75">
      <c r="A526" s="13">
        <v>57922</v>
      </c>
      <c r="B526" s="41">
        <v>31</v>
      </c>
      <c r="C526" s="32">
        <v>194.20500000000001</v>
      </c>
      <c r="D526" s="32">
        <v>267.46600000000001</v>
      </c>
      <c r="E526" s="38">
        <v>812.32899999999995</v>
      </c>
      <c r="F526" s="32">
        <v>1274</v>
      </c>
      <c r="G526" s="32">
        <v>50</v>
      </c>
      <c r="H526" s="40">
        <v>600</v>
      </c>
      <c r="I526" s="32">
        <v>695</v>
      </c>
      <c r="J526" s="32">
        <v>0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</row>
    <row r="527" spans="1:20" ht="15.75">
      <c r="A527" s="13">
        <v>57953</v>
      </c>
      <c r="B527" s="41">
        <v>31</v>
      </c>
      <c r="C527" s="32">
        <v>194.20500000000001</v>
      </c>
      <c r="D527" s="32">
        <v>267.46600000000001</v>
      </c>
      <c r="E527" s="38">
        <v>812.32899999999995</v>
      </c>
      <c r="F527" s="32">
        <v>1274</v>
      </c>
      <c r="G527" s="32">
        <v>50</v>
      </c>
      <c r="H527" s="40">
        <v>600</v>
      </c>
      <c r="I527" s="32">
        <v>695</v>
      </c>
      <c r="J527" s="32">
        <v>0</v>
      </c>
      <c r="K527" s="33"/>
      <c r="L527" s="33"/>
      <c r="M527" s="33"/>
      <c r="N527" s="33"/>
      <c r="O527" s="33"/>
      <c r="P527" s="33"/>
      <c r="Q527" s="33"/>
      <c r="R527" s="33"/>
      <c r="S527" s="33"/>
      <c r="T527" s="33"/>
    </row>
    <row r="528" spans="1:20" ht="15.75">
      <c r="A528" s="13">
        <v>57983</v>
      </c>
      <c r="B528" s="41">
        <v>30</v>
      </c>
      <c r="C528" s="32">
        <v>194.20500000000001</v>
      </c>
      <c r="D528" s="32">
        <v>267.46600000000001</v>
      </c>
      <c r="E528" s="38">
        <v>812.32899999999995</v>
      </c>
      <c r="F528" s="32">
        <v>1274</v>
      </c>
      <c r="G528" s="32">
        <v>50</v>
      </c>
      <c r="H528" s="40">
        <v>600</v>
      </c>
      <c r="I528" s="32">
        <v>695</v>
      </c>
      <c r="J528" s="32">
        <v>0</v>
      </c>
      <c r="K528" s="33"/>
      <c r="L528" s="33"/>
      <c r="M528" s="33"/>
      <c r="N528" s="33"/>
      <c r="O528" s="33"/>
      <c r="P528" s="33"/>
      <c r="Q528" s="33"/>
      <c r="R528" s="33"/>
      <c r="S528" s="33"/>
      <c r="T528" s="33"/>
    </row>
    <row r="529" spans="1:20" ht="15.75">
      <c r="A529" s="13">
        <v>58014</v>
      </c>
      <c r="B529" s="41">
        <v>31</v>
      </c>
      <c r="C529" s="32">
        <v>131.881</v>
      </c>
      <c r="D529" s="32">
        <v>277.16699999999997</v>
      </c>
      <c r="E529" s="38">
        <v>829.952</v>
      </c>
      <c r="F529" s="32">
        <v>1239</v>
      </c>
      <c r="G529" s="32">
        <v>75</v>
      </c>
      <c r="H529" s="40">
        <v>600</v>
      </c>
      <c r="I529" s="32">
        <v>695</v>
      </c>
      <c r="J529" s="32">
        <v>0</v>
      </c>
      <c r="K529" s="33"/>
      <c r="L529" s="33"/>
      <c r="M529" s="33"/>
      <c r="N529" s="33"/>
      <c r="O529" s="33"/>
      <c r="P529" s="33"/>
      <c r="Q529" s="33"/>
      <c r="R529" s="33"/>
      <c r="S529" s="33"/>
      <c r="T529" s="33"/>
    </row>
    <row r="530" spans="1:20" ht="15.75">
      <c r="A530" s="13">
        <v>58044</v>
      </c>
      <c r="B530" s="41">
        <v>30</v>
      </c>
      <c r="C530" s="32">
        <v>122.58</v>
      </c>
      <c r="D530" s="32">
        <v>297.94099999999997</v>
      </c>
      <c r="E530" s="38">
        <v>729.47900000000004</v>
      </c>
      <c r="F530" s="32">
        <v>1150</v>
      </c>
      <c r="G530" s="32">
        <v>100</v>
      </c>
      <c r="H530" s="40">
        <v>600</v>
      </c>
      <c r="I530" s="32">
        <v>695</v>
      </c>
      <c r="J530" s="32">
        <v>50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</row>
    <row r="531" spans="1:20" ht="15.75">
      <c r="A531" s="13">
        <v>58075</v>
      </c>
      <c r="B531" s="41">
        <v>31</v>
      </c>
      <c r="C531" s="32">
        <v>122.58</v>
      </c>
      <c r="D531" s="32">
        <v>297.94099999999997</v>
      </c>
      <c r="E531" s="38">
        <v>729.47900000000004</v>
      </c>
      <c r="F531" s="32">
        <v>1150</v>
      </c>
      <c r="G531" s="32">
        <v>100</v>
      </c>
      <c r="H531" s="40">
        <v>600</v>
      </c>
      <c r="I531" s="32">
        <v>695</v>
      </c>
      <c r="J531" s="32">
        <v>50</v>
      </c>
      <c r="K531" s="33"/>
      <c r="L531" s="33"/>
      <c r="M531" s="33"/>
      <c r="N531" s="33"/>
      <c r="O531" s="33"/>
      <c r="P531" s="33"/>
      <c r="Q531" s="33"/>
      <c r="R531" s="33"/>
      <c r="S531" s="33"/>
      <c r="T531" s="33"/>
    </row>
    <row r="532" spans="1:20" ht="15.75">
      <c r="A532" s="13">
        <v>58106</v>
      </c>
      <c r="B532" s="41">
        <v>31</v>
      </c>
      <c r="C532" s="32">
        <v>122.58</v>
      </c>
      <c r="D532" s="32">
        <v>297.94099999999997</v>
      </c>
      <c r="E532" s="38">
        <v>729.47900000000004</v>
      </c>
      <c r="F532" s="32">
        <v>1150</v>
      </c>
      <c r="G532" s="32">
        <v>100</v>
      </c>
      <c r="H532" s="40">
        <v>600</v>
      </c>
      <c r="I532" s="32">
        <v>695</v>
      </c>
      <c r="J532" s="32">
        <v>50</v>
      </c>
      <c r="K532" s="33"/>
      <c r="L532" s="33"/>
      <c r="M532" s="33"/>
      <c r="N532" s="33"/>
      <c r="O532" s="33"/>
      <c r="P532" s="33"/>
      <c r="Q532" s="33"/>
      <c r="R532" s="33"/>
      <c r="S532" s="33"/>
      <c r="T532" s="33"/>
    </row>
    <row r="533" spans="1:20" ht="15.75">
      <c r="A533" s="13">
        <v>58134</v>
      </c>
      <c r="B533" s="41">
        <v>28</v>
      </c>
      <c r="C533" s="32">
        <v>122.58</v>
      </c>
      <c r="D533" s="32">
        <v>297.94099999999997</v>
      </c>
      <c r="E533" s="38">
        <v>729.47900000000004</v>
      </c>
      <c r="F533" s="32">
        <v>1150</v>
      </c>
      <c r="G533" s="32">
        <v>100</v>
      </c>
      <c r="H533" s="40">
        <v>600</v>
      </c>
      <c r="I533" s="32">
        <v>695</v>
      </c>
      <c r="J533" s="32">
        <v>50</v>
      </c>
      <c r="K533" s="33"/>
      <c r="L533" s="33"/>
      <c r="M533" s="33"/>
      <c r="N533" s="33"/>
      <c r="O533" s="33"/>
      <c r="P533" s="33"/>
      <c r="Q533" s="33"/>
      <c r="R533" s="33"/>
      <c r="S533" s="33"/>
      <c r="T533" s="33"/>
    </row>
    <row r="534" spans="1:20" ht="15.75">
      <c r="A534" s="13">
        <v>58165</v>
      </c>
      <c r="B534" s="41">
        <v>31</v>
      </c>
      <c r="C534" s="32">
        <v>122.58</v>
      </c>
      <c r="D534" s="32">
        <v>297.94099999999997</v>
      </c>
      <c r="E534" s="38">
        <v>729.47900000000004</v>
      </c>
      <c r="F534" s="32">
        <v>1150</v>
      </c>
      <c r="G534" s="32">
        <v>100</v>
      </c>
      <c r="H534" s="40">
        <v>600</v>
      </c>
      <c r="I534" s="32">
        <v>695</v>
      </c>
      <c r="J534" s="32">
        <v>50</v>
      </c>
      <c r="K534" s="33"/>
      <c r="L534" s="33"/>
      <c r="M534" s="33"/>
      <c r="N534" s="33"/>
      <c r="O534" s="33"/>
      <c r="P534" s="33"/>
      <c r="Q534" s="33"/>
      <c r="R534" s="33"/>
      <c r="S534" s="33"/>
      <c r="T534" s="33"/>
    </row>
    <row r="535" spans="1:20" ht="15.75">
      <c r="A535" s="13">
        <v>58195</v>
      </c>
      <c r="B535" s="41">
        <v>30</v>
      </c>
      <c r="C535" s="32">
        <v>141.29300000000001</v>
      </c>
      <c r="D535" s="32">
        <v>267.99299999999999</v>
      </c>
      <c r="E535" s="38">
        <v>829.71400000000006</v>
      </c>
      <c r="F535" s="32">
        <v>1239</v>
      </c>
      <c r="G535" s="32">
        <v>100</v>
      </c>
      <c r="H535" s="40">
        <v>600</v>
      </c>
      <c r="I535" s="32">
        <v>695</v>
      </c>
      <c r="J535" s="32">
        <v>50</v>
      </c>
      <c r="K535" s="33"/>
      <c r="L535" s="33"/>
      <c r="M535" s="33"/>
      <c r="N535" s="33"/>
      <c r="O535" s="33"/>
      <c r="P535" s="33"/>
      <c r="Q535" s="33"/>
      <c r="R535" s="33"/>
      <c r="S535" s="33"/>
      <c r="T535" s="33"/>
    </row>
    <row r="536" spans="1:20" ht="15.75">
      <c r="A536" s="13">
        <v>58226</v>
      </c>
      <c r="B536" s="41">
        <v>31</v>
      </c>
      <c r="C536" s="32">
        <v>194.20500000000001</v>
      </c>
      <c r="D536" s="32">
        <v>267.46600000000001</v>
      </c>
      <c r="E536" s="38">
        <v>812.32899999999995</v>
      </c>
      <c r="F536" s="32">
        <v>1274</v>
      </c>
      <c r="G536" s="32">
        <v>75</v>
      </c>
      <c r="H536" s="40">
        <v>600</v>
      </c>
      <c r="I536" s="32">
        <v>695</v>
      </c>
      <c r="J536" s="32">
        <v>50</v>
      </c>
      <c r="K536" s="33"/>
      <c r="L536" s="33"/>
      <c r="M536" s="33"/>
      <c r="N536" s="33"/>
      <c r="O536" s="33"/>
      <c r="P536" s="33"/>
      <c r="Q536" s="33"/>
      <c r="R536" s="33"/>
      <c r="S536" s="33"/>
      <c r="T536" s="33"/>
    </row>
    <row r="537" spans="1:20" ht="15.75">
      <c r="A537" s="13">
        <v>58256</v>
      </c>
      <c r="B537" s="41">
        <v>30</v>
      </c>
      <c r="C537" s="32">
        <v>194.20500000000001</v>
      </c>
      <c r="D537" s="32">
        <v>267.46600000000001</v>
      </c>
      <c r="E537" s="38">
        <v>812.32899999999995</v>
      </c>
      <c r="F537" s="32">
        <v>1274</v>
      </c>
      <c r="G537" s="32">
        <v>50</v>
      </c>
      <c r="H537" s="40">
        <v>600</v>
      </c>
      <c r="I537" s="32">
        <v>695</v>
      </c>
      <c r="J537" s="32">
        <v>50</v>
      </c>
      <c r="K537" s="33"/>
      <c r="L537" s="33"/>
      <c r="M537" s="33"/>
      <c r="N537" s="33"/>
      <c r="O537" s="33"/>
      <c r="P537" s="33"/>
      <c r="Q537" s="33"/>
      <c r="R537" s="33"/>
      <c r="S537" s="33"/>
      <c r="T537" s="33"/>
    </row>
    <row r="538" spans="1:20" ht="15.75">
      <c r="A538" s="13">
        <v>58287</v>
      </c>
      <c r="B538" s="41">
        <v>31</v>
      </c>
      <c r="C538" s="32">
        <v>194.20500000000001</v>
      </c>
      <c r="D538" s="32">
        <v>267.46600000000001</v>
      </c>
      <c r="E538" s="38">
        <v>812.32899999999995</v>
      </c>
      <c r="F538" s="32">
        <v>1274</v>
      </c>
      <c r="G538" s="32">
        <v>50</v>
      </c>
      <c r="H538" s="40">
        <v>600</v>
      </c>
      <c r="I538" s="32">
        <v>695</v>
      </c>
      <c r="J538" s="32">
        <v>0</v>
      </c>
      <c r="K538" s="33"/>
      <c r="L538" s="33"/>
      <c r="M538" s="33"/>
      <c r="N538" s="33"/>
      <c r="O538" s="33"/>
      <c r="P538" s="33"/>
      <c r="Q538" s="33"/>
      <c r="R538" s="33"/>
      <c r="S538" s="33"/>
      <c r="T538" s="33"/>
    </row>
    <row r="539" spans="1:20" ht="15.75">
      <c r="A539" s="13">
        <v>58318</v>
      </c>
      <c r="B539" s="41">
        <v>31</v>
      </c>
      <c r="C539" s="32">
        <v>194.20500000000001</v>
      </c>
      <c r="D539" s="32">
        <v>267.46600000000001</v>
      </c>
      <c r="E539" s="38">
        <v>812.32899999999995</v>
      </c>
      <c r="F539" s="32">
        <v>1274</v>
      </c>
      <c r="G539" s="32">
        <v>50</v>
      </c>
      <c r="H539" s="40">
        <v>600</v>
      </c>
      <c r="I539" s="32">
        <v>695</v>
      </c>
      <c r="J539" s="32">
        <v>0</v>
      </c>
      <c r="K539" s="33"/>
      <c r="L539" s="33"/>
      <c r="M539" s="33"/>
      <c r="N539" s="33"/>
      <c r="O539" s="33"/>
      <c r="P539" s="33"/>
      <c r="Q539" s="33"/>
      <c r="R539" s="33"/>
      <c r="S539" s="33"/>
      <c r="T539" s="33"/>
    </row>
    <row r="540" spans="1:20" ht="15.75">
      <c r="A540" s="13">
        <v>58348</v>
      </c>
      <c r="B540" s="41">
        <v>30</v>
      </c>
      <c r="C540" s="32">
        <v>194.20500000000001</v>
      </c>
      <c r="D540" s="32">
        <v>267.46600000000001</v>
      </c>
      <c r="E540" s="38">
        <v>812.32899999999995</v>
      </c>
      <c r="F540" s="32">
        <v>1274</v>
      </c>
      <c r="G540" s="32">
        <v>50</v>
      </c>
      <c r="H540" s="40">
        <v>600</v>
      </c>
      <c r="I540" s="32">
        <v>695</v>
      </c>
      <c r="J540" s="32">
        <v>0</v>
      </c>
      <c r="K540" s="33"/>
      <c r="L540" s="33"/>
      <c r="M540" s="33"/>
      <c r="N540" s="33"/>
      <c r="O540" s="33"/>
      <c r="P540" s="33"/>
      <c r="Q540" s="33"/>
      <c r="R540" s="33"/>
      <c r="S540" s="33"/>
      <c r="T540" s="33"/>
    </row>
    <row r="541" spans="1:20" ht="15.75">
      <c r="A541" s="13">
        <v>58379</v>
      </c>
      <c r="B541" s="41">
        <v>31</v>
      </c>
      <c r="C541" s="32">
        <v>131.881</v>
      </c>
      <c r="D541" s="32">
        <v>277.16699999999997</v>
      </c>
      <c r="E541" s="38">
        <v>829.952</v>
      </c>
      <c r="F541" s="32">
        <v>1239</v>
      </c>
      <c r="G541" s="32">
        <v>75</v>
      </c>
      <c r="H541" s="40">
        <v>600</v>
      </c>
      <c r="I541" s="32">
        <v>695</v>
      </c>
      <c r="J541" s="32">
        <v>0</v>
      </c>
      <c r="K541" s="33"/>
      <c r="L541" s="33"/>
      <c r="M541" s="33"/>
      <c r="N541" s="33"/>
      <c r="O541" s="33"/>
      <c r="P541" s="33"/>
      <c r="Q541" s="33"/>
      <c r="R541" s="33"/>
      <c r="S541" s="33"/>
      <c r="T541" s="33"/>
    </row>
    <row r="542" spans="1:20" ht="15.75">
      <c r="A542" s="13">
        <v>58409</v>
      </c>
      <c r="B542" s="41">
        <v>30</v>
      </c>
      <c r="C542" s="32">
        <v>122.58</v>
      </c>
      <c r="D542" s="32">
        <v>297.94099999999997</v>
      </c>
      <c r="E542" s="38">
        <v>729.47900000000004</v>
      </c>
      <c r="F542" s="32">
        <v>1150</v>
      </c>
      <c r="G542" s="32">
        <v>100</v>
      </c>
      <c r="H542" s="40">
        <v>600</v>
      </c>
      <c r="I542" s="32">
        <v>695</v>
      </c>
      <c r="J542" s="32">
        <v>50</v>
      </c>
      <c r="K542" s="33"/>
      <c r="L542" s="33"/>
      <c r="M542" s="33"/>
      <c r="N542" s="33"/>
      <c r="O542" s="33"/>
      <c r="P542" s="33"/>
      <c r="Q542" s="33"/>
      <c r="R542" s="33"/>
      <c r="S542" s="33"/>
      <c r="T542" s="33"/>
    </row>
    <row r="543" spans="1:20" ht="15.75">
      <c r="A543" s="13">
        <v>58440</v>
      </c>
      <c r="B543" s="41">
        <v>31</v>
      </c>
      <c r="C543" s="32">
        <v>122.58</v>
      </c>
      <c r="D543" s="32">
        <v>297.94099999999997</v>
      </c>
      <c r="E543" s="38">
        <v>729.47900000000004</v>
      </c>
      <c r="F543" s="32">
        <v>1150</v>
      </c>
      <c r="G543" s="32">
        <v>100</v>
      </c>
      <c r="H543" s="40">
        <v>600</v>
      </c>
      <c r="I543" s="32">
        <v>695</v>
      </c>
      <c r="J543" s="32">
        <v>50</v>
      </c>
      <c r="K543" s="33"/>
      <c r="L543" s="33"/>
      <c r="M543" s="33"/>
      <c r="N543" s="33"/>
      <c r="O543" s="33"/>
      <c r="P543" s="33"/>
      <c r="Q543" s="33"/>
      <c r="R543" s="33"/>
      <c r="S543" s="33"/>
      <c r="T543" s="33"/>
    </row>
    <row r="544" spans="1:20" ht="15.75">
      <c r="A544" s="13">
        <v>58471</v>
      </c>
      <c r="B544" s="41">
        <v>31</v>
      </c>
      <c r="C544" s="32">
        <v>122.58</v>
      </c>
      <c r="D544" s="32">
        <v>297.94099999999997</v>
      </c>
      <c r="E544" s="38">
        <v>729.47900000000004</v>
      </c>
      <c r="F544" s="32">
        <v>1150</v>
      </c>
      <c r="G544" s="32">
        <v>100</v>
      </c>
      <c r="H544" s="40">
        <v>600</v>
      </c>
      <c r="I544" s="32">
        <v>695</v>
      </c>
      <c r="J544" s="32">
        <v>50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</row>
    <row r="545" spans="1:20" ht="15.75">
      <c r="A545" s="13">
        <v>58499</v>
      </c>
      <c r="B545" s="41">
        <v>29</v>
      </c>
      <c r="C545" s="32">
        <v>122.58</v>
      </c>
      <c r="D545" s="32">
        <v>297.94099999999997</v>
      </c>
      <c r="E545" s="38">
        <v>729.47900000000004</v>
      </c>
      <c r="F545" s="32">
        <v>1150</v>
      </c>
      <c r="G545" s="32">
        <v>100</v>
      </c>
      <c r="H545" s="40">
        <v>600</v>
      </c>
      <c r="I545" s="32">
        <v>695</v>
      </c>
      <c r="J545" s="32">
        <v>50</v>
      </c>
      <c r="K545" s="33"/>
      <c r="L545" s="33"/>
      <c r="M545" s="33"/>
      <c r="N545" s="33"/>
      <c r="O545" s="33"/>
      <c r="P545" s="33"/>
      <c r="Q545" s="33"/>
      <c r="R545" s="33"/>
      <c r="S545" s="33"/>
      <c r="T545" s="33"/>
    </row>
    <row r="546" spans="1:20" ht="15.75">
      <c r="A546" s="13">
        <v>58531</v>
      </c>
      <c r="B546" s="41">
        <v>31</v>
      </c>
      <c r="C546" s="32">
        <v>122.58</v>
      </c>
      <c r="D546" s="32">
        <v>297.94099999999997</v>
      </c>
      <c r="E546" s="38">
        <v>729.47900000000004</v>
      </c>
      <c r="F546" s="32">
        <v>1150</v>
      </c>
      <c r="G546" s="32">
        <v>100</v>
      </c>
      <c r="H546" s="40">
        <v>600</v>
      </c>
      <c r="I546" s="32">
        <v>695</v>
      </c>
      <c r="J546" s="32">
        <v>50</v>
      </c>
      <c r="K546" s="33"/>
      <c r="L546" s="33"/>
      <c r="M546" s="33"/>
      <c r="N546" s="33"/>
      <c r="O546" s="33"/>
      <c r="P546" s="33"/>
      <c r="Q546" s="33"/>
      <c r="R546" s="33"/>
      <c r="S546" s="33"/>
      <c r="T546" s="33"/>
    </row>
    <row r="547" spans="1:20" ht="15.75">
      <c r="A547" s="13">
        <v>58561</v>
      </c>
      <c r="B547" s="41">
        <v>30</v>
      </c>
      <c r="C547" s="32">
        <v>141.29300000000001</v>
      </c>
      <c r="D547" s="32">
        <v>267.99299999999999</v>
      </c>
      <c r="E547" s="38">
        <v>829.71400000000006</v>
      </c>
      <c r="F547" s="32">
        <v>1239</v>
      </c>
      <c r="G547" s="32">
        <v>100</v>
      </c>
      <c r="H547" s="40">
        <v>600</v>
      </c>
      <c r="I547" s="32">
        <v>695</v>
      </c>
      <c r="J547" s="32">
        <v>50</v>
      </c>
      <c r="K547" s="33"/>
      <c r="L547" s="33"/>
      <c r="M547" s="33"/>
      <c r="N547" s="33"/>
      <c r="O547" s="33"/>
      <c r="P547" s="33"/>
      <c r="Q547" s="33"/>
      <c r="R547" s="33"/>
      <c r="S547" s="33"/>
      <c r="T547" s="33"/>
    </row>
    <row r="548" spans="1:20" ht="15.75">
      <c r="A548" s="13">
        <v>58592</v>
      </c>
      <c r="B548" s="41">
        <v>31</v>
      </c>
      <c r="C548" s="32">
        <v>194.20500000000001</v>
      </c>
      <c r="D548" s="32">
        <v>267.46600000000001</v>
      </c>
      <c r="E548" s="38">
        <v>812.32899999999995</v>
      </c>
      <c r="F548" s="32">
        <v>1274</v>
      </c>
      <c r="G548" s="32">
        <v>75</v>
      </c>
      <c r="H548" s="40">
        <v>600</v>
      </c>
      <c r="I548" s="32">
        <v>695</v>
      </c>
      <c r="J548" s="32">
        <v>50</v>
      </c>
      <c r="K548" s="33"/>
      <c r="L548" s="33"/>
      <c r="M548" s="33"/>
      <c r="N548" s="33"/>
      <c r="O548" s="33"/>
      <c r="P548" s="33"/>
      <c r="Q548" s="33"/>
      <c r="R548" s="33"/>
      <c r="S548" s="33"/>
      <c r="T548" s="33"/>
    </row>
    <row r="549" spans="1:20" ht="15.75">
      <c r="A549" s="13">
        <v>58622</v>
      </c>
      <c r="B549" s="41">
        <v>30</v>
      </c>
      <c r="C549" s="32">
        <v>194.20500000000001</v>
      </c>
      <c r="D549" s="32">
        <v>267.46600000000001</v>
      </c>
      <c r="E549" s="38">
        <v>812.32899999999995</v>
      </c>
      <c r="F549" s="32">
        <v>1274</v>
      </c>
      <c r="G549" s="32">
        <v>50</v>
      </c>
      <c r="H549" s="40">
        <v>600</v>
      </c>
      <c r="I549" s="32">
        <v>695</v>
      </c>
      <c r="J549" s="32">
        <v>50</v>
      </c>
      <c r="K549" s="33"/>
      <c r="L549" s="33"/>
      <c r="M549" s="33"/>
      <c r="N549" s="33"/>
      <c r="O549" s="33"/>
      <c r="P549" s="33"/>
      <c r="Q549" s="33"/>
      <c r="R549" s="33"/>
      <c r="S549" s="33"/>
      <c r="T549" s="33"/>
    </row>
    <row r="550" spans="1:20" ht="15.75">
      <c r="A550" s="13">
        <v>58653</v>
      </c>
      <c r="B550" s="41">
        <v>31</v>
      </c>
      <c r="C550" s="32">
        <v>194.20500000000001</v>
      </c>
      <c r="D550" s="32">
        <v>267.46600000000001</v>
      </c>
      <c r="E550" s="38">
        <v>812.32899999999995</v>
      </c>
      <c r="F550" s="32">
        <v>1274</v>
      </c>
      <c r="G550" s="32">
        <v>50</v>
      </c>
      <c r="H550" s="40">
        <v>600</v>
      </c>
      <c r="I550" s="32">
        <v>695</v>
      </c>
      <c r="J550" s="32">
        <v>0</v>
      </c>
      <c r="K550" s="33"/>
      <c r="L550" s="33"/>
      <c r="M550" s="33"/>
      <c r="N550" s="33"/>
      <c r="O550" s="33"/>
      <c r="P550" s="33"/>
      <c r="Q550" s="33"/>
      <c r="R550" s="33"/>
      <c r="S550" s="33"/>
      <c r="T550" s="33"/>
    </row>
    <row r="551" spans="1:20" ht="15.75">
      <c r="A551" s="13">
        <v>58684</v>
      </c>
      <c r="B551" s="41">
        <v>31</v>
      </c>
      <c r="C551" s="32">
        <v>194.20500000000001</v>
      </c>
      <c r="D551" s="32">
        <v>267.46600000000001</v>
      </c>
      <c r="E551" s="38">
        <v>812.32899999999995</v>
      </c>
      <c r="F551" s="32">
        <v>1274</v>
      </c>
      <c r="G551" s="32">
        <v>50</v>
      </c>
      <c r="H551" s="40">
        <v>600</v>
      </c>
      <c r="I551" s="32">
        <v>695</v>
      </c>
      <c r="J551" s="32">
        <v>0</v>
      </c>
      <c r="K551" s="33"/>
      <c r="L551" s="33"/>
      <c r="M551" s="33"/>
      <c r="N551" s="33"/>
      <c r="O551" s="33"/>
      <c r="P551" s="33"/>
      <c r="Q551" s="33"/>
      <c r="R551" s="33"/>
      <c r="S551" s="33"/>
      <c r="T551" s="33"/>
    </row>
    <row r="552" spans="1:20" ht="15.75">
      <c r="A552" s="13">
        <v>58714</v>
      </c>
      <c r="B552" s="41">
        <v>30</v>
      </c>
      <c r="C552" s="32">
        <v>194.20500000000001</v>
      </c>
      <c r="D552" s="32">
        <v>267.46600000000001</v>
      </c>
      <c r="E552" s="38">
        <v>812.32899999999995</v>
      </c>
      <c r="F552" s="32">
        <v>1274</v>
      </c>
      <c r="G552" s="32">
        <v>50</v>
      </c>
      <c r="H552" s="40">
        <v>600</v>
      </c>
      <c r="I552" s="32">
        <v>695</v>
      </c>
      <c r="J552" s="32">
        <v>0</v>
      </c>
      <c r="K552" s="33"/>
      <c r="L552" s="33"/>
      <c r="M552" s="33"/>
      <c r="N552" s="33"/>
      <c r="O552" s="33"/>
      <c r="P552" s="33"/>
      <c r="Q552" s="33"/>
      <c r="R552" s="33"/>
      <c r="S552" s="33"/>
      <c r="T552" s="33"/>
    </row>
    <row r="553" spans="1:20" ht="15.75">
      <c r="A553" s="13">
        <v>58745</v>
      </c>
      <c r="B553" s="41">
        <v>31</v>
      </c>
      <c r="C553" s="32">
        <v>131.881</v>
      </c>
      <c r="D553" s="32">
        <v>277.16699999999997</v>
      </c>
      <c r="E553" s="38">
        <v>829.952</v>
      </c>
      <c r="F553" s="32">
        <v>1239</v>
      </c>
      <c r="G553" s="32">
        <v>75</v>
      </c>
      <c r="H553" s="40">
        <v>600</v>
      </c>
      <c r="I553" s="32">
        <v>695</v>
      </c>
      <c r="J553" s="32">
        <v>0</v>
      </c>
      <c r="K553" s="33"/>
      <c r="L553" s="33"/>
      <c r="M553" s="33"/>
      <c r="N553" s="33"/>
      <c r="O553" s="33"/>
      <c r="P553" s="33"/>
      <c r="Q553" s="33"/>
      <c r="R553" s="33"/>
      <c r="S553" s="33"/>
      <c r="T553" s="33"/>
    </row>
    <row r="554" spans="1:20" ht="15.75">
      <c r="A554" s="13">
        <v>58775</v>
      </c>
      <c r="B554" s="41">
        <v>30</v>
      </c>
      <c r="C554" s="32">
        <v>122.58</v>
      </c>
      <c r="D554" s="32">
        <v>297.94099999999997</v>
      </c>
      <c r="E554" s="38">
        <v>729.47900000000004</v>
      </c>
      <c r="F554" s="32">
        <v>1150</v>
      </c>
      <c r="G554" s="32">
        <v>100</v>
      </c>
      <c r="H554" s="40">
        <v>600</v>
      </c>
      <c r="I554" s="32">
        <v>695</v>
      </c>
      <c r="J554" s="32">
        <v>50</v>
      </c>
      <c r="K554" s="33"/>
      <c r="L554" s="33"/>
      <c r="M554" s="33"/>
      <c r="N554" s="33"/>
      <c r="O554" s="33"/>
      <c r="P554" s="33"/>
      <c r="Q554" s="33"/>
      <c r="R554" s="33"/>
      <c r="S554" s="33"/>
      <c r="T554" s="33"/>
    </row>
    <row r="555" spans="1:20" ht="15.75">
      <c r="A555" s="13">
        <v>58806</v>
      </c>
      <c r="B555" s="41">
        <v>31</v>
      </c>
      <c r="C555" s="32">
        <v>122.58</v>
      </c>
      <c r="D555" s="32">
        <v>297.94099999999997</v>
      </c>
      <c r="E555" s="38">
        <v>729.47900000000004</v>
      </c>
      <c r="F555" s="32">
        <v>1150</v>
      </c>
      <c r="G555" s="32">
        <v>100</v>
      </c>
      <c r="H555" s="40">
        <v>600</v>
      </c>
      <c r="I555" s="32">
        <v>695</v>
      </c>
      <c r="J555" s="32">
        <v>50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</row>
    <row r="556" spans="1:20" ht="15.75">
      <c r="A556" s="13">
        <v>58837</v>
      </c>
      <c r="B556" s="41">
        <v>31</v>
      </c>
      <c r="C556" s="32">
        <v>122.58</v>
      </c>
      <c r="D556" s="32">
        <v>297.94099999999997</v>
      </c>
      <c r="E556" s="38">
        <v>729.47900000000004</v>
      </c>
      <c r="F556" s="32">
        <v>1150</v>
      </c>
      <c r="G556" s="32">
        <v>100</v>
      </c>
      <c r="H556" s="40">
        <v>600</v>
      </c>
      <c r="I556" s="32">
        <v>695</v>
      </c>
      <c r="J556" s="32">
        <v>50</v>
      </c>
      <c r="K556" s="33"/>
      <c r="L556" s="33"/>
      <c r="M556" s="33"/>
      <c r="N556" s="33"/>
      <c r="O556" s="33"/>
      <c r="P556" s="33"/>
      <c r="Q556" s="33"/>
      <c r="R556" s="33"/>
      <c r="S556" s="33"/>
      <c r="T556" s="33"/>
    </row>
    <row r="557" spans="1:20" ht="15.75">
      <c r="A557" s="13">
        <v>58865</v>
      </c>
      <c r="B557" s="41">
        <v>28</v>
      </c>
      <c r="C557" s="32">
        <v>122.58</v>
      </c>
      <c r="D557" s="32">
        <v>297.94099999999997</v>
      </c>
      <c r="E557" s="38">
        <v>729.47900000000004</v>
      </c>
      <c r="F557" s="32">
        <v>1150</v>
      </c>
      <c r="G557" s="32">
        <v>100</v>
      </c>
      <c r="H557" s="40">
        <v>600</v>
      </c>
      <c r="I557" s="32">
        <v>695</v>
      </c>
      <c r="J557" s="32">
        <v>50</v>
      </c>
      <c r="K557" s="33"/>
      <c r="L557" s="33"/>
      <c r="M557" s="33"/>
      <c r="N557" s="33"/>
      <c r="O557" s="33"/>
      <c r="P557" s="33"/>
      <c r="Q557" s="33"/>
      <c r="R557" s="33"/>
      <c r="S557" s="33"/>
      <c r="T557" s="33"/>
    </row>
    <row r="558" spans="1:20" ht="15.75">
      <c r="A558" s="13">
        <v>58893</v>
      </c>
      <c r="B558" s="41">
        <v>31</v>
      </c>
      <c r="C558" s="32">
        <v>122.58</v>
      </c>
      <c r="D558" s="32">
        <v>297.94099999999997</v>
      </c>
      <c r="E558" s="38">
        <v>729.47900000000004</v>
      </c>
      <c r="F558" s="32">
        <v>1150</v>
      </c>
      <c r="G558" s="32">
        <v>100</v>
      </c>
      <c r="H558" s="40">
        <v>600</v>
      </c>
      <c r="I558" s="32">
        <v>695</v>
      </c>
      <c r="J558" s="32">
        <v>50</v>
      </c>
      <c r="K558" s="33"/>
      <c r="L558" s="33"/>
      <c r="M558" s="33"/>
      <c r="N558" s="33"/>
      <c r="O558" s="33"/>
      <c r="P558" s="33"/>
      <c r="Q558" s="33"/>
      <c r="R558" s="33"/>
      <c r="S558" s="33"/>
      <c r="T558" s="33"/>
    </row>
    <row r="559" spans="1:20" ht="15.75">
      <c r="A559" s="13">
        <v>58926</v>
      </c>
      <c r="B559" s="41">
        <v>30</v>
      </c>
      <c r="C559" s="32">
        <v>141.29300000000001</v>
      </c>
      <c r="D559" s="32">
        <v>267.99299999999999</v>
      </c>
      <c r="E559" s="38">
        <v>829.71400000000006</v>
      </c>
      <c r="F559" s="32">
        <v>1239</v>
      </c>
      <c r="G559" s="32">
        <v>100</v>
      </c>
      <c r="H559" s="40">
        <v>600</v>
      </c>
      <c r="I559" s="32">
        <v>695</v>
      </c>
      <c r="J559" s="32">
        <v>50</v>
      </c>
      <c r="K559" s="33"/>
      <c r="L559" s="33"/>
      <c r="M559" s="33"/>
      <c r="N559" s="33"/>
      <c r="O559" s="33"/>
      <c r="P559" s="33"/>
      <c r="Q559" s="33"/>
      <c r="R559" s="33"/>
      <c r="S559" s="33"/>
      <c r="T559" s="33"/>
    </row>
    <row r="560" spans="1:20" ht="15.75">
      <c r="A560" s="13">
        <v>58957</v>
      </c>
      <c r="B560" s="41">
        <v>31</v>
      </c>
      <c r="C560" s="32">
        <v>194.20500000000001</v>
      </c>
      <c r="D560" s="32">
        <v>267.46600000000001</v>
      </c>
      <c r="E560" s="38">
        <v>812.32899999999995</v>
      </c>
      <c r="F560" s="32">
        <v>1274</v>
      </c>
      <c r="G560" s="32">
        <v>75</v>
      </c>
      <c r="H560" s="40">
        <v>600</v>
      </c>
      <c r="I560" s="32">
        <v>695</v>
      </c>
      <c r="J560" s="32">
        <v>50</v>
      </c>
      <c r="K560" s="33"/>
      <c r="L560" s="33"/>
      <c r="M560" s="33"/>
      <c r="N560" s="33"/>
      <c r="O560" s="33"/>
      <c r="P560" s="33"/>
      <c r="Q560" s="33"/>
      <c r="R560" s="33"/>
      <c r="S560" s="33"/>
      <c r="T560" s="33"/>
    </row>
    <row r="561" spans="1:20" ht="15.75">
      <c r="A561" s="13">
        <v>58987</v>
      </c>
      <c r="B561" s="41">
        <v>30</v>
      </c>
      <c r="C561" s="32">
        <v>194.20500000000001</v>
      </c>
      <c r="D561" s="32">
        <v>267.46600000000001</v>
      </c>
      <c r="E561" s="38">
        <v>812.32899999999995</v>
      </c>
      <c r="F561" s="32">
        <v>1274</v>
      </c>
      <c r="G561" s="32">
        <v>50</v>
      </c>
      <c r="H561" s="40">
        <v>600</v>
      </c>
      <c r="I561" s="32">
        <v>695</v>
      </c>
      <c r="J561" s="32">
        <v>50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</row>
    <row r="562" spans="1:20" ht="15.75">
      <c r="A562" s="13">
        <v>59018</v>
      </c>
      <c r="B562" s="41">
        <v>31</v>
      </c>
      <c r="C562" s="32">
        <v>194.20500000000001</v>
      </c>
      <c r="D562" s="32">
        <v>267.46600000000001</v>
      </c>
      <c r="E562" s="38">
        <v>812.32899999999995</v>
      </c>
      <c r="F562" s="32">
        <v>1274</v>
      </c>
      <c r="G562" s="32">
        <v>50</v>
      </c>
      <c r="H562" s="40">
        <v>600</v>
      </c>
      <c r="I562" s="32">
        <v>695</v>
      </c>
      <c r="J562" s="32">
        <v>0</v>
      </c>
      <c r="K562" s="33"/>
      <c r="L562" s="33"/>
      <c r="M562" s="33"/>
      <c r="N562" s="33"/>
      <c r="O562" s="33"/>
      <c r="P562" s="33"/>
      <c r="Q562" s="33"/>
      <c r="R562" s="33"/>
      <c r="S562" s="33"/>
      <c r="T562" s="33"/>
    </row>
    <row r="563" spans="1:20" ht="15.75">
      <c r="A563" s="13">
        <v>59049</v>
      </c>
      <c r="B563" s="41">
        <v>31</v>
      </c>
      <c r="C563" s="32">
        <v>194.20500000000001</v>
      </c>
      <c r="D563" s="32">
        <v>267.46600000000001</v>
      </c>
      <c r="E563" s="38">
        <v>812.32899999999995</v>
      </c>
      <c r="F563" s="32">
        <v>1274</v>
      </c>
      <c r="G563" s="32">
        <v>50</v>
      </c>
      <c r="H563" s="40">
        <v>600</v>
      </c>
      <c r="I563" s="32">
        <v>695</v>
      </c>
      <c r="J563" s="32">
        <v>0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</row>
    <row r="564" spans="1:20" ht="15.75">
      <c r="A564" s="13">
        <v>59079</v>
      </c>
      <c r="B564" s="41">
        <v>30</v>
      </c>
      <c r="C564" s="32">
        <v>194.20500000000001</v>
      </c>
      <c r="D564" s="32">
        <v>267.46600000000001</v>
      </c>
      <c r="E564" s="38">
        <v>812.32899999999995</v>
      </c>
      <c r="F564" s="32">
        <v>1274</v>
      </c>
      <c r="G564" s="32">
        <v>50</v>
      </c>
      <c r="H564" s="40">
        <v>600</v>
      </c>
      <c r="I564" s="32">
        <v>695</v>
      </c>
      <c r="J564" s="32">
        <v>0</v>
      </c>
      <c r="K564" s="33"/>
      <c r="L564" s="33"/>
      <c r="M564" s="33"/>
      <c r="N564" s="33"/>
      <c r="O564" s="33"/>
      <c r="P564" s="33"/>
      <c r="Q564" s="33"/>
      <c r="R564" s="33"/>
      <c r="S564" s="33"/>
      <c r="T564" s="33"/>
    </row>
    <row r="565" spans="1:20" ht="15.75">
      <c r="A565" s="13">
        <v>59110</v>
      </c>
      <c r="B565" s="41">
        <v>31</v>
      </c>
      <c r="C565" s="32">
        <v>131.881</v>
      </c>
      <c r="D565" s="32">
        <v>277.16699999999997</v>
      </c>
      <c r="E565" s="38">
        <v>829.952</v>
      </c>
      <c r="F565" s="32">
        <v>1239</v>
      </c>
      <c r="G565" s="32">
        <v>75</v>
      </c>
      <c r="H565" s="40">
        <v>600</v>
      </c>
      <c r="I565" s="32">
        <v>695</v>
      </c>
      <c r="J565" s="32">
        <v>0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</row>
    <row r="566" spans="1:20" ht="15.75">
      <c r="A566" s="13">
        <v>59140</v>
      </c>
      <c r="B566" s="41">
        <v>30</v>
      </c>
      <c r="C566" s="32">
        <v>122.58</v>
      </c>
      <c r="D566" s="32">
        <v>297.94099999999997</v>
      </c>
      <c r="E566" s="38">
        <v>729.47900000000004</v>
      </c>
      <c r="F566" s="32">
        <v>1150</v>
      </c>
      <c r="G566" s="32">
        <v>100</v>
      </c>
      <c r="H566" s="40">
        <v>600</v>
      </c>
      <c r="I566" s="32">
        <v>695</v>
      </c>
      <c r="J566" s="32">
        <v>50</v>
      </c>
      <c r="K566" s="33"/>
      <c r="L566" s="33"/>
      <c r="M566" s="33"/>
      <c r="N566" s="33"/>
      <c r="O566" s="33"/>
      <c r="P566" s="33"/>
      <c r="Q566" s="33"/>
      <c r="R566" s="33"/>
      <c r="S566" s="33"/>
      <c r="T566" s="33"/>
    </row>
    <row r="567" spans="1:20" ht="15.75">
      <c r="A567" s="13">
        <v>59171</v>
      </c>
      <c r="B567" s="41">
        <v>31</v>
      </c>
      <c r="C567" s="32">
        <v>122.58</v>
      </c>
      <c r="D567" s="32">
        <v>297.94099999999997</v>
      </c>
      <c r="E567" s="38">
        <v>729.47900000000004</v>
      </c>
      <c r="F567" s="32">
        <v>1150</v>
      </c>
      <c r="G567" s="32">
        <v>100</v>
      </c>
      <c r="H567" s="40">
        <v>600</v>
      </c>
      <c r="I567" s="32">
        <v>695</v>
      </c>
      <c r="J567" s="32">
        <v>50</v>
      </c>
      <c r="K567" s="33"/>
      <c r="L567" s="33"/>
      <c r="M567" s="33"/>
      <c r="N567" s="33"/>
      <c r="O567" s="33"/>
      <c r="P567" s="33"/>
      <c r="Q567" s="33"/>
      <c r="R567" s="33"/>
      <c r="S567" s="33"/>
      <c r="T567" s="33"/>
    </row>
    <row r="568" spans="1:20" ht="15.75">
      <c r="A568" s="13">
        <v>59202</v>
      </c>
      <c r="B568" s="41">
        <f t="shared" ref="B568:B631" si="0">EOMONTH(A568,0)-EOMONTH(A568,-1)</f>
        <v>31</v>
      </c>
      <c r="C568" s="32">
        <v>122.58</v>
      </c>
      <c r="D568" s="32">
        <v>297.94099999999997</v>
      </c>
      <c r="E568" s="38">
        <v>729.47900000000004</v>
      </c>
      <c r="F568" s="32">
        <v>1150</v>
      </c>
      <c r="G568" s="32">
        <v>100</v>
      </c>
      <c r="H568" s="40">
        <v>600</v>
      </c>
      <c r="I568" s="32">
        <v>695</v>
      </c>
      <c r="J568" s="32">
        <v>50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</row>
    <row r="569" spans="1:20" ht="15.75">
      <c r="A569" s="13">
        <v>59230</v>
      </c>
      <c r="B569" s="41">
        <f t="shared" si="0"/>
        <v>28</v>
      </c>
      <c r="C569" s="32">
        <v>122.58</v>
      </c>
      <c r="D569" s="32">
        <v>297.94099999999997</v>
      </c>
      <c r="E569" s="38">
        <v>729.47900000000004</v>
      </c>
      <c r="F569" s="32">
        <v>1150</v>
      </c>
      <c r="G569" s="32">
        <v>100</v>
      </c>
      <c r="H569" s="40">
        <v>600</v>
      </c>
      <c r="I569" s="32">
        <v>695</v>
      </c>
      <c r="J569" s="32">
        <v>50</v>
      </c>
      <c r="K569" s="33"/>
      <c r="L569" s="33"/>
      <c r="M569" s="33"/>
      <c r="N569" s="33"/>
      <c r="O569" s="33"/>
      <c r="P569" s="33"/>
      <c r="Q569" s="33"/>
      <c r="R569" s="33"/>
      <c r="S569" s="33"/>
      <c r="T569" s="33"/>
    </row>
    <row r="570" spans="1:20" ht="15.75">
      <c r="A570" s="13">
        <v>59261</v>
      </c>
      <c r="B570" s="41">
        <f t="shared" si="0"/>
        <v>31</v>
      </c>
      <c r="C570" s="32">
        <v>122.58</v>
      </c>
      <c r="D570" s="32">
        <v>297.94099999999997</v>
      </c>
      <c r="E570" s="38">
        <v>729.47900000000004</v>
      </c>
      <c r="F570" s="32">
        <v>1150</v>
      </c>
      <c r="G570" s="32">
        <v>100</v>
      </c>
      <c r="H570" s="40">
        <v>600</v>
      </c>
      <c r="I570" s="32">
        <v>695</v>
      </c>
      <c r="J570" s="32">
        <v>50</v>
      </c>
      <c r="K570" s="33"/>
      <c r="L570" s="33"/>
      <c r="M570" s="33"/>
      <c r="N570" s="33"/>
      <c r="O570" s="33"/>
      <c r="P570" s="33"/>
      <c r="Q570" s="33"/>
      <c r="R570" s="33"/>
      <c r="S570" s="33"/>
      <c r="T570" s="33"/>
    </row>
    <row r="571" spans="1:20" ht="15.75">
      <c r="A571" s="13">
        <v>59291</v>
      </c>
      <c r="B571" s="41">
        <f t="shared" si="0"/>
        <v>30</v>
      </c>
      <c r="C571" s="32">
        <v>141.29300000000001</v>
      </c>
      <c r="D571" s="32">
        <v>267.99299999999999</v>
      </c>
      <c r="E571" s="38">
        <v>829.71400000000006</v>
      </c>
      <c r="F571" s="32">
        <v>1239</v>
      </c>
      <c r="G571" s="32">
        <v>100</v>
      </c>
      <c r="H571" s="40">
        <v>600</v>
      </c>
      <c r="I571" s="32">
        <v>695</v>
      </c>
      <c r="J571" s="32">
        <v>50</v>
      </c>
      <c r="K571" s="33"/>
      <c r="L571" s="33"/>
      <c r="M571" s="33"/>
      <c r="N571" s="33"/>
      <c r="O571" s="33"/>
      <c r="P571" s="33"/>
      <c r="Q571" s="33"/>
      <c r="R571" s="33"/>
      <c r="S571" s="33"/>
      <c r="T571" s="33"/>
    </row>
    <row r="572" spans="1:20" ht="15.75">
      <c r="A572" s="13">
        <v>59322</v>
      </c>
      <c r="B572" s="41">
        <f t="shared" si="0"/>
        <v>31</v>
      </c>
      <c r="C572" s="32">
        <v>194.20500000000001</v>
      </c>
      <c r="D572" s="32">
        <v>267.46600000000001</v>
      </c>
      <c r="E572" s="38">
        <v>812.32899999999995</v>
      </c>
      <c r="F572" s="32">
        <v>1274</v>
      </c>
      <c r="G572" s="32">
        <v>75</v>
      </c>
      <c r="H572" s="40">
        <v>600</v>
      </c>
      <c r="I572" s="32">
        <v>695</v>
      </c>
      <c r="J572" s="32">
        <v>50</v>
      </c>
      <c r="K572" s="33"/>
      <c r="L572" s="33"/>
      <c r="M572" s="33"/>
      <c r="N572" s="33"/>
      <c r="O572" s="33"/>
      <c r="P572" s="33"/>
      <c r="Q572" s="33"/>
      <c r="R572" s="33"/>
      <c r="S572" s="33"/>
      <c r="T572" s="33"/>
    </row>
    <row r="573" spans="1:20" ht="15.75">
      <c r="A573" s="13">
        <v>59352</v>
      </c>
      <c r="B573" s="41">
        <f t="shared" si="0"/>
        <v>30</v>
      </c>
      <c r="C573" s="32">
        <v>194.20500000000001</v>
      </c>
      <c r="D573" s="32">
        <v>267.46600000000001</v>
      </c>
      <c r="E573" s="38">
        <v>812.32899999999995</v>
      </c>
      <c r="F573" s="32">
        <v>1274</v>
      </c>
      <c r="G573" s="32">
        <v>50</v>
      </c>
      <c r="H573" s="40">
        <v>600</v>
      </c>
      <c r="I573" s="32">
        <v>695</v>
      </c>
      <c r="J573" s="32">
        <v>50</v>
      </c>
      <c r="K573" s="33"/>
      <c r="L573" s="33"/>
      <c r="M573" s="33"/>
      <c r="N573" s="33"/>
      <c r="O573" s="33"/>
      <c r="P573" s="33"/>
      <c r="Q573" s="33"/>
      <c r="R573" s="33"/>
      <c r="S573" s="33"/>
      <c r="T573" s="33"/>
    </row>
    <row r="574" spans="1:20" ht="15.75">
      <c r="A574" s="13">
        <v>59383</v>
      </c>
      <c r="B574" s="41">
        <f t="shared" si="0"/>
        <v>31</v>
      </c>
      <c r="C574" s="32">
        <v>194.20500000000001</v>
      </c>
      <c r="D574" s="32">
        <v>267.46600000000001</v>
      </c>
      <c r="E574" s="38">
        <v>812.32899999999995</v>
      </c>
      <c r="F574" s="32">
        <v>1274</v>
      </c>
      <c r="G574" s="32">
        <v>50</v>
      </c>
      <c r="H574" s="40">
        <v>600</v>
      </c>
      <c r="I574" s="32">
        <v>695</v>
      </c>
      <c r="J574" s="32">
        <v>0</v>
      </c>
      <c r="K574" s="33"/>
      <c r="L574" s="33"/>
      <c r="M574" s="33"/>
      <c r="N574" s="33"/>
      <c r="O574" s="33"/>
      <c r="P574" s="33"/>
      <c r="Q574" s="33"/>
      <c r="R574" s="33"/>
      <c r="S574" s="33"/>
      <c r="T574" s="33"/>
    </row>
    <row r="575" spans="1:20" ht="15.75">
      <c r="A575" s="13">
        <v>59414</v>
      </c>
      <c r="B575" s="41">
        <f t="shared" si="0"/>
        <v>31</v>
      </c>
      <c r="C575" s="32">
        <v>194.20500000000001</v>
      </c>
      <c r="D575" s="32">
        <v>267.46600000000001</v>
      </c>
      <c r="E575" s="38">
        <v>812.32899999999995</v>
      </c>
      <c r="F575" s="32">
        <v>1274</v>
      </c>
      <c r="G575" s="32">
        <v>50</v>
      </c>
      <c r="H575" s="40">
        <v>600</v>
      </c>
      <c r="I575" s="32">
        <v>695</v>
      </c>
      <c r="J575" s="32">
        <v>0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</row>
    <row r="576" spans="1:20" ht="15.75">
      <c r="A576" s="13">
        <v>59444</v>
      </c>
      <c r="B576" s="41">
        <f t="shared" si="0"/>
        <v>30</v>
      </c>
      <c r="C576" s="32">
        <v>194.20500000000001</v>
      </c>
      <c r="D576" s="32">
        <v>267.46600000000001</v>
      </c>
      <c r="E576" s="38">
        <v>812.32899999999995</v>
      </c>
      <c r="F576" s="32">
        <v>1274</v>
      </c>
      <c r="G576" s="32">
        <v>50</v>
      </c>
      <c r="H576" s="40">
        <v>600</v>
      </c>
      <c r="I576" s="32">
        <v>695</v>
      </c>
      <c r="J576" s="32">
        <v>0</v>
      </c>
      <c r="K576" s="33"/>
      <c r="L576" s="33"/>
      <c r="M576" s="33"/>
      <c r="N576" s="33"/>
      <c r="O576" s="33"/>
      <c r="P576" s="33"/>
      <c r="Q576" s="33"/>
      <c r="R576" s="33"/>
      <c r="S576" s="33"/>
      <c r="T576" s="33"/>
    </row>
    <row r="577" spans="1:20" ht="15.75">
      <c r="A577" s="13">
        <v>59475</v>
      </c>
      <c r="B577" s="41">
        <f t="shared" si="0"/>
        <v>31</v>
      </c>
      <c r="C577" s="32">
        <v>131.881</v>
      </c>
      <c r="D577" s="32">
        <v>277.16699999999997</v>
      </c>
      <c r="E577" s="38">
        <v>829.952</v>
      </c>
      <c r="F577" s="32">
        <v>1239</v>
      </c>
      <c r="G577" s="32">
        <v>75</v>
      </c>
      <c r="H577" s="40">
        <v>600</v>
      </c>
      <c r="I577" s="32">
        <v>695</v>
      </c>
      <c r="J577" s="32">
        <v>0</v>
      </c>
      <c r="K577" s="33"/>
      <c r="L577" s="33"/>
      <c r="M577" s="33"/>
      <c r="N577" s="33"/>
      <c r="O577" s="33"/>
      <c r="P577" s="33"/>
      <c r="Q577" s="33"/>
      <c r="R577" s="33"/>
      <c r="S577" s="33"/>
      <c r="T577" s="33"/>
    </row>
    <row r="578" spans="1:20" ht="15.75">
      <c r="A578" s="13">
        <v>59505</v>
      </c>
      <c r="B578" s="41">
        <f t="shared" si="0"/>
        <v>30</v>
      </c>
      <c r="C578" s="32">
        <v>122.58</v>
      </c>
      <c r="D578" s="32">
        <v>297.94099999999997</v>
      </c>
      <c r="E578" s="38">
        <v>729.47900000000004</v>
      </c>
      <c r="F578" s="32">
        <v>1150</v>
      </c>
      <c r="G578" s="32">
        <v>100</v>
      </c>
      <c r="H578" s="40">
        <v>600</v>
      </c>
      <c r="I578" s="32">
        <v>695</v>
      </c>
      <c r="J578" s="32">
        <v>50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</row>
    <row r="579" spans="1:20" ht="15.75">
      <c r="A579" s="13">
        <v>59536</v>
      </c>
      <c r="B579" s="41">
        <f t="shared" si="0"/>
        <v>31</v>
      </c>
      <c r="C579" s="32">
        <v>122.58</v>
      </c>
      <c r="D579" s="32">
        <v>297.94099999999997</v>
      </c>
      <c r="E579" s="38">
        <v>729.47900000000004</v>
      </c>
      <c r="F579" s="32">
        <v>1150</v>
      </c>
      <c r="G579" s="32">
        <v>100</v>
      </c>
      <c r="H579" s="40">
        <v>600</v>
      </c>
      <c r="I579" s="32">
        <v>695</v>
      </c>
      <c r="J579" s="32">
        <v>50</v>
      </c>
      <c r="K579" s="33"/>
      <c r="L579" s="33"/>
      <c r="M579" s="33"/>
      <c r="N579" s="33"/>
      <c r="O579" s="33"/>
      <c r="P579" s="33"/>
      <c r="Q579" s="33"/>
      <c r="R579" s="33"/>
      <c r="S579" s="33"/>
      <c r="T579" s="33"/>
    </row>
    <row r="580" spans="1:20" ht="15.75">
      <c r="A580" s="13">
        <v>59567</v>
      </c>
      <c r="B580" s="41">
        <f t="shared" si="0"/>
        <v>31</v>
      </c>
      <c r="C580" s="32">
        <v>122.58</v>
      </c>
      <c r="D580" s="32">
        <v>297.94099999999997</v>
      </c>
      <c r="E580" s="38">
        <v>729.47900000000004</v>
      </c>
      <c r="F580" s="32">
        <v>1150</v>
      </c>
      <c r="G580" s="32">
        <v>100</v>
      </c>
      <c r="H580" s="40">
        <v>600</v>
      </c>
      <c r="I580" s="32">
        <v>695</v>
      </c>
      <c r="J580" s="32">
        <v>50</v>
      </c>
      <c r="K580" s="33"/>
      <c r="L580" s="33"/>
      <c r="M580" s="33"/>
      <c r="N580" s="33"/>
      <c r="O580" s="33"/>
      <c r="P580" s="33"/>
      <c r="Q580" s="33"/>
      <c r="R580" s="33"/>
      <c r="S580" s="33"/>
      <c r="T580" s="33"/>
    </row>
    <row r="581" spans="1:20" ht="15.75">
      <c r="A581" s="13">
        <v>59595</v>
      </c>
      <c r="B581" s="41">
        <f t="shared" si="0"/>
        <v>28</v>
      </c>
      <c r="C581" s="32">
        <v>122.58</v>
      </c>
      <c r="D581" s="32">
        <v>297.94099999999997</v>
      </c>
      <c r="E581" s="38">
        <v>729.47900000000004</v>
      </c>
      <c r="F581" s="32">
        <v>1150</v>
      </c>
      <c r="G581" s="32">
        <v>100</v>
      </c>
      <c r="H581" s="40">
        <v>600</v>
      </c>
      <c r="I581" s="32">
        <v>695</v>
      </c>
      <c r="J581" s="32">
        <v>50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</row>
    <row r="582" spans="1:20" ht="15.75">
      <c r="A582" s="13">
        <v>59626</v>
      </c>
      <c r="B582" s="41">
        <f t="shared" si="0"/>
        <v>31</v>
      </c>
      <c r="C582" s="32">
        <v>122.58</v>
      </c>
      <c r="D582" s="32">
        <v>297.94099999999997</v>
      </c>
      <c r="E582" s="38">
        <v>729.47900000000004</v>
      </c>
      <c r="F582" s="32">
        <v>1150</v>
      </c>
      <c r="G582" s="32">
        <v>100</v>
      </c>
      <c r="H582" s="40">
        <v>600</v>
      </c>
      <c r="I582" s="32">
        <v>695</v>
      </c>
      <c r="J582" s="32">
        <v>50</v>
      </c>
      <c r="K582" s="33"/>
      <c r="L582" s="33"/>
      <c r="M582" s="33"/>
      <c r="N582" s="33"/>
      <c r="O582" s="33"/>
      <c r="P582" s="33"/>
      <c r="Q582" s="33"/>
      <c r="R582" s="33"/>
      <c r="S582" s="33"/>
      <c r="T582" s="33"/>
    </row>
    <row r="583" spans="1:20" ht="15.75">
      <c r="A583" s="13">
        <v>59656</v>
      </c>
      <c r="B583" s="41">
        <f t="shared" si="0"/>
        <v>30</v>
      </c>
      <c r="C583" s="32">
        <v>141.29300000000001</v>
      </c>
      <c r="D583" s="32">
        <v>267.99299999999999</v>
      </c>
      <c r="E583" s="38">
        <v>829.71400000000006</v>
      </c>
      <c r="F583" s="32">
        <v>1239</v>
      </c>
      <c r="G583" s="32">
        <v>100</v>
      </c>
      <c r="H583" s="40">
        <v>600</v>
      </c>
      <c r="I583" s="32">
        <v>695</v>
      </c>
      <c r="J583" s="32">
        <v>50</v>
      </c>
      <c r="K583" s="33"/>
      <c r="L583" s="33"/>
      <c r="M583" s="33"/>
      <c r="N583" s="33"/>
      <c r="O583" s="33"/>
      <c r="P583" s="33"/>
      <c r="Q583" s="33"/>
      <c r="R583" s="33"/>
      <c r="S583" s="33"/>
      <c r="T583" s="33"/>
    </row>
    <row r="584" spans="1:20" ht="15.75">
      <c r="A584" s="13">
        <v>59687</v>
      </c>
      <c r="B584" s="41">
        <f t="shared" si="0"/>
        <v>31</v>
      </c>
      <c r="C584" s="32">
        <v>194.20500000000001</v>
      </c>
      <c r="D584" s="32">
        <v>267.46600000000001</v>
      </c>
      <c r="E584" s="38">
        <v>812.32899999999995</v>
      </c>
      <c r="F584" s="32">
        <v>1274</v>
      </c>
      <c r="G584" s="32">
        <v>75</v>
      </c>
      <c r="H584" s="40">
        <v>600</v>
      </c>
      <c r="I584" s="32">
        <v>695</v>
      </c>
      <c r="J584" s="32">
        <v>50</v>
      </c>
      <c r="K584" s="33"/>
      <c r="L584" s="33"/>
      <c r="M584" s="33"/>
      <c r="N584" s="33"/>
      <c r="O584" s="33"/>
      <c r="P584" s="33"/>
      <c r="Q584" s="33"/>
      <c r="R584" s="33"/>
      <c r="S584" s="33"/>
      <c r="T584" s="33"/>
    </row>
    <row r="585" spans="1:20" ht="15.75">
      <c r="A585" s="13">
        <v>59717</v>
      </c>
      <c r="B585" s="41">
        <f t="shared" si="0"/>
        <v>30</v>
      </c>
      <c r="C585" s="32">
        <v>194.20500000000001</v>
      </c>
      <c r="D585" s="32">
        <v>267.46600000000001</v>
      </c>
      <c r="E585" s="38">
        <v>812.32899999999995</v>
      </c>
      <c r="F585" s="32">
        <v>1274</v>
      </c>
      <c r="G585" s="32">
        <v>50</v>
      </c>
      <c r="H585" s="40">
        <v>600</v>
      </c>
      <c r="I585" s="32">
        <v>695</v>
      </c>
      <c r="J585" s="32">
        <v>50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</row>
    <row r="586" spans="1:20" ht="15.75">
      <c r="A586" s="13">
        <v>59748</v>
      </c>
      <c r="B586" s="41">
        <f t="shared" si="0"/>
        <v>31</v>
      </c>
      <c r="C586" s="32">
        <v>194.20500000000001</v>
      </c>
      <c r="D586" s="32">
        <v>267.46600000000001</v>
      </c>
      <c r="E586" s="38">
        <v>812.32899999999995</v>
      </c>
      <c r="F586" s="32">
        <v>1274</v>
      </c>
      <c r="G586" s="32">
        <v>50</v>
      </c>
      <c r="H586" s="40">
        <v>600</v>
      </c>
      <c r="I586" s="32">
        <v>695</v>
      </c>
      <c r="J586" s="32">
        <v>0</v>
      </c>
      <c r="K586" s="33"/>
      <c r="L586" s="33"/>
      <c r="M586" s="33"/>
      <c r="N586" s="33"/>
      <c r="O586" s="33"/>
      <c r="P586" s="33"/>
      <c r="Q586" s="33"/>
      <c r="R586" s="33"/>
      <c r="S586" s="33"/>
      <c r="T586" s="33"/>
    </row>
    <row r="587" spans="1:20" ht="15.75">
      <c r="A587" s="13">
        <v>59779</v>
      </c>
      <c r="B587" s="41">
        <f t="shared" si="0"/>
        <v>31</v>
      </c>
      <c r="C587" s="32">
        <v>194.20500000000001</v>
      </c>
      <c r="D587" s="32">
        <v>267.46600000000001</v>
      </c>
      <c r="E587" s="38">
        <v>812.32899999999995</v>
      </c>
      <c r="F587" s="32">
        <v>1274</v>
      </c>
      <c r="G587" s="32">
        <v>50</v>
      </c>
      <c r="H587" s="40">
        <v>600</v>
      </c>
      <c r="I587" s="32">
        <v>695</v>
      </c>
      <c r="J587" s="32">
        <v>0</v>
      </c>
      <c r="K587" s="33"/>
      <c r="L587" s="33"/>
      <c r="M587" s="33"/>
      <c r="N587" s="33"/>
      <c r="O587" s="33"/>
      <c r="P587" s="33"/>
      <c r="Q587" s="33"/>
      <c r="R587" s="33"/>
      <c r="S587" s="33"/>
      <c r="T587" s="33"/>
    </row>
    <row r="588" spans="1:20" ht="15.75">
      <c r="A588" s="13">
        <v>59809</v>
      </c>
      <c r="B588" s="41">
        <f t="shared" si="0"/>
        <v>30</v>
      </c>
      <c r="C588" s="32">
        <v>194.20500000000001</v>
      </c>
      <c r="D588" s="32">
        <v>267.46600000000001</v>
      </c>
      <c r="E588" s="38">
        <v>812.32899999999995</v>
      </c>
      <c r="F588" s="32">
        <v>1274</v>
      </c>
      <c r="G588" s="32">
        <v>50</v>
      </c>
      <c r="H588" s="40">
        <v>600</v>
      </c>
      <c r="I588" s="32">
        <v>695</v>
      </c>
      <c r="J588" s="32">
        <v>0</v>
      </c>
      <c r="K588" s="33"/>
      <c r="L588" s="33"/>
      <c r="M588" s="33"/>
      <c r="N588" s="33"/>
      <c r="O588" s="33"/>
      <c r="P588" s="33"/>
      <c r="Q588" s="33"/>
      <c r="R588" s="33"/>
      <c r="S588" s="33"/>
      <c r="T588" s="33"/>
    </row>
    <row r="589" spans="1:20" ht="15.75">
      <c r="A589" s="13">
        <v>59840</v>
      </c>
      <c r="B589" s="41">
        <f t="shared" si="0"/>
        <v>31</v>
      </c>
      <c r="C589" s="32">
        <v>131.881</v>
      </c>
      <c r="D589" s="32">
        <v>277.16699999999997</v>
      </c>
      <c r="E589" s="38">
        <v>829.952</v>
      </c>
      <c r="F589" s="32">
        <v>1239</v>
      </c>
      <c r="G589" s="32">
        <v>75</v>
      </c>
      <c r="H589" s="40">
        <v>600</v>
      </c>
      <c r="I589" s="32">
        <v>695</v>
      </c>
      <c r="J589" s="32">
        <v>0</v>
      </c>
      <c r="K589" s="33"/>
      <c r="L589" s="33"/>
      <c r="M589" s="33"/>
      <c r="N589" s="33"/>
      <c r="O589" s="33"/>
      <c r="P589" s="33"/>
      <c r="Q589" s="33"/>
      <c r="R589" s="33"/>
      <c r="S589" s="33"/>
      <c r="T589" s="33"/>
    </row>
    <row r="590" spans="1:20" ht="15.75">
      <c r="A590" s="13">
        <v>59870</v>
      </c>
      <c r="B590" s="41">
        <f t="shared" si="0"/>
        <v>30</v>
      </c>
      <c r="C590" s="32">
        <v>122.58</v>
      </c>
      <c r="D590" s="32">
        <v>297.94099999999997</v>
      </c>
      <c r="E590" s="38">
        <v>729.47900000000004</v>
      </c>
      <c r="F590" s="32">
        <v>1150</v>
      </c>
      <c r="G590" s="32">
        <v>100</v>
      </c>
      <c r="H590" s="40">
        <v>600</v>
      </c>
      <c r="I590" s="32">
        <v>695</v>
      </c>
      <c r="J590" s="32">
        <v>50</v>
      </c>
      <c r="K590" s="33"/>
      <c r="L590" s="33"/>
      <c r="M590" s="33"/>
      <c r="N590" s="33"/>
      <c r="O590" s="33"/>
      <c r="P590" s="33"/>
      <c r="Q590" s="33"/>
      <c r="R590" s="33"/>
      <c r="S590" s="33"/>
      <c r="T590" s="33"/>
    </row>
    <row r="591" spans="1:20" ht="15.75">
      <c r="A591" s="13">
        <v>59901</v>
      </c>
      <c r="B591" s="41">
        <f t="shared" si="0"/>
        <v>31</v>
      </c>
      <c r="C591" s="32">
        <v>122.58</v>
      </c>
      <c r="D591" s="32">
        <v>297.94099999999997</v>
      </c>
      <c r="E591" s="38">
        <v>729.47900000000004</v>
      </c>
      <c r="F591" s="32">
        <v>1150</v>
      </c>
      <c r="G591" s="32">
        <v>100</v>
      </c>
      <c r="H591" s="40">
        <v>600</v>
      </c>
      <c r="I591" s="32">
        <v>695</v>
      </c>
      <c r="J591" s="32">
        <v>50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</row>
    <row r="592" spans="1:20" ht="15.75">
      <c r="A592" s="13">
        <v>59932</v>
      </c>
      <c r="B592" s="41">
        <f t="shared" si="0"/>
        <v>31</v>
      </c>
      <c r="C592" s="32">
        <v>122.58</v>
      </c>
      <c r="D592" s="32">
        <v>297.94099999999997</v>
      </c>
      <c r="E592" s="38">
        <v>729.47900000000004</v>
      </c>
      <c r="F592" s="32">
        <v>1150</v>
      </c>
      <c r="G592" s="32">
        <v>100</v>
      </c>
      <c r="H592" s="40">
        <v>600</v>
      </c>
      <c r="I592" s="32">
        <v>695</v>
      </c>
      <c r="J592" s="32">
        <v>50</v>
      </c>
      <c r="K592" s="33"/>
      <c r="L592" s="33"/>
      <c r="M592" s="33"/>
      <c r="N592" s="33"/>
      <c r="O592" s="33"/>
      <c r="P592" s="33"/>
      <c r="Q592" s="33"/>
      <c r="R592" s="33"/>
      <c r="S592" s="33"/>
      <c r="T592" s="33"/>
    </row>
    <row r="593" spans="1:20" ht="15.75">
      <c r="A593" s="13">
        <v>59961</v>
      </c>
      <c r="B593" s="41">
        <f t="shared" si="0"/>
        <v>29</v>
      </c>
      <c r="C593" s="32">
        <v>122.58</v>
      </c>
      <c r="D593" s="32">
        <v>297.94099999999997</v>
      </c>
      <c r="E593" s="38">
        <v>729.47900000000004</v>
      </c>
      <c r="F593" s="32">
        <v>1150</v>
      </c>
      <c r="G593" s="32">
        <v>100</v>
      </c>
      <c r="H593" s="40">
        <v>600</v>
      </c>
      <c r="I593" s="32">
        <v>695</v>
      </c>
      <c r="J593" s="32">
        <v>50</v>
      </c>
      <c r="K593" s="33"/>
      <c r="L593" s="33"/>
      <c r="M593" s="33"/>
      <c r="N593" s="33"/>
      <c r="O593" s="33"/>
      <c r="P593" s="33"/>
      <c r="Q593" s="33"/>
      <c r="R593" s="33"/>
      <c r="S593" s="33"/>
      <c r="T593" s="33"/>
    </row>
    <row r="594" spans="1:20" ht="15.75">
      <c r="A594" s="13">
        <v>59992</v>
      </c>
      <c r="B594" s="41">
        <f t="shared" si="0"/>
        <v>31</v>
      </c>
      <c r="C594" s="32">
        <v>122.58</v>
      </c>
      <c r="D594" s="32">
        <v>297.94099999999997</v>
      </c>
      <c r="E594" s="38">
        <v>729.47900000000004</v>
      </c>
      <c r="F594" s="32">
        <v>1150</v>
      </c>
      <c r="G594" s="32">
        <v>100</v>
      </c>
      <c r="H594" s="40">
        <v>600</v>
      </c>
      <c r="I594" s="32">
        <v>695</v>
      </c>
      <c r="J594" s="32">
        <v>50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</row>
    <row r="595" spans="1:20" ht="15.75">
      <c r="A595" s="13">
        <v>60022</v>
      </c>
      <c r="B595" s="41">
        <f t="shared" si="0"/>
        <v>30</v>
      </c>
      <c r="C595" s="32">
        <v>141.29300000000001</v>
      </c>
      <c r="D595" s="32">
        <v>267.99299999999999</v>
      </c>
      <c r="E595" s="38">
        <v>829.71400000000006</v>
      </c>
      <c r="F595" s="32">
        <v>1239</v>
      </c>
      <c r="G595" s="32">
        <v>100</v>
      </c>
      <c r="H595" s="40">
        <v>600</v>
      </c>
      <c r="I595" s="32">
        <v>695</v>
      </c>
      <c r="J595" s="32">
        <v>50</v>
      </c>
      <c r="K595" s="33"/>
      <c r="L595" s="33"/>
      <c r="M595" s="33"/>
      <c r="N595" s="33"/>
      <c r="O595" s="33"/>
      <c r="P595" s="33"/>
      <c r="Q595" s="33"/>
      <c r="R595" s="33"/>
      <c r="S595" s="33"/>
      <c r="T595" s="33"/>
    </row>
    <row r="596" spans="1:20" ht="15.75">
      <c r="A596" s="13">
        <v>60053</v>
      </c>
      <c r="B596" s="41">
        <f t="shared" si="0"/>
        <v>31</v>
      </c>
      <c r="C596" s="32">
        <v>194.20500000000001</v>
      </c>
      <c r="D596" s="32">
        <v>267.46600000000001</v>
      </c>
      <c r="E596" s="38">
        <v>812.32899999999995</v>
      </c>
      <c r="F596" s="32">
        <v>1274</v>
      </c>
      <c r="G596" s="32">
        <v>75</v>
      </c>
      <c r="H596" s="40">
        <v>600</v>
      </c>
      <c r="I596" s="32">
        <v>695</v>
      </c>
      <c r="J596" s="32">
        <v>50</v>
      </c>
      <c r="K596" s="33"/>
      <c r="L596" s="33"/>
      <c r="M596" s="33"/>
      <c r="N596" s="33"/>
      <c r="O596" s="33"/>
      <c r="P596" s="33"/>
      <c r="Q596" s="33"/>
      <c r="R596" s="33"/>
      <c r="S596" s="33"/>
      <c r="T596" s="33"/>
    </row>
    <row r="597" spans="1:20" ht="15.75">
      <c r="A597" s="13">
        <v>60083</v>
      </c>
      <c r="B597" s="41">
        <f t="shared" si="0"/>
        <v>30</v>
      </c>
      <c r="C597" s="32">
        <v>194.20500000000001</v>
      </c>
      <c r="D597" s="32">
        <v>267.46600000000001</v>
      </c>
      <c r="E597" s="38">
        <v>812.32899999999995</v>
      </c>
      <c r="F597" s="32">
        <v>1274</v>
      </c>
      <c r="G597" s="32">
        <v>50</v>
      </c>
      <c r="H597" s="40">
        <v>600</v>
      </c>
      <c r="I597" s="32">
        <v>695</v>
      </c>
      <c r="J597" s="32">
        <v>50</v>
      </c>
      <c r="K597" s="33"/>
      <c r="L597" s="33"/>
      <c r="M597" s="33"/>
      <c r="N597" s="33"/>
      <c r="O597" s="33"/>
      <c r="P597" s="33"/>
      <c r="Q597" s="33"/>
      <c r="R597" s="33"/>
      <c r="S597" s="33"/>
      <c r="T597" s="33"/>
    </row>
    <row r="598" spans="1:20" ht="15.75">
      <c r="A598" s="13">
        <v>60114</v>
      </c>
      <c r="B598" s="41">
        <f t="shared" si="0"/>
        <v>31</v>
      </c>
      <c r="C598" s="32">
        <v>194.20500000000001</v>
      </c>
      <c r="D598" s="32">
        <v>267.46600000000001</v>
      </c>
      <c r="E598" s="38">
        <v>812.32899999999995</v>
      </c>
      <c r="F598" s="32">
        <v>1274</v>
      </c>
      <c r="G598" s="32">
        <v>50</v>
      </c>
      <c r="H598" s="40">
        <v>600</v>
      </c>
      <c r="I598" s="32">
        <v>695</v>
      </c>
      <c r="J598" s="32">
        <v>0</v>
      </c>
      <c r="K598" s="33"/>
      <c r="L598" s="33"/>
      <c r="M598" s="33"/>
      <c r="N598" s="33"/>
      <c r="O598" s="33"/>
      <c r="P598" s="33"/>
      <c r="Q598" s="33"/>
      <c r="R598" s="33"/>
      <c r="S598" s="33"/>
      <c r="T598" s="33"/>
    </row>
    <row r="599" spans="1:20" ht="15.75">
      <c r="A599" s="13">
        <v>60145</v>
      </c>
      <c r="B599" s="41">
        <f t="shared" si="0"/>
        <v>31</v>
      </c>
      <c r="C599" s="32">
        <v>194.20500000000001</v>
      </c>
      <c r="D599" s="32">
        <v>267.46600000000001</v>
      </c>
      <c r="E599" s="38">
        <v>812.32899999999995</v>
      </c>
      <c r="F599" s="32">
        <v>1274</v>
      </c>
      <c r="G599" s="32">
        <v>50</v>
      </c>
      <c r="H599" s="40">
        <v>600</v>
      </c>
      <c r="I599" s="32">
        <v>695</v>
      </c>
      <c r="J599" s="32">
        <v>0</v>
      </c>
      <c r="K599" s="33"/>
      <c r="L599" s="33"/>
      <c r="M599" s="33"/>
      <c r="N599" s="33"/>
      <c r="O599" s="33"/>
      <c r="P599" s="33"/>
      <c r="Q599" s="33"/>
      <c r="R599" s="33"/>
      <c r="S599" s="33"/>
      <c r="T599" s="33"/>
    </row>
    <row r="600" spans="1:20" ht="15.75">
      <c r="A600" s="13">
        <v>60175</v>
      </c>
      <c r="B600" s="41">
        <f t="shared" si="0"/>
        <v>30</v>
      </c>
      <c r="C600" s="32">
        <v>194.20500000000001</v>
      </c>
      <c r="D600" s="32">
        <v>267.46600000000001</v>
      </c>
      <c r="E600" s="38">
        <v>812.32899999999995</v>
      </c>
      <c r="F600" s="32">
        <v>1274</v>
      </c>
      <c r="G600" s="32">
        <v>50</v>
      </c>
      <c r="H600" s="40">
        <v>600</v>
      </c>
      <c r="I600" s="32">
        <v>695</v>
      </c>
      <c r="J600" s="32">
        <v>0</v>
      </c>
      <c r="K600" s="33"/>
      <c r="L600" s="33"/>
      <c r="M600" s="33"/>
      <c r="N600" s="33"/>
      <c r="O600" s="33"/>
      <c r="P600" s="33"/>
      <c r="Q600" s="33"/>
      <c r="R600" s="33"/>
      <c r="S600" s="33"/>
      <c r="T600" s="33"/>
    </row>
    <row r="601" spans="1:20" ht="15.75">
      <c r="A601" s="13">
        <v>60206</v>
      </c>
      <c r="B601" s="41">
        <f t="shared" si="0"/>
        <v>31</v>
      </c>
      <c r="C601" s="32">
        <v>131.881</v>
      </c>
      <c r="D601" s="32">
        <v>277.16699999999997</v>
      </c>
      <c r="E601" s="38">
        <v>829.952</v>
      </c>
      <c r="F601" s="32">
        <v>1239</v>
      </c>
      <c r="G601" s="32">
        <v>75</v>
      </c>
      <c r="H601" s="40">
        <v>600</v>
      </c>
      <c r="I601" s="32">
        <v>695</v>
      </c>
      <c r="J601" s="32">
        <v>0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</row>
    <row r="602" spans="1:20" ht="15.75">
      <c r="A602" s="13">
        <v>60236</v>
      </c>
      <c r="B602" s="41">
        <f t="shared" si="0"/>
        <v>30</v>
      </c>
      <c r="C602" s="32">
        <v>122.58</v>
      </c>
      <c r="D602" s="32">
        <v>297.94099999999997</v>
      </c>
      <c r="E602" s="38">
        <v>729.47900000000004</v>
      </c>
      <c r="F602" s="32">
        <v>1150</v>
      </c>
      <c r="G602" s="32">
        <v>100</v>
      </c>
      <c r="H602" s="40">
        <v>600</v>
      </c>
      <c r="I602" s="32">
        <v>695</v>
      </c>
      <c r="J602" s="32">
        <v>50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</row>
    <row r="603" spans="1:20" ht="15.75">
      <c r="A603" s="13">
        <v>60267</v>
      </c>
      <c r="B603" s="41">
        <f t="shared" si="0"/>
        <v>31</v>
      </c>
      <c r="C603" s="32">
        <v>122.58</v>
      </c>
      <c r="D603" s="32">
        <v>297.94099999999997</v>
      </c>
      <c r="E603" s="38">
        <v>729.47900000000004</v>
      </c>
      <c r="F603" s="32">
        <v>1150</v>
      </c>
      <c r="G603" s="32">
        <v>100</v>
      </c>
      <c r="H603" s="40">
        <v>600</v>
      </c>
      <c r="I603" s="32">
        <v>695</v>
      </c>
      <c r="J603" s="32">
        <v>50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</row>
    <row r="604" spans="1:20" ht="15.75">
      <c r="A604" s="13">
        <v>60298</v>
      </c>
      <c r="B604" s="41">
        <f t="shared" si="0"/>
        <v>31</v>
      </c>
      <c r="C604" s="32">
        <v>122.58</v>
      </c>
      <c r="D604" s="32">
        <v>297.94099999999997</v>
      </c>
      <c r="E604" s="38">
        <v>729.47900000000004</v>
      </c>
      <c r="F604" s="32">
        <v>1150</v>
      </c>
      <c r="G604" s="32">
        <v>100</v>
      </c>
      <c r="H604" s="40">
        <v>600</v>
      </c>
      <c r="I604" s="32">
        <v>695</v>
      </c>
      <c r="J604" s="32">
        <v>50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</row>
    <row r="605" spans="1:20" ht="15.75">
      <c r="A605" s="13">
        <v>60326</v>
      </c>
      <c r="B605" s="41">
        <f t="shared" si="0"/>
        <v>28</v>
      </c>
      <c r="C605" s="32">
        <v>122.58</v>
      </c>
      <c r="D605" s="32">
        <v>297.94099999999997</v>
      </c>
      <c r="E605" s="38">
        <v>729.47900000000004</v>
      </c>
      <c r="F605" s="32">
        <v>1150</v>
      </c>
      <c r="G605" s="32">
        <v>100</v>
      </c>
      <c r="H605" s="40">
        <v>600</v>
      </c>
      <c r="I605" s="32">
        <v>695</v>
      </c>
      <c r="J605" s="32">
        <v>50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</row>
    <row r="606" spans="1:20" ht="15.75">
      <c r="A606" s="13">
        <v>60357</v>
      </c>
      <c r="B606" s="41">
        <f t="shared" si="0"/>
        <v>31</v>
      </c>
      <c r="C606" s="32">
        <v>122.58</v>
      </c>
      <c r="D606" s="32">
        <v>297.94099999999997</v>
      </c>
      <c r="E606" s="38">
        <v>729.47900000000004</v>
      </c>
      <c r="F606" s="32">
        <v>1150</v>
      </c>
      <c r="G606" s="32">
        <v>100</v>
      </c>
      <c r="H606" s="40">
        <v>600</v>
      </c>
      <c r="I606" s="32">
        <v>695</v>
      </c>
      <c r="J606" s="32">
        <v>50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</row>
    <row r="607" spans="1:20" ht="15.75">
      <c r="A607" s="13">
        <v>60387</v>
      </c>
      <c r="B607" s="41">
        <f t="shared" si="0"/>
        <v>30</v>
      </c>
      <c r="C607" s="32">
        <v>141.29300000000001</v>
      </c>
      <c r="D607" s="32">
        <v>267.99299999999999</v>
      </c>
      <c r="E607" s="38">
        <v>829.71400000000006</v>
      </c>
      <c r="F607" s="32">
        <v>1239</v>
      </c>
      <c r="G607" s="32">
        <v>100</v>
      </c>
      <c r="H607" s="40">
        <v>600</v>
      </c>
      <c r="I607" s="32">
        <v>695</v>
      </c>
      <c r="J607" s="32">
        <v>50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</row>
    <row r="608" spans="1:20" ht="15.75">
      <c r="A608" s="13">
        <v>60418</v>
      </c>
      <c r="B608" s="41">
        <f t="shared" si="0"/>
        <v>31</v>
      </c>
      <c r="C608" s="32">
        <v>194.20500000000001</v>
      </c>
      <c r="D608" s="32">
        <v>267.46600000000001</v>
      </c>
      <c r="E608" s="38">
        <v>812.32899999999995</v>
      </c>
      <c r="F608" s="32">
        <v>1274</v>
      </c>
      <c r="G608" s="32">
        <v>75</v>
      </c>
      <c r="H608" s="40">
        <v>600</v>
      </c>
      <c r="I608" s="32">
        <v>695</v>
      </c>
      <c r="J608" s="32">
        <v>50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</row>
    <row r="609" spans="1:20" ht="15.75">
      <c r="A609" s="13">
        <v>60448</v>
      </c>
      <c r="B609" s="41">
        <f t="shared" si="0"/>
        <v>30</v>
      </c>
      <c r="C609" s="32">
        <v>194.20500000000001</v>
      </c>
      <c r="D609" s="32">
        <v>267.46600000000001</v>
      </c>
      <c r="E609" s="38">
        <v>812.32899999999995</v>
      </c>
      <c r="F609" s="32">
        <v>1274</v>
      </c>
      <c r="G609" s="32">
        <v>50</v>
      </c>
      <c r="H609" s="40">
        <v>600</v>
      </c>
      <c r="I609" s="32">
        <v>695</v>
      </c>
      <c r="J609" s="32">
        <v>50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</row>
    <row r="610" spans="1:20" ht="15.75">
      <c r="A610" s="13">
        <v>60479</v>
      </c>
      <c r="B610" s="41">
        <f t="shared" si="0"/>
        <v>31</v>
      </c>
      <c r="C610" s="32">
        <v>194.20500000000001</v>
      </c>
      <c r="D610" s="32">
        <v>267.46600000000001</v>
      </c>
      <c r="E610" s="38">
        <v>812.32899999999995</v>
      </c>
      <c r="F610" s="32">
        <v>1274</v>
      </c>
      <c r="G610" s="32">
        <v>50</v>
      </c>
      <c r="H610" s="40">
        <v>600</v>
      </c>
      <c r="I610" s="32">
        <v>695</v>
      </c>
      <c r="J610" s="32">
        <v>0</v>
      </c>
      <c r="K610" s="33"/>
      <c r="L610" s="33"/>
      <c r="M610" s="33"/>
      <c r="N610" s="33"/>
      <c r="O610" s="33"/>
      <c r="P610" s="33"/>
      <c r="Q610" s="33"/>
      <c r="R610" s="33"/>
      <c r="S610" s="33"/>
      <c r="T610" s="33"/>
    </row>
    <row r="611" spans="1:20" ht="15.75">
      <c r="A611" s="13">
        <v>60510</v>
      </c>
      <c r="B611" s="41">
        <f t="shared" si="0"/>
        <v>31</v>
      </c>
      <c r="C611" s="32">
        <v>194.20500000000001</v>
      </c>
      <c r="D611" s="32">
        <v>267.46600000000001</v>
      </c>
      <c r="E611" s="38">
        <v>812.32899999999995</v>
      </c>
      <c r="F611" s="32">
        <v>1274</v>
      </c>
      <c r="G611" s="32">
        <v>50</v>
      </c>
      <c r="H611" s="40">
        <v>600</v>
      </c>
      <c r="I611" s="32">
        <v>695</v>
      </c>
      <c r="J611" s="32">
        <v>0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</row>
    <row r="612" spans="1:20" ht="15.75">
      <c r="A612" s="13">
        <v>60540</v>
      </c>
      <c r="B612" s="41">
        <f t="shared" si="0"/>
        <v>30</v>
      </c>
      <c r="C612" s="32">
        <v>194.20500000000001</v>
      </c>
      <c r="D612" s="32">
        <v>267.46600000000001</v>
      </c>
      <c r="E612" s="38">
        <v>812.32899999999995</v>
      </c>
      <c r="F612" s="32">
        <v>1274</v>
      </c>
      <c r="G612" s="32">
        <v>50</v>
      </c>
      <c r="H612" s="40">
        <v>600</v>
      </c>
      <c r="I612" s="32">
        <v>695</v>
      </c>
      <c r="J612" s="32">
        <v>0</v>
      </c>
      <c r="K612" s="33"/>
      <c r="L612" s="33"/>
      <c r="M612" s="33"/>
      <c r="N612" s="33"/>
      <c r="O612" s="33"/>
      <c r="P612" s="33"/>
      <c r="Q612" s="33"/>
      <c r="R612" s="33"/>
      <c r="S612" s="33"/>
      <c r="T612" s="33"/>
    </row>
    <row r="613" spans="1:20" ht="15.75">
      <c r="A613" s="13">
        <v>60571</v>
      </c>
      <c r="B613" s="41">
        <f t="shared" si="0"/>
        <v>31</v>
      </c>
      <c r="C613" s="32">
        <v>131.881</v>
      </c>
      <c r="D613" s="32">
        <v>277.16699999999997</v>
      </c>
      <c r="E613" s="38">
        <v>829.952</v>
      </c>
      <c r="F613" s="32">
        <v>1239</v>
      </c>
      <c r="G613" s="32">
        <v>75</v>
      </c>
      <c r="H613" s="40">
        <v>600</v>
      </c>
      <c r="I613" s="32">
        <v>695</v>
      </c>
      <c r="J613" s="32">
        <v>0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</row>
    <row r="614" spans="1:20" ht="15.75">
      <c r="A614" s="13">
        <v>60601</v>
      </c>
      <c r="B614" s="41">
        <f t="shared" si="0"/>
        <v>30</v>
      </c>
      <c r="C614" s="32">
        <v>122.58</v>
      </c>
      <c r="D614" s="32">
        <v>297.94099999999997</v>
      </c>
      <c r="E614" s="38">
        <v>729.47900000000004</v>
      </c>
      <c r="F614" s="32">
        <v>1150</v>
      </c>
      <c r="G614" s="32">
        <v>100</v>
      </c>
      <c r="H614" s="40">
        <v>600</v>
      </c>
      <c r="I614" s="32">
        <v>695</v>
      </c>
      <c r="J614" s="32">
        <v>50</v>
      </c>
      <c r="K614" s="33"/>
      <c r="L614" s="33"/>
      <c r="M614" s="33"/>
      <c r="N614" s="33"/>
      <c r="O614" s="33"/>
      <c r="P614" s="33"/>
      <c r="Q614" s="33"/>
      <c r="R614" s="33"/>
      <c r="S614" s="33"/>
      <c r="T614" s="33"/>
    </row>
    <row r="615" spans="1:20" ht="15.75">
      <c r="A615" s="13">
        <v>60632</v>
      </c>
      <c r="B615" s="41">
        <f t="shared" si="0"/>
        <v>31</v>
      </c>
      <c r="C615" s="32">
        <v>122.58</v>
      </c>
      <c r="D615" s="32">
        <v>297.94099999999997</v>
      </c>
      <c r="E615" s="38">
        <v>729.47900000000004</v>
      </c>
      <c r="F615" s="32">
        <v>1150</v>
      </c>
      <c r="G615" s="32">
        <v>100</v>
      </c>
      <c r="H615" s="40">
        <v>600</v>
      </c>
      <c r="I615" s="32">
        <v>695</v>
      </c>
      <c r="J615" s="32">
        <v>50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</row>
    <row r="616" spans="1:20" ht="15.75">
      <c r="A616" s="13">
        <v>60663</v>
      </c>
      <c r="B616" s="41">
        <f t="shared" si="0"/>
        <v>31</v>
      </c>
      <c r="C616" s="32">
        <v>122.58</v>
      </c>
      <c r="D616" s="32">
        <v>297.94099999999997</v>
      </c>
      <c r="E616" s="38">
        <v>729.47900000000004</v>
      </c>
      <c r="F616" s="32">
        <v>1150</v>
      </c>
      <c r="G616" s="32">
        <v>100</v>
      </c>
      <c r="H616" s="40">
        <v>600</v>
      </c>
      <c r="I616" s="32">
        <v>695</v>
      </c>
      <c r="J616" s="32">
        <v>50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</row>
    <row r="617" spans="1:20" ht="15.75">
      <c r="A617" s="13">
        <v>60691</v>
      </c>
      <c r="B617" s="41">
        <f t="shared" si="0"/>
        <v>28</v>
      </c>
      <c r="C617" s="32">
        <v>122.58</v>
      </c>
      <c r="D617" s="32">
        <v>297.94099999999997</v>
      </c>
      <c r="E617" s="38">
        <v>729.47900000000004</v>
      </c>
      <c r="F617" s="32">
        <v>1150</v>
      </c>
      <c r="G617" s="32">
        <v>100</v>
      </c>
      <c r="H617" s="40">
        <v>600</v>
      </c>
      <c r="I617" s="32">
        <v>695</v>
      </c>
      <c r="J617" s="32">
        <v>50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</row>
    <row r="618" spans="1:20" ht="15.75">
      <c r="A618" s="13">
        <v>60722</v>
      </c>
      <c r="B618" s="41">
        <f t="shared" si="0"/>
        <v>31</v>
      </c>
      <c r="C618" s="32">
        <v>122.58</v>
      </c>
      <c r="D618" s="32">
        <v>297.94099999999997</v>
      </c>
      <c r="E618" s="38">
        <v>729.47900000000004</v>
      </c>
      <c r="F618" s="32">
        <v>1150</v>
      </c>
      <c r="G618" s="32">
        <v>100</v>
      </c>
      <c r="H618" s="40">
        <v>600</v>
      </c>
      <c r="I618" s="32">
        <v>695</v>
      </c>
      <c r="J618" s="32">
        <v>50</v>
      </c>
      <c r="K618" s="33"/>
      <c r="L618" s="33"/>
      <c r="M618" s="33"/>
      <c r="N618" s="33"/>
      <c r="O618" s="33"/>
      <c r="P618" s="33"/>
      <c r="Q618" s="33"/>
      <c r="R618" s="33"/>
      <c r="S618" s="33"/>
      <c r="T618" s="33"/>
    </row>
    <row r="619" spans="1:20" ht="15.75">
      <c r="A619" s="13">
        <v>60752</v>
      </c>
      <c r="B619" s="41">
        <f t="shared" si="0"/>
        <v>30</v>
      </c>
      <c r="C619" s="32">
        <v>141.29300000000001</v>
      </c>
      <c r="D619" s="32">
        <v>267.99299999999999</v>
      </c>
      <c r="E619" s="38">
        <v>829.71400000000006</v>
      </c>
      <c r="F619" s="32">
        <v>1239</v>
      </c>
      <c r="G619" s="32">
        <v>100</v>
      </c>
      <c r="H619" s="40">
        <v>600</v>
      </c>
      <c r="I619" s="32">
        <v>695</v>
      </c>
      <c r="J619" s="32">
        <v>50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</row>
    <row r="620" spans="1:20" ht="15.75">
      <c r="A620" s="13">
        <v>60783</v>
      </c>
      <c r="B620" s="41">
        <f t="shared" si="0"/>
        <v>31</v>
      </c>
      <c r="C620" s="32">
        <v>194.20500000000001</v>
      </c>
      <c r="D620" s="32">
        <v>267.46600000000001</v>
      </c>
      <c r="E620" s="38">
        <v>812.32899999999995</v>
      </c>
      <c r="F620" s="32">
        <v>1274</v>
      </c>
      <c r="G620" s="32">
        <v>75</v>
      </c>
      <c r="H620" s="40">
        <v>600</v>
      </c>
      <c r="I620" s="32">
        <v>695</v>
      </c>
      <c r="J620" s="32">
        <v>50</v>
      </c>
      <c r="K620" s="33"/>
      <c r="L620" s="33"/>
      <c r="M620" s="33"/>
      <c r="N620" s="33"/>
      <c r="O620" s="33"/>
      <c r="P620" s="33"/>
      <c r="Q620" s="33"/>
      <c r="R620" s="33"/>
      <c r="S620" s="33"/>
      <c r="T620" s="33"/>
    </row>
    <row r="621" spans="1:20" ht="15.75">
      <c r="A621" s="13">
        <v>60813</v>
      </c>
      <c r="B621" s="41">
        <f t="shared" si="0"/>
        <v>30</v>
      </c>
      <c r="C621" s="32">
        <v>194.20500000000001</v>
      </c>
      <c r="D621" s="32">
        <v>267.46600000000001</v>
      </c>
      <c r="E621" s="38">
        <v>812.32899999999995</v>
      </c>
      <c r="F621" s="32">
        <v>1274</v>
      </c>
      <c r="G621" s="32">
        <v>50</v>
      </c>
      <c r="H621" s="40">
        <v>600</v>
      </c>
      <c r="I621" s="32">
        <v>695</v>
      </c>
      <c r="J621" s="32">
        <v>50</v>
      </c>
      <c r="K621" s="33"/>
      <c r="L621" s="33"/>
      <c r="M621" s="33"/>
      <c r="N621" s="33"/>
      <c r="O621" s="33"/>
      <c r="P621" s="33"/>
      <c r="Q621" s="33"/>
      <c r="R621" s="33"/>
      <c r="S621" s="33"/>
      <c r="T621" s="33"/>
    </row>
    <row r="622" spans="1:20" ht="15.75">
      <c r="A622" s="13">
        <v>60844</v>
      </c>
      <c r="B622" s="41">
        <f t="shared" si="0"/>
        <v>31</v>
      </c>
      <c r="C622" s="32">
        <v>194.20500000000001</v>
      </c>
      <c r="D622" s="32">
        <v>267.46600000000001</v>
      </c>
      <c r="E622" s="38">
        <v>812.32899999999995</v>
      </c>
      <c r="F622" s="32">
        <v>1274</v>
      </c>
      <c r="G622" s="32">
        <v>50</v>
      </c>
      <c r="H622" s="40">
        <v>600</v>
      </c>
      <c r="I622" s="32">
        <v>695</v>
      </c>
      <c r="J622" s="32">
        <v>0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</row>
    <row r="623" spans="1:20" ht="15.75">
      <c r="A623" s="13">
        <v>60875</v>
      </c>
      <c r="B623" s="41">
        <f t="shared" si="0"/>
        <v>31</v>
      </c>
      <c r="C623" s="32">
        <v>194.20500000000001</v>
      </c>
      <c r="D623" s="32">
        <v>267.46600000000001</v>
      </c>
      <c r="E623" s="38">
        <v>812.32899999999995</v>
      </c>
      <c r="F623" s="32">
        <v>1274</v>
      </c>
      <c r="G623" s="32">
        <v>50</v>
      </c>
      <c r="H623" s="40">
        <v>600</v>
      </c>
      <c r="I623" s="32">
        <v>695</v>
      </c>
      <c r="J623" s="32">
        <v>0</v>
      </c>
      <c r="K623" s="33"/>
      <c r="L623" s="33"/>
      <c r="M623" s="33"/>
      <c r="N623" s="33"/>
      <c r="O623" s="33"/>
      <c r="P623" s="33"/>
      <c r="Q623" s="33"/>
      <c r="R623" s="33"/>
      <c r="S623" s="33"/>
      <c r="T623" s="33"/>
    </row>
    <row r="624" spans="1:20" ht="15.75">
      <c r="A624" s="13">
        <v>60905</v>
      </c>
      <c r="B624" s="41">
        <f t="shared" si="0"/>
        <v>30</v>
      </c>
      <c r="C624" s="32">
        <v>194.20500000000001</v>
      </c>
      <c r="D624" s="32">
        <v>267.46600000000001</v>
      </c>
      <c r="E624" s="38">
        <v>812.32899999999995</v>
      </c>
      <c r="F624" s="32">
        <v>1274</v>
      </c>
      <c r="G624" s="32">
        <v>50</v>
      </c>
      <c r="H624" s="40">
        <v>600</v>
      </c>
      <c r="I624" s="32">
        <v>695</v>
      </c>
      <c r="J624" s="32">
        <v>0</v>
      </c>
      <c r="K624" s="33"/>
      <c r="L624" s="33"/>
      <c r="M624" s="33"/>
      <c r="N624" s="33"/>
      <c r="O624" s="33"/>
      <c r="P624" s="33"/>
      <c r="Q624" s="33"/>
      <c r="R624" s="33"/>
      <c r="S624" s="33"/>
      <c r="T624" s="33"/>
    </row>
    <row r="625" spans="1:20" ht="15.75">
      <c r="A625" s="13">
        <v>60936</v>
      </c>
      <c r="B625" s="41">
        <f t="shared" si="0"/>
        <v>31</v>
      </c>
      <c r="C625" s="32">
        <v>131.881</v>
      </c>
      <c r="D625" s="32">
        <v>277.16699999999997</v>
      </c>
      <c r="E625" s="38">
        <v>829.952</v>
      </c>
      <c r="F625" s="32">
        <v>1239</v>
      </c>
      <c r="G625" s="32">
        <v>75</v>
      </c>
      <c r="H625" s="40">
        <v>600</v>
      </c>
      <c r="I625" s="32">
        <v>695</v>
      </c>
      <c r="J625" s="32">
        <v>0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</row>
    <row r="626" spans="1:20" ht="15.75">
      <c r="A626" s="13">
        <v>60966</v>
      </c>
      <c r="B626" s="41">
        <f t="shared" si="0"/>
        <v>30</v>
      </c>
      <c r="C626" s="32">
        <v>122.58</v>
      </c>
      <c r="D626" s="32">
        <v>297.94099999999997</v>
      </c>
      <c r="E626" s="38">
        <v>729.47900000000004</v>
      </c>
      <c r="F626" s="32">
        <v>1150</v>
      </c>
      <c r="G626" s="32">
        <v>100</v>
      </c>
      <c r="H626" s="40">
        <v>600</v>
      </c>
      <c r="I626" s="32">
        <v>695</v>
      </c>
      <c r="J626" s="32">
        <v>50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</row>
    <row r="627" spans="1:20" ht="15.75">
      <c r="A627" s="13">
        <v>60997</v>
      </c>
      <c r="B627" s="41">
        <f t="shared" si="0"/>
        <v>31</v>
      </c>
      <c r="C627" s="32">
        <v>122.58</v>
      </c>
      <c r="D627" s="32">
        <v>297.94099999999997</v>
      </c>
      <c r="E627" s="38">
        <v>729.47900000000004</v>
      </c>
      <c r="F627" s="32">
        <v>1150</v>
      </c>
      <c r="G627" s="32">
        <v>100</v>
      </c>
      <c r="H627" s="40">
        <v>600</v>
      </c>
      <c r="I627" s="32">
        <v>695</v>
      </c>
      <c r="J627" s="32">
        <v>50</v>
      </c>
      <c r="K627" s="33"/>
      <c r="L627" s="33"/>
      <c r="M627" s="33"/>
      <c r="N627" s="33"/>
      <c r="O627" s="33"/>
      <c r="P627" s="33"/>
      <c r="Q627" s="33"/>
      <c r="R627" s="33"/>
      <c r="S627" s="33"/>
      <c r="T627" s="33"/>
    </row>
    <row r="628" spans="1:20" ht="15.75">
      <c r="A628" s="13">
        <v>61028</v>
      </c>
      <c r="B628" s="41">
        <f t="shared" si="0"/>
        <v>31</v>
      </c>
      <c r="C628" s="32">
        <v>122.58</v>
      </c>
      <c r="D628" s="32">
        <v>297.94099999999997</v>
      </c>
      <c r="E628" s="38">
        <v>729.47900000000004</v>
      </c>
      <c r="F628" s="32">
        <v>1150</v>
      </c>
      <c r="G628" s="32">
        <v>100</v>
      </c>
      <c r="H628" s="40">
        <v>600</v>
      </c>
      <c r="I628" s="32">
        <v>695</v>
      </c>
      <c r="J628" s="32">
        <v>50</v>
      </c>
      <c r="K628" s="33"/>
      <c r="L628" s="33"/>
      <c r="M628" s="33"/>
      <c r="N628" s="33"/>
      <c r="O628" s="33"/>
      <c r="P628" s="33"/>
      <c r="Q628" s="33"/>
      <c r="R628" s="33"/>
      <c r="S628" s="33"/>
      <c r="T628" s="33"/>
    </row>
    <row r="629" spans="1:20" ht="15.75">
      <c r="A629" s="13">
        <v>61056</v>
      </c>
      <c r="B629" s="41">
        <f t="shared" si="0"/>
        <v>28</v>
      </c>
      <c r="C629" s="32">
        <v>122.58</v>
      </c>
      <c r="D629" s="32">
        <v>297.94099999999997</v>
      </c>
      <c r="E629" s="38">
        <v>729.47900000000004</v>
      </c>
      <c r="F629" s="32">
        <v>1150</v>
      </c>
      <c r="G629" s="32">
        <v>100</v>
      </c>
      <c r="H629" s="40">
        <v>600</v>
      </c>
      <c r="I629" s="32">
        <v>695</v>
      </c>
      <c r="J629" s="32">
        <v>50</v>
      </c>
      <c r="K629" s="33"/>
      <c r="L629" s="33"/>
      <c r="M629" s="33"/>
      <c r="N629" s="33"/>
      <c r="O629" s="33"/>
      <c r="P629" s="33"/>
      <c r="Q629" s="33"/>
      <c r="R629" s="33"/>
      <c r="S629" s="33"/>
      <c r="T629" s="33"/>
    </row>
    <row r="630" spans="1:20" ht="15.75">
      <c r="A630" s="13">
        <v>61087</v>
      </c>
      <c r="B630" s="41">
        <f t="shared" si="0"/>
        <v>31</v>
      </c>
      <c r="C630" s="32">
        <v>122.58</v>
      </c>
      <c r="D630" s="32">
        <v>297.94099999999997</v>
      </c>
      <c r="E630" s="38">
        <v>729.47900000000004</v>
      </c>
      <c r="F630" s="32">
        <v>1150</v>
      </c>
      <c r="G630" s="32">
        <v>100</v>
      </c>
      <c r="H630" s="40">
        <v>600</v>
      </c>
      <c r="I630" s="32">
        <v>695</v>
      </c>
      <c r="J630" s="32">
        <v>50</v>
      </c>
      <c r="K630" s="33"/>
      <c r="L630" s="33"/>
      <c r="M630" s="33"/>
      <c r="N630" s="33"/>
      <c r="O630" s="33"/>
      <c r="P630" s="33"/>
      <c r="Q630" s="33"/>
      <c r="R630" s="33"/>
      <c r="S630" s="33"/>
      <c r="T630" s="33"/>
    </row>
    <row r="631" spans="1:20" ht="15.75">
      <c r="A631" s="13">
        <v>61117</v>
      </c>
      <c r="B631" s="41">
        <f t="shared" si="0"/>
        <v>30</v>
      </c>
      <c r="C631" s="32">
        <v>141.29300000000001</v>
      </c>
      <c r="D631" s="32">
        <v>267.99299999999999</v>
      </c>
      <c r="E631" s="38">
        <v>829.71400000000006</v>
      </c>
      <c r="F631" s="32">
        <v>1239</v>
      </c>
      <c r="G631" s="32">
        <v>100</v>
      </c>
      <c r="H631" s="40">
        <v>600</v>
      </c>
      <c r="I631" s="32">
        <v>695</v>
      </c>
      <c r="J631" s="32">
        <v>50</v>
      </c>
      <c r="K631" s="33"/>
      <c r="L631" s="33"/>
      <c r="M631" s="33"/>
      <c r="N631" s="33"/>
      <c r="O631" s="33"/>
      <c r="P631" s="33"/>
      <c r="Q631" s="33"/>
      <c r="R631" s="33"/>
      <c r="S631" s="33"/>
      <c r="T631" s="33"/>
    </row>
    <row r="632" spans="1:20" ht="15.75">
      <c r="A632" s="13">
        <v>61148</v>
      </c>
      <c r="B632" s="41">
        <f t="shared" ref="B632:B695" si="1">EOMONTH(A632,0)-EOMONTH(A632,-1)</f>
        <v>31</v>
      </c>
      <c r="C632" s="32">
        <v>194.20500000000001</v>
      </c>
      <c r="D632" s="32">
        <v>267.46600000000001</v>
      </c>
      <c r="E632" s="38">
        <v>812.32899999999995</v>
      </c>
      <c r="F632" s="32">
        <v>1274</v>
      </c>
      <c r="G632" s="32">
        <v>75</v>
      </c>
      <c r="H632" s="40">
        <v>600</v>
      </c>
      <c r="I632" s="32">
        <v>695</v>
      </c>
      <c r="J632" s="32">
        <v>50</v>
      </c>
      <c r="K632" s="33"/>
      <c r="L632" s="33"/>
      <c r="M632" s="33"/>
      <c r="N632" s="33"/>
      <c r="O632" s="33"/>
      <c r="P632" s="33"/>
      <c r="Q632" s="33"/>
      <c r="R632" s="33"/>
      <c r="S632" s="33"/>
      <c r="T632" s="33"/>
    </row>
    <row r="633" spans="1:20" ht="15.75">
      <c r="A633" s="13">
        <v>61178</v>
      </c>
      <c r="B633" s="41">
        <f t="shared" si="1"/>
        <v>30</v>
      </c>
      <c r="C633" s="32">
        <v>194.20500000000001</v>
      </c>
      <c r="D633" s="32">
        <v>267.46600000000001</v>
      </c>
      <c r="E633" s="38">
        <v>812.32899999999995</v>
      </c>
      <c r="F633" s="32">
        <v>1274</v>
      </c>
      <c r="G633" s="32">
        <v>50</v>
      </c>
      <c r="H633" s="40">
        <v>600</v>
      </c>
      <c r="I633" s="32">
        <v>695</v>
      </c>
      <c r="J633" s="32">
        <v>50</v>
      </c>
      <c r="K633" s="33"/>
      <c r="L633" s="33"/>
      <c r="M633" s="33"/>
      <c r="N633" s="33"/>
      <c r="O633" s="33"/>
      <c r="P633" s="33"/>
      <c r="Q633" s="33"/>
      <c r="R633" s="33"/>
      <c r="S633" s="33"/>
      <c r="T633" s="33"/>
    </row>
    <row r="634" spans="1:20" ht="15.75">
      <c r="A634" s="13">
        <v>61209</v>
      </c>
      <c r="B634" s="41">
        <f t="shared" si="1"/>
        <v>31</v>
      </c>
      <c r="C634" s="32">
        <v>194.20500000000001</v>
      </c>
      <c r="D634" s="32">
        <v>267.46600000000001</v>
      </c>
      <c r="E634" s="38">
        <v>812.32899999999995</v>
      </c>
      <c r="F634" s="32">
        <v>1274</v>
      </c>
      <c r="G634" s="32">
        <v>50</v>
      </c>
      <c r="H634" s="40">
        <v>600</v>
      </c>
      <c r="I634" s="32">
        <v>695</v>
      </c>
      <c r="J634" s="32">
        <v>0</v>
      </c>
      <c r="K634" s="33"/>
      <c r="L634" s="33"/>
      <c r="M634" s="33"/>
      <c r="N634" s="33"/>
      <c r="O634" s="33"/>
      <c r="P634" s="33"/>
      <c r="Q634" s="33"/>
      <c r="R634" s="33"/>
      <c r="S634" s="33"/>
      <c r="T634" s="33"/>
    </row>
    <row r="635" spans="1:20" ht="15.75">
      <c r="A635" s="13">
        <v>61240</v>
      </c>
      <c r="B635" s="41">
        <f t="shared" si="1"/>
        <v>31</v>
      </c>
      <c r="C635" s="32">
        <v>194.20500000000001</v>
      </c>
      <c r="D635" s="32">
        <v>267.46600000000001</v>
      </c>
      <c r="E635" s="38">
        <v>812.32899999999995</v>
      </c>
      <c r="F635" s="32">
        <v>1274</v>
      </c>
      <c r="G635" s="32">
        <v>50</v>
      </c>
      <c r="H635" s="40">
        <v>600</v>
      </c>
      <c r="I635" s="32">
        <v>695</v>
      </c>
      <c r="J635" s="32">
        <v>0</v>
      </c>
      <c r="K635" s="33"/>
      <c r="L635" s="33"/>
      <c r="M635" s="33"/>
      <c r="N635" s="33"/>
      <c r="O635" s="33"/>
      <c r="P635" s="33"/>
      <c r="Q635" s="33"/>
      <c r="R635" s="33"/>
      <c r="S635" s="33"/>
      <c r="T635" s="33"/>
    </row>
    <row r="636" spans="1:20" ht="15.75">
      <c r="A636" s="13">
        <v>61270</v>
      </c>
      <c r="B636" s="41">
        <f t="shared" si="1"/>
        <v>30</v>
      </c>
      <c r="C636" s="32">
        <v>194.20500000000001</v>
      </c>
      <c r="D636" s="32">
        <v>267.46600000000001</v>
      </c>
      <c r="E636" s="38">
        <v>812.32899999999995</v>
      </c>
      <c r="F636" s="32">
        <v>1274</v>
      </c>
      <c r="G636" s="32">
        <v>50</v>
      </c>
      <c r="H636" s="40">
        <v>600</v>
      </c>
      <c r="I636" s="32">
        <v>695</v>
      </c>
      <c r="J636" s="32">
        <v>0</v>
      </c>
      <c r="K636" s="33"/>
      <c r="L636" s="33"/>
      <c r="M636" s="33"/>
      <c r="N636" s="33"/>
      <c r="O636" s="33"/>
      <c r="P636" s="33"/>
      <c r="Q636" s="33"/>
      <c r="R636" s="33"/>
      <c r="S636" s="33"/>
      <c r="T636" s="33"/>
    </row>
    <row r="637" spans="1:20" ht="15.75">
      <c r="A637" s="13">
        <v>61301</v>
      </c>
      <c r="B637" s="41">
        <f t="shared" si="1"/>
        <v>31</v>
      </c>
      <c r="C637" s="32">
        <v>131.881</v>
      </c>
      <c r="D637" s="32">
        <v>277.16699999999997</v>
      </c>
      <c r="E637" s="38">
        <v>829.952</v>
      </c>
      <c r="F637" s="32">
        <v>1239</v>
      </c>
      <c r="G637" s="32">
        <v>75</v>
      </c>
      <c r="H637" s="40">
        <v>600</v>
      </c>
      <c r="I637" s="32">
        <v>695</v>
      </c>
      <c r="J637" s="32">
        <v>0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</row>
    <row r="638" spans="1:20" ht="15.75">
      <c r="A638" s="13">
        <v>61331</v>
      </c>
      <c r="B638" s="41">
        <f t="shared" si="1"/>
        <v>30</v>
      </c>
      <c r="C638" s="32">
        <v>122.58</v>
      </c>
      <c r="D638" s="32">
        <v>297.94099999999997</v>
      </c>
      <c r="E638" s="38">
        <v>729.47900000000004</v>
      </c>
      <c r="F638" s="32">
        <v>1150</v>
      </c>
      <c r="G638" s="32">
        <v>100</v>
      </c>
      <c r="H638" s="40">
        <v>600</v>
      </c>
      <c r="I638" s="32">
        <v>695</v>
      </c>
      <c r="J638" s="32">
        <v>50</v>
      </c>
      <c r="K638" s="33"/>
      <c r="L638" s="33"/>
      <c r="M638" s="33"/>
      <c r="N638" s="33"/>
      <c r="O638" s="33"/>
      <c r="P638" s="33"/>
      <c r="Q638" s="33"/>
      <c r="R638" s="33"/>
      <c r="S638" s="33"/>
      <c r="T638" s="33"/>
    </row>
    <row r="639" spans="1:20" ht="15.75">
      <c r="A639" s="13">
        <v>61362</v>
      </c>
      <c r="B639" s="41">
        <f t="shared" si="1"/>
        <v>31</v>
      </c>
      <c r="C639" s="32">
        <v>122.58</v>
      </c>
      <c r="D639" s="32">
        <v>297.94099999999997</v>
      </c>
      <c r="E639" s="38">
        <v>729.47900000000004</v>
      </c>
      <c r="F639" s="32">
        <v>1150</v>
      </c>
      <c r="G639" s="32">
        <v>100</v>
      </c>
      <c r="H639" s="40">
        <v>600</v>
      </c>
      <c r="I639" s="32">
        <v>695</v>
      </c>
      <c r="J639" s="32">
        <v>50</v>
      </c>
      <c r="K639" s="33"/>
      <c r="L639" s="33"/>
      <c r="M639" s="33"/>
      <c r="N639" s="33"/>
      <c r="O639" s="33"/>
      <c r="P639" s="33"/>
      <c r="Q639" s="33"/>
      <c r="R639" s="33"/>
      <c r="S639" s="33"/>
      <c r="T639" s="33"/>
    </row>
    <row r="640" spans="1:20" ht="15.75">
      <c r="A640" s="13">
        <v>61393</v>
      </c>
      <c r="B640" s="41">
        <f t="shared" si="1"/>
        <v>31</v>
      </c>
      <c r="C640" s="32">
        <v>122.58</v>
      </c>
      <c r="D640" s="32">
        <v>297.94099999999997</v>
      </c>
      <c r="E640" s="38">
        <v>729.47900000000004</v>
      </c>
      <c r="F640" s="32">
        <v>1150</v>
      </c>
      <c r="G640" s="32">
        <v>100</v>
      </c>
      <c r="H640" s="40">
        <v>600</v>
      </c>
      <c r="I640" s="32">
        <v>695</v>
      </c>
      <c r="J640" s="32">
        <v>50</v>
      </c>
      <c r="K640" s="33"/>
      <c r="L640" s="33"/>
      <c r="M640" s="33"/>
      <c r="N640" s="33"/>
      <c r="O640" s="33"/>
      <c r="P640" s="33"/>
      <c r="Q640" s="33"/>
      <c r="R640" s="33"/>
      <c r="S640" s="33"/>
      <c r="T640" s="33"/>
    </row>
    <row r="641" spans="1:20" ht="15.75">
      <c r="A641" s="13">
        <v>61422</v>
      </c>
      <c r="B641" s="41">
        <f t="shared" si="1"/>
        <v>29</v>
      </c>
      <c r="C641" s="32">
        <v>122.58</v>
      </c>
      <c r="D641" s="32">
        <v>297.94099999999997</v>
      </c>
      <c r="E641" s="38">
        <v>729.47900000000004</v>
      </c>
      <c r="F641" s="32">
        <v>1150</v>
      </c>
      <c r="G641" s="32">
        <v>100</v>
      </c>
      <c r="H641" s="40">
        <v>600</v>
      </c>
      <c r="I641" s="32">
        <v>695</v>
      </c>
      <c r="J641" s="32">
        <v>50</v>
      </c>
      <c r="K641" s="33"/>
      <c r="L641" s="33"/>
      <c r="M641" s="33"/>
      <c r="N641" s="33"/>
      <c r="O641" s="33"/>
      <c r="P641" s="33"/>
      <c r="Q641" s="33"/>
      <c r="R641" s="33"/>
      <c r="S641" s="33"/>
      <c r="T641" s="33"/>
    </row>
    <row r="642" spans="1:20" ht="15.75">
      <c r="A642" s="13">
        <v>61453</v>
      </c>
      <c r="B642" s="41">
        <f t="shared" si="1"/>
        <v>31</v>
      </c>
      <c r="C642" s="32">
        <v>122.58</v>
      </c>
      <c r="D642" s="32">
        <v>297.94099999999997</v>
      </c>
      <c r="E642" s="38">
        <v>729.47900000000004</v>
      </c>
      <c r="F642" s="32">
        <v>1150</v>
      </c>
      <c r="G642" s="32">
        <v>100</v>
      </c>
      <c r="H642" s="40">
        <v>600</v>
      </c>
      <c r="I642" s="32">
        <v>695</v>
      </c>
      <c r="J642" s="32">
        <v>50</v>
      </c>
      <c r="K642" s="33"/>
      <c r="L642" s="33"/>
      <c r="M642" s="33"/>
      <c r="N642" s="33"/>
      <c r="O642" s="33"/>
      <c r="P642" s="33"/>
      <c r="Q642" s="33"/>
      <c r="R642" s="33"/>
      <c r="S642" s="33"/>
      <c r="T642" s="33"/>
    </row>
    <row r="643" spans="1:20" ht="15.75">
      <c r="A643" s="13">
        <v>61483</v>
      </c>
      <c r="B643" s="41">
        <f t="shared" si="1"/>
        <v>30</v>
      </c>
      <c r="C643" s="32">
        <v>141.29300000000001</v>
      </c>
      <c r="D643" s="32">
        <v>267.99299999999999</v>
      </c>
      <c r="E643" s="38">
        <v>829.71400000000006</v>
      </c>
      <c r="F643" s="32">
        <v>1239</v>
      </c>
      <c r="G643" s="32">
        <v>100</v>
      </c>
      <c r="H643" s="40">
        <v>600</v>
      </c>
      <c r="I643" s="32">
        <v>695</v>
      </c>
      <c r="J643" s="32">
        <v>50</v>
      </c>
      <c r="K643" s="33"/>
      <c r="L643" s="33"/>
      <c r="M643" s="33"/>
      <c r="N643" s="33"/>
      <c r="O643" s="33"/>
      <c r="P643" s="33"/>
      <c r="Q643" s="33"/>
      <c r="R643" s="33"/>
      <c r="S643" s="33"/>
      <c r="T643" s="33"/>
    </row>
    <row r="644" spans="1:20" ht="15.75">
      <c r="A644" s="13">
        <v>61514</v>
      </c>
      <c r="B644" s="41">
        <f t="shared" si="1"/>
        <v>31</v>
      </c>
      <c r="C644" s="32">
        <v>194.20500000000001</v>
      </c>
      <c r="D644" s="32">
        <v>267.46600000000001</v>
      </c>
      <c r="E644" s="38">
        <v>812.32899999999995</v>
      </c>
      <c r="F644" s="32">
        <v>1274</v>
      </c>
      <c r="G644" s="32">
        <v>75</v>
      </c>
      <c r="H644" s="40">
        <v>600</v>
      </c>
      <c r="I644" s="32">
        <v>695</v>
      </c>
      <c r="J644" s="32">
        <v>50</v>
      </c>
      <c r="K644" s="33"/>
      <c r="L644" s="33"/>
      <c r="M644" s="33"/>
      <c r="N644" s="33"/>
      <c r="O644" s="33"/>
      <c r="P644" s="33"/>
      <c r="Q644" s="33"/>
      <c r="R644" s="33"/>
      <c r="S644" s="33"/>
      <c r="T644" s="33"/>
    </row>
    <row r="645" spans="1:20" ht="15.75">
      <c r="A645" s="13">
        <v>61544</v>
      </c>
      <c r="B645" s="41">
        <f t="shared" si="1"/>
        <v>30</v>
      </c>
      <c r="C645" s="32">
        <v>194.20500000000001</v>
      </c>
      <c r="D645" s="32">
        <v>267.46600000000001</v>
      </c>
      <c r="E645" s="38">
        <v>812.32899999999995</v>
      </c>
      <c r="F645" s="32">
        <v>1274</v>
      </c>
      <c r="G645" s="32">
        <v>50</v>
      </c>
      <c r="H645" s="40">
        <v>600</v>
      </c>
      <c r="I645" s="32">
        <v>695</v>
      </c>
      <c r="J645" s="32">
        <v>50</v>
      </c>
      <c r="K645" s="33"/>
      <c r="L645" s="33"/>
      <c r="M645" s="33"/>
      <c r="N645" s="33"/>
      <c r="O645" s="33"/>
      <c r="P645" s="33"/>
      <c r="Q645" s="33"/>
      <c r="R645" s="33"/>
      <c r="S645" s="33"/>
      <c r="T645" s="33"/>
    </row>
    <row r="646" spans="1:20" ht="15.75">
      <c r="A646" s="13">
        <v>61575</v>
      </c>
      <c r="B646" s="41">
        <f t="shared" si="1"/>
        <v>31</v>
      </c>
      <c r="C646" s="32">
        <v>194.20500000000001</v>
      </c>
      <c r="D646" s="32">
        <v>267.46600000000001</v>
      </c>
      <c r="E646" s="38">
        <v>812.32899999999995</v>
      </c>
      <c r="F646" s="32">
        <v>1274</v>
      </c>
      <c r="G646" s="32">
        <v>50</v>
      </c>
      <c r="H646" s="40">
        <v>600</v>
      </c>
      <c r="I646" s="32">
        <v>695</v>
      </c>
      <c r="J646" s="32">
        <v>0</v>
      </c>
      <c r="K646" s="33"/>
      <c r="L646" s="33"/>
      <c r="M646" s="33"/>
      <c r="N646" s="33"/>
      <c r="O646" s="33"/>
      <c r="P646" s="33"/>
      <c r="Q646" s="33"/>
      <c r="R646" s="33"/>
      <c r="S646" s="33"/>
      <c r="T646" s="33"/>
    </row>
    <row r="647" spans="1:20" ht="15.75">
      <c r="A647" s="13">
        <v>61606</v>
      </c>
      <c r="B647" s="41">
        <f t="shared" si="1"/>
        <v>31</v>
      </c>
      <c r="C647" s="32">
        <v>194.20500000000001</v>
      </c>
      <c r="D647" s="32">
        <v>267.46600000000001</v>
      </c>
      <c r="E647" s="38">
        <v>812.32899999999995</v>
      </c>
      <c r="F647" s="32">
        <v>1274</v>
      </c>
      <c r="G647" s="32">
        <v>50</v>
      </c>
      <c r="H647" s="40">
        <v>600</v>
      </c>
      <c r="I647" s="32">
        <v>695</v>
      </c>
      <c r="J647" s="32">
        <v>0</v>
      </c>
      <c r="K647" s="33"/>
      <c r="L647" s="33"/>
      <c r="M647" s="33"/>
      <c r="N647" s="33"/>
      <c r="O647" s="33"/>
      <c r="P647" s="33"/>
      <c r="Q647" s="33"/>
      <c r="R647" s="33"/>
      <c r="S647" s="33"/>
      <c r="T647" s="33"/>
    </row>
    <row r="648" spans="1:20" ht="15.75">
      <c r="A648" s="13">
        <v>61636</v>
      </c>
      <c r="B648" s="41">
        <f t="shared" si="1"/>
        <v>30</v>
      </c>
      <c r="C648" s="32">
        <v>194.20500000000001</v>
      </c>
      <c r="D648" s="32">
        <v>267.46600000000001</v>
      </c>
      <c r="E648" s="38">
        <v>812.32899999999995</v>
      </c>
      <c r="F648" s="32">
        <v>1274</v>
      </c>
      <c r="G648" s="32">
        <v>50</v>
      </c>
      <c r="H648" s="40">
        <v>600</v>
      </c>
      <c r="I648" s="32">
        <v>695</v>
      </c>
      <c r="J648" s="32">
        <v>0</v>
      </c>
      <c r="K648" s="33"/>
      <c r="L648" s="33"/>
      <c r="M648" s="33"/>
      <c r="N648" s="33"/>
      <c r="O648" s="33"/>
      <c r="P648" s="33"/>
      <c r="Q648" s="33"/>
      <c r="R648" s="33"/>
      <c r="S648" s="33"/>
      <c r="T648" s="33"/>
    </row>
    <row r="649" spans="1:20" ht="15.75">
      <c r="A649" s="13">
        <v>61667</v>
      </c>
      <c r="B649" s="41">
        <f t="shared" si="1"/>
        <v>31</v>
      </c>
      <c r="C649" s="32">
        <v>131.881</v>
      </c>
      <c r="D649" s="32">
        <v>277.16699999999997</v>
      </c>
      <c r="E649" s="38">
        <v>829.952</v>
      </c>
      <c r="F649" s="32">
        <v>1239</v>
      </c>
      <c r="G649" s="32">
        <v>75</v>
      </c>
      <c r="H649" s="40">
        <v>600</v>
      </c>
      <c r="I649" s="32">
        <v>695</v>
      </c>
      <c r="J649" s="32">
        <v>0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</row>
    <row r="650" spans="1:20" ht="15.75">
      <c r="A650" s="13">
        <v>61697</v>
      </c>
      <c r="B650" s="41">
        <f t="shared" si="1"/>
        <v>30</v>
      </c>
      <c r="C650" s="32">
        <v>122.58</v>
      </c>
      <c r="D650" s="32">
        <v>297.94099999999997</v>
      </c>
      <c r="E650" s="38">
        <v>729.47900000000004</v>
      </c>
      <c r="F650" s="32">
        <v>1150</v>
      </c>
      <c r="G650" s="32">
        <v>100</v>
      </c>
      <c r="H650" s="40">
        <v>600</v>
      </c>
      <c r="I650" s="32">
        <v>695</v>
      </c>
      <c r="J650" s="32">
        <v>50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</row>
    <row r="651" spans="1:20" ht="15.75">
      <c r="A651" s="13">
        <v>61728</v>
      </c>
      <c r="B651" s="41">
        <f t="shared" si="1"/>
        <v>31</v>
      </c>
      <c r="C651" s="32">
        <v>122.58</v>
      </c>
      <c r="D651" s="32">
        <v>297.94099999999997</v>
      </c>
      <c r="E651" s="38">
        <v>729.47900000000004</v>
      </c>
      <c r="F651" s="32">
        <v>1150</v>
      </c>
      <c r="G651" s="32">
        <v>100</v>
      </c>
      <c r="H651" s="40">
        <v>600</v>
      </c>
      <c r="I651" s="32">
        <v>695</v>
      </c>
      <c r="J651" s="32">
        <v>50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</row>
    <row r="652" spans="1:20" ht="15.75">
      <c r="A652" s="13">
        <v>61759</v>
      </c>
      <c r="B652" s="41">
        <f t="shared" si="1"/>
        <v>31</v>
      </c>
      <c r="C652" s="32">
        <v>122.58</v>
      </c>
      <c r="D652" s="32">
        <v>297.94099999999997</v>
      </c>
      <c r="E652" s="38">
        <v>729.47900000000004</v>
      </c>
      <c r="F652" s="32">
        <v>1150</v>
      </c>
      <c r="G652" s="32">
        <v>100</v>
      </c>
      <c r="H652" s="40">
        <v>600</v>
      </c>
      <c r="I652" s="32">
        <v>695</v>
      </c>
      <c r="J652" s="32">
        <v>50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</row>
    <row r="653" spans="1:20" ht="15.75">
      <c r="A653" s="13">
        <v>61787</v>
      </c>
      <c r="B653" s="41">
        <f t="shared" si="1"/>
        <v>28</v>
      </c>
      <c r="C653" s="32">
        <v>122.58</v>
      </c>
      <c r="D653" s="32">
        <v>297.94099999999997</v>
      </c>
      <c r="E653" s="38">
        <v>729.47900000000004</v>
      </c>
      <c r="F653" s="32">
        <v>1150</v>
      </c>
      <c r="G653" s="32">
        <v>100</v>
      </c>
      <c r="H653" s="40">
        <v>600</v>
      </c>
      <c r="I653" s="32">
        <v>695</v>
      </c>
      <c r="J653" s="32">
        <v>50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</row>
    <row r="654" spans="1:20" ht="15.75">
      <c r="A654" s="13">
        <v>61818</v>
      </c>
      <c r="B654" s="41">
        <f t="shared" si="1"/>
        <v>31</v>
      </c>
      <c r="C654" s="32">
        <v>122.58</v>
      </c>
      <c r="D654" s="32">
        <v>297.94099999999997</v>
      </c>
      <c r="E654" s="38">
        <v>729.47900000000004</v>
      </c>
      <c r="F654" s="32">
        <v>1150</v>
      </c>
      <c r="G654" s="32">
        <v>100</v>
      </c>
      <c r="H654" s="40">
        <v>600</v>
      </c>
      <c r="I654" s="32">
        <v>695</v>
      </c>
      <c r="J654" s="32">
        <v>50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</row>
    <row r="655" spans="1:20" ht="15.75">
      <c r="A655" s="13">
        <v>61848</v>
      </c>
      <c r="B655" s="41">
        <f t="shared" si="1"/>
        <v>30</v>
      </c>
      <c r="C655" s="32">
        <v>141.29300000000001</v>
      </c>
      <c r="D655" s="32">
        <v>267.99299999999999</v>
      </c>
      <c r="E655" s="38">
        <v>829.71400000000006</v>
      </c>
      <c r="F655" s="32">
        <v>1239</v>
      </c>
      <c r="G655" s="32">
        <v>100</v>
      </c>
      <c r="H655" s="40">
        <v>600</v>
      </c>
      <c r="I655" s="32">
        <v>695</v>
      </c>
      <c r="J655" s="32">
        <v>50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</row>
    <row r="656" spans="1:20" ht="15.75">
      <c r="A656" s="13">
        <v>61879</v>
      </c>
      <c r="B656" s="41">
        <f t="shared" si="1"/>
        <v>31</v>
      </c>
      <c r="C656" s="32">
        <v>194.20500000000001</v>
      </c>
      <c r="D656" s="32">
        <v>267.46600000000001</v>
      </c>
      <c r="E656" s="38">
        <v>812.32899999999995</v>
      </c>
      <c r="F656" s="32">
        <v>1274</v>
      </c>
      <c r="G656" s="32">
        <v>75</v>
      </c>
      <c r="H656" s="40">
        <v>600</v>
      </c>
      <c r="I656" s="32">
        <v>695</v>
      </c>
      <c r="J656" s="32">
        <v>50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</row>
    <row r="657" spans="1:20" ht="15.75">
      <c r="A657" s="13">
        <v>61909</v>
      </c>
      <c r="B657" s="41">
        <f t="shared" si="1"/>
        <v>30</v>
      </c>
      <c r="C657" s="32">
        <v>194.20500000000001</v>
      </c>
      <c r="D657" s="32">
        <v>267.46600000000001</v>
      </c>
      <c r="E657" s="38">
        <v>812.32899999999995</v>
      </c>
      <c r="F657" s="32">
        <v>1274</v>
      </c>
      <c r="G657" s="32">
        <v>50</v>
      </c>
      <c r="H657" s="40">
        <v>600</v>
      </c>
      <c r="I657" s="32">
        <v>695</v>
      </c>
      <c r="J657" s="32">
        <v>50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</row>
    <row r="658" spans="1:20" ht="15.75">
      <c r="A658" s="13">
        <v>61940</v>
      </c>
      <c r="B658" s="41">
        <f t="shared" si="1"/>
        <v>31</v>
      </c>
      <c r="C658" s="32">
        <v>194.20500000000001</v>
      </c>
      <c r="D658" s="32">
        <v>267.46600000000001</v>
      </c>
      <c r="E658" s="38">
        <v>812.32899999999995</v>
      </c>
      <c r="F658" s="32">
        <v>1274</v>
      </c>
      <c r="G658" s="32">
        <v>50</v>
      </c>
      <c r="H658" s="40">
        <v>600</v>
      </c>
      <c r="I658" s="32">
        <v>695</v>
      </c>
      <c r="J658" s="32">
        <v>0</v>
      </c>
      <c r="K658" s="33"/>
      <c r="L658" s="33"/>
      <c r="M658" s="33"/>
      <c r="N658" s="33"/>
      <c r="O658" s="33"/>
      <c r="P658" s="33"/>
      <c r="Q658" s="33"/>
      <c r="R658" s="33"/>
      <c r="S658" s="33"/>
      <c r="T658" s="33"/>
    </row>
    <row r="659" spans="1:20" ht="15.75">
      <c r="A659" s="13">
        <v>61971</v>
      </c>
      <c r="B659" s="41">
        <f t="shared" si="1"/>
        <v>31</v>
      </c>
      <c r="C659" s="32">
        <v>194.20500000000001</v>
      </c>
      <c r="D659" s="32">
        <v>267.46600000000001</v>
      </c>
      <c r="E659" s="38">
        <v>812.32899999999995</v>
      </c>
      <c r="F659" s="32">
        <v>1274</v>
      </c>
      <c r="G659" s="32">
        <v>50</v>
      </c>
      <c r="H659" s="40">
        <v>600</v>
      </c>
      <c r="I659" s="32">
        <v>695</v>
      </c>
      <c r="J659" s="32">
        <v>0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</row>
    <row r="660" spans="1:20" ht="15.75">
      <c r="A660" s="13">
        <v>62001</v>
      </c>
      <c r="B660" s="41">
        <f t="shared" si="1"/>
        <v>30</v>
      </c>
      <c r="C660" s="32">
        <v>194.20500000000001</v>
      </c>
      <c r="D660" s="32">
        <v>267.46600000000001</v>
      </c>
      <c r="E660" s="38">
        <v>812.32899999999995</v>
      </c>
      <c r="F660" s="32">
        <v>1274</v>
      </c>
      <c r="G660" s="32">
        <v>50</v>
      </c>
      <c r="H660" s="40">
        <v>600</v>
      </c>
      <c r="I660" s="32">
        <v>695</v>
      </c>
      <c r="J660" s="32">
        <v>0</v>
      </c>
      <c r="K660" s="33"/>
      <c r="L660" s="33"/>
      <c r="M660" s="33"/>
      <c r="N660" s="33"/>
      <c r="O660" s="33"/>
      <c r="P660" s="33"/>
      <c r="Q660" s="33"/>
      <c r="R660" s="33"/>
      <c r="S660" s="33"/>
      <c r="T660" s="33"/>
    </row>
    <row r="661" spans="1:20" ht="15.75">
      <c r="A661" s="13">
        <v>62032</v>
      </c>
      <c r="B661" s="41">
        <f t="shared" si="1"/>
        <v>31</v>
      </c>
      <c r="C661" s="32">
        <v>131.881</v>
      </c>
      <c r="D661" s="32">
        <v>277.16699999999997</v>
      </c>
      <c r="E661" s="38">
        <v>829.952</v>
      </c>
      <c r="F661" s="32">
        <v>1239</v>
      </c>
      <c r="G661" s="32">
        <v>75</v>
      </c>
      <c r="H661" s="40">
        <v>600</v>
      </c>
      <c r="I661" s="32">
        <v>695</v>
      </c>
      <c r="J661" s="32">
        <v>0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</row>
    <row r="662" spans="1:20" ht="15.75">
      <c r="A662" s="13">
        <v>62062</v>
      </c>
      <c r="B662" s="41">
        <f t="shared" si="1"/>
        <v>30</v>
      </c>
      <c r="C662" s="32">
        <v>122.58</v>
      </c>
      <c r="D662" s="32">
        <v>297.94099999999997</v>
      </c>
      <c r="E662" s="38">
        <v>729.47900000000004</v>
      </c>
      <c r="F662" s="32">
        <v>1150</v>
      </c>
      <c r="G662" s="32">
        <v>100</v>
      </c>
      <c r="H662" s="40">
        <v>600</v>
      </c>
      <c r="I662" s="32">
        <v>695</v>
      </c>
      <c r="J662" s="32">
        <v>50</v>
      </c>
      <c r="K662" s="33"/>
      <c r="L662" s="33"/>
      <c r="M662" s="33"/>
      <c r="N662" s="33"/>
      <c r="O662" s="33"/>
      <c r="P662" s="33"/>
      <c r="Q662" s="33"/>
      <c r="R662" s="33"/>
      <c r="S662" s="33"/>
      <c r="T662" s="33"/>
    </row>
    <row r="663" spans="1:20" ht="15.75">
      <c r="A663" s="13">
        <v>62093</v>
      </c>
      <c r="B663" s="41">
        <f t="shared" si="1"/>
        <v>31</v>
      </c>
      <c r="C663" s="32">
        <v>122.58</v>
      </c>
      <c r="D663" s="32">
        <v>297.94099999999997</v>
      </c>
      <c r="E663" s="38">
        <v>729.47900000000004</v>
      </c>
      <c r="F663" s="32">
        <v>1150</v>
      </c>
      <c r="G663" s="32">
        <v>100</v>
      </c>
      <c r="H663" s="40">
        <v>600</v>
      </c>
      <c r="I663" s="32">
        <v>695</v>
      </c>
      <c r="J663" s="32">
        <v>50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</row>
    <row r="664" spans="1:20" ht="15.75">
      <c r="A664" s="13">
        <v>62124</v>
      </c>
      <c r="B664" s="41">
        <f t="shared" si="1"/>
        <v>31</v>
      </c>
      <c r="C664" s="32">
        <v>122.58</v>
      </c>
      <c r="D664" s="32">
        <v>297.94099999999997</v>
      </c>
      <c r="E664" s="38">
        <v>729.47900000000004</v>
      </c>
      <c r="F664" s="32">
        <v>1150</v>
      </c>
      <c r="G664" s="32">
        <v>100</v>
      </c>
      <c r="H664" s="40">
        <v>600</v>
      </c>
      <c r="I664" s="32">
        <v>695</v>
      </c>
      <c r="J664" s="32">
        <v>50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</row>
    <row r="665" spans="1:20" ht="15.75">
      <c r="A665" s="13">
        <v>62152</v>
      </c>
      <c r="B665" s="41">
        <f t="shared" si="1"/>
        <v>28</v>
      </c>
      <c r="C665" s="32">
        <v>122.58</v>
      </c>
      <c r="D665" s="32">
        <v>297.94099999999997</v>
      </c>
      <c r="E665" s="38">
        <v>729.47900000000004</v>
      </c>
      <c r="F665" s="32">
        <v>1150</v>
      </c>
      <c r="G665" s="32">
        <v>100</v>
      </c>
      <c r="H665" s="40">
        <v>600</v>
      </c>
      <c r="I665" s="32">
        <v>695</v>
      </c>
      <c r="J665" s="32">
        <v>50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</row>
    <row r="666" spans="1:20" ht="15.75">
      <c r="A666" s="13">
        <v>62183</v>
      </c>
      <c r="B666" s="41">
        <f t="shared" si="1"/>
        <v>31</v>
      </c>
      <c r="C666" s="32">
        <v>122.58</v>
      </c>
      <c r="D666" s="32">
        <v>297.94099999999997</v>
      </c>
      <c r="E666" s="38">
        <v>729.47900000000004</v>
      </c>
      <c r="F666" s="32">
        <v>1150</v>
      </c>
      <c r="G666" s="32">
        <v>100</v>
      </c>
      <c r="H666" s="40">
        <v>600</v>
      </c>
      <c r="I666" s="32">
        <v>695</v>
      </c>
      <c r="J666" s="32">
        <v>50</v>
      </c>
      <c r="K666" s="33"/>
      <c r="L666" s="33"/>
      <c r="M666" s="33"/>
      <c r="N666" s="33"/>
      <c r="O666" s="33"/>
      <c r="P666" s="33"/>
      <c r="Q666" s="33"/>
      <c r="R666" s="33"/>
      <c r="S666" s="33"/>
      <c r="T666" s="33"/>
    </row>
    <row r="667" spans="1:20" ht="15.75">
      <c r="A667" s="13">
        <v>62213</v>
      </c>
      <c r="B667" s="41">
        <f t="shared" si="1"/>
        <v>30</v>
      </c>
      <c r="C667" s="32">
        <v>141.29300000000001</v>
      </c>
      <c r="D667" s="32">
        <v>267.99299999999999</v>
      </c>
      <c r="E667" s="38">
        <v>829.71400000000006</v>
      </c>
      <c r="F667" s="32">
        <v>1239</v>
      </c>
      <c r="G667" s="32">
        <v>100</v>
      </c>
      <c r="H667" s="40">
        <v>600</v>
      </c>
      <c r="I667" s="32">
        <v>695</v>
      </c>
      <c r="J667" s="32">
        <v>50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</row>
    <row r="668" spans="1:20" ht="15.75">
      <c r="A668" s="13">
        <v>62244</v>
      </c>
      <c r="B668" s="41">
        <f t="shared" si="1"/>
        <v>31</v>
      </c>
      <c r="C668" s="32">
        <v>194.20500000000001</v>
      </c>
      <c r="D668" s="32">
        <v>267.46600000000001</v>
      </c>
      <c r="E668" s="38">
        <v>812.32899999999995</v>
      </c>
      <c r="F668" s="32">
        <v>1274</v>
      </c>
      <c r="G668" s="32">
        <v>75</v>
      </c>
      <c r="H668" s="40">
        <v>600</v>
      </c>
      <c r="I668" s="32">
        <v>695</v>
      </c>
      <c r="J668" s="32">
        <v>50</v>
      </c>
      <c r="K668" s="33"/>
      <c r="L668" s="33"/>
      <c r="M668" s="33"/>
      <c r="N668" s="33"/>
      <c r="O668" s="33"/>
      <c r="P668" s="33"/>
      <c r="Q668" s="33"/>
      <c r="R668" s="33"/>
      <c r="S668" s="33"/>
      <c r="T668" s="33"/>
    </row>
    <row r="669" spans="1:20" ht="15.75">
      <c r="A669" s="13">
        <v>62274</v>
      </c>
      <c r="B669" s="41">
        <f t="shared" si="1"/>
        <v>30</v>
      </c>
      <c r="C669" s="32">
        <v>194.20500000000001</v>
      </c>
      <c r="D669" s="32">
        <v>267.46600000000001</v>
      </c>
      <c r="E669" s="38">
        <v>812.32899999999995</v>
      </c>
      <c r="F669" s="32">
        <v>1274</v>
      </c>
      <c r="G669" s="32">
        <v>50</v>
      </c>
      <c r="H669" s="40">
        <v>600</v>
      </c>
      <c r="I669" s="32">
        <v>695</v>
      </c>
      <c r="J669" s="32">
        <v>50</v>
      </c>
      <c r="K669" s="33"/>
      <c r="L669" s="33"/>
      <c r="M669" s="33"/>
      <c r="N669" s="33"/>
      <c r="O669" s="33"/>
      <c r="P669" s="33"/>
      <c r="Q669" s="33"/>
      <c r="R669" s="33"/>
      <c r="S669" s="33"/>
      <c r="T669" s="33"/>
    </row>
    <row r="670" spans="1:20" ht="15.75">
      <c r="A670" s="13">
        <v>62305</v>
      </c>
      <c r="B670" s="41">
        <f t="shared" si="1"/>
        <v>31</v>
      </c>
      <c r="C670" s="32">
        <v>194.20500000000001</v>
      </c>
      <c r="D670" s="32">
        <v>267.46600000000001</v>
      </c>
      <c r="E670" s="38">
        <v>812.32899999999995</v>
      </c>
      <c r="F670" s="32">
        <v>1274</v>
      </c>
      <c r="G670" s="32">
        <v>50</v>
      </c>
      <c r="H670" s="40">
        <v>600</v>
      </c>
      <c r="I670" s="32">
        <v>695</v>
      </c>
      <c r="J670" s="32">
        <v>0</v>
      </c>
      <c r="K670" s="33"/>
      <c r="L670" s="33"/>
      <c r="M670" s="33"/>
      <c r="N670" s="33"/>
      <c r="O670" s="33"/>
      <c r="P670" s="33"/>
      <c r="Q670" s="33"/>
      <c r="R670" s="33"/>
      <c r="S670" s="33"/>
      <c r="T670" s="33"/>
    </row>
    <row r="671" spans="1:20" ht="15.75">
      <c r="A671" s="13">
        <v>62336</v>
      </c>
      <c r="B671" s="41">
        <f t="shared" si="1"/>
        <v>31</v>
      </c>
      <c r="C671" s="32">
        <v>194.20500000000001</v>
      </c>
      <c r="D671" s="32">
        <v>267.46600000000001</v>
      </c>
      <c r="E671" s="38">
        <v>812.32899999999995</v>
      </c>
      <c r="F671" s="32">
        <v>1274</v>
      </c>
      <c r="G671" s="32">
        <v>50</v>
      </c>
      <c r="H671" s="40">
        <v>600</v>
      </c>
      <c r="I671" s="32">
        <v>695</v>
      </c>
      <c r="J671" s="32">
        <v>0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</row>
    <row r="672" spans="1:20" ht="15.75">
      <c r="A672" s="13">
        <v>62366</v>
      </c>
      <c r="B672" s="41">
        <f t="shared" si="1"/>
        <v>30</v>
      </c>
      <c r="C672" s="32">
        <v>194.20500000000001</v>
      </c>
      <c r="D672" s="32">
        <v>267.46600000000001</v>
      </c>
      <c r="E672" s="38">
        <v>812.32899999999995</v>
      </c>
      <c r="F672" s="32">
        <v>1274</v>
      </c>
      <c r="G672" s="32">
        <v>50</v>
      </c>
      <c r="H672" s="40">
        <v>600</v>
      </c>
      <c r="I672" s="32">
        <v>695</v>
      </c>
      <c r="J672" s="32">
        <v>0</v>
      </c>
      <c r="K672" s="33"/>
      <c r="L672" s="33"/>
      <c r="M672" s="33"/>
      <c r="N672" s="33"/>
      <c r="O672" s="33"/>
      <c r="P672" s="33"/>
      <c r="Q672" s="33"/>
      <c r="R672" s="33"/>
      <c r="S672" s="33"/>
      <c r="T672" s="33"/>
    </row>
    <row r="673" spans="1:20" ht="15.75">
      <c r="A673" s="13">
        <v>62397</v>
      </c>
      <c r="B673" s="41">
        <f t="shared" si="1"/>
        <v>31</v>
      </c>
      <c r="C673" s="32">
        <v>131.881</v>
      </c>
      <c r="D673" s="32">
        <v>277.16699999999997</v>
      </c>
      <c r="E673" s="38">
        <v>829.952</v>
      </c>
      <c r="F673" s="32">
        <v>1239</v>
      </c>
      <c r="G673" s="32">
        <v>75</v>
      </c>
      <c r="H673" s="40">
        <v>600</v>
      </c>
      <c r="I673" s="32">
        <v>695</v>
      </c>
      <c r="J673" s="32">
        <v>0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</row>
    <row r="674" spans="1:20" ht="15.75">
      <c r="A674" s="13">
        <v>62427</v>
      </c>
      <c r="B674" s="41">
        <f t="shared" si="1"/>
        <v>30</v>
      </c>
      <c r="C674" s="32">
        <v>122.58</v>
      </c>
      <c r="D674" s="32">
        <v>297.94099999999997</v>
      </c>
      <c r="E674" s="38">
        <v>729.47900000000004</v>
      </c>
      <c r="F674" s="32">
        <v>1150</v>
      </c>
      <c r="G674" s="32">
        <v>100</v>
      </c>
      <c r="H674" s="40">
        <v>600</v>
      </c>
      <c r="I674" s="32">
        <v>695</v>
      </c>
      <c r="J674" s="32">
        <v>50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</row>
    <row r="675" spans="1:20" ht="15.75">
      <c r="A675" s="13">
        <v>62458</v>
      </c>
      <c r="B675" s="41">
        <f t="shared" si="1"/>
        <v>31</v>
      </c>
      <c r="C675" s="32">
        <v>122.58</v>
      </c>
      <c r="D675" s="32">
        <v>297.94099999999997</v>
      </c>
      <c r="E675" s="38">
        <v>729.47900000000004</v>
      </c>
      <c r="F675" s="32">
        <v>1150</v>
      </c>
      <c r="G675" s="32">
        <v>100</v>
      </c>
      <c r="H675" s="40">
        <v>600</v>
      </c>
      <c r="I675" s="32">
        <v>695</v>
      </c>
      <c r="J675" s="32">
        <v>50</v>
      </c>
      <c r="K675" s="33"/>
      <c r="L675" s="33"/>
      <c r="M675" s="33"/>
      <c r="N675" s="33"/>
      <c r="O675" s="33"/>
      <c r="P675" s="33"/>
      <c r="Q675" s="33"/>
      <c r="R675" s="33"/>
      <c r="S675" s="33"/>
      <c r="T675" s="33"/>
    </row>
    <row r="676" spans="1:20" ht="15.75">
      <c r="A676" s="13">
        <v>62489</v>
      </c>
      <c r="B676" s="41">
        <f t="shared" si="1"/>
        <v>31</v>
      </c>
      <c r="C676" s="32">
        <v>122.58</v>
      </c>
      <c r="D676" s="32">
        <v>297.94099999999997</v>
      </c>
      <c r="E676" s="38">
        <v>729.47900000000004</v>
      </c>
      <c r="F676" s="32">
        <v>1150</v>
      </c>
      <c r="G676" s="32">
        <v>100</v>
      </c>
      <c r="H676" s="40">
        <v>600</v>
      </c>
      <c r="I676" s="32">
        <v>695</v>
      </c>
      <c r="J676" s="32">
        <v>50</v>
      </c>
      <c r="K676" s="33"/>
      <c r="L676" s="33"/>
      <c r="M676" s="33"/>
      <c r="N676" s="33"/>
      <c r="O676" s="33"/>
      <c r="P676" s="33"/>
      <c r="Q676" s="33"/>
      <c r="R676" s="33"/>
      <c r="S676" s="33"/>
      <c r="T676" s="33"/>
    </row>
    <row r="677" spans="1:20" ht="15.75">
      <c r="A677" s="13">
        <v>62517</v>
      </c>
      <c r="B677" s="41">
        <f t="shared" si="1"/>
        <v>28</v>
      </c>
      <c r="C677" s="32">
        <v>122.58</v>
      </c>
      <c r="D677" s="32">
        <v>297.94099999999997</v>
      </c>
      <c r="E677" s="38">
        <v>729.47900000000004</v>
      </c>
      <c r="F677" s="32">
        <v>1150</v>
      </c>
      <c r="G677" s="32">
        <v>100</v>
      </c>
      <c r="H677" s="40">
        <v>600</v>
      </c>
      <c r="I677" s="32">
        <v>695</v>
      </c>
      <c r="J677" s="32">
        <v>50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</row>
    <row r="678" spans="1:20" ht="15.75">
      <c r="A678" s="13">
        <v>62548</v>
      </c>
      <c r="B678" s="41">
        <f t="shared" si="1"/>
        <v>31</v>
      </c>
      <c r="C678" s="32">
        <v>122.58</v>
      </c>
      <c r="D678" s="32">
        <v>297.94099999999997</v>
      </c>
      <c r="E678" s="38">
        <v>729.47900000000004</v>
      </c>
      <c r="F678" s="32">
        <v>1150</v>
      </c>
      <c r="G678" s="32">
        <v>100</v>
      </c>
      <c r="H678" s="40">
        <v>600</v>
      </c>
      <c r="I678" s="32">
        <v>695</v>
      </c>
      <c r="J678" s="32">
        <v>50</v>
      </c>
      <c r="K678" s="33"/>
      <c r="L678" s="33"/>
      <c r="M678" s="33"/>
      <c r="N678" s="33"/>
      <c r="O678" s="33"/>
      <c r="P678" s="33"/>
      <c r="Q678" s="33"/>
      <c r="R678" s="33"/>
      <c r="S678" s="33"/>
      <c r="T678" s="33"/>
    </row>
    <row r="679" spans="1:20" ht="15.75">
      <c r="A679" s="13">
        <v>62578</v>
      </c>
      <c r="B679" s="41">
        <f t="shared" si="1"/>
        <v>30</v>
      </c>
      <c r="C679" s="32">
        <v>141.29300000000001</v>
      </c>
      <c r="D679" s="32">
        <v>267.99299999999999</v>
      </c>
      <c r="E679" s="38">
        <v>829.71400000000006</v>
      </c>
      <c r="F679" s="32">
        <v>1239</v>
      </c>
      <c r="G679" s="32">
        <v>100</v>
      </c>
      <c r="H679" s="40">
        <v>600</v>
      </c>
      <c r="I679" s="32">
        <v>695</v>
      </c>
      <c r="J679" s="32">
        <v>50</v>
      </c>
      <c r="K679" s="33"/>
      <c r="L679" s="33"/>
      <c r="M679" s="33"/>
      <c r="N679" s="33"/>
      <c r="O679" s="33"/>
      <c r="P679" s="33"/>
      <c r="Q679" s="33"/>
      <c r="R679" s="33"/>
      <c r="S679" s="33"/>
      <c r="T679" s="33"/>
    </row>
    <row r="680" spans="1:20" ht="15.75">
      <c r="A680" s="13">
        <v>62609</v>
      </c>
      <c r="B680" s="41">
        <f t="shared" si="1"/>
        <v>31</v>
      </c>
      <c r="C680" s="32">
        <v>194.20500000000001</v>
      </c>
      <c r="D680" s="32">
        <v>267.46600000000001</v>
      </c>
      <c r="E680" s="38">
        <v>812.32899999999995</v>
      </c>
      <c r="F680" s="32">
        <v>1274</v>
      </c>
      <c r="G680" s="32">
        <v>75</v>
      </c>
      <c r="H680" s="40">
        <v>600</v>
      </c>
      <c r="I680" s="32">
        <v>695</v>
      </c>
      <c r="J680" s="32">
        <v>50</v>
      </c>
      <c r="K680" s="33"/>
      <c r="L680" s="33"/>
      <c r="M680" s="33"/>
      <c r="N680" s="33"/>
      <c r="O680" s="33"/>
      <c r="P680" s="33"/>
      <c r="Q680" s="33"/>
      <c r="R680" s="33"/>
      <c r="S680" s="33"/>
      <c r="T680" s="33"/>
    </row>
    <row r="681" spans="1:20" ht="15.75">
      <c r="A681" s="13">
        <v>62639</v>
      </c>
      <c r="B681" s="41">
        <f t="shared" si="1"/>
        <v>30</v>
      </c>
      <c r="C681" s="32">
        <v>194.20500000000001</v>
      </c>
      <c r="D681" s="32">
        <v>267.46600000000001</v>
      </c>
      <c r="E681" s="38">
        <v>812.32899999999995</v>
      </c>
      <c r="F681" s="32">
        <v>1274</v>
      </c>
      <c r="G681" s="32">
        <v>50</v>
      </c>
      <c r="H681" s="40">
        <v>600</v>
      </c>
      <c r="I681" s="32">
        <v>695</v>
      </c>
      <c r="J681" s="32">
        <v>50</v>
      </c>
      <c r="K681" s="33"/>
      <c r="L681" s="33"/>
      <c r="M681" s="33"/>
      <c r="N681" s="33"/>
      <c r="O681" s="33"/>
      <c r="P681" s="33"/>
      <c r="Q681" s="33"/>
      <c r="R681" s="33"/>
      <c r="S681" s="33"/>
      <c r="T681" s="33"/>
    </row>
    <row r="682" spans="1:20" ht="15.75">
      <c r="A682" s="13">
        <v>62670</v>
      </c>
      <c r="B682" s="41">
        <f t="shared" si="1"/>
        <v>31</v>
      </c>
      <c r="C682" s="32">
        <v>194.20500000000001</v>
      </c>
      <c r="D682" s="32">
        <v>267.46600000000001</v>
      </c>
      <c r="E682" s="38">
        <v>812.32899999999995</v>
      </c>
      <c r="F682" s="32">
        <v>1274</v>
      </c>
      <c r="G682" s="32">
        <v>50</v>
      </c>
      <c r="H682" s="40">
        <v>600</v>
      </c>
      <c r="I682" s="32">
        <v>695</v>
      </c>
      <c r="J682" s="32">
        <v>0</v>
      </c>
      <c r="K682" s="33"/>
      <c r="L682" s="33"/>
      <c r="M682" s="33"/>
      <c r="N682" s="33"/>
      <c r="O682" s="33"/>
      <c r="P682" s="33"/>
      <c r="Q682" s="33"/>
      <c r="R682" s="33"/>
      <c r="S682" s="33"/>
      <c r="T682" s="33"/>
    </row>
    <row r="683" spans="1:20" ht="15.75">
      <c r="A683" s="13">
        <v>62701</v>
      </c>
      <c r="B683" s="41">
        <f t="shared" si="1"/>
        <v>31</v>
      </c>
      <c r="C683" s="32">
        <v>194.20500000000001</v>
      </c>
      <c r="D683" s="32">
        <v>267.46600000000001</v>
      </c>
      <c r="E683" s="38">
        <v>812.32899999999995</v>
      </c>
      <c r="F683" s="32">
        <v>1274</v>
      </c>
      <c r="G683" s="32">
        <v>50</v>
      </c>
      <c r="H683" s="40">
        <v>600</v>
      </c>
      <c r="I683" s="32">
        <v>695</v>
      </c>
      <c r="J683" s="32">
        <v>0</v>
      </c>
      <c r="K683" s="33"/>
      <c r="L683" s="33"/>
      <c r="M683" s="33"/>
      <c r="N683" s="33"/>
      <c r="O683" s="33"/>
      <c r="P683" s="33"/>
      <c r="Q683" s="33"/>
      <c r="R683" s="33"/>
      <c r="S683" s="33"/>
      <c r="T683" s="33"/>
    </row>
    <row r="684" spans="1:20" ht="15.75">
      <c r="A684" s="13">
        <v>62731</v>
      </c>
      <c r="B684" s="41">
        <f t="shared" si="1"/>
        <v>30</v>
      </c>
      <c r="C684" s="32">
        <v>194.20500000000001</v>
      </c>
      <c r="D684" s="32">
        <v>267.46600000000001</v>
      </c>
      <c r="E684" s="38">
        <v>812.32899999999995</v>
      </c>
      <c r="F684" s="32">
        <v>1274</v>
      </c>
      <c r="G684" s="32">
        <v>50</v>
      </c>
      <c r="H684" s="40">
        <v>600</v>
      </c>
      <c r="I684" s="32">
        <v>695</v>
      </c>
      <c r="J684" s="32">
        <v>0</v>
      </c>
      <c r="K684" s="33"/>
      <c r="L684" s="33"/>
      <c r="M684" s="33"/>
      <c r="N684" s="33"/>
      <c r="O684" s="33"/>
      <c r="P684" s="33"/>
      <c r="Q684" s="33"/>
      <c r="R684" s="33"/>
      <c r="S684" s="33"/>
      <c r="T684" s="33"/>
    </row>
    <row r="685" spans="1:20" ht="15.75">
      <c r="A685" s="13">
        <v>62762</v>
      </c>
      <c r="B685" s="41">
        <f t="shared" si="1"/>
        <v>31</v>
      </c>
      <c r="C685" s="32">
        <v>131.881</v>
      </c>
      <c r="D685" s="32">
        <v>277.16699999999997</v>
      </c>
      <c r="E685" s="38">
        <v>829.952</v>
      </c>
      <c r="F685" s="32">
        <v>1239</v>
      </c>
      <c r="G685" s="32">
        <v>75</v>
      </c>
      <c r="H685" s="40">
        <v>600</v>
      </c>
      <c r="I685" s="32">
        <v>695</v>
      </c>
      <c r="J685" s="32">
        <v>0</v>
      </c>
      <c r="K685" s="33"/>
      <c r="L685" s="33"/>
      <c r="M685" s="33"/>
      <c r="N685" s="33"/>
      <c r="O685" s="33"/>
      <c r="P685" s="33"/>
      <c r="Q685" s="33"/>
      <c r="R685" s="33"/>
      <c r="S685" s="33"/>
      <c r="T685" s="33"/>
    </row>
    <row r="686" spans="1:20" ht="15.75">
      <c r="A686" s="13">
        <v>62792</v>
      </c>
      <c r="B686" s="41">
        <f t="shared" si="1"/>
        <v>30</v>
      </c>
      <c r="C686" s="32">
        <v>122.58</v>
      </c>
      <c r="D686" s="32">
        <v>297.94099999999997</v>
      </c>
      <c r="E686" s="38">
        <v>729.47900000000004</v>
      </c>
      <c r="F686" s="32">
        <v>1150</v>
      </c>
      <c r="G686" s="32">
        <v>100</v>
      </c>
      <c r="H686" s="40">
        <v>600</v>
      </c>
      <c r="I686" s="32">
        <v>695</v>
      </c>
      <c r="J686" s="32">
        <v>50</v>
      </c>
      <c r="K686" s="33"/>
      <c r="L686" s="33"/>
      <c r="M686" s="33"/>
      <c r="N686" s="33"/>
      <c r="O686" s="33"/>
      <c r="P686" s="33"/>
      <c r="Q686" s="33"/>
      <c r="R686" s="33"/>
      <c r="S686" s="33"/>
      <c r="T686" s="33"/>
    </row>
    <row r="687" spans="1:20" ht="15.75">
      <c r="A687" s="13">
        <v>62823</v>
      </c>
      <c r="B687" s="41">
        <f t="shared" si="1"/>
        <v>31</v>
      </c>
      <c r="C687" s="32">
        <v>122.58</v>
      </c>
      <c r="D687" s="32">
        <v>297.94099999999997</v>
      </c>
      <c r="E687" s="38">
        <v>729.47900000000004</v>
      </c>
      <c r="F687" s="32">
        <v>1150</v>
      </c>
      <c r="G687" s="32">
        <v>100</v>
      </c>
      <c r="H687" s="40">
        <v>600</v>
      </c>
      <c r="I687" s="32">
        <v>695</v>
      </c>
      <c r="J687" s="32">
        <v>50</v>
      </c>
      <c r="K687" s="33"/>
      <c r="L687" s="33"/>
      <c r="M687" s="33"/>
      <c r="N687" s="33"/>
      <c r="O687" s="33"/>
      <c r="P687" s="33"/>
      <c r="Q687" s="33"/>
      <c r="R687" s="33"/>
      <c r="S687" s="33"/>
      <c r="T687" s="33"/>
    </row>
    <row r="688" spans="1:20" ht="15.75">
      <c r="A688" s="13">
        <v>62854</v>
      </c>
      <c r="B688" s="41">
        <f t="shared" si="1"/>
        <v>31</v>
      </c>
      <c r="C688" s="32">
        <v>122.58</v>
      </c>
      <c r="D688" s="32">
        <v>297.94099999999997</v>
      </c>
      <c r="E688" s="38">
        <v>729.47900000000004</v>
      </c>
      <c r="F688" s="32">
        <v>1150</v>
      </c>
      <c r="G688" s="32">
        <v>100</v>
      </c>
      <c r="H688" s="40">
        <v>600</v>
      </c>
      <c r="I688" s="32">
        <v>695</v>
      </c>
      <c r="J688" s="32">
        <v>50</v>
      </c>
      <c r="K688" s="33"/>
      <c r="L688" s="33"/>
      <c r="M688" s="33"/>
      <c r="N688" s="33"/>
      <c r="O688" s="33"/>
      <c r="P688" s="33"/>
      <c r="Q688" s="33"/>
      <c r="R688" s="33"/>
      <c r="S688" s="33"/>
      <c r="T688" s="33"/>
    </row>
    <row r="689" spans="1:20" ht="15.75">
      <c r="A689" s="13">
        <v>62883</v>
      </c>
      <c r="B689" s="41">
        <f t="shared" si="1"/>
        <v>29</v>
      </c>
      <c r="C689" s="32">
        <v>122.58</v>
      </c>
      <c r="D689" s="32">
        <v>297.94099999999997</v>
      </c>
      <c r="E689" s="38">
        <v>729.47900000000004</v>
      </c>
      <c r="F689" s="32">
        <v>1150</v>
      </c>
      <c r="G689" s="32">
        <v>100</v>
      </c>
      <c r="H689" s="40">
        <v>600</v>
      </c>
      <c r="I689" s="32">
        <v>695</v>
      </c>
      <c r="J689" s="32">
        <v>50</v>
      </c>
      <c r="K689" s="33"/>
      <c r="L689" s="33"/>
      <c r="M689" s="33"/>
      <c r="N689" s="33"/>
      <c r="O689" s="33"/>
      <c r="P689" s="33"/>
      <c r="Q689" s="33"/>
      <c r="R689" s="33"/>
      <c r="S689" s="33"/>
      <c r="T689" s="33"/>
    </row>
    <row r="690" spans="1:20" ht="15.75">
      <c r="A690" s="13">
        <v>62914</v>
      </c>
      <c r="B690" s="41">
        <f t="shared" si="1"/>
        <v>31</v>
      </c>
      <c r="C690" s="32">
        <v>122.58</v>
      </c>
      <c r="D690" s="32">
        <v>297.94099999999997</v>
      </c>
      <c r="E690" s="38">
        <v>729.47900000000004</v>
      </c>
      <c r="F690" s="32">
        <v>1150</v>
      </c>
      <c r="G690" s="32">
        <v>100</v>
      </c>
      <c r="H690" s="40">
        <v>600</v>
      </c>
      <c r="I690" s="32">
        <v>695</v>
      </c>
      <c r="J690" s="32">
        <v>50</v>
      </c>
      <c r="K690" s="33"/>
      <c r="L690" s="33"/>
      <c r="M690" s="33"/>
      <c r="N690" s="33"/>
      <c r="O690" s="33"/>
      <c r="P690" s="33"/>
      <c r="Q690" s="33"/>
      <c r="R690" s="33"/>
      <c r="S690" s="33"/>
      <c r="T690" s="33"/>
    </row>
    <row r="691" spans="1:20" ht="15.75">
      <c r="A691" s="13">
        <v>62944</v>
      </c>
      <c r="B691" s="41">
        <f t="shared" si="1"/>
        <v>30</v>
      </c>
      <c r="C691" s="32">
        <v>141.29300000000001</v>
      </c>
      <c r="D691" s="32">
        <v>267.99299999999999</v>
      </c>
      <c r="E691" s="38">
        <v>829.71400000000006</v>
      </c>
      <c r="F691" s="32">
        <v>1239</v>
      </c>
      <c r="G691" s="32">
        <v>100</v>
      </c>
      <c r="H691" s="40">
        <v>600</v>
      </c>
      <c r="I691" s="32">
        <v>695</v>
      </c>
      <c r="J691" s="32">
        <v>50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</row>
    <row r="692" spans="1:20" ht="15.75">
      <c r="A692" s="13">
        <v>62975</v>
      </c>
      <c r="B692" s="41">
        <f t="shared" si="1"/>
        <v>31</v>
      </c>
      <c r="C692" s="32">
        <v>194.20500000000001</v>
      </c>
      <c r="D692" s="32">
        <v>267.46600000000001</v>
      </c>
      <c r="E692" s="38">
        <v>812.32899999999995</v>
      </c>
      <c r="F692" s="32">
        <v>1274</v>
      </c>
      <c r="G692" s="32">
        <v>75</v>
      </c>
      <c r="H692" s="40">
        <v>600</v>
      </c>
      <c r="I692" s="32">
        <v>695</v>
      </c>
      <c r="J692" s="32">
        <v>50</v>
      </c>
      <c r="K692" s="33"/>
      <c r="L692" s="33"/>
      <c r="M692" s="33"/>
      <c r="N692" s="33"/>
      <c r="O692" s="33"/>
      <c r="P692" s="33"/>
      <c r="Q692" s="33"/>
      <c r="R692" s="33"/>
      <c r="S692" s="33"/>
      <c r="T692" s="33"/>
    </row>
    <row r="693" spans="1:20" ht="15.75">
      <c r="A693" s="13">
        <v>63005</v>
      </c>
      <c r="B693" s="41">
        <f t="shared" si="1"/>
        <v>30</v>
      </c>
      <c r="C693" s="32">
        <v>194.20500000000001</v>
      </c>
      <c r="D693" s="32">
        <v>267.46600000000001</v>
      </c>
      <c r="E693" s="38">
        <v>812.32899999999995</v>
      </c>
      <c r="F693" s="32">
        <v>1274</v>
      </c>
      <c r="G693" s="32">
        <v>50</v>
      </c>
      <c r="H693" s="40">
        <v>600</v>
      </c>
      <c r="I693" s="32">
        <v>695</v>
      </c>
      <c r="J693" s="32">
        <v>50</v>
      </c>
      <c r="K693" s="33"/>
      <c r="L693" s="33"/>
      <c r="M693" s="33"/>
      <c r="N693" s="33"/>
      <c r="O693" s="33"/>
      <c r="P693" s="33"/>
      <c r="Q693" s="33"/>
      <c r="R693" s="33"/>
      <c r="S693" s="33"/>
      <c r="T693" s="33"/>
    </row>
    <row r="694" spans="1:20" ht="15.75">
      <c r="A694" s="13">
        <v>63036</v>
      </c>
      <c r="B694" s="41">
        <f t="shared" si="1"/>
        <v>31</v>
      </c>
      <c r="C694" s="32">
        <v>194.20500000000001</v>
      </c>
      <c r="D694" s="32">
        <v>267.46600000000001</v>
      </c>
      <c r="E694" s="38">
        <v>812.32899999999995</v>
      </c>
      <c r="F694" s="32">
        <v>1274</v>
      </c>
      <c r="G694" s="32">
        <v>50</v>
      </c>
      <c r="H694" s="40">
        <v>600</v>
      </c>
      <c r="I694" s="32">
        <v>695</v>
      </c>
      <c r="J694" s="32">
        <v>0</v>
      </c>
      <c r="K694" s="33"/>
      <c r="L694" s="33"/>
      <c r="M694" s="33"/>
      <c r="N694" s="33"/>
      <c r="O694" s="33"/>
      <c r="P694" s="33"/>
      <c r="Q694" s="33"/>
      <c r="R694" s="33"/>
      <c r="S694" s="33"/>
      <c r="T694" s="33"/>
    </row>
    <row r="695" spans="1:20" ht="15.75">
      <c r="A695" s="13">
        <v>63067</v>
      </c>
      <c r="B695" s="41">
        <f t="shared" si="1"/>
        <v>31</v>
      </c>
      <c r="C695" s="32">
        <v>194.20500000000001</v>
      </c>
      <c r="D695" s="32">
        <v>267.46600000000001</v>
      </c>
      <c r="E695" s="38">
        <v>812.32899999999995</v>
      </c>
      <c r="F695" s="32">
        <v>1274</v>
      </c>
      <c r="G695" s="32">
        <v>50</v>
      </c>
      <c r="H695" s="40">
        <v>600</v>
      </c>
      <c r="I695" s="32">
        <v>695</v>
      </c>
      <c r="J695" s="32">
        <v>0</v>
      </c>
      <c r="K695" s="33"/>
      <c r="L695" s="33"/>
      <c r="M695" s="33"/>
      <c r="N695" s="33"/>
      <c r="O695" s="33"/>
      <c r="P695" s="33"/>
      <c r="Q695" s="33"/>
      <c r="R695" s="33"/>
      <c r="S695" s="33"/>
      <c r="T695" s="33"/>
    </row>
    <row r="696" spans="1:20" ht="15.75">
      <c r="A696" s="13">
        <v>63097</v>
      </c>
      <c r="B696" s="41">
        <f t="shared" ref="B696:B759" si="2">EOMONTH(A696,0)-EOMONTH(A696,-1)</f>
        <v>30</v>
      </c>
      <c r="C696" s="32">
        <v>194.20500000000001</v>
      </c>
      <c r="D696" s="32">
        <v>267.46600000000001</v>
      </c>
      <c r="E696" s="38">
        <v>812.32899999999995</v>
      </c>
      <c r="F696" s="32">
        <v>1274</v>
      </c>
      <c r="G696" s="32">
        <v>50</v>
      </c>
      <c r="H696" s="40">
        <v>600</v>
      </c>
      <c r="I696" s="32">
        <v>695</v>
      </c>
      <c r="J696" s="32">
        <v>0</v>
      </c>
      <c r="K696" s="33"/>
      <c r="L696" s="33"/>
      <c r="M696" s="33"/>
      <c r="N696" s="33"/>
      <c r="O696" s="33"/>
      <c r="P696" s="33"/>
      <c r="Q696" s="33"/>
      <c r="R696" s="33"/>
      <c r="S696" s="33"/>
      <c r="T696" s="33"/>
    </row>
    <row r="697" spans="1:20" ht="15.75">
      <c r="A697" s="13">
        <v>63128</v>
      </c>
      <c r="B697" s="41">
        <f t="shared" si="2"/>
        <v>31</v>
      </c>
      <c r="C697" s="32">
        <v>131.881</v>
      </c>
      <c r="D697" s="32">
        <v>277.16699999999997</v>
      </c>
      <c r="E697" s="38">
        <v>829.952</v>
      </c>
      <c r="F697" s="32">
        <v>1239</v>
      </c>
      <c r="G697" s="32">
        <v>75</v>
      </c>
      <c r="H697" s="40">
        <v>600</v>
      </c>
      <c r="I697" s="32">
        <v>695</v>
      </c>
      <c r="J697" s="32">
        <v>0</v>
      </c>
      <c r="K697" s="33"/>
      <c r="L697" s="33"/>
      <c r="M697" s="33"/>
      <c r="N697" s="33"/>
      <c r="O697" s="33"/>
      <c r="P697" s="33"/>
      <c r="Q697" s="33"/>
      <c r="R697" s="33"/>
      <c r="S697" s="33"/>
      <c r="T697" s="33"/>
    </row>
    <row r="698" spans="1:20" ht="15.75">
      <c r="A698" s="13">
        <v>63158</v>
      </c>
      <c r="B698" s="41">
        <f t="shared" si="2"/>
        <v>30</v>
      </c>
      <c r="C698" s="32">
        <v>122.58</v>
      </c>
      <c r="D698" s="32">
        <v>297.94099999999997</v>
      </c>
      <c r="E698" s="38">
        <v>729.47900000000004</v>
      </c>
      <c r="F698" s="32">
        <v>1150</v>
      </c>
      <c r="G698" s="32">
        <v>100</v>
      </c>
      <c r="H698" s="40">
        <v>600</v>
      </c>
      <c r="I698" s="32">
        <v>695</v>
      </c>
      <c r="J698" s="32">
        <v>50</v>
      </c>
      <c r="K698" s="33"/>
      <c r="L698" s="33"/>
      <c r="M698" s="33"/>
      <c r="N698" s="33"/>
      <c r="O698" s="33"/>
      <c r="P698" s="33"/>
      <c r="Q698" s="33"/>
      <c r="R698" s="33"/>
      <c r="S698" s="33"/>
      <c r="T698" s="33"/>
    </row>
    <row r="699" spans="1:20" ht="15.75">
      <c r="A699" s="13">
        <v>63189</v>
      </c>
      <c r="B699" s="41">
        <f t="shared" si="2"/>
        <v>31</v>
      </c>
      <c r="C699" s="32">
        <v>122.58</v>
      </c>
      <c r="D699" s="32">
        <v>297.94099999999997</v>
      </c>
      <c r="E699" s="38">
        <v>729.47900000000004</v>
      </c>
      <c r="F699" s="32">
        <v>1150</v>
      </c>
      <c r="G699" s="32">
        <v>100</v>
      </c>
      <c r="H699" s="40">
        <v>600</v>
      </c>
      <c r="I699" s="32">
        <v>695</v>
      </c>
      <c r="J699" s="32">
        <v>50</v>
      </c>
      <c r="K699" s="33"/>
      <c r="L699" s="33"/>
      <c r="M699" s="33"/>
      <c r="N699" s="33"/>
      <c r="O699" s="33"/>
      <c r="P699" s="33"/>
      <c r="Q699" s="33"/>
      <c r="R699" s="33"/>
      <c r="S699" s="33"/>
      <c r="T699" s="33"/>
    </row>
    <row r="700" spans="1:20" ht="15.75">
      <c r="A700" s="13">
        <v>63220</v>
      </c>
      <c r="B700" s="41">
        <f t="shared" si="2"/>
        <v>31</v>
      </c>
      <c r="C700" s="32">
        <v>122.58</v>
      </c>
      <c r="D700" s="32">
        <v>297.94099999999997</v>
      </c>
      <c r="E700" s="38">
        <v>729.47900000000004</v>
      </c>
      <c r="F700" s="32">
        <v>1150</v>
      </c>
      <c r="G700" s="32">
        <v>100</v>
      </c>
      <c r="H700" s="40">
        <v>600</v>
      </c>
      <c r="I700" s="32">
        <v>695</v>
      </c>
      <c r="J700" s="32">
        <v>50</v>
      </c>
      <c r="K700" s="33"/>
      <c r="L700" s="33"/>
      <c r="M700" s="33"/>
      <c r="N700" s="33"/>
      <c r="O700" s="33"/>
      <c r="P700" s="33"/>
      <c r="Q700" s="33"/>
      <c r="R700" s="33"/>
      <c r="S700" s="33"/>
      <c r="T700" s="33"/>
    </row>
    <row r="701" spans="1:20" ht="15.75">
      <c r="A701" s="13">
        <v>63248</v>
      </c>
      <c r="B701" s="41">
        <f t="shared" si="2"/>
        <v>28</v>
      </c>
      <c r="C701" s="32">
        <v>122.58</v>
      </c>
      <c r="D701" s="32">
        <v>297.94099999999997</v>
      </c>
      <c r="E701" s="38">
        <v>729.47900000000004</v>
      </c>
      <c r="F701" s="32">
        <v>1150</v>
      </c>
      <c r="G701" s="32">
        <v>100</v>
      </c>
      <c r="H701" s="40">
        <v>600</v>
      </c>
      <c r="I701" s="32">
        <v>695</v>
      </c>
      <c r="J701" s="32">
        <v>50</v>
      </c>
      <c r="K701" s="33"/>
      <c r="L701" s="33"/>
      <c r="M701" s="33"/>
      <c r="N701" s="33"/>
      <c r="O701" s="33"/>
      <c r="P701" s="33"/>
      <c r="Q701" s="33"/>
      <c r="R701" s="33"/>
      <c r="S701" s="33"/>
      <c r="T701" s="33"/>
    </row>
    <row r="702" spans="1:20" ht="15.75">
      <c r="A702" s="13">
        <v>63279</v>
      </c>
      <c r="B702" s="41">
        <f t="shared" si="2"/>
        <v>31</v>
      </c>
      <c r="C702" s="32">
        <v>122.58</v>
      </c>
      <c r="D702" s="32">
        <v>297.94099999999997</v>
      </c>
      <c r="E702" s="38">
        <v>729.47900000000004</v>
      </c>
      <c r="F702" s="32">
        <v>1150</v>
      </c>
      <c r="G702" s="32">
        <v>100</v>
      </c>
      <c r="H702" s="40">
        <v>600</v>
      </c>
      <c r="I702" s="32">
        <v>695</v>
      </c>
      <c r="J702" s="32">
        <v>50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</row>
    <row r="703" spans="1:20" ht="15.75">
      <c r="A703" s="13">
        <v>63309</v>
      </c>
      <c r="B703" s="41">
        <f t="shared" si="2"/>
        <v>30</v>
      </c>
      <c r="C703" s="32">
        <v>141.29300000000001</v>
      </c>
      <c r="D703" s="32">
        <v>267.99299999999999</v>
      </c>
      <c r="E703" s="38">
        <v>829.71400000000006</v>
      </c>
      <c r="F703" s="32">
        <v>1239</v>
      </c>
      <c r="G703" s="32">
        <v>100</v>
      </c>
      <c r="H703" s="40">
        <v>600</v>
      </c>
      <c r="I703" s="32">
        <v>695</v>
      </c>
      <c r="J703" s="32">
        <v>50</v>
      </c>
      <c r="K703" s="33"/>
      <c r="L703" s="33"/>
      <c r="M703" s="33"/>
      <c r="N703" s="33"/>
      <c r="O703" s="33"/>
      <c r="P703" s="33"/>
      <c r="Q703" s="33"/>
      <c r="R703" s="33"/>
      <c r="S703" s="33"/>
      <c r="T703" s="33"/>
    </row>
    <row r="704" spans="1:20" ht="15.75">
      <c r="A704" s="13">
        <v>63340</v>
      </c>
      <c r="B704" s="41">
        <f t="shared" si="2"/>
        <v>31</v>
      </c>
      <c r="C704" s="32">
        <v>194.20500000000001</v>
      </c>
      <c r="D704" s="32">
        <v>267.46600000000001</v>
      </c>
      <c r="E704" s="38">
        <v>812.32899999999995</v>
      </c>
      <c r="F704" s="32">
        <v>1274</v>
      </c>
      <c r="G704" s="32">
        <v>75</v>
      </c>
      <c r="H704" s="40">
        <v>600</v>
      </c>
      <c r="I704" s="32">
        <v>695</v>
      </c>
      <c r="J704" s="32">
        <v>50</v>
      </c>
      <c r="K704" s="33"/>
      <c r="L704" s="33"/>
      <c r="M704" s="33"/>
      <c r="N704" s="33"/>
      <c r="O704" s="33"/>
      <c r="P704" s="33"/>
      <c r="Q704" s="33"/>
      <c r="R704" s="33"/>
      <c r="S704" s="33"/>
      <c r="T704" s="33"/>
    </row>
    <row r="705" spans="1:20" ht="15.75">
      <c r="A705" s="13">
        <v>63370</v>
      </c>
      <c r="B705" s="41">
        <f t="shared" si="2"/>
        <v>30</v>
      </c>
      <c r="C705" s="32">
        <v>194.20500000000001</v>
      </c>
      <c r="D705" s="32">
        <v>267.46600000000001</v>
      </c>
      <c r="E705" s="38">
        <v>812.32899999999995</v>
      </c>
      <c r="F705" s="32">
        <v>1274</v>
      </c>
      <c r="G705" s="32">
        <v>50</v>
      </c>
      <c r="H705" s="40">
        <v>600</v>
      </c>
      <c r="I705" s="32">
        <v>695</v>
      </c>
      <c r="J705" s="32">
        <v>50</v>
      </c>
      <c r="K705" s="33"/>
      <c r="L705" s="33"/>
      <c r="M705" s="33"/>
      <c r="N705" s="33"/>
      <c r="O705" s="33"/>
      <c r="P705" s="33"/>
      <c r="Q705" s="33"/>
      <c r="R705" s="33"/>
      <c r="S705" s="33"/>
      <c r="T705" s="33"/>
    </row>
    <row r="706" spans="1:20" ht="15.75">
      <c r="A706" s="13">
        <v>63401</v>
      </c>
      <c r="B706" s="41">
        <f t="shared" si="2"/>
        <v>31</v>
      </c>
      <c r="C706" s="32">
        <v>194.20500000000001</v>
      </c>
      <c r="D706" s="32">
        <v>267.46600000000001</v>
      </c>
      <c r="E706" s="38">
        <v>812.32899999999995</v>
      </c>
      <c r="F706" s="32">
        <v>1274</v>
      </c>
      <c r="G706" s="32">
        <v>50</v>
      </c>
      <c r="H706" s="40">
        <v>600</v>
      </c>
      <c r="I706" s="32">
        <v>695</v>
      </c>
      <c r="J706" s="32">
        <v>0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</row>
    <row r="707" spans="1:20" ht="15.75">
      <c r="A707" s="13">
        <v>63432</v>
      </c>
      <c r="B707" s="41">
        <f t="shared" si="2"/>
        <v>31</v>
      </c>
      <c r="C707" s="32">
        <v>194.20500000000001</v>
      </c>
      <c r="D707" s="32">
        <v>267.46600000000001</v>
      </c>
      <c r="E707" s="38">
        <v>812.32899999999995</v>
      </c>
      <c r="F707" s="32">
        <v>1274</v>
      </c>
      <c r="G707" s="32">
        <v>50</v>
      </c>
      <c r="H707" s="40">
        <v>600</v>
      </c>
      <c r="I707" s="32">
        <v>695</v>
      </c>
      <c r="J707" s="32">
        <v>0</v>
      </c>
      <c r="K707" s="33"/>
      <c r="L707" s="33"/>
      <c r="M707" s="33"/>
      <c r="N707" s="33"/>
      <c r="O707" s="33"/>
      <c r="P707" s="33"/>
      <c r="Q707" s="33"/>
      <c r="R707" s="33"/>
      <c r="S707" s="33"/>
      <c r="T707" s="33"/>
    </row>
    <row r="708" spans="1:20" ht="15.75">
      <c r="A708" s="13">
        <v>63462</v>
      </c>
      <c r="B708" s="41">
        <f t="shared" si="2"/>
        <v>30</v>
      </c>
      <c r="C708" s="32">
        <v>194.20500000000001</v>
      </c>
      <c r="D708" s="32">
        <v>267.46600000000001</v>
      </c>
      <c r="E708" s="38">
        <v>812.32899999999995</v>
      </c>
      <c r="F708" s="32">
        <v>1274</v>
      </c>
      <c r="G708" s="32">
        <v>50</v>
      </c>
      <c r="H708" s="40">
        <v>600</v>
      </c>
      <c r="I708" s="32">
        <v>695</v>
      </c>
      <c r="J708" s="32">
        <v>0</v>
      </c>
      <c r="K708" s="33"/>
      <c r="L708" s="33"/>
      <c r="M708" s="33"/>
      <c r="N708" s="33"/>
      <c r="O708" s="33"/>
      <c r="P708" s="33"/>
      <c r="Q708" s="33"/>
      <c r="R708" s="33"/>
      <c r="S708" s="33"/>
      <c r="T708" s="33"/>
    </row>
    <row r="709" spans="1:20" ht="15.75">
      <c r="A709" s="13">
        <v>63493</v>
      </c>
      <c r="B709" s="41">
        <f t="shared" si="2"/>
        <v>31</v>
      </c>
      <c r="C709" s="32">
        <v>131.881</v>
      </c>
      <c r="D709" s="32">
        <v>277.16699999999997</v>
      </c>
      <c r="E709" s="38">
        <v>829.952</v>
      </c>
      <c r="F709" s="32">
        <v>1239</v>
      </c>
      <c r="G709" s="32">
        <v>75</v>
      </c>
      <c r="H709" s="40">
        <v>600</v>
      </c>
      <c r="I709" s="32">
        <v>695</v>
      </c>
      <c r="J709" s="32">
        <v>0</v>
      </c>
      <c r="K709" s="33"/>
      <c r="L709" s="33"/>
      <c r="M709" s="33"/>
      <c r="N709" s="33"/>
      <c r="O709" s="33"/>
      <c r="P709" s="33"/>
      <c r="Q709" s="33"/>
      <c r="R709" s="33"/>
      <c r="S709" s="33"/>
      <c r="T709" s="33"/>
    </row>
    <row r="710" spans="1:20" ht="15.75">
      <c r="A710" s="13">
        <v>63523</v>
      </c>
      <c r="B710" s="41">
        <f t="shared" si="2"/>
        <v>30</v>
      </c>
      <c r="C710" s="32">
        <v>122.58</v>
      </c>
      <c r="D710" s="32">
        <v>297.94099999999997</v>
      </c>
      <c r="E710" s="38">
        <v>729.47900000000004</v>
      </c>
      <c r="F710" s="32">
        <v>1150</v>
      </c>
      <c r="G710" s="32">
        <v>100</v>
      </c>
      <c r="H710" s="40">
        <v>600</v>
      </c>
      <c r="I710" s="32">
        <v>695</v>
      </c>
      <c r="J710" s="32">
        <v>50</v>
      </c>
      <c r="K710" s="33"/>
      <c r="L710" s="33"/>
      <c r="M710" s="33"/>
      <c r="N710" s="33"/>
      <c r="O710" s="33"/>
      <c r="P710" s="33"/>
      <c r="Q710" s="33"/>
      <c r="R710" s="33"/>
      <c r="S710" s="33"/>
      <c r="T710" s="33"/>
    </row>
    <row r="711" spans="1:20" ht="15.75">
      <c r="A711" s="13">
        <v>63554</v>
      </c>
      <c r="B711" s="41">
        <f t="shared" si="2"/>
        <v>31</v>
      </c>
      <c r="C711" s="32">
        <v>122.58</v>
      </c>
      <c r="D711" s="32">
        <v>297.94099999999997</v>
      </c>
      <c r="E711" s="38">
        <v>729.47900000000004</v>
      </c>
      <c r="F711" s="32">
        <v>1150</v>
      </c>
      <c r="G711" s="32">
        <v>100</v>
      </c>
      <c r="H711" s="40">
        <v>600</v>
      </c>
      <c r="I711" s="32">
        <v>695</v>
      </c>
      <c r="J711" s="32">
        <v>50</v>
      </c>
      <c r="K711" s="33"/>
      <c r="L711" s="33"/>
      <c r="M711" s="33"/>
      <c r="N711" s="33"/>
      <c r="O711" s="33"/>
      <c r="P711" s="33"/>
      <c r="Q711" s="33"/>
      <c r="R711" s="33"/>
      <c r="S711" s="33"/>
      <c r="T711" s="33"/>
    </row>
    <row r="712" spans="1:20" ht="15.75">
      <c r="A712" s="13">
        <v>63585</v>
      </c>
      <c r="B712" s="41">
        <f t="shared" si="2"/>
        <v>31</v>
      </c>
      <c r="C712" s="32">
        <v>122.58</v>
      </c>
      <c r="D712" s="32">
        <v>297.94099999999997</v>
      </c>
      <c r="E712" s="38">
        <v>729.47900000000004</v>
      </c>
      <c r="F712" s="32">
        <v>1150</v>
      </c>
      <c r="G712" s="32">
        <v>100</v>
      </c>
      <c r="H712" s="40">
        <v>600</v>
      </c>
      <c r="I712" s="32">
        <v>695</v>
      </c>
      <c r="J712" s="32">
        <v>50</v>
      </c>
      <c r="K712" s="33"/>
      <c r="L712" s="33"/>
      <c r="M712" s="33"/>
      <c r="N712" s="33"/>
      <c r="O712" s="33"/>
      <c r="P712" s="33"/>
      <c r="Q712" s="33"/>
      <c r="R712" s="33"/>
      <c r="S712" s="33"/>
      <c r="T712" s="33"/>
    </row>
    <row r="713" spans="1:20" ht="15.75">
      <c r="A713" s="13">
        <v>63613</v>
      </c>
      <c r="B713" s="41">
        <f t="shared" si="2"/>
        <v>28</v>
      </c>
      <c r="C713" s="32">
        <v>122.58</v>
      </c>
      <c r="D713" s="32">
        <v>297.94099999999997</v>
      </c>
      <c r="E713" s="38">
        <v>729.47900000000004</v>
      </c>
      <c r="F713" s="32">
        <v>1150</v>
      </c>
      <c r="G713" s="32">
        <v>100</v>
      </c>
      <c r="H713" s="40">
        <v>600</v>
      </c>
      <c r="I713" s="32">
        <v>695</v>
      </c>
      <c r="J713" s="32">
        <v>50</v>
      </c>
      <c r="K713" s="33"/>
      <c r="L713" s="33"/>
      <c r="M713" s="33"/>
      <c r="N713" s="33"/>
      <c r="O713" s="33"/>
      <c r="P713" s="33"/>
      <c r="Q713" s="33"/>
      <c r="R713" s="33"/>
      <c r="S713" s="33"/>
      <c r="T713" s="33"/>
    </row>
    <row r="714" spans="1:20" ht="15.75">
      <c r="A714" s="13">
        <v>63644</v>
      </c>
      <c r="B714" s="41">
        <f t="shared" si="2"/>
        <v>31</v>
      </c>
      <c r="C714" s="32">
        <v>122.58</v>
      </c>
      <c r="D714" s="32">
        <v>297.94099999999997</v>
      </c>
      <c r="E714" s="38">
        <v>729.47900000000004</v>
      </c>
      <c r="F714" s="32">
        <v>1150</v>
      </c>
      <c r="G714" s="32">
        <v>100</v>
      </c>
      <c r="H714" s="40">
        <v>600</v>
      </c>
      <c r="I714" s="32">
        <v>695</v>
      </c>
      <c r="J714" s="32">
        <v>50</v>
      </c>
      <c r="K714" s="33"/>
      <c r="L714" s="33"/>
      <c r="M714" s="33"/>
      <c r="N714" s="33"/>
      <c r="O714" s="33"/>
      <c r="P714" s="33"/>
      <c r="Q714" s="33"/>
      <c r="R714" s="33"/>
      <c r="S714" s="33"/>
      <c r="T714" s="33"/>
    </row>
    <row r="715" spans="1:20" ht="15.75">
      <c r="A715" s="13">
        <v>63674</v>
      </c>
      <c r="B715" s="41">
        <f t="shared" si="2"/>
        <v>30</v>
      </c>
      <c r="C715" s="32">
        <v>141.29300000000001</v>
      </c>
      <c r="D715" s="32">
        <v>267.99299999999999</v>
      </c>
      <c r="E715" s="38">
        <v>829.71400000000006</v>
      </c>
      <c r="F715" s="32">
        <v>1239</v>
      </c>
      <c r="G715" s="32">
        <v>100</v>
      </c>
      <c r="H715" s="40">
        <v>600</v>
      </c>
      <c r="I715" s="32">
        <v>695</v>
      </c>
      <c r="J715" s="32">
        <v>50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</row>
    <row r="716" spans="1:20" ht="15.75">
      <c r="A716" s="13">
        <v>63705</v>
      </c>
      <c r="B716" s="41">
        <f t="shared" si="2"/>
        <v>31</v>
      </c>
      <c r="C716" s="32">
        <v>194.20500000000001</v>
      </c>
      <c r="D716" s="32">
        <v>267.46600000000001</v>
      </c>
      <c r="E716" s="38">
        <v>812.32899999999995</v>
      </c>
      <c r="F716" s="32">
        <v>1274</v>
      </c>
      <c r="G716" s="32">
        <v>75</v>
      </c>
      <c r="H716" s="40">
        <v>600</v>
      </c>
      <c r="I716" s="32">
        <v>695</v>
      </c>
      <c r="J716" s="32">
        <v>50</v>
      </c>
      <c r="K716" s="33"/>
      <c r="L716" s="33"/>
      <c r="M716" s="33"/>
      <c r="N716" s="33"/>
      <c r="O716" s="33"/>
      <c r="P716" s="33"/>
      <c r="Q716" s="33"/>
      <c r="R716" s="33"/>
      <c r="S716" s="33"/>
      <c r="T716" s="33"/>
    </row>
    <row r="717" spans="1:20" ht="15.75">
      <c r="A717" s="13">
        <v>63735</v>
      </c>
      <c r="B717" s="41">
        <f t="shared" si="2"/>
        <v>30</v>
      </c>
      <c r="C717" s="32">
        <v>194.20500000000001</v>
      </c>
      <c r="D717" s="32">
        <v>267.46600000000001</v>
      </c>
      <c r="E717" s="38">
        <v>812.32899999999995</v>
      </c>
      <c r="F717" s="32">
        <v>1274</v>
      </c>
      <c r="G717" s="32">
        <v>50</v>
      </c>
      <c r="H717" s="40">
        <v>600</v>
      </c>
      <c r="I717" s="32">
        <v>695</v>
      </c>
      <c r="J717" s="32">
        <v>50</v>
      </c>
      <c r="K717" s="33"/>
      <c r="L717" s="33"/>
      <c r="M717" s="33"/>
      <c r="N717" s="33"/>
      <c r="O717" s="33"/>
      <c r="P717" s="33"/>
      <c r="Q717" s="33"/>
      <c r="R717" s="33"/>
      <c r="S717" s="33"/>
      <c r="T717" s="33"/>
    </row>
    <row r="718" spans="1:20" ht="15.75">
      <c r="A718" s="13">
        <v>63766</v>
      </c>
      <c r="B718" s="41">
        <f t="shared" si="2"/>
        <v>31</v>
      </c>
      <c r="C718" s="32">
        <v>194.20500000000001</v>
      </c>
      <c r="D718" s="32">
        <v>267.46600000000001</v>
      </c>
      <c r="E718" s="38">
        <v>812.32899999999995</v>
      </c>
      <c r="F718" s="32">
        <v>1274</v>
      </c>
      <c r="G718" s="32">
        <v>50</v>
      </c>
      <c r="H718" s="40">
        <v>600</v>
      </c>
      <c r="I718" s="32">
        <v>695</v>
      </c>
      <c r="J718" s="32">
        <v>0</v>
      </c>
      <c r="K718" s="33"/>
      <c r="L718" s="33"/>
      <c r="M718" s="33"/>
      <c r="N718" s="33"/>
      <c r="O718" s="33"/>
      <c r="P718" s="33"/>
      <c r="Q718" s="33"/>
      <c r="R718" s="33"/>
      <c r="S718" s="33"/>
      <c r="T718" s="33"/>
    </row>
    <row r="719" spans="1:20" ht="15.75">
      <c r="A719" s="13">
        <v>63797</v>
      </c>
      <c r="B719" s="41">
        <f t="shared" si="2"/>
        <v>31</v>
      </c>
      <c r="C719" s="32">
        <v>194.20500000000001</v>
      </c>
      <c r="D719" s="32">
        <v>267.46600000000001</v>
      </c>
      <c r="E719" s="38">
        <v>812.32899999999995</v>
      </c>
      <c r="F719" s="32">
        <v>1274</v>
      </c>
      <c r="G719" s="32">
        <v>50</v>
      </c>
      <c r="H719" s="40">
        <v>600</v>
      </c>
      <c r="I719" s="32">
        <v>695</v>
      </c>
      <c r="J719" s="32">
        <v>0</v>
      </c>
      <c r="K719" s="33"/>
      <c r="L719" s="33"/>
      <c r="M719" s="33"/>
      <c r="N719" s="33"/>
      <c r="O719" s="33"/>
      <c r="P719" s="33"/>
      <c r="Q719" s="33"/>
      <c r="R719" s="33"/>
      <c r="S719" s="33"/>
      <c r="T719" s="33"/>
    </row>
    <row r="720" spans="1:20" ht="15.75">
      <c r="A720" s="13">
        <v>63827</v>
      </c>
      <c r="B720" s="41">
        <f t="shared" si="2"/>
        <v>30</v>
      </c>
      <c r="C720" s="32">
        <v>194.20500000000001</v>
      </c>
      <c r="D720" s="32">
        <v>267.46600000000001</v>
      </c>
      <c r="E720" s="38">
        <v>812.32899999999995</v>
      </c>
      <c r="F720" s="32">
        <v>1274</v>
      </c>
      <c r="G720" s="32">
        <v>50</v>
      </c>
      <c r="H720" s="40">
        <v>600</v>
      </c>
      <c r="I720" s="32">
        <v>695</v>
      </c>
      <c r="J720" s="32">
        <v>0</v>
      </c>
      <c r="K720" s="33"/>
      <c r="L720" s="33"/>
      <c r="M720" s="33"/>
      <c r="N720" s="33"/>
      <c r="O720" s="33"/>
      <c r="P720" s="33"/>
      <c r="Q720" s="33"/>
      <c r="R720" s="33"/>
      <c r="S720" s="33"/>
      <c r="T720" s="33"/>
    </row>
    <row r="721" spans="1:20" ht="15.75">
      <c r="A721" s="13">
        <v>63858</v>
      </c>
      <c r="B721" s="41">
        <f t="shared" si="2"/>
        <v>31</v>
      </c>
      <c r="C721" s="32">
        <v>131.881</v>
      </c>
      <c r="D721" s="32">
        <v>277.16699999999997</v>
      </c>
      <c r="E721" s="38">
        <v>829.952</v>
      </c>
      <c r="F721" s="32">
        <v>1239</v>
      </c>
      <c r="G721" s="32">
        <v>75</v>
      </c>
      <c r="H721" s="40">
        <v>600</v>
      </c>
      <c r="I721" s="32">
        <v>695</v>
      </c>
      <c r="J721" s="32">
        <v>0</v>
      </c>
      <c r="K721" s="33"/>
      <c r="L721" s="33"/>
      <c r="M721" s="33"/>
      <c r="N721" s="33"/>
      <c r="O721" s="33"/>
      <c r="P721" s="33"/>
      <c r="Q721" s="33"/>
      <c r="R721" s="33"/>
      <c r="S721" s="33"/>
      <c r="T721" s="33"/>
    </row>
    <row r="722" spans="1:20" ht="15.75">
      <c r="A722" s="13">
        <v>63888</v>
      </c>
      <c r="B722" s="41">
        <f t="shared" si="2"/>
        <v>30</v>
      </c>
      <c r="C722" s="32">
        <v>122.58</v>
      </c>
      <c r="D722" s="32">
        <v>297.94099999999997</v>
      </c>
      <c r="E722" s="38">
        <v>729.47900000000004</v>
      </c>
      <c r="F722" s="32">
        <v>1150</v>
      </c>
      <c r="G722" s="32">
        <v>100</v>
      </c>
      <c r="H722" s="40">
        <v>600</v>
      </c>
      <c r="I722" s="32">
        <v>695</v>
      </c>
      <c r="J722" s="32">
        <v>50</v>
      </c>
      <c r="K722" s="33"/>
      <c r="L722" s="33"/>
      <c r="M722" s="33"/>
      <c r="N722" s="33"/>
      <c r="O722" s="33"/>
      <c r="P722" s="33"/>
      <c r="Q722" s="33"/>
      <c r="R722" s="33"/>
      <c r="S722" s="33"/>
      <c r="T722" s="33"/>
    </row>
    <row r="723" spans="1:20" ht="15.75">
      <c r="A723" s="13">
        <v>63919</v>
      </c>
      <c r="B723" s="41">
        <f t="shared" si="2"/>
        <v>31</v>
      </c>
      <c r="C723" s="32">
        <v>122.58</v>
      </c>
      <c r="D723" s="32">
        <v>297.94099999999997</v>
      </c>
      <c r="E723" s="38">
        <v>729.47900000000004</v>
      </c>
      <c r="F723" s="32">
        <v>1150</v>
      </c>
      <c r="G723" s="32">
        <v>100</v>
      </c>
      <c r="H723" s="40">
        <v>600</v>
      </c>
      <c r="I723" s="32">
        <v>695</v>
      </c>
      <c r="J723" s="32">
        <v>50</v>
      </c>
      <c r="K723" s="33"/>
      <c r="L723" s="33"/>
      <c r="M723" s="33"/>
      <c r="N723" s="33"/>
      <c r="O723" s="33"/>
      <c r="P723" s="33"/>
      <c r="Q723" s="33"/>
      <c r="R723" s="33"/>
      <c r="S723" s="33"/>
      <c r="T723" s="33"/>
    </row>
    <row r="724" spans="1:20" ht="15.75">
      <c r="A724" s="13">
        <v>63950</v>
      </c>
      <c r="B724" s="41">
        <f t="shared" si="2"/>
        <v>31</v>
      </c>
      <c r="C724" s="32">
        <v>122.58</v>
      </c>
      <c r="D724" s="32">
        <v>297.94099999999997</v>
      </c>
      <c r="E724" s="38">
        <v>729.47900000000004</v>
      </c>
      <c r="F724" s="32">
        <v>1150</v>
      </c>
      <c r="G724" s="32">
        <v>100</v>
      </c>
      <c r="H724" s="40">
        <v>600</v>
      </c>
      <c r="I724" s="32">
        <v>695</v>
      </c>
      <c r="J724" s="32">
        <v>50</v>
      </c>
      <c r="K724" s="33"/>
      <c r="L724" s="33"/>
      <c r="M724" s="33"/>
      <c r="N724" s="33"/>
      <c r="O724" s="33"/>
      <c r="P724" s="33"/>
      <c r="Q724" s="33"/>
      <c r="R724" s="33"/>
      <c r="S724" s="33"/>
      <c r="T724" s="33"/>
    </row>
    <row r="725" spans="1:20" ht="15.75">
      <c r="A725" s="13">
        <v>63978</v>
      </c>
      <c r="B725" s="41">
        <f t="shared" si="2"/>
        <v>28</v>
      </c>
      <c r="C725" s="32">
        <v>122.58</v>
      </c>
      <c r="D725" s="32">
        <v>297.94099999999997</v>
      </c>
      <c r="E725" s="38">
        <v>729.47900000000004</v>
      </c>
      <c r="F725" s="32">
        <v>1150</v>
      </c>
      <c r="G725" s="32">
        <v>100</v>
      </c>
      <c r="H725" s="40">
        <v>600</v>
      </c>
      <c r="I725" s="32">
        <v>695</v>
      </c>
      <c r="J725" s="32">
        <v>50</v>
      </c>
      <c r="K725" s="33"/>
      <c r="L725" s="33"/>
      <c r="M725" s="33"/>
      <c r="N725" s="33"/>
      <c r="O725" s="33"/>
      <c r="P725" s="33"/>
      <c r="Q725" s="33"/>
      <c r="R725" s="33"/>
      <c r="S725" s="33"/>
      <c r="T725" s="33"/>
    </row>
    <row r="726" spans="1:20" ht="15.75">
      <c r="A726" s="13">
        <v>64009</v>
      </c>
      <c r="B726" s="41">
        <f t="shared" si="2"/>
        <v>31</v>
      </c>
      <c r="C726" s="32">
        <v>122.58</v>
      </c>
      <c r="D726" s="32">
        <v>297.94099999999997</v>
      </c>
      <c r="E726" s="38">
        <v>729.47900000000004</v>
      </c>
      <c r="F726" s="32">
        <v>1150</v>
      </c>
      <c r="G726" s="32">
        <v>100</v>
      </c>
      <c r="H726" s="40">
        <v>600</v>
      </c>
      <c r="I726" s="32">
        <v>695</v>
      </c>
      <c r="J726" s="32">
        <v>50</v>
      </c>
      <c r="K726" s="33"/>
      <c r="L726" s="33"/>
      <c r="M726" s="33"/>
      <c r="N726" s="33"/>
      <c r="O726" s="33"/>
      <c r="P726" s="33"/>
      <c r="Q726" s="33"/>
      <c r="R726" s="33"/>
      <c r="S726" s="33"/>
      <c r="T726" s="33"/>
    </row>
    <row r="727" spans="1:20" ht="15.75">
      <c r="A727" s="13">
        <v>64039</v>
      </c>
      <c r="B727" s="41">
        <f t="shared" si="2"/>
        <v>30</v>
      </c>
      <c r="C727" s="32">
        <v>141.29300000000001</v>
      </c>
      <c r="D727" s="32">
        <v>267.99299999999999</v>
      </c>
      <c r="E727" s="38">
        <v>829.71400000000006</v>
      </c>
      <c r="F727" s="32">
        <v>1239</v>
      </c>
      <c r="G727" s="32">
        <v>100</v>
      </c>
      <c r="H727" s="40">
        <v>600</v>
      </c>
      <c r="I727" s="32">
        <v>695</v>
      </c>
      <c r="J727" s="32">
        <v>50</v>
      </c>
      <c r="K727" s="33"/>
      <c r="L727" s="33"/>
      <c r="M727" s="33"/>
      <c r="N727" s="33"/>
      <c r="O727" s="33"/>
      <c r="P727" s="33"/>
      <c r="Q727" s="33"/>
      <c r="R727" s="33"/>
      <c r="S727" s="33"/>
      <c r="T727" s="33"/>
    </row>
    <row r="728" spans="1:20" ht="15.75">
      <c r="A728" s="13">
        <v>64070</v>
      </c>
      <c r="B728" s="41">
        <f t="shared" si="2"/>
        <v>31</v>
      </c>
      <c r="C728" s="32">
        <v>194.20500000000001</v>
      </c>
      <c r="D728" s="32">
        <v>267.46600000000001</v>
      </c>
      <c r="E728" s="38">
        <v>812.32899999999995</v>
      </c>
      <c r="F728" s="32">
        <v>1274</v>
      </c>
      <c r="G728" s="32">
        <v>75</v>
      </c>
      <c r="H728" s="40">
        <v>600</v>
      </c>
      <c r="I728" s="32">
        <v>695</v>
      </c>
      <c r="J728" s="32">
        <v>50</v>
      </c>
      <c r="K728" s="33"/>
      <c r="L728" s="33"/>
      <c r="M728" s="33"/>
      <c r="N728" s="33"/>
      <c r="O728" s="33"/>
      <c r="P728" s="33"/>
      <c r="Q728" s="33"/>
      <c r="R728" s="33"/>
      <c r="S728" s="33"/>
      <c r="T728" s="33"/>
    </row>
    <row r="729" spans="1:20" ht="15.75">
      <c r="A729" s="13">
        <v>64100</v>
      </c>
      <c r="B729" s="41">
        <f t="shared" si="2"/>
        <v>30</v>
      </c>
      <c r="C729" s="32">
        <v>194.20500000000001</v>
      </c>
      <c r="D729" s="32">
        <v>267.46600000000001</v>
      </c>
      <c r="E729" s="38">
        <v>812.32899999999995</v>
      </c>
      <c r="F729" s="32">
        <v>1274</v>
      </c>
      <c r="G729" s="32">
        <v>50</v>
      </c>
      <c r="H729" s="40">
        <v>600</v>
      </c>
      <c r="I729" s="32">
        <v>695</v>
      </c>
      <c r="J729" s="32">
        <v>50</v>
      </c>
      <c r="K729" s="33"/>
      <c r="L729" s="33"/>
      <c r="M729" s="33"/>
      <c r="N729" s="33"/>
      <c r="O729" s="33"/>
      <c r="P729" s="33"/>
      <c r="Q729" s="33"/>
      <c r="R729" s="33"/>
      <c r="S729" s="33"/>
      <c r="T729" s="33"/>
    </row>
    <row r="730" spans="1:20" ht="15.75">
      <c r="A730" s="13">
        <v>64131</v>
      </c>
      <c r="B730" s="41">
        <f t="shared" si="2"/>
        <v>31</v>
      </c>
      <c r="C730" s="32">
        <v>194.20500000000001</v>
      </c>
      <c r="D730" s="32">
        <v>267.46600000000001</v>
      </c>
      <c r="E730" s="38">
        <v>812.32899999999995</v>
      </c>
      <c r="F730" s="32">
        <v>1274</v>
      </c>
      <c r="G730" s="32">
        <v>50</v>
      </c>
      <c r="H730" s="40">
        <v>600</v>
      </c>
      <c r="I730" s="32">
        <v>695</v>
      </c>
      <c r="J730" s="32">
        <v>0</v>
      </c>
      <c r="K730" s="33"/>
      <c r="L730" s="33"/>
      <c r="M730" s="33"/>
      <c r="N730" s="33"/>
      <c r="O730" s="33"/>
      <c r="P730" s="33"/>
      <c r="Q730" s="33"/>
      <c r="R730" s="33"/>
      <c r="S730" s="33"/>
      <c r="T730" s="33"/>
    </row>
    <row r="731" spans="1:20" ht="15.75">
      <c r="A731" s="13">
        <v>64162</v>
      </c>
      <c r="B731" s="41">
        <f t="shared" si="2"/>
        <v>31</v>
      </c>
      <c r="C731" s="32">
        <v>194.20500000000001</v>
      </c>
      <c r="D731" s="32">
        <v>267.46600000000001</v>
      </c>
      <c r="E731" s="38">
        <v>812.32899999999995</v>
      </c>
      <c r="F731" s="32">
        <v>1274</v>
      </c>
      <c r="G731" s="32">
        <v>50</v>
      </c>
      <c r="H731" s="40">
        <v>600</v>
      </c>
      <c r="I731" s="32">
        <v>695</v>
      </c>
      <c r="J731" s="32">
        <v>0</v>
      </c>
      <c r="K731" s="33"/>
      <c r="L731" s="33"/>
      <c r="M731" s="33"/>
      <c r="N731" s="33"/>
      <c r="O731" s="33"/>
      <c r="P731" s="33"/>
      <c r="Q731" s="33"/>
      <c r="R731" s="33"/>
      <c r="S731" s="33"/>
      <c r="T731" s="33"/>
    </row>
    <row r="732" spans="1:20" ht="15.75">
      <c r="A732" s="13">
        <v>64192</v>
      </c>
      <c r="B732" s="41">
        <f t="shared" si="2"/>
        <v>30</v>
      </c>
      <c r="C732" s="32">
        <v>194.20500000000001</v>
      </c>
      <c r="D732" s="32">
        <v>267.46600000000001</v>
      </c>
      <c r="E732" s="38">
        <v>812.32899999999995</v>
      </c>
      <c r="F732" s="32">
        <v>1274</v>
      </c>
      <c r="G732" s="32">
        <v>50</v>
      </c>
      <c r="H732" s="40">
        <v>600</v>
      </c>
      <c r="I732" s="32">
        <v>695</v>
      </c>
      <c r="J732" s="32">
        <v>0</v>
      </c>
      <c r="K732" s="33"/>
      <c r="L732" s="33"/>
      <c r="M732" s="33"/>
      <c r="N732" s="33"/>
      <c r="O732" s="33"/>
      <c r="P732" s="33"/>
      <c r="Q732" s="33"/>
      <c r="R732" s="33"/>
      <c r="S732" s="33"/>
      <c r="T732" s="33"/>
    </row>
    <row r="733" spans="1:20" ht="15.75">
      <c r="A733" s="13">
        <v>64223</v>
      </c>
      <c r="B733" s="41">
        <f t="shared" si="2"/>
        <v>31</v>
      </c>
      <c r="C733" s="32">
        <v>131.881</v>
      </c>
      <c r="D733" s="32">
        <v>277.16699999999997</v>
      </c>
      <c r="E733" s="38">
        <v>829.952</v>
      </c>
      <c r="F733" s="32">
        <v>1239</v>
      </c>
      <c r="G733" s="32">
        <v>75</v>
      </c>
      <c r="H733" s="40">
        <v>600</v>
      </c>
      <c r="I733" s="32">
        <v>695</v>
      </c>
      <c r="J733" s="32">
        <v>0</v>
      </c>
      <c r="K733" s="33"/>
      <c r="L733" s="33"/>
      <c r="M733" s="33"/>
      <c r="N733" s="33"/>
      <c r="O733" s="33"/>
      <c r="P733" s="33"/>
      <c r="Q733" s="33"/>
      <c r="R733" s="33"/>
      <c r="S733" s="33"/>
      <c r="T733" s="33"/>
    </row>
    <row r="734" spans="1:20" ht="15.75">
      <c r="A734" s="13">
        <v>64253</v>
      </c>
      <c r="B734" s="41">
        <f t="shared" si="2"/>
        <v>30</v>
      </c>
      <c r="C734" s="32">
        <v>122.58</v>
      </c>
      <c r="D734" s="32">
        <v>297.94099999999997</v>
      </c>
      <c r="E734" s="38">
        <v>729.47900000000004</v>
      </c>
      <c r="F734" s="32">
        <v>1150</v>
      </c>
      <c r="G734" s="32">
        <v>100</v>
      </c>
      <c r="H734" s="40">
        <v>600</v>
      </c>
      <c r="I734" s="32">
        <v>695</v>
      </c>
      <c r="J734" s="32">
        <v>50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</row>
    <row r="735" spans="1:20" ht="15.75">
      <c r="A735" s="13">
        <v>64284</v>
      </c>
      <c r="B735" s="41">
        <f t="shared" si="2"/>
        <v>31</v>
      </c>
      <c r="C735" s="32">
        <v>122.58</v>
      </c>
      <c r="D735" s="32">
        <v>297.94099999999997</v>
      </c>
      <c r="E735" s="38">
        <v>729.47900000000004</v>
      </c>
      <c r="F735" s="32">
        <v>1150</v>
      </c>
      <c r="G735" s="32">
        <v>100</v>
      </c>
      <c r="H735" s="40">
        <v>600</v>
      </c>
      <c r="I735" s="32">
        <v>695</v>
      </c>
      <c r="J735" s="32">
        <v>50</v>
      </c>
      <c r="K735" s="33"/>
      <c r="L735" s="33"/>
      <c r="M735" s="33"/>
      <c r="N735" s="33"/>
      <c r="O735" s="33"/>
      <c r="P735" s="33"/>
      <c r="Q735" s="33"/>
      <c r="R735" s="33"/>
      <c r="S735" s="33"/>
      <c r="T735" s="33"/>
    </row>
    <row r="736" spans="1:20" ht="15.75">
      <c r="A736" s="13">
        <v>64315</v>
      </c>
      <c r="B736" s="41">
        <f t="shared" si="2"/>
        <v>31</v>
      </c>
      <c r="C736" s="32">
        <v>122.58</v>
      </c>
      <c r="D736" s="32">
        <v>297.94099999999997</v>
      </c>
      <c r="E736" s="38">
        <v>729.47900000000004</v>
      </c>
      <c r="F736" s="32">
        <v>1150</v>
      </c>
      <c r="G736" s="32">
        <v>100</v>
      </c>
      <c r="H736" s="40">
        <v>600</v>
      </c>
      <c r="I736" s="32">
        <v>695</v>
      </c>
      <c r="J736" s="32">
        <v>50</v>
      </c>
      <c r="K736" s="33"/>
      <c r="L736" s="33"/>
      <c r="M736" s="33"/>
      <c r="N736" s="33"/>
      <c r="O736" s="33"/>
      <c r="P736" s="33"/>
      <c r="Q736" s="33"/>
      <c r="R736" s="33"/>
      <c r="S736" s="33"/>
      <c r="T736" s="33"/>
    </row>
    <row r="737" spans="1:20" ht="15.75">
      <c r="A737" s="13">
        <v>64344</v>
      </c>
      <c r="B737" s="41">
        <f t="shared" si="2"/>
        <v>29</v>
      </c>
      <c r="C737" s="32">
        <v>122.58</v>
      </c>
      <c r="D737" s="32">
        <v>297.94099999999997</v>
      </c>
      <c r="E737" s="38">
        <v>729.47900000000004</v>
      </c>
      <c r="F737" s="32">
        <v>1150</v>
      </c>
      <c r="G737" s="32">
        <v>100</v>
      </c>
      <c r="H737" s="40">
        <v>600</v>
      </c>
      <c r="I737" s="32">
        <v>695</v>
      </c>
      <c r="J737" s="32">
        <v>50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</row>
    <row r="738" spans="1:20" ht="15.75">
      <c r="A738" s="13">
        <v>64375</v>
      </c>
      <c r="B738" s="41">
        <f t="shared" si="2"/>
        <v>31</v>
      </c>
      <c r="C738" s="32">
        <v>122.58</v>
      </c>
      <c r="D738" s="32">
        <v>297.94099999999997</v>
      </c>
      <c r="E738" s="38">
        <v>729.47900000000004</v>
      </c>
      <c r="F738" s="32">
        <v>1150</v>
      </c>
      <c r="G738" s="32">
        <v>100</v>
      </c>
      <c r="H738" s="40">
        <v>600</v>
      </c>
      <c r="I738" s="32">
        <v>695</v>
      </c>
      <c r="J738" s="32">
        <v>50</v>
      </c>
      <c r="K738" s="33"/>
      <c r="L738" s="33"/>
      <c r="M738" s="33"/>
      <c r="N738" s="33"/>
      <c r="O738" s="33"/>
      <c r="P738" s="33"/>
      <c r="Q738" s="33"/>
      <c r="R738" s="33"/>
      <c r="S738" s="33"/>
      <c r="T738" s="33"/>
    </row>
    <row r="739" spans="1:20" ht="15.75">
      <c r="A739" s="13">
        <v>64405</v>
      </c>
      <c r="B739" s="41">
        <f t="shared" si="2"/>
        <v>30</v>
      </c>
      <c r="C739" s="32">
        <v>141.29300000000001</v>
      </c>
      <c r="D739" s="32">
        <v>267.99299999999999</v>
      </c>
      <c r="E739" s="38">
        <v>829.71400000000006</v>
      </c>
      <c r="F739" s="32">
        <v>1239</v>
      </c>
      <c r="G739" s="32">
        <v>100</v>
      </c>
      <c r="H739" s="40">
        <v>600</v>
      </c>
      <c r="I739" s="32">
        <v>695</v>
      </c>
      <c r="J739" s="32">
        <v>50</v>
      </c>
      <c r="K739" s="33"/>
      <c r="L739" s="33"/>
      <c r="M739" s="33"/>
      <c r="N739" s="33"/>
      <c r="O739" s="33"/>
      <c r="P739" s="33"/>
      <c r="Q739" s="33"/>
      <c r="R739" s="33"/>
      <c r="S739" s="33"/>
      <c r="T739" s="33"/>
    </row>
    <row r="740" spans="1:20" ht="15.75">
      <c r="A740" s="13">
        <v>64436</v>
      </c>
      <c r="B740" s="41">
        <f t="shared" si="2"/>
        <v>31</v>
      </c>
      <c r="C740" s="32">
        <v>194.20500000000001</v>
      </c>
      <c r="D740" s="32">
        <v>267.46600000000001</v>
      </c>
      <c r="E740" s="38">
        <v>812.32899999999995</v>
      </c>
      <c r="F740" s="32">
        <v>1274</v>
      </c>
      <c r="G740" s="32">
        <v>75</v>
      </c>
      <c r="H740" s="40">
        <v>600</v>
      </c>
      <c r="I740" s="32">
        <v>695</v>
      </c>
      <c r="J740" s="32">
        <v>50</v>
      </c>
      <c r="K740" s="33"/>
      <c r="L740" s="33"/>
      <c r="M740" s="33"/>
      <c r="N740" s="33"/>
      <c r="O740" s="33"/>
      <c r="P740" s="33"/>
      <c r="Q740" s="33"/>
      <c r="R740" s="33"/>
      <c r="S740" s="33"/>
      <c r="T740" s="33"/>
    </row>
    <row r="741" spans="1:20" ht="15.75">
      <c r="A741" s="13">
        <v>64466</v>
      </c>
      <c r="B741" s="41">
        <f t="shared" si="2"/>
        <v>30</v>
      </c>
      <c r="C741" s="32">
        <v>194.20500000000001</v>
      </c>
      <c r="D741" s="32">
        <v>267.46600000000001</v>
      </c>
      <c r="E741" s="38">
        <v>812.32899999999995</v>
      </c>
      <c r="F741" s="32">
        <v>1274</v>
      </c>
      <c r="G741" s="32">
        <v>50</v>
      </c>
      <c r="H741" s="40">
        <v>600</v>
      </c>
      <c r="I741" s="32">
        <v>695</v>
      </c>
      <c r="J741" s="32">
        <v>50</v>
      </c>
      <c r="K741" s="33"/>
      <c r="L741" s="33"/>
      <c r="M741" s="33"/>
      <c r="N741" s="33"/>
      <c r="O741" s="33"/>
      <c r="P741" s="33"/>
      <c r="Q741" s="33"/>
      <c r="R741" s="33"/>
      <c r="S741" s="33"/>
      <c r="T741" s="33"/>
    </row>
    <row r="742" spans="1:20" ht="15.75">
      <c r="A742" s="13">
        <v>64497</v>
      </c>
      <c r="B742" s="41">
        <f t="shared" si="2"/>
        <v>31</v>
      </c>
      <c r="C742" s="32">
        <v>194.20500000000001</v>
      </c>
      <c r="D742" s="32">
        <v>267.46600000000001</v>
      </c>
      <c r="E742" s="38">
        <v>812.32899999999995</v>
      </c>
      <c r="F742" s="32">
        <v>1274</v>
      </c>
      <c r="G742" s="32">
        <v>50</v>
      </c>
      <c r="H742" s="40">
        <v>600</v>
      </c>
      <c r="I742" s="32">
        <v>695</v>
      </c>
      <c r="J742" s="32">
        <v>0</v>
      </c>
      <c r="K742" s="33"/>
      <c r="L742" s="33"/>
      <c r="M742" s="33"/>
      <c r="N742" s="33"/>
      <c r="O742" s="33"/>
      <c r="P742" s="33"/>
      <c r="Q742" s="33"/>
      <c r="R742" s="33"/>
      <c r="S742" s="33"/>
      <c r="T742" s="33"/>
    </row>
    <row r="743" spans="1:20" ht="15.75">
      <c r="A743" s="13">
        <v>64528</v>
      </c>
      <c r="B743" s="41">
        <f t="shared" si="2"/>
        <v>31</v>
      </c>
      <c r="C743" s="32">
        <v>194.20500000000001</v>
      </c>
      <c r="D743" s="32">
        <v>267.46600000000001</v>
      </c>
      <c r="E743" s="38">
        <v>812.32899999999995</v>
      </c>
      <c r="F743" s="32">
        <v>1274</v>
      </c>
      <c r="G743" s="32">
        <v>50</v>
      </c>
      <c r="H743" s="40">
        <v>600</v>
      </c>
      <c r="I743" s="32">
        <v>695</v>
      </c>
      <c r="J743" s="32">
        <v>0</v>
      </c>
      <c r="K743" s="33"/>
      <c r="L743" s="33"/>
      <c r="M743" s="33"/>
      <c r="N743" s="33"/>
      <c r="O743" s="33"/>
      <c r="P743" s="33"/>
      <c r="Q743" s="33"/>
      <c r="R743" s="33"/>
      <c r="S743" s="33"/>
      <c r="T743" s="33"/>
    </row>
    <row r="744" spans="1:20" ht="15.75">
      <c r="A744" s="13">
        <v>64558</v>
      </c>
      <c r="B744" s="41">
        <f t="shared" si="2"/>
        <v>30</v>
      </c>
      <c r="C744" s="32">
        <v>194.20500000000001</v>
      </c>
      <c r="D744" s="32">
        <v>267.46600000000001</v>
      </c>
      <c r="E744" s="38">
        <v>812.32899999999995</v>
      </c>
      <c r="F744" s="32">
        <v>1274</v>
      </c>
      <c r="G744" s="32">
        <v>50</v>
      </c>
      <c r="H744" s="40">
        <v>600</v>
      </c>
      <c r="I744" s="32">
        <v>695</v>
      </c>
      <c r="J744" s="32">
        <v>0</v>
      </c>
      <c r="K744" s="33"/>
      <c r="L744" s="33"/>
      <c r="M744" s="33"/>
      <c r="N744" s="33"/>
      <c r="O744" s="33"/>
      <c r="P744" s="33"/>
      <c r="Q744" s="33"/>
      <c r="R744" s="33"/>
      <c r="S744" s="33"/>
      <c r="T744" s="33"/>
    </row>
    <row r="745" spans="1:20" ht="15.75">
      <c r="A745" s="13">
        <v>64589</v>
      </c>
      <c r="B745" s="41">
        <f t="shared" si="2"/>
        <v>31</v>
      </c>
      <c r="C745" s="32">
        <v>131.881</v>
      </c>
      <c r="D745" s="32">
        <v>277.16699999999997</v>
      </c>
      <c r="E745" s="38">
        <v>829.952</v>
      </c>
      <c r="F745" s="32">
        <v>1239</v>
      </c>
      <c r="G745" s="32">
        <v>75</v>
      </c>
      <c r="H745" s="40">
        <v>600</v>
      </c>
      <c r="I745" s="32">
        <v>695</v>
      </c>
      <c r="J745" s="32">
        <v>0</v>
      </c>
      <c r="K745" s="33"/>
      <c r="L745" s="33"/>
      <c r="M745" s="33"/>
      <c r="N745" s="33"/>
      <c r="O745" s="33"/>
      <c r="P745" s="33"/>
      <c r="Q745" s="33"/>
      <c r="R745" s="33"/>
      <c r="S745" s="33"/>
      <c r="T745" s="33"/>
    </row>
    <row r="746" spans="1:20" ht="15.75">
      <c r="A746" s="13">
        <v>64619</v>
      </c>
      <c r="B746" s="41">
        <f t="shared" si="2"/>
        <v>30</v>
      </c>
      <c r="C746" s="32">
        <v>122.58</v>
      </c>
      <c r="D746" s="32">
        <v>297.94099999999997</v>
      </c>
      <c r="E746" s="38">
        <v>729.47900000000004</v>
      </c>
      <c r="F746" s="32">
        <v>1150</v>
      </c>
      <c r="G746" s="32">
        <v>100</v>
      </c>
      <c r="H746" s="40">
        <v>600</v>
      </c>
      <c r="I746" s="32">
        <v>695</v>
      </c>
      <c r="J746" s="32">
        <v>50</v>
      </c>
      <c r="K746" s="33"/>
      <c r="L746" s="33"/>
      <c r="M746" s="33"/>
      <c r="N746" s="33"/>
      <c r="O746" s="33"/>
      <c r="P746" s="33"/>
      <c r="Q746" s="33"/>
      <c r="R746" s="33"/>
      <c r="S746" s="33"/>
      <c r="T746" s="33"/>
    </row>
    <row r="747" spans="1:20" ht="15.75">
      <c r="A747" s="13">
        <v>64650</v>
      </c>
      <c r="B747" s="41">
        <f t="shared" si="2"/>
        <v>31</v>
      </c>
      <c r="C747" s="32">
        <v>122.58</v>
      </c>
      <c r="D747" s="32">
        <v>297.94099999999997</v>
      </c>
      <c r="E747" s="38">
        <v>729.47900000000004</v>
      </c>
      <c r="F747" s="32">
        <v>1150</v>
      </c>
      <c r="G747" s="32">
        <v>100</v>
      </c>
      <c r="H747" s="40">
        <v>600</v>
      </c>
      <c r="I747" s="32">
        <v>695</v>
      </c>
      <c r="J747" s="32">
        <v>50</v>
      </c>
      <c r="K747" s="33"/>
      <c r="L747" s="33"/>
      <c r="M747" s="33"/>
      <c r="N747" s="33"/>
      <c r="O747" s="33"/>
      <c r="P747" s="33"/>
      <c r="Q747" s="33"/>
      <c r="R747" s="33"/>
      <c r="S747" s="33"/>
      <c r="T747" s="33"/>
    </row>
    <row r="748" spans="1:20" ht="15.75">
      <c r="A748" s="13">
        <v>64681</v>
      </c>
      <c r="B748" s="41">
        <f t="shared" si="2"/>
        <v>31</v>
      </c>
      <c r="C748" s="32">
        <v>122.58</v>
      </c>
      <c r="D748" s="32">
        <v>297.94099999999997</v>
      </c>
      <c r="E748" s="38">
        <v>729.47900000000004</v>
      </c>
      <c r="F748" s="32">
        <v>1150</v>
      </c>
      <c r="G748" s="32">
        <v>100</v>
      </c>
      <c r="H748" s="40">
        <v>600</v>
      </c>
      <c r="I748" s="32">
        <v>695</v>
      </c>
      <c r="J748" s="32">
        <v>50</v>
      </c>
      <c r="K748" s="33"/>
      <c r="L748" s="33"/>
      <c r="M748" s="33"/>
      <c r="N748" s="33"/>
      <c r="O748" s="33"/>
      <c r="P748" s="33"/>
      <c r="Q748" s="33"/>
      <c r="R748" s="33"/>
      <c r="S748" s="33"/>
      <c r="T748" s="33"/>
    </row>
    <row r="749" spans="1:20" ht="15.75">
      <c r="A749" s="13">
        <v>64709</v>
      </c>
      <c r="B749" s="41">
        <f t="shared" si="2"/>
        <v>28</v>
      </c>
      <c r="C749" s="32">
        <v>122.58</v>
      </c>
      <c r="D749" s="32">
        <v>297.94099999999997</v>
      </c>
      <c r="E749" s="38">
        <v>729.47900000000004</v>
      </c>
      <c r="F749" s="32">
        <v>1150</v>
      </c>
      <c r="G749" s="32">
        <v>100</v>
      </c>
      <c r="H749" s="40">
        <v>600</v>
      </c>
      <c r="I749" s="32">
        <v>695</v>
      </c>
      <c r="J749" s="32">
        <v>50</v>
      </c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  <row r="750" spans="1:20" ht="15.75">
      <c r="A750" s="13">
        <v>64740</v>
      </c>
      <c r="B750" s="41">
        <f t="shared" si="2"/>
        <v>31</v>
      </c>
      <c r="C750" s="32">
        <v>122.58</v>
      </c>
      <c r="D750" s="32">
        <v>297.94099999999997</v>
      </c>
      <c r="E750" s="38">
        <v>729.47900000000004</v>
      </c>
      <c r="F750" s="32">
        <v>1150</v>
      </c>
      <c r="G750" s="32">
        <v>100</v>
      </c>
      <c r="H750" s="40">
        <v>600</v>
      </c>
      <c r="I750" s="32">
        <v>695</v>
      </c>
      <c r="J750" s="32">
        <v>50</v>
      </c>
      <c r="K750" s="33"/>
      <c r="L750" s="33"/>
      <c r="M750" s="33"/>
      <c r="N750" s="33"/>
      <c r="O750" s="33"/>
      <c r="P750" s="33"/>
      <c r="Q750" s="33"/>
      <c r="R750" s="33"/>
      <c r="S750" s="33"/>
      <c r="T750" s="33"/>
    </row>
    <row r="751" spans="1:20" ht="15.75">
      <c r="A751" s="13">
        <v>64770</v>
      </c>
      <c r="B751" s="41">
        <f t="shared" si="2"/>
        <v>30</v>
      </c>
      <c r="C751" s="32">
        <v>141.29300000000001</v>
      </c>
      <c r="D751" s="32">
        <v>267.99299999999999</v>
      </c>
      <c r="E751" s="38">
        <v>829.71400000000006</v>
      </c>
      <c r="F751" s="32">
        <v>1239</v>
      </c>
      <c r="G751" s="32">
        <v>100</v>
      </c>
      <c r="H751" s="40">
        <v>600</v>
      </c>
      <c r="I751" s="32">
        <v>695</v>
      </c>
      <c r="J751" s="32">
        <v>50</v>
      </c>
      <c r="K751" s="33"/>
      <c r="L751" s="33"/>
      <c r="M751" s="33"/>
      <c r="N751" s="33"/>
      <c r="O751" s="33"/>
      <c r="P751" s="33"/>
      <c r="Q751" s="33"/>
      <c r="R751" s="33"/>
      <c r="S751" s="33"/>
      <c r="T751" s="33"/>
    </row>
    <row r="752" spans="1:20" ht="15.75">
      <c r="A752" s="13">
        <v>64801</v>
      </c>
      <c r="B752" s="41">
        <f t="shared" si="2"/>
        <v>31</v>
      </c>
      <c r="C752" s="32">
        <v>194.20500000000001</v>
      </c>
      <c r="D752" s="32">
        <v>267.46600000000001</v>
      </c>
      <c r="E752" s="38">
        <v>812.32899999999995</v>
      </c>
      <c r="F752" s="32">
        <v>1274</v>
      </c>
      <c r="G752" s="32">
        <v>75</v>
      </c>
      <c r="H752" s="40">
        <v>600</v>
      </c>
      <c r="I752" s="32">
        <v>695</v>
      </c>
      <c r="J752" s="32">
        <v>50</v>
      </c>
      <c r="K752" s="33"/>
      <c r="L752" s="33"/>
      <c r="M752" s="33"/>
      <c r="N752" s="33"/>
      <c r="O752" s="33"/>
      <c r="P752" s="33"/>
      <c r="Q752" s="33"/>
      <c r="R752" s="33"/>
      <c r="S752" s="33"/>
      <c r="T752" s="33"/>
    </row>
    <row r="753" spans="1:20" ht="15.75">
      <c r="A753" s="13">
        <v>64831</v>
      </c>
      <c r="B753" s="41">
        <f t="shared" si="2"/>
        <v>30</v>
      </c>
      <c r="C753" s="32">
        <v>194.20500000000001</v>
      </c>
      <c r="D753" s="32">
        <v>267.46600000000001</v>
      </c>
      <c r="E753" s="38">
        <v>812.32899999999995</v>
      </c>
      <c r="F753" s="32">
        <v>1274</v>
      </c>
      <c r="G753" s="32">
        <v>50</v>
      </c>
      <c r="H753" s="40">
        <v>600</v>
      </c>
      <c r="I753" s="32">
        <v>695</v>
      </c>
      <c r="J753" s="32">
        <v>50</v>
      </c>
      <c r="K753" s="33"/>
      <c r="L753" s="33"/>
      <c r="M753" s="33"/>
      <c r="N753" s="33"/>
      <c r="O753" s="33"/>
      <c r="P753" s="33"/>
      <c r="Q753" s="33"/>
      <c r="R753" s="33"/>
      <c r="S753" s="33"/>
      <c r="T753" s="33"/>
    </row>
    <row r="754" spans="1:20" ht="15.75">
      <c r="A754" s="13">
        <v>64862</v>
      </c>
      <c r="B754" s="41">
        <f t="shared" si="2"/>
        <v>31</v>
      </c>
      <c r="C754" s="32">
        <v>194.20500000000001</v>
      </c>
      <c r="D754" s="32">
        <v>267.46600000000001</v>
      </c>
      <c r="E754" s="38">
        <v>812.32899999999995</v>
      </c>
      <c r="F754" s="32">
        <v>1274</v>
      </c>
      <c r="G754" s="32">
        <v>50</v>
      </c>
      <c r="H754" s="40">
        <v>600</v>
      </c>
      <c r="I754" s="32">
        <v>695</v>
      </c>
      <c r="J754" s="32">
        <v>0</v>
      </c>
      <c r="K754" s="33"/>
      <c r="L754" s="33"/>
      <c r="M754" s="33"/>
      <c r="N754" s="33"/>
      <c r="O754" s="33"/>
      <c r="P754" s="33"/>
      <c r="Q754" s="33"/>
      <c r="R754" s="33"/>
      <c r="S754" s="33"/>
      <c r="T754" s="33"/>
    </row>
    <row r="755" spans="1:20" ht="15.75">
      <c r="A755" s="13">
        <v>64893</v>
      </c>
      <c r="B755" s="41">
        <f t="shared" si="2"/>
        <v>31</v>
      </c>
      <c r="C755" s="32">
        <v>194.20500000000001</v>
      </c>
      <c r="D755" s="32">
        <v>267.46600000000001</v>
      </c>
      <c r="E755" s="38">
        <v>812.32899999999995</v>
      </c>
      <c r="F755" s="32">
        <v>1274</v>
      </c>
      <c r="G755" s="32">
        <v>50</v>
      </c>
      <c r="H755" s="40">
        <v>600</v>
      </c>
      <c r="I755" s="32">
        <v>695</v>
      </c>
      <c r="J755" s="32">
        <v>0</v>
      </c>
      <c r="K755" s="33"/>
      <c r="L755" s="33"/>
      <c r="M755" s="33"/>
      <c r="N755" s="33"/>
      <c r="O755" s="33"/>
      <c r="P755" s="33"/>
      <c r="Q755" s="33"/>
      <c r="R755" s="33"/>
      <c r="S755" s="33"/>
      <c r="T755" s="33"/>
    </row>
    <row r="756" spans="1:20" ht="15.75">
      <c r="A756" s="13">
        <v>64923</v>
      </c>
      <c r="B756" s="41">
        <f t="shared" si="2"/>
        <v>30</v>
      </c>
      <c r="C756" s="32">
        <v>194.20500000000001</v>
      </c>
      <c r="D756" s="32">
        <v>267.46600000000001</v>
      </c>
      <c r="E756" s="38">
        <v>812.32899999999995</v>
      </c>
      <c r="F756" s="32">
        <v>1274</v>
      </c>
      <c r="G756" s="32">
        <v>50</v>
      </c>
      <c r="H756" s="40">
        <v>600</v>
      </c>
      <c r="I756" s="32">
        <v>695</v>
      </c>
      <c r="J756" s="32">
        <v>0</v>
      </c>
      <c r="K756" s="33"/>
      <c r="L756" s="33"/>
      <c r="M756" s="33"/>
      <c r="N756" s="33"/>
      <c r="O756" s="33"/>
      <c r="P756" s="33"/>
      <c r="Q756" s="33"/>
      <c r="R756" s="33"/>
      <c r="S756" s="33"/>
      <c r="T756" s="33"/>
    </row>
    <row r="757" spans="1:20" ht="15.75">
      <c r="A757" s="13">
        <v>64954</v>
      </c>
      <c r="B757" s="41">
        <f t="shared" si="2"/>
        <v>31</v>
      </c>
      <c r="C757" s="32">
        <v>131.881</v>
      </c>
      <c r="D757" s="32">
        <v>277.16699999999997</v>
      </c>
      <c r="E757" s="38">
        <v>829.952</v>
      </c>
      <c r="F757" s="32">
        <v>1239</v>
      </c>
      <c r="G757" s="32">
        <v>75</v>
      </c>
      <c r="H757" s="40">
        <v>600</v>
      </c>
      <c r="I757" s="32">
        <v>695</v>
      </c>
      <c r="J757" s="32">
        <v>0</v>
      </c>
      <c r="K757" s="33"/>
      <c r="L757" s="33"/>
      <c r="M757" s="33"/>
      <c r="N757" s="33"/>
      <c r="O757" s="33"/>
      <c r="P757" s="33"/>
      <c r="Q757" s="33"/>
      <c r="R757" s="33"/>
      <c r="S757" s="33"/>
      <c r="T757" s="33"/>
    </row>
    <row r="758" spans="1:20" ht="15.75">
      <c r="A758" s="13">
        <v>64984</v>
      </c>
      <c r="B758" s="41">
        <f t="shared" si="2"/>
        <v>30</v>
      </c>
      <c r="C758" s="32">
        <v>122.58</v>
      </c>
      <c r="D758" s="32">
        <v>297.94099999999997</v>
      </c>
      <c r="E758" s="38">
        <v>729.47900000000004</v>
      </c>
      <c r="F758" s="32">
        <v>1150</v>
      </c>
      <c r="G758" s="32">
        <v>100</v>
      </c>
      <c r="H758" s="40">
        <v>600</v>
      </c>
      <c r="I758" s="32">
        <v>695</v>
      </c>
      <c r="J758" s="32">
        <v>50</v>
      </c>
      <c r="K758" s="33"/>
      <c r="L758" s="33"/>
      <c r="M758" s="33"/>
      <c r="N758" s="33"/>
      <c r="O758" s="33"/>
      <c r="P758" s="33"/>
      <c r="Q758" s="33"/>
      <c r="R758" s="33"/>
      <c r="S758" s="33"/>
      <c r="T758" s="33"/>
    </row>
    <row r="759" spans="1:20" ht="15.75">
      <c r="A759" s="13">
        <v>65015</v>
      </c>
      <c r="B759" s="41">
        <f t="shared" si="2"/>
        <v>31</v>
      </c>
      <c r="C759" s="32">
        <v>122.58</v>
      </c>
      <c r="D759" s="32">
        <v>297.94099999999997</v>
      </c>
      <c r="E759" s="38">
        <v>729.47900000000004</v>
      </c>
      <c r="F759" s="32">
        <v>1150</v>
      </c>
      <c r="G759" s="32">
        <v>100</v>
      </c>
      <c r="H759" s="40">
        <v>600</v>
      </c>
      <c r="I759" s="32">
        <v>695</v>
      </c>
      <c r="J759" s="32">
        <v>50</v>
      </c>
      <c r="K759" s="33"/>
      <c r="L759" s="33"/>
      <c r="M759" s="33"/>
      <c r="N759" s="33"/>
      <c r="O759" s="33"/>
      <c r="P759" s="33"/>
      <c r="Q759" s="33"/>
      <c r="R759" s="33"/>
      <c r="S759" s="33"/>
      <c r="T759" s="33"/>
    </row>
    <row r="760" spans="1:20" ht="15.75">
      <c r="A760" s="13">
        <v>65046</v>
      </c>
      <c r="B760" s="41">
        <f t="shared" ref="B760:B823" si="3">EOMONTH(A760,0)-EOMONTH(A760,-1)</f>
        <v>31</v>
      </c>
      <c r="C760" s="32">
        <v>122.58</v>
      </c>
      <c r="D760" s="32">
        <v>297.94099999999997</v>
      </c>
      <c r="E760" s="38">
        <v>729.47900000000004</v>
      </c>
      <c r="F760" s="32">
        <v>1150</v>
      </c>
      <c r="G760" s="32">
        <v>100</v>
      </c>
      <c r="H760" s="40">
        <v>600</v>
      </c>
      <c r="I760" s="32">
        <v>695</v>
      </c>
      <c r="J760" s="32">
        <v>50</v>
      </c>
      <c r="K760" s="33"/>
      <c r="L760" s="33"/>
      <c r="M760" s="33"/>
      <c r="N760" s="33"/>
      <c r="O760" s="33"/>
      <c r="P760" s="33"/>
      <c r="Q760" s="33"/>
      <c r="R760" s="33"/>
      <c r="S760" s="33"/>
      <c r="T760" s="33"/>
    </row>
    <row r="761" spans="1:20" ht="15.75">
      <c r="A761" s="13">
        <v>65074</v>
      </c>
      <c r="B761" s="41">
        <f t="shared" si="3"/>
        <v>28</v>
      </c>
      <c r="C761" s="32">
        <v>122.58</v>
      </c>
      <c r="D761" s="32">
        <v>297.94099999999997</v>
      </c>
      <c r="E761" s="38">
        <v>729.47900000000004</v>
      </c>
      <c r="F761" s="32">
        <v>1150</v>
      </c>
      <c r="G761" s="32">
        <v>100</v>
      </c>
      <c r="H761" s="40">
        <v>600</v>
      </c>
      <c r="I761" s="32">
        <v>695</v>
      </c>
      <c r="J761" s="32">
        <v>50</v>
      </c>
      <c r="K761" s="33"/>
      <c r="L761" s="33"/>
      <c r="M761" s="33"/>
      <c r="N761" s="33"/>
      <c r="O761" s="33"/>
      <c r="P761" s="33"/>
      <c r="Q761" s="33"/>
      <c r="R761" s="33"/>
      <c r="S761" s="33"/>
      <c r="T761" s="33"/>
    </row>
    <row r="762" spans="1:20" ht="15.75">
      <c r="A762" s="13">
        <v>65105</v>
      </c>
      <c r="B762" s="41">
        <f t="shared" si="3"/>
        <v>31</v>
      </c>
      <c r="C762" s="32">
        <v>122.58</v>
      </c>
      <c r="D762" s="32">
        <v>297.94099999999997</v>
      </c>
      <c r="E762" s="38">
        <v>729.47900000000004</v>
      </c>
      <c r="F762" s="32">
        <v>1150</v>
      </c>
      <c r="G762" s="32">
        <v>100</v>
      </c>
      <c r="H762" s="40">
        <v>600</v>
      </c>
      <c r="I762" s="32">
        <v>695</v>
      </c>
      <c r="J762" s="32">
        <v>50</v>
      </c>
      <c r="K762" s="33"/>
      <c r="L762" s="33"/>
      <c r="M762" s="33"/>
      <c r="N762" s="33"/>
      <c r="O762" s="33"/>
      <c r="P762" s="33"/>
      <c r="Q762" s="33"/>
      <c r="R762" s="33"/>
      <c r="S762" s="33"/>
      <c r="T762" s="33"/>
    </row>
    <row r="763" spans="1:20" ht="15.75">
      <c r="A763" s="13">
        <v>65135</v>
      </c>
      <c r="B763" s="41">
        <f t="shared" si="3"/>
        <v>30</v>
      </c>
      <c r="C763" s="32">
        <v>141.29300000000001</v>
      </c>
      <c r="D763" s="32">
        <v>267.99299999999999</v>
      </c>
      <c r="E763" s="38">
        <v>829.71400000000006</v>
      </c>
      <c r="F763" s="32">
        <v>1239</v>
      </c>
      <c r="G763" s="32">
        <v>100</v>
      </c>
      <c r="H763" s="40">
        <v>600</v>
      </c>
      <c r="I763" s="32">
        <v>695</v>
      </c>
      <c r="J763" s="32">
        <v>50</v>
      </c>
      <c r="K763" s="33"/>
      <c r="L763" s="33"/>
      <c r="M763" s="33"/>
      <c r="N763" s="33"/>
      <c r="O763" s="33"/>
      <c r="P763" s="33"/>
      <c r="Q763" s="33"/>
      <c r="R763" s="33"/>
      <c r="S763" s="33"/>
      <c r="T763" s="33"/>
    </row>
    <row r="764" spans="1:20" ht="15.75">
      <c r="A764" s="13">
        <v>65166</v>
      </c>
      <c r="B764" s="41">
        <f t="shared" si="3"/>
        <v>31</v>
      </c>
      <c r="C764" s="32">
        <v>194.20500000000001</v>
      </c>
      <c r="D764" s="32">
        <v>267.46600000000001</v>
      </c>
      <c r="E764" s="38">
        <v>812.32899999999995</v>
      </c>
      <c r="F764" s="32">
        <v>1274</v>
      </c>
      <c r="G764" s="32">
        <v>75</v>
      </c>
      <c r="H764" s="40">
        <v>600</v>
      </c>
      <c r="I764" s="32">
        <v>695</v>
      </c>
      <c r="J764" s="32">
        <v>50</v>
      </c>
      <c r="K764" s="33"/>
      <c r="L764" s="33"/>
      <c r="M764" s="33"/>
      <c r="N764" s="33"/>
      <c r="O764" s="33"/>
      <c r="P764" s="33"/>
      <c r="Q764" s="33"/>
      <c r="R764" s="33"/>
      <c r="S764" s="33"/>
      <c r="T764" s="33"/>
    </row>
    <row r="765" spans="1:20" ht="15.75">
      <c r="A765" s="13">
        <v>65196</v>
      </c>
      <c r="B765" s="41">
        <f t="shared" si="3"/>
        <v>30</v>
      </c>
      <c r="C765" s="32">
        <v>194.20500000000001</v>
      </c>
      <c r="D765" s="32">
        <v>267.46600000000001</v>
      </c>
      <c r="E765" s="38">
        <v>812.32899999999995</v>
      </c>
      <c r="F765" s="32">
        <v>1274</v>
      </c>
      <c r="G765" s="32">
        <v>50</v>
      </c>
      <c r="H765" s="40">
        <v>600</v>
      </c>
      <c r="I765" s="32">
        <v>695</v>
      </c>
      <c r="J765" s="32">
        <v>50</v>
      </c>
      <c r="K765" s="33"/>
      <c r="L765" s="33"/>
      <c r="M765" s="33"/>
      <c r="N765" s="33"/>
      <c r="O765" s="33"/>
      <c r="P765" s="33"/>
      <c r="Q765" s="33"/>
      <c r="R765" s="33"/>
      <c r="S765" s="33"/>
      <c r="T765" s="33"/>
    </row>
    <row r="766" spans="1:20" ht="15.75">
      <c r="A766" s="13">
        <v>65227</v>
      </c>
      <c r="B766" s="41">
        <f t="shared" si="3"/>
        <v>31</v>
      </c>
      <c r="C766" s="32">
        <v>194.20500000000001</v>
      </c>
      <c r="D766" s="32">
        <v>267.46600000000001</v>
      </c>
      <c r="E766" s="38">
        <v>812.32899999999995</v>
      </c>
      <c r="F766" s="32">
        <v>1274</v>
      </c>
      <c r="G766" s="32">
        <v>50</v>
      </c>
      <c r="H766" s="40">
        <v>600</v>
      </c>
      <c r="I766" s="32">
        <v>695</v>
      </c>
      <c r="J766" s="32">
        <v>0</v>
      </c>
      <c r="K766" s="33"/>
      <c r="L766" s="33"/>
      <c r="M766" s="33"/>
      <c r="N766" s="33"/>
      <c r="O766" s="33"/>
      <c r="P766" s="33"/>
      <c r="Q766" s="33"/>
      <c r="R766" s="33"/>
      <c r="S766" s="33"/>
      <c r="T766" s="33"/>
    </row>
    <row r="767" spans="1:20" ht="15.75">
      <c r="A767" s="13">
        <v>65258</v>
      </c>
      <c r="B767" s="41">
        <f t="shared" si="3"/>
        <v>31</v>
      </c>
      <c r="C767" s="32">
        <v>194.20500000000001</v>
      </c>
      <c r="D767" s="32">
        <v>267.46600000000001</v>
      </c>
      <c r="E767" s="38">
        <v>812.32899999999995</v>
      </c>
      <c r="F767" s="32">
        <v>1274</v>
      </c>
      <c r="G767" s="32">
        <v>50</v>
      </c>
      <c r="H767" s="40">
        <v>600</v>
      </c>
      <c r="I767" s="32">
        <v>695</v>
      </c>
      <c r="J767" s="32">
        <v>0</v>
      </c>
      <c r="K767" s="33"/>
      <c r="L767" s="33"/>
      <c r="M767" s="33"/>
      <c r="N767" s="33"/>
      <c r="O767" s="33"/>
      <c r="P767" s="33"/>
      <c r="Q767" s="33"/>
      <c r="R767" s="33"/>
      <c r="S767" s="33"/>
      <c r="T767" s="33"/>
    </row>
    <row r="768" spans="1:20" ht="15.75">
      <c r="A768" s="13">
        <v>65288</v>
      </c>
      <c r="B768" s="41">
        <f t="shared" si="3"/>
        <v>30</v>
      </c>
      <c r="C768" s="32">
        <v>194.20500000000001</v>
      </c>
      <c r="D768" s="32">
        <v>267.46600000000001</v>
      </c>
      <c r="E768" s="38">
        <v>812.32899999999995</v>
      </c>
      <c r="F768" s="32">
        <v>1274</v>
      </c>
      <c r="G768" s="32">
        <v>50</v>
      </c>
      <c r="H768" s="40">
        <v>600</v>
      </c>
      <c r="I768" s="32">
        <v>695</v>
      </c>
      <c r="J768" s="32">
        <v>0</v>
      </c>
      <c r="K768" s="33"/>
      <c r="L768" s="33"/>
      <c r="M768" s="33"/>
      <c r="N768" s="33"/>
      <c r="O768" s="33"/>
      <c r="P768" s="33"/>
      <c r="Q768" s="33"/>
      <c r="R768" s="33"/>
      <c r="S768" s="33"/>
      <c r="T768" s="33"/>
    </row>
    <row r="769" spans="1:20" ht="15.75">
      <c r="A769" s="13">
        <v>65319</v>
      </c>
      <c r="B769" s="41">
        <f t="shared" si="3"/>
        <v>31</v>
      </c>
      <c r="C769" s="32">
        <v>131.881</v>
      </c>
      <c r="D769" s="32">
        <v>277.16699999999997</v>
      </c>
      <c r="E769" s="38">
        <v>829.952</v>
      </c>
      <c r="F769" s="32">
        <v>1239</v>
      </c>
      <c r="G769" s="32">
        <v>75</v>
      </c>
      <c r="H769" s="40">
        <v>600</v>
      </c>
      <c r="I769" s="32">
        <v>695</v>
      </c>
      <c r="J769" s="32">
        <v>0</v>
      </c>
      <c r="K769" s="33"/>
      <c r="L769" s="33"/>
      <c r="M769" s="33"/>
      <c r="N769" s="33"/>
      <c r="O769" s="33"/>
      <c r="P769" s="33"/>
      <c r="Q769" s="33"/>
      <c r="R769" s="33"/>
      <c r="S769" s="33"/>
      <c r="T769" s="33"/>
    </row>
    <row r="770" spans="1:20" ht="15.75">
      <c r="A770" s="13">
        <v>65349</v>
      </c>
      <c r="B770" s="41">
        <f t="shared" si="3"/>
        <v>30</v>
      </c>
      <c r="C770" s="32">
        <v>122.58</v>
      </c>
      <c r="D770" s="32">
        <v>297.94099999999997</v>
      </c>
      <c r="E770" s="38">
        <v>729.47900000000004</v>
      </c>
      <c r="F770" s="32">
        <v>1150</v>
      </c>
      <c r="G770" s="32">
        <v>100</v>
      </c>
      <c r="H770" s="40">
        <v>600</v>
      </c>
      <c r="I770" s="32">
        <v>695</v>
      </c>
      <c r="J770" s="32">
        <v>50</v>
      </c>
      <c r="K770" s="33"/>
      <c r="L770" s="33"/>
      <c r="M770" s="33"/>
      <c r="N770" s="33"/>
      <c r="O770" s="33"/>
      <c r="P770" s="33"/>
      <c r="Q770" s="33"/>
      <c r="R770" s="33"/>
      <c r="S770" s="33"/>
      <c r="T770" s="33"/>
    </row>
    <row r="771" spans="1:20" ht="15.75">
      <c r="A771" s="13">
        <v>65380</v>
      </c>
      <c r="B771" s="41">
        <f t="shared" si="3"/>
        <v>31</v>
      </c>
      <c r="C771" s="32">
        <v>122.58</v>
      </c>
      <c r="D771" s="32">
        <v>297.94099999999997</v>
      </c>
      <c r="E771" s="38">
        <v>729.47900000000004</v>
      </c>
      <c r="F771" s="32">
        <v>1150</v>
      </c>
      <c r="G771" s="32">
        <v>100</v>
      </c>
      <c r="H771" s="40">
        <v>600</v>
      </c>
      <c r="I771" s="32">
        <v>695</v>
      </c>
      <c r="J771" s="32">
        <v>50</v>
      </c>
      <c r="K771" s="33"/>
      <c r="L771" s="33"/>
      <c r="M771" s="33"/>
      <c r="N771" s="33"/>
      <c r="O771" s="33"/>
      <c r="P771" s="33"/>
      <c r="Q771" s="33"/>
      <c r="R771" s="33"/>
      <c r="S771" s="33"/>
      <c r="T771" s="33"/>
    </row>
    <row r="772" spans="1:20" ht="15.75">
      <c r="A772" s="13">
        <v>65411</v>
      </c>
      <c r="B772" s="41">
        <f t="shared" si="3"/>
        <v>31</v>
      </c>
      <c r="C772" s="32">
        <v>122.58</v>
      </c>
      <c r="D772" s="32">
        <v>297.94099999999997</v>
      </c>
      <c r="E772" s="38">
        <v>729.47900000000004</v>
      </c>
      <c r="F772" s="32">
        <v>1150</v>
      </c>
      <c r="G772" s="32">
        <v>100</v>
      </c>
      <c r="H772" s="40">
        <v>600</v>
      </c>
      <c r="I772" s="32">
        <v>695</v>
      </c>
      <c r="J772" s="32">
        <v>50</v>
      </c>
      <c r="K772" s="33"/>
      <c r="L772" s="33"/>
      <c r="M772" s="33"/>
      <c r="N772" s="33"/>
      <c r="O772" s="33"/>
      <c r="P772" s="33"/>
      <c r="Q772" s="33"/>
      <c r="R772" s="33"/>
      <c r="S772" s="33"/>
      <c r="T772" s="33"/>
    </row>
    <row r="773" spans="1:20" ht="15.75">
      <c r="A773" s="13">
        <v>65439</v>
      </c>
      <c r="B773" s="41">
        <f t="shared" si="3"/>
        <v>28</v>
      </c>
      <c r="C773" s="32">
        <v>122.58</v>
      </c>
      <c r="D773" s="32">
        <v>297.94099999999997</v>
      </c>
      <c r="E773" s="38">
        <v>729.47900000000004</v>
      </c>
      <c r="F773" s="32">
        <v>1150</v>
      </c>
      <c r="G773" s="32">
        <v>100</v>
      </c>
      <c r="H773" s="40">
        <v>600</v>
      </c>
      <c r="I773" s="32">
        <v>695</v>
      </c>
      <c r="J773" s="32">
        <v>50</v>
      </c>
      <c r="K773" s="33"/>
      <c r="L773" s="33"/>
      <c r="M773" s="33"/>
      <c r="N773" s="33"/>
      <c r="O773" s="33"/>
      <c r="P773" s="33"/>
      <c r="Q773" s="33"/>
      <c r="R773" s="33"/>
      <c r="S773" s="33"/>
      <c r="T773" s="33"/>
    </row>
    <row r="774" spans="1:20" ht="15.75">
      <c r="A774" s="13">
        <v>65470</v>
      </c>
      <c r="B774" s="41">
        <f t="shared" si="3"/>
        <v>31</v>
      </c>
      <c r="C774" s="32">
        <v>122.58</v>
      </c>
      <c r="D774" s="32">
        <v>297.94099999999997</v>
      </c>
      <c r="E774" s="38">
        <v>729.47900000000004</v>
      </c>
      <c r="F774" s="32">
        <v>1150</v>
      </c>
      <c r="G774" s="32">
        <v>100</v>
      </c>
      <c r="H774" s="40">
        <v>600</v>
      </c>
      <c r="I774" s="32">
        <v>695</v>
      </c>
      <c r="J774" s="32">
        <v>50</v>
      </c>
      <c r="K774" s="33"/>
      <c r="L774" s="33"/>
      <c r="M774" s="33"/>
      <c r="N774" s="33"/>
      <c r="O774" s="33"/>
      <c r="P774" s="33"/>
      <c r="Q774" s="33"/>
      <c r="R774" s="33"/>
      <c r="S774" s="33"/>
      <c r="T774" s="33"/>
    </row>
    <row r="775" spans="1:20" ht="15.75">
      <c r="A775" s="13">
        <v>65500</v>
      </c>
      <c r="B775" s="41">
        <f t="shared" si="3"/>
        <v>30</v>
      </c>
      <c r="C775" s="32">
        <v>141.29300000000001</v>
      </c>
      <c r="D775" s="32">
        <v>267.99299999999999</v>
      </c>
      <c r="E775" s="38">
        <v>829.71400000000006</v>
      </c>
      <c r="F775" s="32">
        <v>1239</v>
      </c>
      <c r="G775" s="32">
        <v>100</v>
      </c>
      <c r="H775" s="40">
        <v>600</v>
      </c>
      <c r="I775" s="32">
        <v>695</v>
      </c>
      <c r="J775" s="32">
        <v>50</v>
      </c>
      <c r="K775" s="33"/>
      <c r="L775" s="33"/>
      <c r="M775" s="33"/>
      <c r="N775" s="33"/>
      <c r="O775" s="33"/>
      <c r="P775" s="33"/>
      <c r="Q775" s="33"/>
      <c r="R775" s="33"/>
      <c r="S775" s="33"/>
      <c r="T775" s="33"/>
    </row>
    <row r="776" spans="1:20" ht="15.75">
      <c r="A776" s="13">
        <v>65531</v>
      </c>
      <c r="B776" s="41">
        <f t="shared" si="3"/>
        <v>31</v>
      </c>
      <c r="C776" s="32">
        <v>194.20500000000001</v>
      </c>
      <c r="D776" s="32">
        <v>267.46600000000001</v>
      </c>
      <c r="E776" s="38">
        <v>812.32899999999995</v>
      </c>
      <c r="F776" s="32">
        <v>1274</v>
      </c>
      <c r="G776" s="32">
        <v>75</v>
      </c>
      <c r="H776" s="40">
        <v>600</v>
      </c>
      <c r="I776" s="32">
        <v>695</v>
      </c>
      <c r="J776" s="32">
        <v>50</v>
      </c>
      <c r="K776" s="33"/>
      <c r="L776" s="33"/>
      <c r="M776" s="33"/>
      <c r="N776" s="33"/>
      <c r="O776" s="33"/>
      <c r="P776" s="33"/>
      <c r="Q776" s="33"/>
      <c r="R776" s="33"/>
      <c r="S776" s="33"/>
      <c r="T776" s="33"/>
    </row>
    <row r="777" spans="1:20" ht="15.75">
      <c r="A777" s="13">
        <v>65561</v>
      </c>
      <c r="B777" s="41">
        <f t="shared" si="3"/>
        <v>30</v>
      </c>
      <c r="C777" s="32">
        <v>194.20500000000001</v>
      </c>
      <c r="D777" s="32">
        <v>267.46600000000001</v>
      </c>
      <c r="E777" s="38">
        <v>812.32899999999995</v>
      </c>
      <c r="F777" s="32">
        <v>1274</v>
      </c>
      <c r="G777" s="32">
        <v>50</v>
      </c>
      <c r="H777" s="40">
        <v>600</v>
      </c>
      <c r="I777" s="32">
        <v>695</v>
      </c>
      <c r="J777" s="32">
        <v>50</v>
      </c>
      <c r="K777" s="33"/>
      <c r="L777" s="33"/>
      <c r="M777" s="33"/>
      <c r="N777" s="33"/>
      <c r="O777" s="33"/>
      <c r="P777" s="33"/>
      <c r="Q777" s="33"/>
      <c r="R777" s="33"/>
      <c r="S777" s="33"/>
      <c r="T777" s="33"/>
    </row>
    <row r="778" spans="1:20" ht="15.75">
      <c r="A778" s="13">
        <v>65592</v>
      </c>
      <c r="B778" s="41">
        <f t="shared" si="3"/>
        <v>31</v>
      </c>
      <c r="C778" s="32">
        <v>194.20500000000001</v>
      </c>
      <c r="D778" s="32">
        <v>267.46600000000001</v>
      </c>
      <c r="E778" s="38">
        <v>812.32899999999995</v>
      </c>
      <c r="F778" s="32">
        <v>1274</v>
      </c>
      <c r="G778" s="32">
        <v>50</v>
      </c>
      <c r="H778" s="40">
        <v>600</v>
      </c>
      <c r="I778" s="32">
        <v>695</v>
      </c>
      <c r="J778" s="32">
        <v>0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</row>
    <row r="779" spans="1:20" ht="15.75">
      <c r="A779" s="13">
        <v>65623</v>
      </c>
      <c r="B779" s="41">
        <f t="shared" si="3"/>
        <v>31</v>
      </c>
      <c r="C779" s="32">
        <v>194.20500000000001</v>
      </c>
      <c r="D779" s="32">
        <v>267.46600000000001</v>
      </c>
      <c r="E779" s="38">
        <v>812.32899999999995</v>
      </c>
      <c r="F779" s="32">
        <v>1274</v>
      </c>
      <c r="G779" s="32">
        <v>50</v>
      </c>
      <c r="H779" s="40">
        <v>600</v>
      </c>
      <c r="I779" s="32">
        <v>695</v>
      </c>
      <c r="J779" s="32">
        <v>0</v>
      </c>
      <c r="K779" s="33"/>
      <c r="L779" s="33"/>
      <c r="M779" s="33"/>
      <c r="N779" s="33"/>
      <c r="O779" s="33"/>
      <c r="P779" s="33"/>
      <c r="Q779" s="33"/>
      <c r="R779" s="33"/>
      <c r="S779" s="33"/>
      <c r="T779" s="33"/>
    </row>
    <row r="780" spans="1:20" ht="15.75">
      <c r="A780" s="13">
        <v>65653</v>
      </c>
      <c r="B780" s="41">
        <f t="shared" si="3"/>
        <v>30</v>
      </c>
      <c r="C780" s="32">
        <v>194.20500000000001</v>
      </c>
      <c r="D780" s="32">
        <v>267.46600000000001</v>
      </c>
      <c r="E780" s="38">
        <v>812.32899999999995</v>
      </c>
      <c r="F780" s="32">
        <v>1274</v>
      </c>
      <c r="G780" s="32">
        <v>50</v>
      </c>
      <c r="H780" s="40">
        <v>600</v>
      </c>
      <c r="I780" s="32">
        <v>695</v>
      </c>
      <c r="J780" s="32">
        <v>0</v>
      </c>
      <c r="K780" s="33"/>
      <c r="L780" s="33"/>
      <c r="M780" s="33"/>
      <c r="N780" s="33"/>
      <c r="O780" s="33"/>
      <c r="P780" s="33"/>
      <c r="Q780" s="33"/>
      <c r="R780" s="33"/>
      <c r="S780" s="33"/>
      <c r="T780" s="33"/>
    </row>
    <row r="781" spans="1:20" ht="15.75">
      <c r="A781" s="13">
        <v>65684</v>
      </c>
      <c r="B781" s="41">
        <f t="shared" si="3"/>
        <v>31</v>
      </c>
      <c r="C781" s="32">
        <v>131.881</v>
      </c>
      <c r="D781" s="32">
        <v>277.16699999999997</v>
      </c>
      <c r="E781" s="38">
        <v>829.952</v>
      </c>
      <c r="F781" s="32">
        <v>1239</v>
      </c>
      <c r="G781" s="32">
        <v>75</v>
      </c>
      <c r="H781" s="40">
        <v>600</v>
      </c>
      <c r="I781" s="32">
        <v>695</v>
      </c>
      <c r="J781" s="32">
        <v>0</v>
      </c>
      <c r="K781" s="33"/>
      <c r="L781" s="33"/>
      <c r="M781" s="33"/>
      <c r="N781" s="33"/>
      <c r="O781" s="33"/>
      <c r="P781" s="33"/>
      <c r="Q781" s="33"/>
      <c r="R781" s="33"/>
      <c r="S781" s="33"/>
      <c r="T781" s="33"/>
    </row>
    <row r="782" spans="1:20" ht="15.75">
      <c r="A782" s="13">
        <v>65714</v>
      </c>
      <c r="B782" s="41">
        <f t="shared" si="3"/>
        <v>30</v>
      </c>
      <c r="C782" s="32">
        <v>122.58</v>
      </c>
      <c r="D782" s="32">
        <v>297.94099999999997</v>
      </c>
      <c r="E782" s="38">
        <v>729.47900000000004</v>
      </c>
      <c r="F782" s="32">
        <v>1150</v>
      </c>
      <c r="G782" s="32">
        <v>100</v>
      </c>
      <c r="H782" s="40">
        <v>600</v>
      </c>
      <c r="I782" s="32">
        <v>695</v>
      </c>
      <c r="J782" s="32">
        <v>50</v>
      </c>
      <c r="K782" s="33"/>
      <c r="L782" s="33"/>
      <c r="M782" s="33"/>
      <c r="N782" s="33"/>
      <c r="O782" s="33"/>
      <c r="P782" s="33"/>
      <c r="Q782" s="33"/>
      <c r="R782" s="33"/>
      <c r="S782" s="33"/>
      <c r="T782" s="33"/>
    </row>
    <row r="783" spans="1:20" ht="15.75">
      <c r="A783" s="13">
        <v>65745</v>
      </c>
      <c r="B783" s="41">
        <f t="shared" si="3"/>
        <v>31</v>
      </c>
      <c r="C783" s="32">
        <v>122.58</v>
      </c>
      <c r="D783" s="32">
        <v>297.94099999999997</v>
      </c>
      <c r="E783" s="38">
        <v>729.47900000000004</v>
      </c>
      <c r="F783" s="32">
        <v>1150</v>
      </c>
      <c r="G783" s="32">
        <v>100</v>
      </c>
      <c r="H783" s="40">
        <v>600</v>
      </c>
      <c r="I783" s="32">
        <v>695</v>
      </c>
      <c r="J783" s="32">
        <v>50</v>
      </c>
      <c r="K783" s="33"/>
      <c r="L783" s="33"/>
      <c r="M783" s="33"/>
      <c r="N783" s="33"/>
      <c r="O783" s="33"/>
      <c r="P783" s="33"/>
      <c r="Q783" s="33"/>
      <c r="R783" s="33"/>
      <c r="S783" s="33"/>
      <c r="T783" s="33"/>
    </row>
    <row r="784" spans="1:20" ht="15.75">
      <c r="A784" s="13">
        <v>65776</v>
      </c>
      <c r="B784" s="41">
        <f t="shared" si="3"/>
        <v>31</v>
      </c>
      <c r="C784" s="32">
        <v>122.58</v>
      </c>
      <c r="D784" s="32">
        <v>297.94099999999997</v>
      </c>
      <c r="E784" s="38">
        <v>729.47900000000004</v>
      </c>
      <c r="F784" s="32">
        <v>1150</v>
      </c>
      <c r="G784" s="32">
        <v>100</v>
      </c>
      <c r="H784" s="40">
        <v>600</v>
      </c>
      <c r="I784" s="32">
        <v>695</v>
      </c>
      <c r="J784" s="32">
        <v>50</v>
      </c>
      <c r="K784" s="33"/>
      <c r="L784" s="33"/>
      <c r="M784" s="33"/>
      <c r="N784" s="33"/>
      <c r="O784" s="33"/>
      <c r="P784" s="33"/>
      <c r="Q784" s="33"/>
      <c r="R784" s="33"/>
      <c r="S784" s="33"/>
      <c r="T784" s="33"/>
    </row>
    <row r="785" spans="1:20" ht="15.75">
      <c r="A785" s="13">
        <v>65805</v>
      </c>
      <c r="B785" s="41">
        <f t="shared" si="3"/>
        <v>29</v>
      </c>
      <c r="C785" s="32">
        <v>122.58</v>
      </c>
      <c r="D785" s="32">
        <v>297.94099999999997</v>
      </c>
      <c r="E785" s="38">
        <v>729.47900000000004</v>
      </c>
      <c r="F785" s="32">
        <v>1150</v>
      </c>
      <c r="G785" s="32">
        <v>100</v>
      </c>
      <c r="H785" s="40">
        <v>600</v>
      </c>
      <c r="I785" s="32">
        <v>695</v>
      </c>
      <c r="J785" s="32">
        <v>50</v>
      </c>
      <c r="K785" s="33"/>
      <c r="L785" s="33"/>
      <c r="M785" s="33"/>
      <c r="N785" s="33"/>
      <c r="O785" s="33"/>
      <c r="P785" s="33"/>
      <c r="Q785" s="33"/>
      <c r="R785" s="33"/>
      <c r="S785" s="33"/>
      <c r="T785" s="33"/>
    </row>
    <row r="786" spans="1:20" ht="15.75">
      <c r="A786" s="13">
        <v>65836</v>
      </c>
      <c r="B786" s="41">
        <f t="shared" si="3"/>
        <v>31</v>
      </c>
      <c r="C786" s="32">
        <v>122.58</v>
      </c>
      <c r="D786" s="32">
        <v>297.94099999999997</v>
      </c>
      <c r="E786" s="38">
        <v>729.47900000000004</v>
      </c>
      <c r="F786" s="32">
        <v>1150</v>
      </c>
      <c r="G786" s="32">
        <v>100</v>
      </c>
      <c r="H786" s="40">
        <v>600</v>
      </c>
      <c r="I786" s="32">
        <v>695</v>
      </c>
      <c r="J786" s="32">
        <v>50</v>
      </c>
      <c r="K786" s="33"/>
      <c r="L786" s="33"/>
      <c r="M786" s="33"/>
      <c r="N786" s="33"/>
      <c r="O786" s="33"/>
      <c r="P786" s="33"/>
      <c r="Q786" s="33"/>
      <c r="R786" s="33"/>
      <c r="S786" s="33"/>
      <c r="T786" s="33"/>
    </row>
    <row r="787" spans="1:20" ht="15.75">
      <c r="A787" s="13">
        <v>65866</v>
      </c>
      <c r="B787" s="41">
        <f t="shared" si="3"/>
        <v>30</v>
      </c>
      <c r="C787" s="32">
        <v>141.29300000000001</v>
      </c>
      <c r="D787" s="32">
        <v>267.99299999999999</v>
      </c>
      <c r="E787" s="38">
        <v>829.71400000000006</v>
      </c>
      <c r="F787" s="32">
        <v>1239</v>
      </c>
      <c r="G787" s="32">
        <v>100</v>
      </c>
      <c r="H787" s="40">
        <v>600</v>
      </c>
      <c r="I787" s="32">
        <v>695</v>
      </c>
      <c r="J787" s="32">
        <v>50</v>
      </c>
      <c r="K787" s="33"/>
      <c r="L787" s="33"/>
      <c r="M787" s="33"/>
      <c r="N787" s="33"/>
      <c r="O787" s="33"/>
      <c r="P787" s="33"/>
      <c r="Q787" s="33"/>
      <c r="R787" s="33"/>
      <c r="S787" s="33"/>
      <c r="T787" s="33"/>
    </row>
    <row r="788" spans="1:20" ht="15.75">
      <c r="A788" s="13">
        <v>65897</v>
      </c>
      <c r="B788" s="41">
        <f t="shared" si="3"/>
        <v>31</v>
      </c>
      <c r="C788" s="32">
        <v>194.20500000000001</v>
      </c>
      <c r="D788" s="32">
        <v>267.46600000000001</v>
      </c>
      <c r="E788" s="38">
        <v>812.32899999999995</v>
      </c>
      <c r="F788" s="32">
        <v>1274</v>
      </c>
      <c r="G788" s="32">
        <v>75</v>
      </c>
      <c r="H788" s="40">
        <v>600</v>
      </c>
      <c r="I788" s="32">
        <v>695</v>
      </c>
      <c r="J788" s="32">
        <v>50</v>
      </c>
      <c r="K788" s="33"/>
      <c r="L788" s="33"/>
      <c r="M788" s="33"/>
      <c r="N788" s="33"/>
      <c r="O788" s="33"/>
      <c r="P788" s="33"/>
      <c r="Q788" s="33"/>
      <c r="R788" s="33"/>
      <c r="S788" s="33"/>
      <c r="T788" s="33"/>
    </row>
    <row r="789" spans="1:20" ht="15.75">
      <c r="A789" s="13">
        <v>65927</v>
      </c>
      <c r="B789" s="41">
        <f t="shared" si="3"/>
        <v>30</v>
      </c>
      <c r="C789" s="32">
        <v>194.20500000000001</v>
      </c>
      <c r="D789" s="32">
        <v>267.46600000000001</v>
      </c>
      <c r="E789" s="38">
        <v>812.32899999999995</v>
      </c>
      <c r="F789" s="32">
        <v>1274</v>
      </c>
      <c r="G789" s="32">
        <v>50</v>
      </c>
      <c r="H789" s="40">
        <v>600</v>
      </c>
      <c r="I789" s="32">
        <v>695</v>
      </c>
      <c r="J789" s="32">
        <v>50</v>
      </c>
      <c r="K789" s="33"/>
      <c r="L789" s="33"/>
      <c r="M789" s="33"/>
      <c r="N789" s="33"/>
      <c r="O789" s="33"/>
      <c r="P789" s="33"/>
      <c r="Q789" s="33"/>
      <c r="R789" s="33"/>
      <c r="S789" s="33"/>
      <c r="T789" s="33"/>
    </row>
    <row r="790" spans="1:20" ht="15.75">
      <c r="A790" s="13">
        <v>65958</v>
      </c>
      <c r="B790" s="41">
        <f t="shared" si="3"/>
        <v>31</v>
      </c>
      <c r="C790" s="32">
        <v>194.20500000000001</v>
      </c>
      <c r="D790" s="32">
        <v>267.46600000000001</v>
      </c>
      <c r="E790" s="38">
        <v>812.32899999999995</v>
      </c>
      <c r="F790" s="32">
        <v>1274</v>
      </c>
      <c r="G790" s="32">
        <v>50</v>
      </c>
      <c r="H790" s="40">
        <v>600</v>
      </c>
      <c r="I790" s="32">
        <v>695</v>
      </c>
      <c r="J790" s="32">
        <v>0</v>
      </c>
      <c r="K790" s="33"/>
      <c r="L790" s="33"/>
      <c r="M790" s="33"/>
      <c r="N790" s="33"/>
      <c r="O790" s="33"/>
      <c r="P790" s="33"/>
      <c r="Q790" s="33"/>
      <c r="R790" s="33"/>
      <c r="S790" s="33"/>
      <c r="T790" s="33"/>
    </row>
    <row r="791" spans="1:20" ht="15.75">
      <c r="A791" s="13">
        <v>65989</v>
      </c>
      <c r="B791" s="41">
        <f t="shared" si="3"/>
        <v>31</v>
      </c>
      <c r="C791" s="32">
        <v>194.20500000000001</v>
      </c>
      <c r="D791" s="32">
        <v>267.46600000000001</v>
      </c>
      <c r="E791" s="38">
        <v>812.32899999999995</v>
      </c>
      <c r="F791" s="32">
        <v>1274</v>
      </c>
      <c r="G791" s="32">
        <v>50</v>
      </c>
      <c r="H791" s="40">
        <v>600</v>
      </c>
      <c r="I791" s="32">
        <v>695</v>
      </c>
      <c r="J791" s="32">
        <v>0</v>
      </c>
      <c r="K791" s="33"/>
      <c r="L791" s="33"/>
      <c r="M791" s="33"/>
      <c r="N791" s="33"/>
      <c r="O791" s="33"/>
      <c r="P791" s="33"/>
      <c r="Q791" s="33"/>
      <c r="R791" s="33"/>
      <c r="S791" s="33"/>
      <c r="T791" s="33"/>
    </row>
    <row r="792" spans="1:20" ht="15.75">
      <c r="A792" s="13">
        <v>66019</v>
      </c>
      <c r="B792" s="41">
        <f t="shared" si="3"/>
        <v>30</v>
      </c>
      <c r="C792" s="32">
        <v>194.20500000000001</v>
      </c>
      <c r="D792" s="32">
        <v>267.46600000000001</v>
      </c>
      <c r="E792" s="38">
        <v>812.32899999999995</v>
      </c>
      <c r="F792" s="32">
        <v>1274</v>
      </c>
      <c r="G792" s="32">
        <v>50</v>
      </c>
      <c r="H792" s="40">
        <v>600</v>
      </c>
      <c r="I792" s="32">
        <v>695</v>
      </c>
      <c r="J792" s="32">
        <v>0</v>
      </c>
      <c r="K792" s="33"/>
      <c r="L792" s="33"/>
      <c r="M792" s="33"/>
      <c r="N792" s="33"/>
      <c r="O792" s="33"/>
      <c r="P792" s="33"/>
      <c r="Q792" s="33"/>
      <c r="R792" s="33"/>
      <c r="S792" s="33"/>
      <c r="T792" s="33"/>
    </row>
    <row r="793" spans="1:20" ht="15.75">
      <c r="A793" s="13">
        <v>66050</v>
      </c>
      <c r="B793" s="41">
        <f t="shared" si="3"/>
        <v>31</v>
      </c>
      <c r="C793" s="32">
        <v>131.881</v>
      </c>
      <c r="D793" s="32">
        <v>277.16699999999997</v>
      </c>
      <c r="E793" s="38">
        <v>829.952</v>
      </c>
      <c r="F793" s="32">
        <v>1239</v>
      </c>
      <c r="G793" s="32">
        <v>75</v>
      </c>
      <c r="H793" s="40">
        <v>600</v>
      </c>
      <c r="I793" s="32">
        <v>695</v>
      </c>
      <c r="J793" s="32">
        <v>0</v>
      </c>
      <c r="K793" s="33"/>
      <c r="L793" s="33"/>
      <c r="M793" s="33"/>
      <c r="N793" s="33"/>
      <c r="O793" s="33"/>
      <c r="P793" s="33"/>
      <c r="Q793" s="33"/>
      <c r="R793" s="33"/>
      <c r="S793" s="33"/>
      <c r="T793" s="33"/>
    </row>
    <row r="794" spans="1:20" ht="15.75">
      <c r="A794" s="13">
        <v>66080</v>
      </c>
      <c r="B794" s="41">
        <f t="shared" si="3"/>
        <v>30</v>
      </c>
      <c r="C794" s="32">
        <v>122.58</v>
      </c>
      <c r="D794" s="32">
        <v>297.94099999999997</v>
      </c>
      <c r="E794" s="38">
        <v>729.47900000000004</v>
      </c>
      <c r="F794" s="32">
        <v>1150</v>
      </c>
      <c r="G794" s="32">
        <v>100</v>
      </c>
      <c r="H794" s="40">
        <v>600</v>
      </c>
      <c r="I794" s="32">
        <v>695</v>
      </c>
      <c r="J794" s="32">
        <v>50</v>
      </c>
      <c r="K794" s="33"/>
      <c r="L794" s="33"/>
      <c r="M794" s="33"/>
      <c r="N794" s="33"/>
      <c r="O794" s="33"/>
      <c r="P794" s="33"/>
      <c r="Q794" s="33"/>
      <c r="R794" s="33"/>
      <c r="S794" s="33"/>
      <c r="T794" s="33"/>
    </row>
    <row r="795" spans="1:20" ht="15.75">
      <c r="A795" s="13">
        <v>66111</v>
      </c>
      <c r="B795" s="41">
        <f t="shared" si="3"/>
        <v>31</v>
      </c>
      <c r="C795" s="32">
        <v>122.58</v>
      </c>
      <c r="D795" s="32">
        <v>297.94099999999997</v>
      </c>
      <c r="E795" s="38">
        <v>729.47900000000004</v>
      </c>
      <c r="F795" s="32">
        <v>1150</v>
      </c>
      <c r="G795" s="32">
        <v>100</v>
      </c>
      <c r="H795" s="40">
        <v>600</v>
      </c>
      <c r="I795" s="32">
        <v>695</v>
      </c>
      <c r="J795" s="32">
        <v>50</v>
      </c>
      <c r="K795" s="33"/>
      <c r="L795" s="33"/>
      <c r="M795" s="33"/>
      <c r="N795" s="33"/>
      <c r="O795" s="33"/>
      <c r="P795" s="33"/>
      <c r="Q795" s="33"/>
      <c r="R795" s="33"/>
      <c r="S795" s="33"/>
      <c r="T795" s="33"/>
    </row>
    <row r="796" spans="1:20" ht="15.75">
      <c r="A796" s="13">
        <v>66142</v>
      </c>
      <c r="B796" s="41">
        <f t="shared" si="3"/>
        <v>31</v>
      </c>
      <c r="C796" s="32">
        <v>122.58</v>
      </c>
      <c r="D796" s="32">
        <v>297.94099999999997</v>
      </c>
      <c r="E796" s="38">
        <v>729.47900000000004</v>
      </c>
      <c r="F796" s="32">
        <v>1150</v>
      </c>
      <c r="G796" s="32">
        <v>100</v>
      </c>
      <c r="H796" s="40">
        <v>600</v>
      </c>
      <c r="I796" s="32">
        <v>695</v>
      </c>
      <c r="J796" s="32">
        <v>50</v>
      </c>
      <c r="K796" s="33"/>
      <c r="L796" s="33"/>
      <c r="M796" s="33"/>
      <c r="N796" s="33"/>
      <c r="O796" s="33"/>
      <c r="P796" s="33"/>
      <c r="Q796" s="33"/>
      <c r="R796" s="33"/>
      <c r="S796" s="33"/>
      <c r="T796" s="33"/>
    </row>
    <row r="797" spans="1:20" ht="15.75">
      <c r="A797" s="13">
        <v>66170</v>
      </c>
      <c r="B797" s="41">
        <f t="shared" si="3"/>
        <v>28</v>
      </c>
      <c r="C797" s="32">
        <v>122.58</v>
      </c>
      <c r="D797" s="32">
        <v>297.94099999999997</v>
      </c>
      <c r="E797" s="38">
        <v>729.47900000000004</v>
      </c>
      <c r="F797" s="32">
        <v>1150</v>
      </c>
      <c r="G797" s="32">
        <v>100</v>
      </c>
      <c r="H797" s="40">
        <v>600</v>
      </c>
      <c r="I797" s="32">
        <v>695</v>
      </c>
      <c r="J797" s="32">
        <v>50</v>
      </c>
      <c r="K797" s="33"/>
      <c r="L797" s="33"/>
      <c r="M797" s="33"/>
      <c r="N797" s="33"/>
      <c r="O797" s="33"/>
      <c r="P797" s="33"/>
      <c r="Q797" s="33"/>
      <c r="R797" s="33"/>
      <c r="S797" s="33"/>
      <c r="T797" s="33"/>
    </row>
    <row r="798" spans="1:20" ht="15.75">
      <c r="A798" s="13">
        <v>66201</v>
      </c>
      <c r="B798" s="41">
        <f t="shared" si="3"/>
        <v>31</v>
      </c>
      <c r="C798" s="32">
        <v>122.58</v>
      </c>
      <c r="D798" s="32">
        <v>297.94099999999997</v>
      </c>
      <c r="E798" s="38">
        <v>729.47900000000004</v>
      </c>
      <c r="F798" s="32">
        <v>1150</v>
      </c>
      <c r="G798" s="32">
        <v>100</v>
      </c>
      <c r="H798" s="40">
        <v>600</v>
      </c>
      <c r="I798" s="32">
        <v>695</v>
      </c>
      <c r="J798" s="32">
        <v>50</v>
      </c>
      <c r="K798" s="33"/>
      <c r="L798" s="33"/>
      <c r="M798" s="33"/>
      <c r="N798" s="33"/>
      <c r="O798" s="33"/>
      <c r="P798" s="33"/>
      <c r="Q798" s="33"/>
      <c r="R798" s="33"/>
      <c r="S798" s="33"/>
      <c r="T798" s="33"/>
    </row>
    <row r="799" spans="1:20" ht="15.75">
      <c r="A799" s="13">
        <v>66231</v>
      </c>
      <c r="B799" s="41">
        <f t="shared" si="3"/>
        <v>30</v>
      </c>
      <c r="C799" s="32">
        <v>141.29300000000001</v>
      </c>
      <c r="D799" s="32">
        <v>267.99299999999999</v>
      </c>
      <c r="E799" s="38">
        <v>829.71400000000006</v>
      </c>
      <c r="F799" s="32">
        <v>1239</v>
      </c>
      <c r="G799" s="32">
        <v>100</v>
      </c>
      <c r="H799" s="40">
        <v>600</v>
      </c>
      <c r="I799" s="32">
        <v>695</v>
      </c>
      <c r="J799" s="32">
        <v>50</v>
      </c>
      <c r="K799" s="33"/>
      <c r="L799" s="33"/>
      <c r="M799" s="33"/>
      <c r="N799" s="33"/>
      <c r="O799" s="33"/>
      <c r="P799" s="33"/>
      <c r="Q799" s="33"/>
      <c r="R799" s="33"/>
      <c r="S799" s="33"/>
      <c r="T799" s="33"/>
    </row>
    <row r="800" spans="1:20" ht="15.75">
      <c r="A800" s="13">
        <v>66262</v>
      </c>
      <c r="B800" s="41">
        <f t="shared" si="3"/>
        <v>31</v>
      </c>
      <c r="C800" s="32">
        <v>194.20500000000001</v>
      </c>
      <c r="D800" s="32">
        <v>267.46600000000001</v>
      </c>
      <c r="E800" s="38">
        <v>812.32899999999995</v>
      </c>
      <c r="F800" s="32">
        <v>1274</v>
      </c>
      <c r="G800" s="32">
        <v>75</v>
      </c>
      <c r="H800" s="40">
        <v>600</v>
      </c>
      <c r="I800" s="32">
        <v>695</v>
      </c>
      <c r="J800" s="32">
        <v>50</v>
      </c>
      <c r="K800" s="33"/>
      <c r="L800" s="33"/>
      <c r="M800" s="33"/>
      <c r="N800" s="33"/>
      <c r="O800" s="33"/>
      <c r="P800" s="33"/>
      <c r="Q800" s="33"/>
      <c r="R800" s="33"/>
      <c r="S800" s="33"/>
      <c r="T800" s="33"/>
    </row>
    <row r="801" spans="1:20" ht="15.75">
      <c r="A801" s="13">
        <v>66292</v>
      </c>
      <c r="B801" s="41">
        <f t="shared" si="3"/>
        <v>30</v>
      </c>
      <c r="C801" s="32">
        <v>194.20500000000001</v>
      </c>
      <c r="D801" s="32">
        <v>267.46600000000001</v>
      </c>
      <c r="E801" s="38">
        <v>812.32899999999995</v>
      </c>
      <c r="F801" s="32">
        <v>1274</v>
      </c>
      <c r="G801" s="32">
        <v>50</v>
      </c>
      <c r="H801" s="40">
        <v>600</v>
      </c>
      <c r="I801" s="32">
        <v>695</v>
      </c>
      <c r="J801" s="32">
        <v>50</v>
      </c>
      <c r="K801" s="33"/>
      <c r="L801" s="33"/>
      <c r="M801" s="33"/>
      <c r="N801" s="33"/>
      <c r="O801" s="33"/>
      <c r="P801" s="33"/>
      <c r="Q801" s="33"/>
      <c r="R801" s="33"/>
      <c r="S801" s="33"/>
      <c r="T801" s="33"/>
    </row>
    <row r="802" spans="1:20" ht="15.75">
      <c r="A802" s="13">
        <v>66323</v>
      </c>
      <c r="B802" s="41">
        <f t="shared" si="3"/>
        <v>31</v>
      </c>
      <c r="C802" s="32">
        <v>194.20500000000001</v>
      </c>
      <c r="D802" s="32">
        <v>267.46600000000001</v>
      </c>
      <c r="E802" s="38">
        <v>812.32899999999995</v>
      </c>
      <c r="F802" s="32">
        <v>1274</v>
      </c>
      <c r="G802" s="32">
        <v>50</v>
      </c>
      <c r="H802" s="40">
        <v>600</v>
      </c>
      <c r="I802" s="32">
        <v>695</v>
      </c>
      <c r="J802" s="32">
        <v>0</v>
      </c>
      <c r="K802" s="33"/>
      <c r="L802" s="33"/>
      <c r="M802" s="33"/>
      <c r="N802" s="33"/>
      <c r="O802" s="33"/>
      <c r="P802" s="33"/>
      <c r="Q802" s="33"/>
      <c r="R802" s="33"/>
      <c r="S802" s="33"/>
      <c r="T802" s="33"/>
    </row>
    <row r="803" spans="1:20" ht="15.75">
      <c r="A803" s="13">
        <v>66354</v>
      </c>
      <c r="B803" s="41">
        <f t="shared" si="3"/>
        <v>31</v>
      </c>
      <c r="C803" s="32">
        <v>194.20500000000001</v>
      </c>
      <c r="D803" s="32">
        <v>267.46600000000001</v>
      </c>
      <c r="E803" s="38">
        <v>812.32899999999995</v>
      </c>
      <c r="F803" s="32">
        <v>1274</v>
      </c>
      <c r="G803" s="32">
        <v>50</v>
      </c>
      <c r="H803" s="40">
        <v>600</v>
      </c>
      <c r="I803" s="32">
        <v>695</v>
      </c>
      <c r="J803" s="32">
        <v>0</v>
      </c>
      <c r="K803" s="33"/>
      <c r="L803" s="33"/>
      <c r="M803" s="33"/>
      <c r="N803" s="33"/>
      <c r="O803" s="33"/>
      <c r="P803" s="33"/>
      <c r="Q803" s="33"/>
      <c r="R803" s="33"/>
      <c r="S803" s="33"/>
      <c r="T803" s="33"/>
    </row>
    <row r="804" spans="1:20" ht="15.75">
      <c r="A804" s="13">
        <v>66384</v>
      </c>
      <c r="B804" s="41">
        <f t="shared" si="3"/>
        <v>30</v>
      </c>
      <c r="C804" s="32">
        <v>194.20500000000001</v>
      </c>
      <c r="D804" s="32">
        <v>267.46600000000001</v>
      </c>
      <c r="E804" s="38">
        <v>812.32899999999995</v>
      </c>
      <c r="F804" s="32">
        <v>1274</v>
      </c>
      <c r="G804" s="32">
        <v>50</v>
      </c>
      <c r="H804" s="40">
        <v>600</v>
      </c>
      <c r="I804" s="32">
        <v>695</v>
      </c>
      <c r="J804" s="32">
        <v>0</v>
      </c>
      <c r="K804" s="33"/>
      <c r="L804" s="33"/>
      <c r="M804" s="33"/>
      <c r="N804" s="33"/>
      <c r="O804" s="33"/>
      <c r="P804" s="33"/>
      <c r="Q804" s="33"/>
      <c r="R804" s="33"/>
      <c r="S804" s="33"/>
      <c r="T804" s="33"/>
    </row>
    <row r="805" spans="1:20" ht="15.75">
      <c r="A805" s="13">
        <v>66415</v>
      </c>
      <c r="B805" s="41">
        <f t="shared" si="3"/>
        <v>31</v>
      </c>
      <c r="C805" s="32">
        <v>131.881</v>
      </c>
      <c r="D805" s="32">
        <v>277.16699999999997</v>
      </c>
      <c r="E805" s="38">
        <v>829.952</v>
      </c>
      <c r="F805" s="32">
        <v>1239</v>
      </c>
      <c r="G805" s="32">
        <v>75</v>
      </c>
      <c r="H805" s="40">
        <v>600</v>
      </c>
      <c r="I805" s="32">
        <v>695</v>
      </c>
      <c r="J805" s="32">
        <v>0</v>
      </c>
      <c r="K805" s="33"/>
      <c r="L805" s="33"/>
      <c r="M805" s="33"/>
      <c r="N805" s="33"/>
      <c r="O805" s="33"/>
      <c r="P805" s="33"/>
      <c r="Q805" s="33"/>
      <c r="R805" s="33"/>
      <c r="S805" s="33"/>
      <c r="T805" s="33"/>
    </row>
    <row r="806" spans="1:20" ht="15.75">
      <c r="A806" s="13">
        <v>66445</v>
      </c>
      <c r="B806" s="41">
        <f t="shared" si="3"/>
        <v>30</v>
      </c>
      <c r="C806" s="32">
        <v>122.58</v>
      </c>
      <c r="D806" s="32">
        <v>297.94099999999997</v>
      </c>
      <c r="E806" s="38">
        <v>729.47900000000004</v>
      </c>
      <c r="F806" s="32">
        <v>1150</v>
      </c>
      <c r="G806" s="32">
        <v>100</v>
      </c>
      <c r="H806" s="40">
        <v>600</v>
      </c>
      <c r="I806" s="32">
        <v>695</v>
      </c>
      <c r="J806" s="32">
        <v>50</v>
      </c>
      <c r="K806" s="33"/>
      <c r="L806" s="33"/>
      <c r="M806" s="33"/>
      <c r="N806" s="33"/>
      <c r="O806" s="33"/>
      <c r="P806" s="33"/>
      <c r="Q806" s="33"/>
      <c r="R806" s="33"/>
      <c r="S806" s="33"/>
      <c r="T806" s="33"/>
    </row>
    <row r="807" spans="1:20" ht="15.75">
      <c r="A807" s="13">
        <v>66476</v>
      </c>
      <c r="B807" s="41">
        <f t="shared" si="3"/>
        <v>31</v>
      </c>
      <c r="C807" s="32">
        <v>122.58</v>
      </c>
      <c r="D807" s="32">
        <v>297.94099999999997</v>
      </c>
      <c r="E807" s="38">
        <v>729.47900000000004</v>
      </c>
      <c r="F807" s="32">
        <v>1150</v>
      </c>
      <c r="G807" s="32">
        <v>100</v>
      </c>
      <c r="H807" s="40">
        <v>600</v>
      </c>
      <c r="I807" s="32">
        <v>695</v>
      </c>
      <c r="J807" s="32">
        <v>50</v>
      </c>
      <c r="K807" s="33"/>
      <c r="L807" s="33"/>
      <c r="M807" s="33"/>
      <c r="N807" s="33"/>
      <c r="O807" s="33"/>
      <c r="P807" s="33"/>
      <c r="Q807" s="33"/>
      <c r="R807" s="33"/>
      <c r="S807" s="33"/>
      <c r="T807" s="33"/>
    </row>
    <row r="808" spans="1:20" ht="15.75">
      <c r="A808" s="13">
        <v>66507</v>
      </c>
      <c r="B808" s="41">
        <f t="shared" si="3"/>
        <v>31</v>
      </c>
      <c r="C808" s="32">
        <v>122.58</v>
      </c>
      <c r="D808" s="32">
        <v>297.94099999999997</v>
      </c>
      <c r="E808" s="38">
        <v>729.47900000000004</v>
      </c>
      <c r="F808" s="32">
        <v>1150</v>
      </c>
      <c r="G808" s="32">
        <v>100</v>
      </c>
      <c r="H808" s="40">
        <v>600</v>
      </c>
      <c r="I808" s="32">
        <v>695</v>
      </c>
      <c r="J808" s="32">
        <v>50</v>
      </c>
      <c r="K808" s="33"/>
      <c r="L808" s="33"/>
      <c r="M808" s="33"/>
      <c r="N808" s="33"/>
      <c r="O808" s="33"/>
      <c r="P808" s="33"/>
      <c r="Q808" s="33"/>
      <c r="R808" s="33"/>
      <c r="S808" s="33"/>
      <c r="T808" s="33"/>
    </row>
    <row r="809" spans="1:20" ht="15.75">
      <c r="A809" s="13">
        <v>66535</v>
      </c>
      <c r="B809" s="41">
        <f t="shared" si="3"/>
        <v>28</v>
      </c>
      <c r="C809" s="32">
        <v>122.58</v>
      </c>
      <c r="D809" s="32">
        <v>297.94099999999997</v>
      </c>
      <c r="E809" s="38">
        <v>729.47900000000004</v>
      </c>
      <c r="F809" s="32">
        <v>1150</v>
      </c>
      <c r="G809" s="32">
        <v>100</v>
      </c>
      <c r="H809" s="40">
        <v>600</v>
      </c>
      <c r="I809" s="32">
        <v>695</v>
      </c>
      <c r="J809" s="32">
        <v>50</v>
      </c>
      <c r="K809" s="33"/>
      <c r="L809" s="33"/>
      <c r="M809" s="33"/>
      <c r="N809" s="33"/>
      <c r="O809" s="33"/>
      <c r="P809" s="33"/>
      <c r="Q809" s="33"/>
      <c r="R809" s="33"/>
      <c r="S809" s="33"/>
      <c r="T809" s="33"/>
    </row>
    <row r="810" spans="1:20" ht="15.75">
      <c r="A810" s="13">
        <v>66566</v>
      </c>
      <c r="B810" s="41">
        <f t="shared" si="3"/>
        <v>31</v>
      </c>
      <c r="C810" s="32">
        <v>122.58</v>
      </c>
      <c r="D810" s="32">
        <v>297.94099999999997</v>
      </c>
      <c r="E810" s="38">
        <v>729.47900000000004</v>
      </c>
      <c r="F810" s="32">
        <v>1150</v>
      </c>
      <c r="G810" s="32">
        <v>100</v>
      </c>
      <c r="H810" s="40">
        <v>600</v>
      </c>
      <c r="I810" s="32">
        <v>695</v>
      </c>
      <c r="J810" s="32">
        <v>50</v>
      </c>
      <c r="K810" s="33"/>
      <c r="L810" s="33"/>
      <c r="M810" s="33"/>
      <c r="N810" s="33"/>
      <c r="O810" s="33"/>
      <c r="P810" s="33"/>
      <c r="Q810" s="33"/>
      <c r="R810" s="33"/>
      <c r="S810" s="33"/>
      <c r="T810" s="33"/>
    </row>
    <row r="811" spans="1:20" ht="15.75">
      <c r="A811" s="13">
        <v>66596</v>
      </c>
      <c r="B811" s="41">
        <f t="shared" si="3"/>
        <v>30</v>
      </c>
      <c r="C811" s="32">
        <v>141.29300000000001</v>
      </c>
      <c r="D811" s="32">
        <v>267.99299999999999</v>
      </c>
      <c r="E811" s="38">
        <v>829.71400000000006</v>
      </c>
      <c r="F811" s="32">
        <v>1239</v>
      </c>
      <c r="G811" s="32">
        <v>100</v>
      </c>
      <c r="H811" s="40">
        <v>600</v>
      </c>
      <c r="I811" s="32">
        <v>695</v>
      </c>
      <c r="J811" s="32">
        <v>50</v>
      </c>
      <c r="K811" s="33"/>
      <c r="L811" s="33"/>
      <c r="M811" s="33"/>
      <c r="N811" s="33"/>
      <c r="O811" s="33"/>
      <c r="P811" s="33"/>
      <c r="Q811" s="33"/>
      <c r="R811" s="33"/>
      <c r="S811" s="33"/>
      <c r="T811" s="33"/>
    </row>
    <row r="812" spans="1:20" ht="15.75">
      <c r="A812" s="13">
        <v>66627</v>
      </c>
      <c r="B812" s="41">
        <f t="shared" si="3"/>
        <v>31</v>
      </c>
      <c r="C812" s="32">
        <v>194.20500000000001</v>
      </c>
      <c r="D812" s="32">
        <v>267.46600000000001</v>
      </c>
      <c r="E812" s="38">
        <v>812.32899999999995</v>
      </c>
      <c r="F812" s="32">
        <v>1274</v>
      </c>
      <c r="G812" s="32">
        <v>75</v>
      </c>
      <c r="H812" s="40">
        <v>600</v>
      </c>
      <c r="I812" s="32">
        <v>695</v>
      </c>
      <c r="J812" s="32">
        <v>50</v>
      </c>
      <c r="K812" s="33"/>
      <c r="L812" s="33"/>
      <c r="M812" s="33"/>
      <c r="N812" s="33"/>
      <c r="O812" s="33"/>
      <c r="P812" s="33"/>
      <c r="Q812" s="33"/>
      <c r="R812" s="33"/>
      <c r="S812" s="33"/>
      <c r="T812" s="33"/>
    </row>
    <row r="813" spans="1:20" ht="15.75">
      <c r="A813" s="13">
        <v>66657</v>
      </c>
      <c r="B813" s="41">
        <f t="shared" si="3"/>
        <v>30</v>
      </c>
      <c r="C813" s="32">
        <v>194.20500000000001</v>
      </c>
      <c r="D813" s="32">
        <v>267.46600000000001</v>
      </c>
      <c r="E813" s="38">
        <v>812.32899999999995</v>
      </c>
      <c r="F813" s="32">
        <v>1274</v>
      </c>
      <c r="G813" s="32">
        <v>50</v>
      </c>
      <c r="H813" s="40">
        <v>600</v>
      </c>
      <c r="I813" s="32">
        <v>695</v>
      </c>
      <c r="J813" s="32">
        <v>50</v>
      </c>
      <c r="K813" s="33"/>
      <c r="L813" s="33"/>
      <c r="M813" s="33"/>
      <c r="N813" s="33"/>
      <c r="O813" s="33"/>
      <c r="P813" s="33"/>
      <c r="Q813" s="33"/>
      <c r="R813" s="33"/>
      <c r="S813" s="33"/>
      <c r="T813" s="33"/>
    </row>
    <row r="814" spans="1:20" ht="15.75">
      <c r="A814" s="13">
        <v>66688</v>
      </c>
      <c r="B814" s="41">
        <f t="shared" si="3"/>
        <v>31</v>
      </c>
      <c r="C814" s="32">
        <v>194.20500000000001</v>
      </c>
      <c r="D814" s="32">
        <v>267.46600000000001</v>
      </c>
      <c r="E814" s="38">
        <v>812.32899999999995</v>
      </c>
      <c r="F814" s="32">
        <v>1274</v>
      </c>
      <c r="G814" s="32">
        <v>50</v>
      </c>
      <c r="H814" s="40">
        <v>600</v>
      </c>
      <c r="I814" s="32">
        <v>695</v>
      </c>
      <c r="J814" s="32">
        <v>0</v>
      </c>
      <c r="K814" s="33"/>
      <c r="L814" s="33"/>
      <c r="M814" s="33"/>
      <c r="N814" s="33"/>
      <c r="O814" s="33"/>
      <c r="P814" s="33"/>
      <c r="Q814" s="33"/>
      <c r="R814" s="33"/>
      <c r="S814" s="33"/>
      <c r="T814" s="33"/>
    </row>
    <row r="815" spans="1:20" ht="15.75">
      <c r="A815" s="13">
        <v>66719</v>
      </c>
      <c r="B815" s="41">
        <f t="shared" si="3"/>
        <v>31</v>
      </c>
      <c r="C815" s="32">
        <v>194.20500000000001</v>
      </c>
      <c r="D815" s="32">
        <v>267.46600000000001</v>
      </c>
      <c r="E815" s="38">
        <v>812.32899999999995</v>
      </c>
      <c r="F815" s="32">
        <v>1274</v>
      </c>
      <c r="G815" s="32">
        <v>50</v>
      </c>
      <c r="H815" s="40">
        <v>600</v>
      </c>
      <c r="I815" s="32">
        <v>695</v>
      </c>
      <c r="J815" s="32">
        <v>0</v>
      </c>
      <c r="K815" s="33"/>
      <c r="L815" s="33"/>
      <c r="M815" s="33"/>
      <c r="N815" s="33"/>
      <c r="O815" s="33"/>
      <c r="P815" s="33"/>
      <c r="Q815" s="33"/>
      <c r="R815" s="33"/>
      <c r="S815" s="33"/>
      <c r="T815" s="33"/>
    </row>
    <row r="816" spans="1:20" ht="15.75">
      <c r="A816" s="13">
        <v>66749</v>
      </c>
      <c r="B816" s="41">
        <f t="shared" si="3"/>
        <v>30</v>
      </c>
      <c r="C816" s="32">
        <v>194.20500000000001</v>
      </c>
      <c r="D816" s="32">
        <v>267.46600000000001</v>
      </c>
      <c r="E816" s="38">
        <v>812.32899999999995</v>
      </c>
      <c r="F816" s="32">
        <v>1274</v>
      </c>
      <c r="G816" s="32">
        <v>50</v>
      </c>
      <c r="H816" s="40">
        <v>600</v>
      </c>
      <c r="I816" s="32">
        <v>695</v>
      </c>
      <c r="J816" s="32">
        <v>0</v>
      </c>
      <c r="K816" s="33"/>
      <c r="L816" s="33"/>
      <c r="M816" s="33"/>
      <c r="N816" s="33"/>
      <c r="O816" s="33"/>
      <c r="P816" s="33"/>
      <c r="Q816" s="33"/>
      <c r="R816" s="33"/>
      <c r="S816" s="33"/>
      <c r="T816" s="33"/>
    </row>
    <row r="817" spans="1:20" ht="15.75">
      <c r="A817" s="13">
        <v>66780</v>
      </c>
      <c r="B817" s="41">
        <f t="shared" si="3"/>
        <v>31</v>
      </c>
      <c r="C817" s="32">
        <v>131.881</v>
      </c>
      <c r="D817" s="32">
        <v>277.16699999999997</v>
      </c>
      <c r="E817" s="38">
        <v>829.952</v>
      </c>
      <c r="F817" s="32">
        <v>1239</v>
      </c>
      <c r="G817" s="32">
        <v>75</v>
      </c>
      <c r="H817" s="40">
        <v>600</v>
      </c>
      <c r="I817" s="32">
        <v>695</v>
      </c>
      <c r="J817" s="32">
        <v>0</v>
      </c>
      <c r="K817" s="33"/>
      <c r="L817" s="33"/>
      <c r="M817" s="33"/>
      <c r="N817" s="33"/>
      <c r="O817" s="33"/>
      <c r="P817" s="33"/>
      <c r="Q817" s="33"/>
      <c r="R817" s="33"/>
      <c r="S817" s="33"/>
      <c r="T817" s="33"/>
    </row>
    <row r="818" spans="1:20" ht="15.75">
      <c r="A818" s="13">
        <v>66810</v>
      </c>
      <c r="B818" s="41">
        <f t="shared" si="3"/>
        <v>30</v>
      </c>
      <c r="C818" s="32">
        <v>122.58</v>
      </c>
      <c r="D818" s="32">
        <v>297.94099999999997</v>
      </c>
      <c r="E818" s="38">
        <v>729.47900000000004</v>
      </c>
      <c r="F818" s="32">
        <v>1150</v>
      </c>
      <c r="G818" s="32">
        <v>100</v>
      </c>
      <c r="H818" s="40">
        <v>600</v>
      </c>
      <c r="I818" s="32">
        <v>695</v>
      </c>
      <c r="J818" s="32">
        <v>50</v>
      </c>
      <c r="K818" s="33"/>
      <c r="L818" s="33"/>
      <c r="M818" s="33"/>
      <c r="N818" s="33"/>
      <c r="O818" s="33"/>
      <c r="P818" s="33"/>
      <c r="Q818" s="33"/>
      <c r="R818" s="33"/>
      <c r="S818" s="33"/>
      <c r="T818" s="33"/>
    </row>
    <row r="819" spans="1:20" ht="15.75">
      <c r="A819" s="13">
        <v>66841</v>
      </c>
      <c r="B819" s="41">
        <f t="shared" si="3"/>
        <v>31</v>
      </c>
      <c r="C819" s="32">
        <v>122.58</v>
      </c>
      <c r="D819" s="32">
        <v>297.94099999999997</v>
      </c>
      <c r="E819" s="38">
        <v>729.47900000000004</v>
      </c>
      <c r="F819" s="32">
        <v>1150</v>
      </c>
      <c r="G819" s="32">
        <v>100</v>
      </c>
      <c r="H819" s="40">
        <v>600</v>
      </c>
      <c r="I819" s="32">
        <v>695</v>
      </c>
      <c r="J819" s="32">
        <v>50</v>
      </c>
      <c r="K819" s="33"/>
      <c r="L819" s="33"/>
      <c r="M819" s="33"/>
      <c r="N819" s="33"/>
      <c r="O819" s="33"/>
      <c r="P819" s="33"/>
      <c r="Q819" s="33"/>
      <c r="R819" s="33"/>
      <c r="S819" s="33"/>
      <c r="T819" s="33"/>
    </row>
    <row r="820" spans="1:20" ht="15.75">
      <c r="A820" s="13">
        <v>66872</v>
      </c>
      <c r="B820" s="41">
        <f t="shared" si="3"/>
        <v>31</v>
      </c>
      <c r="C820" s="32">
        <v>122.58</v>
      </c>
      <c r="D820" s="32">
        <v>297.94099999999997</v>
      </c>
      <c r="E820" s="38">
        <v>729.47900000000004</v>
      </c>
      <c r="F820" s="32">
        <v>1150</v>
      </c>
      <c r="G820" s="32">
        <v>100</v>
      </c>
      <c r="H820" s="40">
        <v>600</v>
      </c>
      <c r="I820" s="32">
        <v>695</v>
      </c>
      <c r="J820" s="32">
        <v>50</v>
      </c>
      <c r="K820" s="33"/>
      <c r="L820" s="33"/>
      <c r="M820" s="33"/>
      <c r="N820" s="33"/>
      <c r="O820" s="33"/>
      <c r="P820" s="33"/>
      <c r="Q820" s="33"/>
      <c r="R820" s="33"/>
      <c r="S820" s="33"/>
      <c r="T820" s="33"/>
    </row>
    <row r="821" spans="1:20" ht="15.75">
      <c r="A821" s="13">
        <v>66900</v>
      </c>
      <c r="B821" s="41">
        <f t="shared" si="3"/>
        <v>28</v>
      </c>
      <c r="C821" s="32">
        <v>122.58</v>
      </c>
      <c r="D821" s="32">
        <v>297.94099999999997</v>
      </c>
      <c r="E821" s="38">
        <v>729.47900000000004</v>
      </c>
      <c r="F821" s="32">
        <v>1150</v>
      </c>
      <c r="G821" s="32">
        <v>100</v>
      </c>
      <c r="H821" s="40">
        <v>600</v>
      </c>
      <c r="I821" s="32">
        <v>695</v>
      </c>
      <c r="J821" s="32">
        <v>50</v>
      </c>
      <c r="K821" s="33"/>
      <c r="L821" s="33"/>
      <c r="M821" s="33"/>
      <c r="N821" s="33"/>
      <c r="O821" s="33"/>
      <c r="P821" s="33"/>
      <c r="Q821" s="33"/>
      <c r="R821" s="33"/>
      <c r="S821" s="33"/>
      <c r="T821" s="33"/>
    </row>
    <row r="822" spans="1:20" ht="15.75">
      <c r="A822" s="13">
        <v>66931</v>
      </c>
      <c r="B822" s="41">
        <f t="shared" si="3"/>
        <v>31</v>
      </c>
      <c r="C822" s="32">
        <v>122.58</v>
      </c>
      <c r="D822" s="32">
        <v>297.94099999999997</v>
      </c>
      <c r="E822" s="38">
        <v>729.47900000000004</v>
      </c>
      <c r="F822" s="32">
        <v>1150</v>
      </c>
      <c r="G822" s="32">
        <v>100</v>
      </c>
      <c r="H822" s="40">
        <v>600</v>
      </c>
      <c r="I822" s="32">
        <v>695</v>
      </c>
      <c r="J822" s="32">
        <v>50</v>
      </c>
      <c r="K822" s="33"/>
      <c r="L822" s="33"/>
      <c r="M822" s="33"/>
      <c r="N822" s="33"/>
      <c r="O822" s="33"/>
      <c r="P822" s="33"/>
      <c r="Q822" s="33"/>
      <c r="R822" s="33"/>
      <c r="S822" s="33"/>
      <c r="T822" s="33"/>
    </row>
    <row r="823" spans="1:20" ht="15.75">
      <c r="A823" s="13">
        <v>66961</v>
      </c>
      <c r="B823" s="41">
        <f t="shared" si="3"/>
        <v>30</v>
      </c>
      <c r="C823" s="32">
        <v>141.29300000000001</v>
      </c>
      <c r="D823" s="32">
        <v>267.99299999999999</v>
      </c>
      <c r="E823" s="38">
        <v>829.71400000000006</v>
      </c>
      <c r="F823" s="32">
        <v>1239</v>
      </c>
      <c r="G823" s="32">
        <v>100</v>
      </c>
      <c r="H823" s="40">
        <v>600</v>
      </c>
      <c r="I823" s="32">
        <v>695</v>
      </c>
      <c r="J823" s="32">
        <v>50</v>
      </c>
      <c r="K823" s="33"/>
      <c r="L823" s="33"/>
      <c r="M823" s="33"/>
      <c r="N823" s="33"/>
      <c r="O823" s="33"/>
      <c r="P823" s="33"/>
      <c r="Q823" s="33"/>
      <c r="R823" s="33"/>
      <c r="S823" s="33"/>
      <c r="T823" s="33"/>
    </row>
    <row r="824" spans="1:20" ht="15.75">
      <c r="A824" s="13">
        <v>66992</v>
      </c>
      <c r="B824" s="41">
        <f t="shared" ref="B824:B887" si="4">EOMONTH(A824,0)-EOMONTH(A824,-1)</f>
        <v>31</v>
      </c>
      <c r="C824" s="32">
        <v>194.20500000000001</v>
      </c>
      <c r="D824" s="32">
        <v>267.46600000000001</v>
      </c>
      <c r="E824" s="38">
        <v>812.32899999999995</v>
      </c>
      <c r="F824" s="32">
        <v>1274</v>
      </c>
      <c r="G824" s="32">
        <v>75</v>
      </c>
      <c r="H824" s="40">
        <v>600</v>
      </c>
      <c r="I824" s="32">
        <v>695</v>
      </c>
      <c r="J824" s="32">
        <v>50</v>
      </c>
      <c r="K824" s="33"/>
      <c r="L824" s="33"/>
      <c r="M824" s="33"/>
      <c r="N824" s="33"/>
      <c r="O824" s="33"/>
      <c r="P824" s="33"/>
      <c r="Q824" s="33"/>
      <c r="R824" s="33"/>
      <c r="S824" s="33"/>
      <c r="T824" s="33"/>
    </row>
    <row r="825" spans="1:20" ht="15.75">
      <c r="A825" s="13">
        <v>67022</v>
      </c>
      <c r="B825" s="41">
        <f t="shared" si="4"/>
        <v>30</v>
      </c>
      <c r="C825" s="32">
        <v>194.20500000000001</v>
      </c>
      <c r="D825" s="32">
        <v>267.46600000000001</v>
      </c>
      <c r="E825" s="38">
        <v>812.32899999999995</v>
      </c>
      <c r="F825" s="32">
        <v>1274</v>
      </c>
      <c r="G825" s="32">
        <v>50</v>
      </c>
      <c r="H825" s="40">
        <v>600</v>
      </c>
      <c r="I825" s="32">
        <v>695</v>
      </c>
      <c r="J825" s="32">
        <v>50</v>
      </c>
      <c r="K825" s="33"/>
      <c r="L825" s="33"/>
      <c r="M825" s="33"/>
      <c r="N825" s="33"/>
      <c r="O825" s="33"/>
      <c r="P825" s="33"/>
      <c r="Q825" s="33"/>
      <c r="R825" s="33"/>
      <c r="S825" s="33"/>
      <c r="T825" s="33"/>
    </row>
    <row r="826" spans="1:20" ht="15.75">
      <c r="A826" s="13">
        <v>67053</v>
      </c>
      <c r="B826" s="41">
        <f t="shared" si="4"/>
        <v>31</v>
      </c>
      <c r="C826" s="32">
        <v>194.20500000000001</v>
      </c>
      <c r="D826" s="32">
        <v>267.46600000000001</v>
      </c>
      <c r="E826" s="38">
        <v>812.32899999999995</v>
      </c>
      <c r="F826" s="32">
        <v>1274</v>
      </c>
      <c r="G826" s="32">
        <v>50</v>
      </c>
      <c r="H826" s="40">
        <v>600</v>
      </c>
      <c r="I826" s="32">
        <v>695</v>
      </c>
      <c r="J826" s="32">
        <v>0</v>
      </c>
      <c r="K826" s="33"/>
      <c r="L826" s="33"/>
      <c r="M826" s="33"/>
      <c r="N826" s="33"/>
      <c r="O826" s="33"/>
      <c r="P826" s="33"/>
      <c r="Q826" s="33"/>
      <c r="R826" s="33"/>
      <c r="S826" s="33"/>
      <c r="T826" s="33"/>
    </row>
    <row r="827" spans="1:20" ht="15.75">
      <c r="A827" s="13">
        <v>67084</v>
      </c>
      <c r="B827" s="41">
        <f t="shared" si="4"/>
        <v>31</v>
      </c>
      <c r="C827" s="32">
        <v>194.20500000000001</v>
      </c>
      <c r="D827" s="32">
        <v>267.46600000000001</v>
      </c>
      <c r="E827" s="38">
        <v>812.32899999999995</v>
      </c>
      <c r="F827" s="32">
        <v>1274</v>
      </c>
      <c r="G827" s="32">
        <v>50</v>
      </c>
      <c r="H827" s="40">
        <v>600</v>
      </c>
      <c r="I827" s="32">
        <v>695</v>
      </c>
      <c r="J827" s="32">
        <v>0</v>
      </c>
      <c r="K827" s="33"/>
      <c r="L827" s="33"/>
      <c r="M827" s="33"/>
      <c r="N827" s="33"/>
      <c r="O827" s="33"/>
      <c r="P827" s="33"/>
      <c r="Q827" s="33"/>
      <c r="R827" s="33"/>
      <c r="S827" s="33"/>
      <c r="T827" s="33"/>
    </row>
    <row r="828" spans="1:20" ht="15.75">
      <c r="A828" s="13">
        <v>67114</v>
      </c>
      <c r="B828" s="41">
        <f t="shared" si="4"/>
        <v>30</v>
      </c>
      <c r="C828" s="32">
        <v>194.20500000000001</v>
      </c>
      <c r="D828" s="32">
        <v>267.46600000000001</v>
      </c>
      <c r="E828" s="38">
        <v>812.32899999999995</v>
      </c>
      <c r="F828" s="32">
        <v>1274</v>
      </c>
      <c r="G828" s="32">
        <v>50</v>
      </c>
      <c r="H828" s="40">
        <v>600</v>
      </c>
      <c r="I828" s="32">
        <v>695</v>
      </c>
      <c r="J828" s="32">
        <v>0</v>
      </c>
      <c r="K828" s="33"/>
      <c r="L828" s="33"/>
      <c r="M828" s="33"/>
      <c r="N828" s="33"/>
      <c r="O828" s="33"/>
      <c r="P828" s="33"/>
      <c r="Q828" s="33"/>
      <c r="R828" s="33"/>
      <c r="S828" s="33"/>
      <c r="T828" s="33"/>
    </row>
    <row r="829" spans="1:20" ht="15.75">
      <c r="A829" s="13">
        <v>67145</v>
      </c>
      <c r="B829" s="41">
        <f t="shared" si="4"/>
        <v>31</v>
      </c>
      <c r="C829" s="32">
        <v>131.881</v>
      </c>
      <c r="D829" s="32">
        <v>277.16699999999997</v>
      </c>
      <c r="E829" s="38">
        <v>829.952</v>
      </c>
      <c r="F829" s="32">
        <v>1239</v>
      </c>
      <c r="G829" s="32">
        <v>75</v>
      </c>
      <c r="H829" s="40">
        <v>600</v>
      </c>
      <c r="I829" s="32">
        <v>695</v>
      </c>
      <c r="J829" s="32">
        <v>0</v>
      </c>
      <c r="K829" s="33"/>
      <c r="L829" s="33"/>
      <c r="M829" s="33"/>
      <c r="N829" s="33"/>
      <c r="O829" s="33"/>
      <c r="P829" s="33"/>
      <c r="Q829" s="33"/>
      <c r="R829" s="33"/>
      <c r="S829" s="33"/>
      <c r="T829" s="33"/>
    </row>
    <row r="830" spans="1:20" ht="15.75">
      <c r="A830" s="13">
        <v>67175</v>
      </c>
      <c r="B830" s="41">
        <f t="shared" si="4"/>
        <v>30</v>
      </c>
      <c r="C830" s="32">
        <v>122.58</v>
      </c>
      <c r="D830" s="32">
        <v>297.94099999999997</v>
      </c>
      <c r="E830" s="38">
        <v>729.47900000000004</v>
      </c>
      <c r="F830" s="32">
        <v>1150</v>
      </c>
      <c r="G830" s="32">
        <v>100</v>
      </c>
      <c r="H830" s="40">
        <v>600</v>
      </c>
      <c r="I830" s="32">
        <v>695</v>
      </c>
      <c r="J830" s="32">
        <v>50</v>
      </c>
      <c r="K830" s="33"/>
      <c r="L830" s="33"/>
      <c r="M830" s="33"/>
      <c r="N830" s="33"/>
      <c r="O830" s="33"/>
      <c r="P830" s="33"/>
      <c r="Q830" s="33"/>
      <c r="R830" s="33"/>
      <c r="S830" s="33"/>
      <c r="T830" s="33"/>
    </row>
    <row r="831" spans="1:20" ht="15.75">
      <c r="A831" s="13">
        <v>67206</v>
      </c>
      <c r="B831" s="41">
        <f t="shared" si="4"/>
        <v>31</v>
      </c>
      <c r="C831" s="32">
        <v>122.58</v>
      </c>
      <c r="D831" s="32">
        <v>297.94099999999997</v>
      </c>
      <c r="E831" s="38">
        <v>729.47900000000004</v>
      </c>
      <c r="F831" s="32">
        <v>1150</v>
      </c>
      <c r="G831" s="32">
        <v>100</v>
      </c>
      <c r="H831" s="40">
        <v>600</v>
      </c>
      <c r="I831" s="32">
        <v>695</v>
      </c>
      <c r="J831" s="32">
        <v>50</v>
      </c>
      <c r="K831" s="33"/>
      <c r="L831" s="33"/>
      <c r="M831" s="33"/>
      <c r="N831" s="33"/>
      <c r="O831" s="33"/>
      <c r="P831" s="33"/>
      <c r="Q831" s="33"/>
      <c r="R831" s="33"/>
      <c r="S831" s="33"/>
      <c r="T831" s="33"/>
    </row>
    <row r="832" spans="1:20" ht="15.75">
      <c r="A832" s="13">
        <v>67237</v>
      </c>
      <c r="B832" s="41">
        <f t="shared" si="4"/>
        <v>31</v>
      </c>
      <c r="C832" s="32">
        <v>122.58</v>
      </c>
      <c r="D832" s="32">
        <v>297.94099999999997</v>
      </c>
      <c r="E832" s="38">
        <v>729.47900000000004</v>
      </c>
      <c r="F832" s="32">
        <v>1150</v>
      </c>
      <c r="G832" s="32">
        <v>100</v>
      </c>
      <c r="H832" s="40">
        <v>600</v>
      </c>
      <c r="I832" s="32">
        <v>695</v>
      </c>
      <c r="J832" s="32">
        <v>50</v>
      </c>
      <c r="K832" s="33"/>
      <c r="L832" s="33"/>
      <c r="M832" s="33"/>
      <c r="N832" s="33"/>
      <c r="O832" s="33"/>
      <c r="P832" s="33"/>
      <c r="Q832" s="33"/>
      <c r="R832" s="33"/>
      <c r="S832" s="33"/>
      <c r="T832" s="33"/>
    </row>
    <row r="833" spans="1:20" ht="15.75">
      <c r="A833" s="13">
        <v>67266</v>
      </c>
      <c r="B833" s="41">
        <f t="shared" si="4"/>
        <v>29</v>
      </c>
      <c r="C833" s="32">
        <v>122.58</v>
      </c>
      <c r="D833" s="32">
        <v>297.94099999999997</v>
      </c>
      <c r="E833" s="38">
        <v>729.47900000000004</v>
      </c>
      <c r="F833" s="32">
        <v>1150</v>
      </c>
      <c r="G833" s="32">
        <v>100</v>
      </c>
      <c r="H833" s="40">
        <v>600</v>
      </c>
      <c r="I833" s="32">
        <v>695</v>
      </c>
      <c r="J833" s="32">
        <v>50</v>
      </c>
      <c r="K833" s="33"/>
      <c r="L833" s="33"/>
      <c r="M833" s="33"/>
      <c r="N833" s="33"/>
      <c r="O833" s="33"/>
      <c r="P833" s="33"/>
      <c r="Q833" s="33"/>
      <c r="R833" s="33"/>
      <c r="S833" s="33"/>
      <c r="T833" s="33"/>
    </row>
    <row r="834" spans="1:20" ht="15.75">
      <c r="A834" s="13">
        <v>67297</v>
      </c>
      <c r="B834" s="41">
        <f t="shared" si="4"/>
        <v>31</v>
      </c>
      <c r="C834" s="32">
        <v>122.58</v>
      </c>
      <c r="D834" s="32">
        <v>297.94099999999997</v>
      </c>
      <c r="E834" s="38">
        <v>729.47900000000004</v>
      </c>
      <c r="F834" s="32">
        <v>1150</v>
      </c>
      <c r="G834" s="32">
        <v>100</v>
      </c>
      <c r="H834" s="40">
        <v>600</v>
      </c>
      <c r="I834" s="32">
        <v>695</v>
      </c>
      <c r="J834" s="32">
        <v>50</v>
      </c>
      <c r="K834" s="33"/>
      <c r="L834" s="33"/>
      <c r="M834" s="33"/>
      <c r="N834" s="33"/>
      <c r="O834" s="33"/>
      <c r="P834" s="33"/>
      <c r="Q834" s="33"/>
      <c r="R834" s="33"/>
      <c r="S834" s="33"/>
      <c r="T834" s="33"/>
    </row>
    <row r="835" spans="1:20" ht="15.75">
      <c r="A835" s="13">
        <v>67327</v>
      </c>
      <c r="B835" s="41">
        <f t="shared" si="4"/>
        <v>30</v>
      </c>
      <c r="C835" s="32">
        <v>141.29300000000001</v>
      </c>
      <c r="D835" s="32">
        <v>267.99299999999999</v>
      </c>
      <c r="E835" s="38">
        <v>829.71400000000006</v>
      </c>
      <c r="F835" s="32">
        <v>1239</v>
      </c>
      <c r="G835" s="32">
        <v>100</v>
      </c>
      <c r="H835" s="40">
        <v>600</v>
      </c>
      <c r="I835" s="32">
        <v>695</v>
      </c>
      <c r="J835" s="32">
        <v>50</v>
      </c>
      <c r="K835" s="33"/>
      <c r="L835" s="33"/>
      <c r="M835" s="33"/>
      <c r="N835" s="33"/>
      <c r="O835" s="33"/>
      <c r="P835" s="33"/>
      <c r="Q835" s="33"/>
      <c r="R835" s="33"/>
      <c r="S835" s="33"/>
      <c r="T835" s="33"/>
    </row>
    <row r="836" spans="1:20" ht="15.75">
      <c r="A836" s="13">
        <v>67358</v>
      </c>
      <c r="B836" s="41">
        <f t="shared" si="4"/>
        <v>31</v>
      </c>
      <c r="C836" s="32">
        <v>194.20500000000001</v>
      </c>
      <c r="D836" s="32">
        <v>267.46600000000001</v>
      </c>
      <c r="E836" s="38">
        <v>812.32899999999995</v>
      </c>
      <c r="F836" s="32">
        <v>1274</v>
      </c>
      <c r="G836" s="32">
        <v>75</v>
      </c>
      <c r="H836" s="40">
        <v>600</v>
      </c>
      <c r="I836" s="32">
        <v>695</v>
      </c>
      <c r="J836" s="32">
        <v>50</v>
      </c>
      <c r="K836" s="33"/>
      <c r="L836" s="33"/>
      <c r="M836" s="33"/>
      <c r="N836" s="33"/>
      <c r="O836" s="33"/>
      <c r="P836" s="33"/>
      <c r="Q836" s="33"/>
      <c r="R836" s="33"/>
      <c r="S836" s="33"/>
      <c r="T836" s="33"/>
    </row>
    <row r="837" spans="1:20" ht="15.75">
      <c r="A837" s="13">
        <v>67388</v>
      </c>
      <c r="B837" s="41">
        <f t="shared" si="4"/>
        <v>30</v>
      </c>
      <c r="C837" s="32">
        <v>194.20500000000001</v>
      </c>
      <c r="D837" s="32">
        <v>267.46600000000001</v>
      </c>
      <c r="E837" s="38">
        <v>812.32899999999995</v>
      </c>
      <c r="F837" s="32">
        <v>1274</v>
      </c>
      <c r="G837" s="32">
        <v>50</v>
      </c>
      <c r="H837" s="40">
        <v>600</v>
      </c>
      <c r="I837" s="32">
        <v>695</v>
      </c>
      <c r="J837" s="32">
        <v>50</v>
      </c>
      <c r="K837" s="33"/>
      <c r="L837" s="33"/>
      <c r="M837" s="33"/>
      <c r="N837" s="33"/>
      <c r="O837" s="33"/>
      <c r="P837" s="33"/>
      <c r="Q837" s="33"/>
      <c r="R837" s="33"/>
      <c r="S837" s="33"/>
      <c r="T837" s="33"/>
    </row>
    <row r="838" spans="1:20" ht="15.75">
      <c r="A838" s="13">
        <v>67419</v>
      </c>
      <c r="B838" s="41">
        <f t="shared" si="4"/>
        <v>31</v>
      </c>
      <c r="C838" s="32">
        <v>194.20500000000001</v>
      </c>
      <c r="D838" s="32">
        <v>267.46600000000001</v>
      </c>
      <c r="E838" s="38">
        <v>812.32899999999995</v>
      </c>
      <c r="F838" s="32">
        <v>1274</v>
      </c>
      <c r="G838" s="32">
        <v>50</v>
      </c>
      <c r="H838" s="40">
        <v>600</v>
      </c>
      <c r="I838" s="32">
        <v>695</v>
      </c>
      <c r="J838" s="32">
        <v>0</v>
      </c>
      <c r="K838" s="33"/>
      <c r="L838" s="33"/>
      <c r="M838" s="33"/>
      <c r="N838" s="33"/>
      <c r="O838" s="33"/>
      <c r="P838" s="33"/>
      <c r="Q838" s="33"/>
      <c r="R838" s="33"/>
      <c r="S838" s="33"/>
      <c r="T838" s="33"/>
    </row>
    <row r="839" spans="1:20" ht="15.75">
      <c r="A839" s="13">
        <v>67450</v>
      </c>
      <c r="B839" s="41">
        <f t="shared" si="4"/>
        <v>31</v>
      </c>
      <c r="C839" s="32">
        <v>194.20500000000001</v>
      </c>
      <c r="D839" s="32">
        <v>267.46600000000001</v>
      </c>
      <c r="E839" s="38">
        <v>812.32899999999995</v>
      </c>
      <c r="F839" s="32">
        <v>1274</v>
      </c>
      <c r="G839" s="32">
        <v>50</v>
      </c>
      <c r="H839" s="40">
        <v>600</v>
      </c>
      <c r="I839" s="32">
        <v>695</v>
      </c>
      <c r="J839" s="32">
        <v>0</v>
      </c>
      <c r="K839" s="33"/>
      <c r="L839" s="33"/>
      <c r="M839" s="33"/>
      <c r="N839" s="33"/>
      <c r="O839" s="33"/>
      <c r="P839" s="33"/>
      <c r="Q839" s="33"/>
      <c r="R839" s="33"/>
      <c r="S839" s="33"/>
      <c r="T839" s="33"/>
    </row>
    <row r="840" spans="1:20" ht="15.75">
      <c r="A840" s="13">
        <v>67480</v>
      </c>
      <c r="B840" s="41">
        <f t="shared" si="4"/>
        <v>30</v>
      </c>
      <c r="C840" s="32">
        <v>194.20500000000001</v>
      </c>
      <c r="D840" s="32">
        <v>267.46600000000001</v>
      </c>
      <c r="E840" s="38">
        <v>812.32899999999995</v>
      </c>
      <c r="F840" s="32">
        <v>1274</v>
      </c>
      <c r="G840" s="32">
        <v>50</v>
      </c>
      <c r="H840" s="40">
        <v>600</v>
      </c>
      <c r="I840" s="32">
        <v>695</v>
      </c>
      <c r="J840" s="32">
        <v>0</v>
      </c>
      <c r="K840" s="33"/>
      <c r="L840" s="33"/>
      <c r="M840" s="33"/>
      <c r="N840" s="33"/>
      <c r="O840" s="33"/>
      <c r="P840" s="33"/>
      <c r="Q840" s="33"/>
      <c r="R840" s="33"/>
      <c r="S840" s="33"/>
      <c r="T840" s="33"/>
    </row>
    <row r="841" spans="1:20" ht="15.75">
      <c r="A841" s="13">
        <v>67511</v>
      </c>
      <c r="B841" s="41">
        <f t="shared" si="4"/>
        <v>31</v>
      </c>
      <c r="C841" s="32">
        <v>131.881</v>
      </c>
      <c r="D841" s="32">
        <v>277.16699999999997</v>
      </c>
      <c r="E841" s="38">
        <v>829.952</v>
      </c>
      <c r="F841" s="32">
        <v>1239</v>
      </c>
      <c r="G841" s="32">
        <v>75</v>
      </c>
      <c r="H841" s="40">
        <v>600</v>
      </c>
      <c r="I841" s="32">
        <v>695</v>
      </c>
      <c r="J841" s="32">
        <v>0</v>
      </c>
      <c r="K841" s="33"/>
      <c r="L841" s="33"/>
      <c r="M841" s="33"/>
      <c r="N841" s="33"/>
      <c r="O841" s="33"/>
      <c r="P841" s="33"/>
      <c r="Q841" s="33"/>
      <c r="R841" s="33"/>
      <c r="S841" s="33"/>
      <c r="T841" s="33"/>
    </row>
    <row r="842" spans="1:20" ht="15.75">
      <c r="A842" s="13">
        <v>67541</v>
      </c>
      <c r="B842" s="41">
        <f t="shared" si="4"/>
        <v>30</v>
      </c>
      <c r="C842" s="32">
        <v>122.58</v>
      </c>
      <c r="D842" s="32">
        <v>297.94099999999997</v>
      </c>
      <c r="E842" s="38">
        <v>729.47900000000004</v>
      </c>
      <c r="F842" s="32">
        <v>1150</v>
      </c>
      <c r="G842" s="32">
        <v>100</v>
      </c>
      <c r="H842" s="40">
        <v>600</v>
      </c>
      <c r="I842" s="32">
        <v>695</v>
      </c>
      <c r="J842" s="32">
        <v>50</v>
      </c>
      <c r="K842" s="33"/>
      <c r="L842" s="33"/>
      <c r="M842" s="33"/>
      <c r="N842" s="33"/>
      <c r="O842" s="33"/>
      <c r="P842" s="33"/>
      <c r="Q842" s="33"/>
      <c r="R842" s="33"/>
      <c r="S842" s="33"/>
      <c r="T842" s="33"/>
    </row>
    <row r="843" spans="1:20" ht="15.75">
      <c r="A843" s="13">
        <v>67572</v>
      </c>
      <c r="B843" s="41">
        <f t="shared" si="4"/>
        <v>31</v>
      </c>
      <c r="C843" s="32">
        <v>122.58</v>
      </c>
      <c r="D843" s="32">
        <v>297.94099999999997</v>
      </c>
      <c r="E843" s="38">
        <v>729.47900000000004</v>
      </c>
      <c r="F843" s="32">
        <v>1150</v>
      </c>
      <c r="G843" s="32">
        <v>100</v>
      </c>
      <c r="H843" s="40">
        <v>600</v>
      </c>
      <c r="I843" s="32">
        <v>695</v>
      </c>
      <c r="J843" s="32">
        <v>50</v>
      </c>
      <c r="K843" s="33"/>
      <c r="L843" s="33"/>
      <c r="M843" s="33"/>
      <c r="N843" s="33"/>
      <c r="O843" s="33"/>
      <c r="P843" s="33"/>
      <c r="Q843" s="33"/>
      <c r="R843" s="33"/>
      <c r="S843" s="33"/>
      <c r="T843" s="33"/>
    </row>
    <row r="844" spans="1:20" ht="15.75">
      <c r="A844" s="13">
        <v>67603</v>
      </c>
      <c r="B844" s="41">
        <f t="shared" si="4"/>
        <v>31</v>
      </c>
      <c r="C844" s="32">
        <v>122.58</v>
      </c>
      <c r="D844" s="32">
        <v>297.94099999999997</v>
      </c>
      <c r="E844" s="38">
        <v>729.47900000000004</v>
      </c>
      <c r="F844" s="32">
        <v>1150</v>
      </c>
      <c r="G844" s="32">
        <v>100</v>
      </c>
      <c r="H844" s="40">
        <v>600</v>
      </c>
      <c r="I844" s="32">
        <v>695</v>
      </c>
      <c r="J844" s="32">
        <v>50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</row>
    <row r="845" spans="1:20" ht="15.75">
      <c r="A845" s="13">
        <v>67631</v>
      </c>
      <c r="B845" s="41">
        <f t="shared" si="4"/>
        <v>28</v>
      </c>
      <c r="C845" s="32">
        <v>122.58</v>
      </c>
      <c r="D845" s="32">
        <v>297.94099999999997</v>
      </c>
      <c r="E845" s="38">
        <v>729.47900000000004</v>
      </c>
      <c r="F845" s="32">
        <v>1150</v>
      </c>
      <c r="G845" s="32">
        <v>100</v>
      </c>
      <c r="H845" s="40">
        <v>600</v>
      </c>
      <c r="I845" s="32">
        <v>695</v>
      </c>
      <c r="J845" s="32">
        <v>50</v>
      </c>
      <c r="K845" s="33"/>
      <c r="L845" s="33"/>
      <c r="M845" s="33"/>
      <c r="N845" s="33"/>
      <c r="O845" s="33"/>
      <c r="P845" s="33"/>
      <c r="Q845" s="33"/>
      <c r="R845" s="33"/>
      <c r="S845" s="33"/>
      <c r="T845" s="33"/>
    </row>
    <row r="846" spans="1:20" ht="15.75">
      <c r="A846" s="13">
        <v>67662</v>
      </c>
      <c r="B846" s="41">
        <f t="shared" si="4"/>
        <v>31</v>
      </c>
      <c r="C846" s="32">
        <v>122.58</v>
      </c>
      <c r="D846" s="32">
        <v>297.94099999999997</v>
      </c>
      <c r="E846" s="38">
        <v>729.47900000000004</v>
      </c>
      <c r="F846" s="32">
        <v>1150</v>
      </c>
      <c r="G846" s="32">
        <v>100</v>
      </c>
      <c r="H846" s="40">
        <v>600</v>
      </c>
      <c r="I846" s="32">
        <v>695</v>
      </c>
      <c r="J846" s="32">
        <v>50</v>
      </c>
      <c r="K846" s="33"/>
      <c r="L846" s="33"/>
      <c r="M846" s="33"/>
      <c r="N846" s="33"/>
      <c r="O846" s="33"/>
      <c r="P846" s="33"/>
      <c r="Q846" s="33"/>
      <c r="R846" s="33"/>
      <c r="S846" s="33"/>
      <c r="T846" s="33"/>
    </row>
    <row r="847" spans="1:20" ht="15.75">
      <c r="A847" s="13">
        <v>67692</v>
      </c>
      <c r="B847" s="41">
        <f t="shared" si="4"/>
        <v>30</v>
      </c>
      <c r="C847" s="32">
        <v>141.29300000000001</v>
      </c>
      <c r="D847" s="32">
        <v>267.99299999999999</v>
      </c>
      <c r="E847" s="38">
        <v>829.71400000000006</v>
      </c>
      <c r="F847" s="32">
        <v>1239</v>
      </c>
      <c r="G847" s="32">
        <v>100</v>
      </c>
      <c r="H847" s="40">
        <v>600</v>
      </c>
      <c r="I847" s="32">
        <v>695</v>
      </c>
      <c r="J847" s="32">
        <v>50</v>
      </c>
      <c r="K847" s="33"/>
      <c r="L847" s="33"/>
      <c r="M847" s="33"/>
      <c r="N847" s="33"/>
      <c r="O847" s="33"/>
      <c r="P847" s="33"/>
      <c r="Q847" s="33"/>
      <c r="R847" s="33"/>
      <c r="S847" s="33"/>
      <c r="T847" s="33"/>
    </row>
    <row r="848" spans="1:20" ht="15.75">
      <c r="A848" s="13">
        <v>67723</v>
      </c>
      <c r="B848" s="41">
        <f t="shared" si="4"/>
        <v>31</v>
      </c>
      <c r="C848" s="32">
        <v>194.20500000000001</v>
      </c>
      <c r="D848" s="32">
        <v>267.46600000000001</v>
      </c>
      <c r="E848" s="38">
        <v>812.32899999999995</v>
      </c>
      <c r="F848" s="32">
        <v>1274</v>
      </c>
      <c r="G848" s="32">
        <v>75</v>
      </c>
      <c r="H848" s="40">
        <v>600</v>
      </c>
      <c r="I848" s="32">
        <v>695</v>
      </c>
      <c r="J848" s="32">
        <v>50</v>
      </c>
      <c r="K848" s="33"/>
      <c r="L848" s="33"/>
      <c r="M848" s="33"/>
      <c r="N848" s="33"/>
      <c r="O848" s="33"/>
      <c r="P848" s="33"/>
      <c r="Q848" s="33"/>
      <c r="R848" s="33"/>
      <c r="S848" s="33"/>
      <c r="T848" s="33"/>
    </row>
    <row r="849" spans="1:20" ht="15.75">
      <c r="A849" s="13">
        <v>67753</v>
      </c>
      <c r="B849" s="41">
        <f t="shared" si="4"/>
        <v>30</v>
      </c>
      <c r="C849" s="32">
        <v>194.20500000000001</v>
      </c>
      <c r="D849" s="32">
        <v>267.46600000000001</v>
      </c>
      <c r="E849" s="38">
        <v>812.32899999999995</v>
      </c>
      <c r="F849" s="32">
        <v>1274</v>
      </c>
      <c r="G849" s="32">
        <v>50</v>
      </c>
      <c r="H849" s="40">
        <v>600</v>
      </c>
      <c r="I849" s="32">
        <v>695</v>
      </c>
      <c r="J849" s="32">
        <v>50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</row>
    <row r="850" spans="1:20" ht="15.75">
      <c r="A850" s="13">
        <v>67784</v>
      </c>
      <c r="B850" s="41">
        <f t="shared" si="4"/>
        <v>31</v>
      </c>
      <c r="C850" s="32">
        <v>194.20500000000001</v>
      </c>
      <c r="D850" s="32">
        <v>267.46600000000001</v>
      </c>
      <c r="E850" s="38">
        <v>812.32899999999995</v>
      </c>
      <c r="F850" s="32">
        <v>1274</v>
      </c>
      <c r="G850" s="32">
        <v>50</v>
      </c>
      <c r="H850" s="40">
        <v>600</v>
      </c>
      <c r="I850" s="32">
        <v>695</v>
      </c>
      <c r="J850" s="32">
        <v>0</v>
      </c>
      <c r="K850" s="33"/>
      <c r="L850" s="33"/>
      <c r="M850" s="33"/>
      <c r="N850" s="33"/>
      <c r="O850" s="33"/>
      <c r="P850" s="33"/>
      <c r="Q850" s="33"/>
      <c r="R850" s="33"/>
      <c r="S850" s="33"/>
      <c r="T850" s="33"/>
    </row>
    <row r="851" spans="1:20" ht="15.75">
      <c r="A851" s="13">
        <v>67815</v>
      </c>
      <c r="B851" s="41">
        <f t="shared" si="4"/>
        <v>31</v>
      </c>
      <c r="C851" s="32">
        <v>194.20500000000001</v>
      </c>
      <c r="D851" s="32">
        <v>267.46600000000001</v>
      </c>
      <c r="E851" s="38">
        <v>812.32899999999995</v>
      </c>
      <c r="F851" s="32">
        <v>1274</v>
      </c>
      <c r="G851" s="32">
        <v>50</v>
      </c>
      <c r="H851" s="40">
        <v>600</v>
      </c>
      <c r="I851" s="32">
        <v>695</v>
      </c>
      <c r="J851" s="32">
        <v>0</v>
      </c>
      <c r="K851" s="33"/>
      <c r="L851" s="33"/>
      <c r="M851" s="33"/>
      <c r="N851" s="33"/>
      <c r="O851" s="33"/>
      <c r="P851" s="33"/>
      <c r="Q851" s="33"/>
      <c r="R851" s="33"/>
      <c r="S851" s="33"/>
      <c r="T851" s="33"/>
    </row>
    <row r="852" spans="1:20" ht="15.75">
      <c r="A852" s="13">
        <v>67845</v>
      </c>
      <c r="B852" s="41">
        <f t="shared" si="4"/>
        <v>30</v>
      </c>
      <c r="C852" s="32">
        <v>194.20500000000001</v>
      </c>
      <c r="D852" s="32">
        <v>267.46600000000001</v>
      </c>
      <c r="E852" s="38">
        <v>812.32899999999995</v>
      </c>
      <c r="F852" s="32">
        <v>1274</v>
      </c>
      <c r="G852" s="32">
        <v>50</v>
      </c>
      <c r="H852" s="40">
        <v>600</v>
      </c>
      <c r="I852" s="32">
        <v>695</v>
      </c>
      <c r="J852" s="32">
        <v>0</v>
      </c>
      <c r="K852" s="33"/>
      <c r="L852" s="33"/>
      <c r="M852" s="33"/>
      <c r="N852" s="33"/>
      <c r="O852" s="33"/>
      <c r="P852" s="33"/>
      <c r="Q852" s="33"/>
      <c r="R852" s="33"/>
      <c r="S852" s="33"/>
      <c r="T852" s="33"/>
    </row>
    <row r="853" spans="1:20" ht="15.75">
      <c r="A853" s="13">
        <v>67876</v>
      </c>
      <c r="B853" s="41">
        <f t="shared" si="4"/>
        <v>31</v>
      </c>
      <c r="C853" s="32">
        <v>131.881</v>
      </c>
      <c r="D853" s="32">
        <v>277.16699999999997</v>
      </c>
      <c r="E853" s="38">
        <v>829.952</v>
      </c>
      <c r="F853" s="32">
        <v>1239</v>
      </c>
      <c r="G853" s="32">
        <v>75</v>
      </c>
      <c r="H853" s="40">
        <v>600</v>
      </c>
      <c r="I853" s="32">
        <v>695</v>
      </c>
      <c r="J853" s="32">
        <v>0</v>
      </c>
      <c r="K853" s="33"/>
      <c r="L853" s="33"/>
      <c r="M853" s="33"/>
      <c r="N853" s="33"/>
      <c r="O853" s="33"/>
      <c r="P853" s="33"/>
      <c r="Q853" s="33"/>
      <c r="R853" s="33"/>
      <c r="S853" s="33"/>
      <c r="T853" s="33"/>
    </row>
    <row r="854" spans="1:20" ht="15.75">
      <c r="A854" s="13">
        <v>67906</v>
      </c>
      <c r="B854" s="41">
        <f t="shared" si="4"/>
        <v>30</v>
      </c>
      <c r="C854" s="32">
        <v>122.58</v>
      </c>
      <c r="D854" s="32">
        <v>297.94099999999997</v>
      </c>
      <c r="E854" s="38">
        <v>729.47900000000004</v>
      </c>
      <c r="F854" s="32">
        <v>1150</v>
      </c>
      <c r="G854" s="32">
        <v>100</v>
      </c>
      <c r="H854" s="40">
        <v>600</v>
      </c>
      <c r="I854" s="32">
        <v>695</v>
      </c>
      <c r="J854" s="32">
        <v>50</v>
      </c>
      <c r="K854" s="33"/>
      <c r="L854" s="33"/>
      <c r="M854" s="33"/>
      <c r="N854" s="33"/>
      <c r="O854" s="33"/>
      <c r="P854" s="33"/>
      <c r="Q854" s="33"/>
      <c r="R854" s="33"/>
      <c r="S854" s="33"/>
      <c r="T854" s="33"/>
    </row>
    <row r="855" spans="1:20" ht="15.75">
      <c r="A855" s="13">
        <v>67937</v>
      </c>
      <c r="B855" s="41">
        <f t="shared" si="4"/>
        <v>31</v>
      </c>
      <c r="C855" s="32">
        <v>122.58</v>
      </c>
      <c r="D855" s="32">
        <v>297.94099999999997</v>
      </c>
      <c r="E855" s="38">
        <v>729.47900000000004</v>
      </c>
      <c r="F855" s="32">
        <v>1150</v>
      </c>
      <c r="G855" s="32">
        <v>100</v>
      </c>
      <c r="H855" s="40">
        <v>600</v>
      </c>
      <c r="I855" s="32">
        <v>695</v>
      </c>
      <c r="J855" s="32">
        <v>50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</row>
    <row r="856" spans="1:20" ht="15.75">
      <c r="A856" s="13">
        <v>67968</v>
      </c>
      <c r="B856" s="41">
        <f t="shared" si="4"/>
        <v>31</v>
      </c>
      <c r="C856" s="32">
        <v>122.58</v>
      </c>
      <c r="D856" s="32">
        <v>297.94099999999997</v>
      </c>
      <c r="E856" s="38">
        <v>729.47900000000004</v>
      </c>
      <c r="F856" s="32">
        <v>1150</v>
      </c>
      <c r="G856" s="32">
        <v>100</v>
      </c>
      <c r="H856" s="40">
        <v>600</v>
      </c>
      <c r="I856" s="32">
        <v>695</v>
      </c>
      <c r="J856" s="32">
        <v>50</v>
      </c>
      <c r="K856" s="33"/>
      <c r="L856" s="33"/>
      <c r="M856" s="33"/>
      <c r="N856" s="33"/>
      <c r="O856" s="33"/>
      <c r="P856" s="33"/>
      <c r="Q856" s="33"/>
      <c r="R856" s="33"/>
      <c r="S856" s="33"/>
      <c r="T856" s="33"/>
    </row>
    <row r="857" spans="1:20" ht="15.75">
      <c r="A857" s="13">
        <v>67996</v>
      </c>
      <c r="B857" s="41">
        <f t="shared" si="4"/>
        <v>28</v>
      </c>
      <c r="C857" s="32">
        <v>122.58</v>
      </c>
      <c r="D857" s="32">
        <v>297.94099999999997</v>
      </c>
      <c r="E857" s="38">
        <v>729.47900000000004</v>
      </c>
      <c r="F857" s="32">
        <v>1150</v>
      </c>
      <c r="G857" s="32">
        <v>100</v>
      </c>
      <c r="H857" s="40">
        <v>600</v>
      </c>
      <c r="I857" s="32">
        <v>695</v>
      </c>
      <c r="J857" s="32">
        <v>50</v>
      </c>
      <c r="K857" s="33"/>
      <c r="L857" s="33"/>
      <c r="M857" s="33"/>
      <c r="N857" s="33"/>
      <c r="O857" s="33"/>
      <c r="P857" s="33"/>
      <c r="Q857" s="33"/>
      <c r="R857" s="33"/>
      <c r="S857" s="33"/>
      <c r="T857" s="33"/>
    </row>
    <row r="858" spans="1:20" ht="15.75">
      <c r="A858" s="13">
        <v>68027</v>
      </c>
      <c r="B858" s="41">
        <f t="shared" si="4"/>
        <v>31</v>
      </c>
      <c r="C858" s="32">
        <v>122.58</v>
      </c>
      <c r="D858" s="32">
        <v>297.94099999999997</v>
      </c>
      <c r="E858" s="38">
        <v>729.47900000000004</v>
      </c>
      <c r="F858" s="32">
        <v>1150</v>
      </c>
      <c r="G858" s="32">
        <v>100</v>
      </c>
      <c r="H858" s="40">
        <v>600</v>
      </c>
      <c r="I858" s="32">
        <v>695</v>
      </c>
      <c r="J858" s="32">
        <v>50</v>
      </c>
      <c r="K858" s="33"/>
      <c r="L858" s="33"/>
      <c r="M858" s="33"/>
      <c r="N858" s="33"/>
      <c r="O858" s="33"/>
      <c r="P858" s="33"/>
      <c r="Q858" s="33"/>
      <c r="R858" s="33"/>
      <c r="S858" s="33"/>
      <c r="T858" s="33"/>
    </row>
    <row r="859" spans="1:20" ht="15.75">
      <c r="A859" s="13">
        <v>68057</v>
      </c>
      <c r="B859" s="41">
        <f t="shared" si="4"/>
        <v>30</v>
      </c>
      <c r="C859" s="32">
        <v>141.29300000000001</v>
      </c>
      <c r="D859" s="32">
        <v>267.99299999999999</v>
      </c>
      <c r="E859" s="38">
        <v>829.71400000000006</v>
      </c>
      <c r="F859" s="32">
        <v>1239</v>
      </c>
      <c r="G859" s="32">
        <v>100</v>
      </c>
      <c r="H859" s="40">
        <v>600</v>
      </c>
      <c r="I859" s="32">
        <v>695</v>
      </c>
      <c r="J859" s="32">
        <v>50</v>
      </c>
      <c r="K859" s="33"/>
      <c r="L859" s="33"/>
      <c r="M859" s="33"/>
      <c r="N859" s="33"/>
      <c r="O859" s="33"/>
      <c r="P859" s="33"/>
      <c r="Q859" s="33"/>
      <c r="R859" s="33"/>
      <c r="S859" s="33"/>
      <c r="T859" s="33"/>
    </row>
    <row r="860" spans="1:20" ht="15.75">
      <c r="A860" s="13">
        <v>68088</v>
      </c>
      <c r="B860" s="41">
        <f t="shared" si="4"/>
        <v>31</v>
      </c>
      <c r="C860" s="32">
        <v>194.20500000000001</v>
      </c>
      <c r="D860" s="32">
        <v>267.46600000000001</v>
      </c>
      <c r="E860" s="38">
        <v>812.32899999999995</v>
      </c>
      <c r="F860" s="32">
        <v>1274</v>
      </c>
      <c r="G860" s="32">
        <v>75</v>
      </c>
      <c r="H860" s="40">
        <v>600</v>
      </c>
      <c r="I860" s="32">
        <v>695</v>
      </c>
      <c r="J860" s="32">
        <v>50</v>
      </c>
      <c r="K860" s="33"/>
      <c r="L860" s="33"/>
      <c r="M860" s="33"/>
      <c r="N860" s="33"/>
      <c r="O860" s="33"/>
      <c r="P860" s="33"/>
      <c r="Q860" s="33"/>
      <c r="R860" s="33"/>
      <c r="S860" s="33"/>
      <c r="T860" s="33"/>
    </row>
    <row r="861" spans="1:20" ht="15.75">
      <c r="A861" s="13">
        <v>68118</v>
      </c>
      <c r="B861" s="41">
        <f t="shared" si="4"/>
        <v>30</v>
      </c>
      <c r="C861" s="32">
        <v>194.20500000000001</v>
      </c>
      <c r="D861" s="32">
        <v>267.46600000000001</v>
      </c>
      <c r="E861" s="38">
        <v>812.32899999999995</v>
      </c>
      <c r="F861" s="32">
        <v>1274</v>
      </c>
      <c r="G861" s="32">
        <v>50</v>
      </c>
      <c r="H861" s="40">
        <v>600</v>
      </c>
      <c r="I861" s="32">
        <v>695</v>
      </c>
      <c r="J861" s="32">
        <v>50</v>
      </c>
      <c r="K861" s="33"/>
      <c r="L861" s="33"/>
      <c r="M861" s="33"/>
      <c r="N861" s="33"/>
      <c r="O861" s="33"/>
      <c r="P861" s="33"/>
      <c r="Q861" s="33"/>
      <c r="R861" s="33"/>
      <c r="S861" s="33"/>
      <c r="T861" s="33"/>
    </row>
    <row r="862" spans="1:20" ht="15.75">
      <c r="A862" s="13">
        <v>68149</v>
      </c>
      <c r="B862" s="41">
        <f t="shared" si="4"/>
        <v>31</v>
      </c>
      <c r="C862" s="32">
        <v>194.20500000000001</v>
      </c>
      <c r="D862" s="32">
        <v>267.46600000000001</v>
      </c>
      <c r="E862" s="38">
        <v>812.32899999999995</v>
      </c>
      <c r="F862" s="32">
        <v>1274</v>
      </c>
      <c r="G862" s="32">
        <v>50</v>
      </c>
      <c r="H862" s="40">
        <v>600</v>
      </c>
      <c r="I862" s="32">
        <v>695</v>
      </c>
      <c r="J862" s="32">
        <v>0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</row>
    <row r="863" spans="1:20" ht="15.75">
      <c r="A863" s="13">
        <v>68180</v>
      </c>
      <c r="B863" s="41">
        <f t="shared" si="4"/>
        <v>31</v>
      </c>
      <c r="C863" s="32">
        <v>194.20500000000001</v>
      </c>
      <c r="D863" s="32">
        <v>267.46600000000001</v>
      </c>
      <c r="E863" s="38">
        <v>812.32899999999995</v>
      </c>
      <c r="F863" s="32">
        <v>1274</v>
      </c>
      <c r="G863" s="32">
        <v>50</v>
      </c>
      <c r="H863" s="40">
        <v>600</v>
      </c>
      <c r="I863" s="32">
        <v>695</v>
      </c>
      <c r="J863" s="32">
        <v>0</v>
      </c>
      <c r="K863" s="33"/>
      <c r="L863" s="33"/>
      <c r="M863" s="33"/>
      <c r="N863" s="33"/>
      <c r="O863" s="33"/>
      <c r="P863" s="33"/>
      <c r="Q863" s="33"/>
      <c r="R863" s="33"/>
      <c r="S863" s="33"/>
      <c r="T863" s="33"/>
    </row>
    <row r="864" spans="1:20" ht="15.75">
      <c r="A864" s="13">
        <v>68210</v>
      </c>
      <c r="B864" s="41">
        <f t="shared" si="4"/>
        <v>30</v>
      </c>
      <c r="C864" s="32">
        <v>194.20500000000001</v>
      </c>
      <c r="D864" s="32">
        <v>267.46600000000001</v>
      </c>
      <c r="E864" s="38">
        <v>812.32899999999995</v>
      </c>
      <c r="F864" s="32">
        <v>1274</v>
      </c>
      <c r="G864" s="32">
        <v>50</v>
      </c>
      <c r="H864" s="40">
        <v>600</v>
      </c>
      <c r="I864" s="32">
        <v>695</v>
      </c>
      <c r="J864" s="32">
        <v>0</v>
      </c>
      <c r="K864" s="33"/>
      <c r="L864" s="33"/>
      <c r="M864" s="33"/>
      <c r="N864" s="33"/>
      <c r="O864" s="33"/>
      <c r="P864" s="33"/>
      <c r="Q864" s="33"/>
      <c r="R864" s="33"/>
      <c r="S864" s="33"/>
      <c r="T864" s="33"/>
    </row>
    <row r="865" spans="1:20" ht="15.75">
      <c r="A865" s="13">
        <v>68241</v>
      </c>
      <c r="B865" s="41">
        <f t="shared" si="4"/>
        <v>31</v>
      </c>
      <c r="C865" s="32">
        <v>131.881</v>
      </c>
      <c r="D865" s="32">
        <v>277.16699999999997</v>
      </c>
      <c r="E865" s="38">
        <v>829.952</v>
      </c>
      <c r="F865" s="32">
        <v>1239</v>
      </c>
      <c r="G865" s="32">
        <v>75</v>
      </c>
      <c r="H865" s="40">
        <v>600</v>
      </c>
      <c r="I865" s="32">
        <v>695</v>
      </c>
      <c r="J865" s="32">
        <v>0</v>
      </c>
      <c r="K865" s="33"/>
      <c r="L865" s="33"/>
      <c r="M865" s="33"/>
      <c r="N865" s="33"/>
      <c r="O865" s="33"/>
      <c r="P865" s="33"/>
      <c r="Q865" s="33"/>
      <c r="R865" s="33"/>
      <c r="S865" s="33"/>
      <c r="T865" s="33"/>
    </row>
    <row r="866" spans="1:20" ht="15.75">
      <c r="A866" s="13">
        <v>68271</v>
      </c>
      <c r="B866" s="41">
        <f t="shared" si="4"/>
        <v>30</v>
      </c>
      <c r="C866" s="32">
        <v>122.58</v>
      </c>
      <c r="D866" s="32">
        <v>297.94099999999997</v>
      </c>
      <c r="E866" s="38">
        <v>729.47900000000004</v>
      </c>
      <c r="F866" s="32">
        <v>1150</v>
      </c>
      <c r="G866" s="32">
        <v>100</v>
      </c>
      <c r="H866" s="40">
        <v>600</v>
      </c>
      <c r="I866" s="32">
        <v>695</v>
      </c>
      <c r="J866" s="32">
        <v>50</v>
      </c>
      <c r="K866" s="33"/>
      <c r="L866" s="33"/>
      <c r="M866" s="33"/>
      <c r="N866" s="33"/>
      <c r="O866" s="33"/>
      <c r="P866" s="33"/>
      <c r="Q866" s="33"/>
      <c r="R866" s="33"/>
      <c r="S866" s="33"/>
      <c r="T866" s="33"/>
    </row>
    <row r="867" spans="1:20" ht="15.75">
      <c r="A867" s="13">
        <v>68302</v>
      </c>
      <c r="B867" s="41">
        <f t="shared" si="4"/>
        <v>31</v>
      </c>
      <c r="C867" s="32">
        <v>122.58</v>
      </c>
      <c r="D867" s="32">
        <v>297.94099999999997</v>
      </c>
      <c r="E867" s="38">
        <v>729.47900000000004</v>
      </c>
      <c r="F867" s="32">
        <v>1150</v>
      </c>
      <c r="G867" s="32">
        <v>100</v>
      </c>
      <c r="H867" s="40">
        <v>600</v>
      </c>
      <c r="I867" s="32">
        <v>695</v>
      </c>
      <c r="J867" s="32">
        <v>50</v>
      </c>
      <c r="K867" s="33"/>
      <c r="L867" s="33"/>
      <c r="M867" s="33"/>
      <c r="N867" s="33"/>
      <c r="O867" s="33"/>
      <c r="P867" s="33"/>
      <c r="Q867" s="33"/>
      <c r="R867" s="33"/>
      <c r="S867" s="33"/>
      <c r="T867" s="33"/>
    </row>
    <row r="868" spans="1:20" ht="15.75">
      <c r="A868" s="13">
        <v>68333</v>
      </c>
      <c r="B868" s="41">
        <f t="shared" si="4"/>
        <v>31</v>
      </c>
      <c r="C868" s="32">
        <v>122.58</v>
      </c>
      <c r="D868" s="32">
        <v>297.94099999999997</v>
      </c>
      <c r="E868" s="38">
        <v>729.47900000000004</v>
      </c>
      <c r="F868" s="32">
        <v>1150</v>
      </c>
      <c r="G868" s="32">
        <v>100</v>
      </c>
      <c r="H868" s="40">
        <v>600</v>
      </c>
      <c r="I868" s="32">
        <v>695</v>
      </c>
      <c r="J868" s="32">
        <v>50</v>
      </c>
      <c r="K868" s="33"/>
      <c r="L868" s="33"/>
      <c r="M868" s="33"/>
      <c r="N868" s="33"/>
      <c r="O868" s="33"/>
      <c r="P868" s="33"/>
      <c r="Q868" s="33"/>
      <c r="R868" s="33"/>
      <c r="S868" s="33"/>
      <c r="T868" s="33"/>
    </row>
    <row r="869" spans="1:20" ht="15.75">
      <c r="A869" s="13">
        <v>68361</v>
      </c>
      <c r="B869" s="41">
        <f t="shared" si="4"/>
        <v>28</v>
      </c>
      <c r="C869" s="32">
        <v>122.58</v>
      </c>
      <c r="D869" s="32">
        <v>297.94099999999997</v>
      </c>
      <c r="E869" s="38">
        <v>729.47900000000004</v>
      </c>
      <c r="F869" s="32">
        <v>1150</v>
      </c>
      <c r="G869" s="32">
        <v>100</v>
      </c>
      <c r="H869" s="40">
        <v>600</v>
      </c>
      <c r="I869" s="32">
        <v>695</v>
      </c>
      <c r="J869" s="32">
        <v>50</v>
      </c>
      <c r="K869" s="33"/>
      <c r="L869" s="33"/>
      <c r="M869" s="33"/>
      <c r="N869" s="33"/>
      <c r="O869" s="33"/>
      <c r="P869" s="33"/>
      <c r="Q869" s="33"/>
      <c r="R869" s="33"/>
      <c r="S869" s="33"/>
      <c r="T869" s="33"/>
    </row>
    <row r="870" spans="1:20" ht="15.75">
      <c r="A870" s="13">
        <v>68392</v>
      </c>
      <c r="B870" s="41">
        <f t="shared" si="4"/>
        <v>31</v>
      </c>
      <c r="C870" s="32">
        <v>122.58</v>
      </c>
      <c r="D870" s="32">
        <v>297.94099999999997</v>
      </c>
      <c r="E870" s="38">
        <v>729.47900000000004</v>
      </c>
      <c r="F870" s="32">
        <v>1150</v>
      </c>
      <c r="G870" s="32">
        <v>100</v>
      </c>
      <c r="H870" s="40">
        <v>600</v>
      </c>
      <c r="I870" s="32">
        <v>695</v>
      </c>
      <c r="J870" s="32">
        <v>50</v>
      </c>
      <c r="K870" s="33"/>
      <c r="L870" s="33"/>
      <c r="M870" s="33"/>
      <c r="N870" s="33"/>
      <c r="O870" s="33"/>
      <c r="P870" s="33"/>
      <c r="Q870" s="33"/>
      <c r="R870" s="33"/>
      <c r="S870" s="33"/>
      <c r="T870" s="33"/>
    </row>
    <row r="871" spans="1:20" ht="15.75">
      <c r="A871" s="13">
        <v>68422</v>
      </c>
      <c r="B871" s="41">
        <f t="shared" si="4"/>
        <v>30</v>
      </c>
      <c r="C871" s="32">
        <v>141.29300000000001</v>
      </c>
      <c r="D871" s="32">
        <v>267.99299999999999</v>
      </c>
      <c r="E871" s="38">
        <v>829.71400000000006</v>
      </c>
      <c r="F871" s="32">
        <v>1239</v>
      </c>
      <c r="G871" s="32">
        <v>100</v>
      </c>
      <c r="H871" s="40">
        <v>600</v>
      </c>
      <c r="I871" s="32">
        <v>695</v>
      </c>
      <c r="J871" s="32">
        <v>50</v>
      </c>
      <c r="K871" s="33"/>
      <c r="L871" s="33"/>
      <c r="M871" s="33"/>
      <c r="N871" s="33"/>
      <c r="O871" s="33"/>
      <c r="P871" s="33"/>
      <c r="Q871" s="33"/>
      <c r="R871" s="33"/>
      <c r="S871" s="33"/>
      <c r="T871" s="33"/>
    </row>
    <row r="872" spans="1:20" ht="15.75">
      <c r="A872" s="13">
        <v>68453</v>
      </c>
      <c r="B872" s="41">
        <f t="shared" si="4"/>
        <v>31</v>
      </c>
      <c r="C872" s="32">
        <v>194.20500000000001</v>
      </c>
      <c r="D872" s="32">
        <v>267.46600000000001</v>
      </c>
      <c r="E872" s="38">
        <v>812.32899999999995</v>
      </c>
      <c r="F872" s="32">
        <v>1274</v>
      </c>
      <c r="G872" s="32">
        <v>75</v>
      </c>
      <c r="H872" s="40">
        <v>600</v>
      </c>
      <c r="I872" s="32">
        <v>695</v>
      </c>
      <c r="J872" s="32">
        <v>50</v>
      </c>
      <c r="K872" s="33"/>
      <c r="L872" s="33"/>
      <c r="M872" s="33"/>
      <c r="N872" s="33"/>
      <c r="O872" s="33"/>
      <c r="P872" s="33"/>
      <c r="Q872" s="33"/>
      <c r="R872" s="33"/>
      <c r="S872" s="33"/>
      <c r="T872" s="33"/>
    </row>
    <row r="873" spans="1:20" ht="15.75">
      <c r="A873" s="13">
        <v>68483</v>
      </c>
      <c r="B873" s="41">
        <f t="shared" si="4"/>
        <v>30</v>
      </c>
      <c r="C873" s="32">
        <v>194.20500000000001</v>
      </c>
      <c r="D873" s="32">
        <v>267.46600000000001</v>
      </c>
      <c r="E873" s="38">
        <v>812.32899999999995</v>
      </c>
      <c r="F873" s="32">
        <v>1274</v>
      </c>
      <c r="G873" s="32">
        <v>50</v>
      </c>
      <c r="H873" s="40">
        <v>600</v>
      </c>
      <c r="I873" s="32">
        <v>695</v>
      </c>
      <c r="J873" s="32">
        <v>50</v>
      </c>
      <c r="K873" s="33"/>
      <c r="L873" s="33"/>
      <c r="M873" s="33"/>
      <c r="N873" s="33"/>
      <c r="O873" s="33"/>
      <c r="P873" s="33"/>
      <c r="Q873" s="33"/>
      <c r="R873" s="33"/>
      <c r="S873" s="33"/>
      <c r="T873" s="33"/>
    </row>
    <row r="874" spans="1:20" ht="15.75">
      <c r="A874" s="13">
        <v>68514</v>
      </c>
      <c r="B874" s="41">
        <f t="shared" si="4"/>
        <v>31</v>
      </c>
      <c r="C874" s="32">
        <v>194.20500000000001</v>
      </c>
      <c r="D874" s="32">
        <v>267.46600000000001</v>
      </c>
      <c r="E874" s="38">
        <v>812.32899999999995</v>
      </c>
      <c r="F874" s="32">
        <v>1274</v>
      </c>
      <c r="G874" s="32">
        <v>50</v>
      </c>
      <c r="H874" s="40">
        <v>600</v>
      </c>
      <c r="I874" s="32">
        <v>695</v>
      </c>
      <c r="J874" s="32">
        <v>0</v>
      </c>
      <c r="K874" s="33"/>
      <c r="L874" s="33"/>
      <c r="M874" s="33"/>
      <c r="N874" s="33"/>
      <c r="O874" s="33"/>
      <c r="P874" s="33"/>
      <c r="Q874" s="33"/>
      <c r="R874" s="33"/>
      <c r="S874" s="33"/>
      <c r="T874" s="33"/>
    </row>
    <row r="875" spans="1:20" ht="15.75">
      <c r="A875" s="13">
        <v>68545</v>
      </c>
      <c r="B875" s="41">
        <f t="shared" si="4"/>
        <v>31</v>
      </c>
      <c r="C875" s="32">
        <v>194.20500000000001</v>
      </c>
      <c r="D875" s="32">
        <v>267.46600000000001</v>
      </c>
      <c r="E875" s="38">
        <v>812.32899999999995</v>
      </c>
      <c r="F875" s="32">
        <v>1274</v>
      </c>
      <c r="G875" s="32">
        <v>50</v>
      </c>
      <c r="H875" s="40">
        <v>600</v>
      </c>
      <c r="I875" s="32">
        <v>695</v>
      </c>
      <c r="J875" s="32">
        <v>0</v>
      </c>
      <c r="K875" s="33"/>
      <c r="L875" s="33"/>
      <c r="M875" s="33"/>
      <c r="N875" s="33"/>
      <c r="O875" s="33"/>
      <c r="P875" s="33"/>
      <c r="Q875" s="33"/>
      <c r="R875" s="33"/>
      <c r="S875" s="33"/>
      <c r="T875" s="33"/>
    </row>
    <row r="876" spans="1:20" ht="15.75">
      <c r="A876" s="13">
        <v>68575</v>
      </c>
      <c r="B876" s="41">
        <f t="shared" si="4"/>
        <v>30</v>
      </c>
      <c r="C876" s="32">
        <v>194.20500000000001</v>
      </c>
      <c r="D876" s="32">
        <v>267.46600000000001</v>
      </c>
      <c r="E876" s="38">
        <v>812.32899999999995</v>
      </c>
      <c r="F876" s="32">
        <v>1274</v>
      </c>
      <c r="G876" s="32">
        <v>50</v>
      </c>
      <c r="H876" s="40">
        <v>600</v>
      </c>
      <c r="I876" s="32">
        <v>695</v>
      </c>
      <c r="J876" s="32">
        <v>0</v>
      </c>
      <c r="K876" s="33"/>
      <c r="L876" s="33"/>
      <c r="M876" s="33"/>
      <c r="N876" s="33"/>
      <c r="O876" s="33"/>
      <c r="P876" s="33"/>
      <c r="Q876" s="33"/>
      <c r="R876" s="33"/>
      <c r="S876" s="33"/>
      <c r="T876" s="33"/>
    </row>
    <row r="877" spans="1:20" ht="15.75">
      <c r="A877" s="13">
        <v>68606</v>
      </c>
      <c r="B877" s="41">
        <f t="shared" si="4"/>
        <v>31</v>
      </c>
      <c r="C877" s="32">
        <v>131.881</v>
      </c>
      <c r="D877" s="32">
        <v>277.16699999999997</v>
      </c>
      <c r="E877" s="38">
        <v>829.952</v>
      </c>
      <c r="F877" s="32">
        <v>1239</v>
      </c>
      <c r="G877" s="32">
        <v>75</v>
      </c>
      <c r="H877" s="40">
        <v>600</v>
      </c>
      <c r="I877" s="32">
        <v>695</v>
      </c>
      <c r="J877" s="32">
        <v>0</v>
      </c>
      <c r="K877" s="33"/>
      <c r="L877" s="33"/>
      <c r="M877" s="33"/>
      <c r="N877" s="33"/>
      <c r="O877" s="33"/>
      <c r="P877" s="33"/>
      <c r="Q877" s="33"/>
      <c r="R877" s="33"/>
      <c r="S877" s="33"/>
      <c r="T877" s="33"/>
    </row>
    <row r="878" spans="1:20" ht="15.75">
      <c r="A878" s="13">
        <v>68636</v>
      </c>
      <c r="B878" s="41">
        <f t="shared" si="4"/>
        <v>30</v>
      </c>
      <c r="C878" s="32">
        <v>122.58</v>
      </c>
      <c r="D878" s="32">
        <v>297.94099999999997</v>
      </c>
      <c r="E878" s="38">
        <v>729.47900000000004</v>
      </c>
      <c r="F878" s="32">
        <v>1150</v>
      </c>
      <c r="G878" s="32">
        <v>100</v>
      </c>
      <c r="H878" s="40">
        <v>600</v>
      </c>
      <c r="I878" s="32">
        <v>695</v>
      </c>
      <c r="J878" s="32">
        <v>50</v>
      </c>
      <c r="K878" s="33"/>
      <c r="L878" s="33"/>
      <c r="M878" s="33"/>
      <c r="N878" s="33"/>
      <c r="O878" s="33"/>
      <c r="P878" s="33"/>
      <c r="Q878" s="33"/>
      <c r="R878" s="33"/>
      <c r="S878" s="33"/>
      <c r="T878" s="33"/>
    </row>
    <row r="879" spans="1:20" ht="15.75">
      <c r="A879" s="13">
        <v>68667</v>
      </c>
      <c r="B879" s="41">
        <f t="shared" si="4"/>
        <v>31</v>
      </c>
      <c r="C879" s="32">
        <v>122.58</v>
      </c>
      <c r="D879" s="32">
        <v>297.94099999999997</v>
      </c>
      <c r="E879" s="38">
        <v>729.47900000000004</v>
      </c>
      <c r="F879" s="32">
        <v>1150</v>
      </c>
      <c r="G879" s="32">
        <v>100</v>
      </c>
      <c r="H879" s="40">
        <v>600</v>
      </c>
      <c r="I879" s="32">
        <v>695</v>
      </c>
      <c r="J879" s="32">
        <v>50</v>
      </c>
      <c r="K879" s="33"/>
      <c r="L879" s="33"/>
      <c r="M879" s="33"/>
      <c r="N879" s="33"/>
      <c r="O879" s="33"/>
      <c r="P879" s="33"/>
      <c r="Q879" s="33"/>
      <c r="R879" s="33"/>
      <c r="S879" s="33"/>
      <c r="T879" s="33"/>
    </row>
    <row r="880" spans="1:20" ht="15.75">
      <c r="A880" s="13">
        <v>68698</v>
      </c>
      <c r="B880" s="41">
        <f t="shared" si="4"/>
        <v>31</v>
      </c>
      <c r="C880" s="32">
        <v>122.58</v>
      </c>
      <c r="D880" s="32">
        <v>297.94099999999997</v>
      </c>
      <c r="E880" s="38">
        <v>729.47900000000004</v>
      </c>
      <c r="F880" s="32">
        <v>1150</v>
      </c>
      <c r="G880" s="32">
        <v>100</v>
      </c>
      <c r="H880" s="40">
        <v>600</v>
      </c>
      <c r="I880" s="32">
        <v>695</v>
      </c>
      <c r="J880" s="32">
        <v>50</v>
      </c>
      <c r="K880" s="33"/>
      <c r="L880" s="33"/>
      <c r="M880" s="33"/>
      <c r="N880" s="33"/>
      <c r="O880" s="33"/>
      <c r="P880" s="33"/>
      <c r="Q880" s="33"/>
      <c r="R880" s="33"/>
      <c r="S880" s="33"/>
      <c r="T880" s="33"/>
    </row>
    <row r="881" spans="1:20" ht="15.75">
      <c r="A881" s="13">
        <v>68727</v>
      </c>
      <c r="B881" s="41">
        <f t="shared" si="4"/>
        <v>29</v>
      </c>
      <c r="C881" s="32">
        <v>122.58</v>
      </c>
      <c r="D881" s="32">
        <v>297.94099999999997</v>
      </c>
      <c r="E881" s="38">
        <v>729.47900000000004</v>
      </c>
      <c r="F881" s="32">
        <v>1150</v>
      </c>
      <c r="G881" s="32">
        <v>100</v>
      </c>
      <c r="H881" s="40">
        <v>600</v>
      </c>
      <c r="I881" s="32">
        <v>695</v>
      </c>
      <c r="J881" s="32">
        <v>50</v>
      </c>
      <c r="K881" s="33"/>
      <c r="L881" s="33"/>
      <c r="M881" s="33"/>
      <c r="N881" s="33"/>
      <c r="O881" s="33"/>
      <c r="P881" s="33"/>
      <c r="Q881" s="33"/>
      <c r="R881" s="33"/>
      <c r="S881" s="33"/>
      <c r="T881" s="33"/>
    </row>
    <row r="882" spans="1:20" ht="15.75">
      <c r="A882" s="13">
        <v>68758</v>
      </c>
      <c r="B882" s="41">
        <f t="shared" si="4"/>
        <v>31</v>
      </c>
      <c r="C882" s="32">
        <v>122.58</v>
      </c>
      <c r="D882" s="32">
        <v>297.94099999999997</v>
      </c>
      <c r="E882" s="38">
        <v>729.47900000000004</v>
      </c>
      <c r="F882" s="32">
        <v>1150</v>
      </c>
      <c r="G882" s="32">
        <v>100</v>
      </c>
      <c r="H882" s="40">
        <v>600</v>
      </c>
      <c r="I882" s="32">
        <v>695</v>
      </c>
      <c r="J882" s="32">
        <v>50</v>
      </c>
      <c r="K882" s="33"/>
      <c r="L882" s="33"/>
      <c r="M882" s="33"/>
      <c r="N882" s="33"/>
      <c r="O882" s="33"/>
      <c r="P882" s="33"/>
      <c r="Q882" s="33"/>
      <c r="R882" s="33"/>
      <c r="S882" s="33"/>
      <c r="T882" s="33"/>
    </row>
    <row r="883" spans="1:20" ht="15.75">
      <c r="A883" s="13">
        <v>68788</v>
      </c>
      <c r="B883" s="41">
        <f t="shared" si="4"/>
        <v>30</v>
      </c>
      <c r="C883" s="32">
        <v>141.29300000000001</v>
      </c>
      <c r="D883" s="32">
        <v>267.99299999999999</v>
      </c>
      <c r="E883" s="38">
        <v>829.71400000000006</v>
      </c>
      <c r="F883" s="32">
        <v>1239</v>
      </c>
      <c r="G883" s="32">
        <v>100</v>
      </c>
      <c r="H883" s="40">
        <v>600</v>
      </c>
      <c r="I883" s="32">
        <v>695</v>
      </c>
      <c r="J883" s="32">
        <v>50</v>
      </c>
      <c r="K883" s="33"/>
      <c r="L883" s="33"/>
      <c r="M883" s="33"/>
      <c r="N883" s="33"/>
      <c r="O883" s="33"/>
      <c r="P883" s="33"/>
      <c r="Q883" s="33"/>
      <c r="R883" s="33"/>
      <c r="S883" s="33"/>
      <c r="T883" s="33"/>
    </row>
    <row r="884" spans="1:20" ht="15.75">
      <c r="A884" s="13">
        <v>68819</v>
      </c>
      <c r="B884" s="41">
        <f t="shared" si="4"/>
        <v>31</v>
      </c>
      <c r="C884" s="32">
        <v>194.20500000000001</v>
      </c>
      <c r="D884" s="32">
        <v>267.46600000000001</v>
      </c>
      <c r="E884" s="38">
        <v>812.32899999999995</v>
      </c>
      <c r="F884" s="32">
        <v>1274</v>
      </c>
      <c r="G884" s="32">
        <v>75</v>
      </c>
      <c r="H884" s="40">
        <v>600</v>
      </c>
      <c r="I884" s="32">
        <v>695</v>
      </c>
      <c r="J884" s="32">
        <v>50</v>
      </c>
      <c r="K884" s="33"/>
      <c r="L884" s="33"/>
      <c r="M884" s="33"/>
      <c r="N884" s="33"/>
      <c r="O884" s="33"/>
      <c r="P884" s="33"/>
      <c r="Q884" s="33"/>
      <c r="R884" s="33"/>
      <c r="S884" s="33"/>
      <c r="T884" s="33"/>
    </row>
    <row r="885" spans="1:20" ht="15.75">
      <c r="A885" s="13">
        <v>68849</v>
      </c>
      <c r="B885" s="41">
        <f t="shared" si="4"/>
        <v>30</v>
      </c>
      <c r="C885" s="32">
        <v>194.20500000000001</v>
      </c>
      <c r="D885" s="32">
        <v>267.46600000000001</v>
      </c>
      <c r="E885" s="38">
        <v>812.32899999999995</v>
      </c>
      <c r="F885" s="32">
        <v>1274</v>
      </c>
      <c r="G885" s="32">
        <v>50</v>
      </c>
      <c r="H885" s="40">
        <v>600</v>
      </c>
      <c r="I885" s="32">
        <v>695</v>
      </c>
      <c r="J885" s="32">
        <v>50</v>
      </c>
      <c r="K885" s="33"/>
      <c r="L885" s="33"/>
      <c r="M885" s="33"/>
      <c r="N885" s="33"/>
      <c r="O885" s="33"/>
      <c r="P885" s="33"/>
      <c r="Q885" s="33"/>
      <c r="R885" s="33"/>
      <c r="S885" s="33"/>
      <c r="T885" s="33"/>
    </row>
    <row r="886" spans="1:20" ht="15.75">
      <c r="A886" s="13">
        <v>68880</v>
      </c>
      <c r="B886" s="41">
        <f t="shared" si="4"/>
        <v>31</v>
      </c>
      <c r="C886" s="32">
        <v>194.20500000000001</v>
      </c>
      <c r="D886" s="32">
        <v>267.46600000000001</v>
      </c>
      <c r="E886" s="38">
        <v>812.32899999999995</v>
      </c>
      <c r="F886" s="32">
        <v>1274</v>
      </c>
      <c r="G886" s="32">
        <v>50</v>
      </c>
      <c r="H886" s="40">
        <v>600</v>
      </c>
      <c r="I886" s="32">
        <v>695</v>
      </c>
      <c r="J886" s="32">
        <v>0</v>
      </c>
      <c r="K886" s="33"/>
      <c r="L886" s="33"/>
      <c r="M886" s="33"/>
      <c r="N886" s="33"/>
      <c r="O886" s="33"/>
      <c r="P886" s="33"/>
      <c r="Q886" s="33"/>
      <c r="R886" s="33"/>
      <c r="S886" s="33"/>
      <c r="T886" s="33"/>
    </row>
    <row r="887" spans="1:20" ht="15.75">
      <c r="A887" s="13">
        <v>68911</v>
      </c>
      <c r="B887" s="41">
        <f t="shared" si="4"/>
        <v>31</v>
      </c>
      <c r="C887" s="32">
        <v>194.20500000000001</v>
      </c>
      <c r="D887" s="32">
        <v>267.46600000000001</v>
      </c>
      <c r="E887" s="38">
        <v>812.32899999999995</v>
      </c>
      <c r="F887" s="32">
        <v>1274</v>
      </c>
      <c r="G887" s="32">
        <v>50</v>
      </c>
      <c r="H887" s="40">
        <v>600</v>
      </c>
      <c r="I887" s="32">
        <v>695</v>
      </c>
      <c r="J887" s="32">
        <v>0</v>
      </c>
      <c r="K887" s="33"/>
      <c r="L887" s="33"/>
      <c r="M887" s="33"/>
      <c r="N887" s="33"/>
      <c r="O887" s="33"/>
      <c r="P887" s="33"/>
      <c r="Q887" s="33"/>
      <c r="R887" s="33"/>
      <c r="S887" s="33"/>
      <c r="T887" s="33"/>
    </row>
    <row r="888" spans="1:20" ht="15.75">
      <c r="A888" s="13">
        <v>68941</v>
      </c>
      <c r="B888" s="41">
        <f t="shared" ref="B888:B951" si="5">EOMONTH(A888,0)-EOMONTH(A888,-1)</f>
        <v>30</v>
      </c>
      <c r="C888" s="32">
        <v>194.20500000000001</v>
      </c>
      <c r="D888" s="32">
        <v>267.46600000000001</v>
      </c>
      <c r="E888" s="38">
        <v>812.32899999999995</v>
      </c>
      <c r="F888" s="32">
        <v>1274</v>
      </c>
      <c r="G888" s="32">
        <v>50</v>
      </c>
      <c r="H888" s="40">
        <v>600</v>
      </c>
      <c r="I888" s="32">
        <v>695</v>
      </c>
      <c r="J888" s="32">
        <v>0</v>
      </c>
      <c r="K888" s="33"/>
      <c r="L888" s="33"/>
      <c r="M888" s="33"/>
      <c r="N888" s="33"/>
      <c r="O888" s="33"/>
      <c r="P888" s="33"/>
      <c r="Q888" s="33"/>
      <c r="R888" s="33"/>
      <c r="S888" s="33"/>
      <c r="T888" s="33"/>
    </row>
    <row r="889" spans="1:20" ht="15.75">
      <c r="A889" s="13">
        <v>68972</v>
      </c>
      <c r="B889" s="41">
        <f t="shared" si="5"/>
        <v>31</v>
      </c>
      <c r="C889" s="32">
        <v>131.881</v>
      </c>
      <c r="D889" s="32">
        <v>277.16699999999997</v>
      </c>
      <c r="E889" s="38">
        <v>829.952</v>
      </c>
      <c r="F889" s="32">
        <v>1239</v>
      </c>
      <c r="G889" s="32">
        <v>75</v>
      </c>
      <c r="H889" s="40">
        <v>600</v>
      </c>
      <c r="I889" s="32">
        <v>695</v>
      </c>
      <c r="J889" s="32">
        <v>0</v>
      </c>
      <c r="K889" s="33"/>
      <c r="L889" s="33"/>
      <c r="M889" s="33"/>
      <c r="N889" s="33"/>
      <c r="O889" s="33"/>
      <c r="P889" s="33"/>
      <c r="Q889" s="33"/>
      <c r="R889" s="33"/>
      <c r="S889" s="33"/>
      <c r="T889" s="33"/>
    </row>
    <row r="890" spans="1:20" ht="15.75">
      <c r="A890" s="13">
        <v>69002</v>
      </c>
      <c r="B890" s="41">
        <f t="shared" si="5"/>
        <v>30</v>
      </c>
      <c r="C890" s="32">
        <v>122.58</v>
      </c>
      <c r="D890" s="32">
        <v>297.94099999999997</v>
      </c>
      <c r="E890" s="38">
        <v>729.47900000000004</v>
      </c>
      <c r="F890" s="32">
        <v>1150</v>
      </c>
      <c r="G890" s="32">
        <v>100</v>
      </c>
      <c r="H890" s="40">
        <v>600</v>
      </c>
      <c r="I890" s="32">
        <v>695</v>
      </c>
      <c r="J890" s="32">
        <v>50</v>
      </c>
      <c r="K890" s="33"/>
      <c r="L890" s="33"/>
      <c r="M890" s="33"/>
      <c r="N890" s="33"/>
      <c r="O890" s="33"/>
      <c r="P890" s="33"/>
      <c r="Q890" s="33"/>
      <c r="R890" s="33"/>
      <c r="S890" s="33"/>
      <c r="T890" s="33"/>
    </row>
    <row r="891" spans="1:20" ht="15.75">
      <c r="A891" s="13">
        <v>69033</v>
      </c>
      <c r="B891" s="41">
        <f t="shared" si="5"/>
        <v>31</v>
      </c>
      <c r="C891" s="32">
        <v>122.58</v>
      </c>
      <c r="D891" s="32">
        <v>297.94099999999997</v>
      </c>
      <c r="E891" s="38">
        <v>729.47900000000004</v>
      </c>
      <c r="F891" s="32">
        <v>1150</v>
      </c>
      <c r="G891" s="32">
        <v>100</v>
      </c>
      <c r="H891" s="40">
        <v>600</v>
      </c>
      <c r="I891" s="32">
        <v>695</v>
      </c>
      <c r="J891" s="32">
        <v>50</v>
      </c>
      <c r="K891" s="33"/>
      <c r="L891" s="33"/>
      <c r="M891" s="33"/>
      <c r="N891" s="33"/>
      <c r="O891" s="33"/>
      <c r="P891" s="33"/>
      <c r="Q891" s="33"/>
      <c r="R891" s="33"/>
      <c r="S891" s="33"/>
      <c r="T891" s="33"/>
    </row>
    <row r="892" spans="1:20" ht="15.75">
      <c r="A892" s="13">
        <v>69064</v>
      </c>
      <c r="B892" s="41">
        <f t="shared" si="5"/>
        <v>31</v>
      </c>
      <c r="C892" s="32">
        <v>122.58</v>
      </c>
      <c r="D892" s="32">
        <v>297.94099999999997</v>
      </c>
      <c r="E892" s="38">
        <v>729.47900000000004</v>
      </c>
      <c r="F892" s="32">
        <v>1150</v>
      </c>
      <c r="G892" s="32">
        <v>100</v>
      </c>
      <c r="H892" s="40">
        <v>600</v>
      </c>
      <c r="I892" s="32">
        <v>695</v>
      </c>
      <c r="J892" s="32">
        <v>50</v>
      </c>
      <c r="K892" s="33"/>
      <c r="L892" s="33"/>
      <c r="M892" s="33"/>
      <c r="N892" s="33"/>
      <c r="O892" s="33"/>
      <c r="P892" s="33"/>
      <c r="Q892" s="33"/>
      <c r="R892" s="33"/>
      <c r="S892" s="33"/>
      <c r="T892" s="33"/>
    </row>
    <row r="893" spans="1:20" ht="15.75">
      <c r="A893" s="13">
        <v>69092</v>
      </c>
      <c r="B893" s="41">
        <f t="shared" si="5"/>
        <v>28</v>
      </c>
      <c r="C893" s="32">
        <v>122.58</v>
      </c>
      <c r="D893" s="32">
        <v>297.94099999999997</v>
      </c>
      <c r="E893" s="38">
        <v>729.47900000000004</v>
      </c>
      <c r="F893" s="32">
        <v>1150</v>
      </c>
      <c r="G893" s="32">
        <v>100</v>
      </c>
      <c r="H893" s="40">
        <v>600</v>
      </c>
      <c r="I893" s="32">
        <v>695</v>
      </c>
      <c r="J893" s="32">
        <v>50</v>
      </c>
      <c r="K893" s="33"/>
      <c r="L893" s="33"/>
      <c r="M893" s="33"/>
      <c r="N893" s="33"/>
      <c r="O893" s="33"/>
      <c r="P893" s="33"/>
      <c r="Q893" s="33"/>
      <c r="R893" s="33"/>
      <c r="S893" s="33"/>
      <c r="T893" s="33"/>
    </row>
    <row r="894" spans="1:20" ht="15.75">
      <c r="A894" s="13">
        <v>69123</v>
      </c>
      <c r="B894" s="41">
        <f t="shared" si="5"/>
        <v>31</v>
      </c>
      <c r="C894" s="32">
        <v>122.58</v>
      </c>
      <c r="D894" s="32">
        <v>297.94099999999997</v>
      </c>
      <c r="E894" s="38">
        <v>729.47900000000004</v>
      </c>
      <c r="F894" s="32">
        <v>1150</v>
      </c>
      <c r="G894" s="32">
        <v>100</v>
      </c>
      <c r="H894" s="40">
        <v>600</v>
      </c>
      <c r="I894" s="32">
        <v>695</v>
      </c>
      <c r="J894" s="32">
        <v>50</v>
      </c>
      <c r="K894" s="33"/>
      <c r="L894" s="33"/>
      <c r="M894" s="33"/>
      <c r="N894" s="33"/>
      <c r="O894" s="33"/>
      <c r="P894" s="33"/>
      <c r="Q894" s="33"/>
      <c r="R894" s="33"/>
      <c r="S894" s="33"/>
      <c r="T894" s="33"/>
    </row>
    <row r="895" spans="1:20" ht="15.75">
      <c r="A895" s="13">
        <v>69153</v>
      </c>
      <c r="B895" s="41">
        <f t="shared" si="5"/>
        <v>30</v>
      </c>
      <c r="C895" s="32">
        <v>141.29300000000001</v>
      </c>
      <c r="D895" s="32">
        <v>267.99299999999999</v>
      </c>
      <c r="E895" s="38">
        <v>829.71400000000006</v>
      </c>
      <c r="F895" s="32">
        <v>1239</v>
      </c>
      <c r="G895" s="32">
        <v>100</v>
      </c>
      <c r="H895" s="40">
        <v>600</v>
      </c>
      <c r="I895" s="32">
        <v>695</v>
      </c>
      <c r="J895" s="32">
        <v>50</v>
      </c>
      <c r="K895" s="33"/>
      <c r="L895" s="33"/>
      <c r="M895" s="33"/>
      <c r="N895" s="33"/>
      <c r="O895" s="33"/>
      <c r="P895" s="33"/>
      <c r="Q895" s="33"/>
      <c r="R895" s="33"/>
      <c r="S895" s="33"/>
      <c r="T895" s="33"/>
    </row>
    <row r="896" spans="1:20" ht="15.75">
      <c r="A896" s="13">
        <v>69184</v>
      </c>
      <c r="B896" s="41">
        <f t="shared" si="5"/>
        <v>31</v>
      </c>
      <c r="C896" s="32">
        <v>194.20500000000001</v>
      </c>
      <c r="D896" s="32">
        <v>267.46600000000001</v>
      </c>
      <c r="E896" s="38">
        <v>812.32899999999995</v>
      </c>
      <c r="F896" s="32">
        <v>1274</v>
      </c>
      <c r="G896" s="32">
        <v>75</v>
      </c>
      <c r="H896" s="40">
        <v>600</v>
      </c>
      <c r="I896" s="32">
        <v>695</v>
      </c>
      <c r="J896" s="32">
        <v>50</v>
      </c>
      <c r="K896" s="33"/>
      <c r="L896" s="33"/>
      <c r="M896" s="33"/>
      <c r="N896" s="33"/>
      <c r="O896" s="33"/>
      <c r="P896" s="33"/>
      <c r="Q896" s="33"/>
      <c r="R896" s="33"/>
      <c r="S896" s="33"/>
      <c r="T896" s="33"/>
    </row>
    <row r="897" spans="1:20" ht="15.75">
      <c r="A897" s="13">
        <v>69214</v>
      </c>
      <c r="B897" s="41">
        <f t="shared" si="5"/>
        <v>30</v>
      </c>
      <c r="C897" s="32">
        <v>194.20500000000001</v>
      </c>
      <c r="D897" s="32">
        <v>267.46600000000001</v>
      </c>
      <c r="E897" s="38">
        <v>812.32899999999995</v>
      </c>
      <c r="F897" s="32">
        <v>1274</v>
      </c>
      <c r="G897" s="32">
        <v>50</v>
      </c>
      <c r="H897" s="40">
        <v>600</v>
      </c>
      <c r="I897" s="32">
        <v>695</v>
      </c>
      <c r="J897" s="32">
        <v>50</v>
      </c>
      <c r="K897" s="33"/>
      <c r="L897" s="33"/>
      <c r="M897" s="33"/>
      <c r="N897" s="33"/>
      <c r="O897" s="33"/>
      <c r="P897" s="33"/>
      <c r="Q897" s="33"/>
      <c r="R897" s="33"/>
      <c r="S897" s="33"/>
      <c r="T897" s="33"/>
    </row>
    <row r="898" spans="1:20" ht="15.75">
      <c r="A898" s="13">
        <v>69245</v>
      </c>
      <c r="B898" s="41">
        <f t="shared" si="5"/>
        <v>31</v>
      </c>
      <c r="C898" s="32">
        <v>194.20500000000001</v>
      </c>
      <c r="D898" s="32">
        <v>267.46600000000001</v>
      </c>
      <c r="E898" s="38">
        <v>812.32899999999995</v>
      </c>
      <c r="F898" s="32">
        <v>1274</v>
      </c>
      <c r="G898" s="32">
        <v>50</v>
      </c>
      <c r="H898" s="40">
        <v>600</v>
      </c>
      <c r="I898" s="32">
        <v>695</v>
      </c>
      <c r="J898" s="32">
        <v>0</v>
      </c>
      <c r="K898" s="33"/>
      <c r="L898" s="33"/>
      <c r="M898" s="33"/>
      <c r="N898" s="33"/>
      <c r="O898" s="33"/>
      <c r="P898" s="33"/>
      <c r="Q898" s="33"/>
      <c r="R898" s="33"/>
      <c r="S898" s="33"/>
      <c r="T898" s="33"/>
    </row>
    <row r="899" spans="1:20" ht="15.75">
      <c r="A899" s="13">
        <v>69276</v>
      </c>
      <c r="B899" s="41">
        <f t="shared" si="5"/>
        <v>31</v>
      </c>
      <c r="C899" s="32">
        <v>194.20500000000001</v>
      </c>
      <c r="D899" s="32">
        <v>267.46600000000001</v>
      </c>
      <c r="E899" s="38">
        <v>812.32899999999995</v>
      </c>
      <c r="F899" s="32">
        <v>1274</v>
      </c>
      <c r="G899" s="32">
        <v>50</v>
      </c>
      <c r="H899" s="40">
        <v>600</v>
      </c>
      <c r="I899" s="32">
        <v>695</v>
      </c>
      <c r="J899" s="32">
        <v>0</v>
      </c>
      <c r="K899" s="33"/>
      <c r="L899" s="33"/>
      <c r="M899" s="33"/>
      <c r="N899" s="33"/>
      <c r="O899" s="33"/>
      <c r="P899" s="33"/>
      <c r="Q899" s="33"/>
      <c r="R899" s="33"/>
      <c r="S899" s="33"/>
      <c r="T899" s="33"/>
    </row>
    <row r="900" spans="1:20" ht="15.75">
      <c r="A900" s="13">
        <v>69306</v>
      </c>
      <c r="B900" s="41">
        <f t="shared" si="5"/>
        <v>30</v>
      </c>
      <c r="C900" s="32">
        <v>194.20500000000001</v>
      </c>
      <c r="D900" s="32">
        <v>267.46600000000001</v>
      </c>
      <c r="E900" s="38">
        <v>812.32899999999995</v>
      </c>
      <c r="F900" s="32">
        <v>1274</v>
      </c>
      <c r="G900" s="32">
        <v>50</v>
      </c>
      <c r="H900" s="40">
        <v>600</v>
      </c>
      <c r="I900" s="32">
        <v>695</v>
      </c>
      <c r="J900" s="32">
        <v>0</v>
      </c>
      <c r="K900" s="33"/>
      <c r="L900" s="33"/>
      <c r="M900" s="33"/>
      <c r="N900" s="33"/>
      <c r="O900" s="33"/>
      <c r="P900" s="33"/>
      <c r="Q900" s="33"/>
      <c r="R900" s="33"/>
      <c r="S900" s="33"/>
      <c r="T900" s="33"/>
    </row>
    <row r="901" spans="1:20" ht="15.75">
      <c r="A901" s="13">
        <v>69337</v>
      </c>
      <c r="B901" s="41">
        <f t="shared" si="5"/>
        <v>31</v>
      </c>
      <c r="C901" s="32">
        <v>131.881</v>
      </c>
      <c r="D901" s="32">
        <v>277.16699999999997</v>
      </c>
      <c r="E901" s="38">
        <v>829.952</v>
      </c>
      <c r="F901" s="32">
        <v>1239</v>
      </c>
      <c r="G901" s="32">
        <v>75</v>
      </c>
      <c r="H901" s="40">
        <v>600</v>
      </c>
      <c r="I901" s="32">
        <v>695</v>
      </c>
      <c r="J901" s="32">
        <v>0</v>
      </c>
      <c r="K901" s="33"/>
      <c r="L901" s="33"/>
      <c r="M901" s="33"/>
      <c r="N901" s="33"/>
      <c r="O901" s="33"/>
      <c r="P901" s="33"/>
      <c r="Q901" s="33"/>
      <c r="R901" s="33"/>
      <c r="S901" s="33"/>
      <c r="T901" s="33"/>
    </row>
    <row r="902" spans="1:20" ht="15.75">
      <c r="A902" s="13">
        <v>69367</v>
      </c>
      <c r="B902" s="41">
        <f t="shared" si="5"/>
        <v>30</v>
      </c>
      <c r="C902" s="32">
        <v>122.58</v>
      </c>
      <c r="D902" s="32">
        <v>297.94099999999997</v>
      </c>
      <c r="E902" s="38">
        <v>729.47900000000004</v>
      </c>
      <c r="F902" s="32">
        <v>1150</v>
      </c>
      <c r="G902" s="32">
        <v>100</v>
      </c>
      <c r="H902" s="40">
        <v>600</v>
      </c>
      <c r="I902" s="32">
        <v>695</v>
      </c>
      <c r="J902" s="32">
        <v>50</v>
      </c>
      <c r="K902" s="33"/>
      <c r="L902" s="33"/>
      <c r="M902" s="33"/>
      <c r="N902" s="33"/>
      <c r="O902" s="33"/>
      <c r="P902" s="33"/>
      <c r="Q902" s="33"/>
      <c r="R902" s="33"/>
      <c r="S902" s="33"/>
      <c r="T902" s="33"/>
    </row>
    <row r="903" spans="1:20" ht="15.75">
      <c r="A903" s="13">
        <v>69398</v>
      </c>
      <c r="B903" s="41">
        <f t="shared" si="5"/>
        <v>31</v>
      </c>
      <c r="C903" s="32">
        <v>122.58</v>
      </c>
      <c r="D903" s="32">
        <v>297.94099999999997</v>
      </c>
      <c r="E903" s="38">
        <v>729.47900000000004</v>
      </c>
      <c r="F903" s="32">
        <v>1150</v>
      </c>
      <c r="G903" s="32">
        <v>100</v>
      </c>
      <c r="H903" s="40">
        <v>600</v>
      </c>
      <c r="I903" s="32">
        <v>695</v>
      </c>
      <c r="J903" s="32">
        <v>50</v>
      </c>
      <c r="K903" s="33"/>
      <c r="L903" s="33"/>
      <c r="M903" s="33"/>
      <c r="N903" s="33"/>
      <c r="O903" s="33"/>
      <c r="P903" s="33"/>
      <c r="Q903" s="33"/>
      <c r="R903" s="33"/>
      <c r="S903" s="33"/>
      <c r="T903" s="33"/>
    </row>
    <row r="904" spans="1:20" ht="15.75">
      <c r="A904" s="13">
        <v>69429</v>
      </c>
      <c r="B904" s="41">
        <f t="shared" si="5"/>
        <v>31</v>
      </c>
      <c r="C904" s="32">
        <v>122.58</v>
      </c>
      <c r="D904" s="32">
        <v>297.94099999999997</v>
      </c>
      <c r="E904" s="38">
        <v>729.47900000000004</v>
      </c>
      <c r="F904" s="32">
        <v>1150</v>
      </c>
      <c r="G904" s="32">
        <v>100</v>
      </c>
      <c r="H904" s="40">
        <v>600</v>
      </c>
      <c r="I904" s="32">
        <v>695</v>
      </c>
      <c r="J904" s="32">
        <v>50</v>
      </c>
      <c r="K904" s="33"/>
      <c r="L904" s="33"/>
      <c r="M904" s="33"/>
      <c r="N904" s="33"/>
      <c r="O904" s="33"/>
      <c r="P904" s="33"/>
      <c r="Q904" s="33"/>
      <c r="R904" s="33"/>
      <c r="S904" s="33"/>
      <c r="T904" s="33"/>
    </row>
    <row r="905" spans="1:20" ht="15.75">
      <c r="A905" s="13">
        <v>69457</v>
      </c>
      <c r="B905" s="41">
        <f t="shared" si="5"/>
        <v>28</v>
      </c>
      <c r="C905" s="32">
        <v>122.58</v>
      </c>
      <c r="D905" s="32">
        <v>297.94099999999997</v>
      </c>
      <c r="E905" s="38">
        <v>729.47900000000004</v>
      </c>
      <c r="F905" s="32">
        <v>1150</v>
      </c>
      <c r="G905" s="32">
        <v>100</v>
      </c>
      <c r="H905" s="40">
        <v>600</v>
      </c>
      <c r="I905" s="32">
        <v>695</v>
      </c>
      <c r="J905" s="32">
        <v>50</v>
      </c>
      <c r="K905" s="33"/>
      <c r="L905" s="33"/>
      <c r="M905" s="33"/>
      <c r="N905" s="33"/>
      <c r="O905" s="33"/>
      <c r="P905" s="33"/>
      <c r="Q905" s="33"/>
      <c r="R905" s="33"/>
      <c r="S905" s="33"/>
      <c r="T905" s="33"/>
    </row>
    <row r="906" spans="1:20" ht="15.75">
      <c r="A906" s="13">
        <v>69488</v>
      </c>
      <c r="B906" s="41">
        <f t="shared" si="5"/>
        <v>31</v>
      </c>
      <c r="C906" s="32">
        <v>122.58</v>
      </c>
      <c r="D906" s="32">
        <v>297.94099999999997</v>
      </c>
      <c r="E906" s="38">
        <v>729.47900000000004</v>
      </c>
      <c r="F906" s="32">
        <v>1150</v>
      </c>
      <c r="G906" s="32">
        <v>100</v>
      </c>
      <c r="H906" s="40">
        <v>600</v>
      </c>
      <c r="I906" s="32">
        <v>695</v>
      </c>
      <c r="J906" s="32">
        <v>50</v>
      </c>
      <c r="K906" s="33"/>
      <c r="L906" s="33"/>
      <c r="M906" s="33"/>
      <c r="N906" s="33"/>
      <c r="O906" s="33"/>
      <c r="P906" s="33"/>
      <c r="Q906" s="33"/>
      <c r="R906" s="33"/>
      <c r="S906" s="33"/>
      <c r="T906" s="33"/>
    </row>
    <row r="907" spans="1:20" ht="15.75">
      <c r="A907" s="13">
        <v>69518</v>
      </c>
      <c r="B907" s="41">
        <f t="shared" si="5"/>
        <v>30</v>
      </c>
      <c r="C907" s="32">
        <v>141.29300000000001</v>
      </c>
      <c r="D907" s="32">
        <v>267.99299999999999</v>
      </c>
      <c r="E907" s="38">
        <v>829.71400000000006</v>
      </c>
      <c r="F907" s="32">
        <v>1239</v>
      </c>
      <c r="G907" s="32">
        <v>100</v>
      </c>
      <c r="H907" s="40">
        <v>600</v>
      </c>
      <c r="I907" s="32">
        <v>695</v>
      </c>
      <c r="J907" s="32">
        <v>50</v>
      </c>
      <c r="K907" s="33"/>
      <c r="L907" s="33"/>
      <c r="M907" s="33"/>
      <c r="N907" s="33"/>
      <c r="O907" s="33"/>
      <c r="P907" s="33"/>
      <c r="Q907" s="33"/>
      <c r="R907" s="33"/>
      <c r="S907" s="33"/>
      <c r="T907" s="33"/>
    </row>
    <row r="908" spans="1:20" ht="15.75">
      <c r="A908" s="13">
        <v>69549</v>
      </c>
      <c r="B908" s="41">
        <f t="shared" si="5"/>
        <v>31</v>
      </c>
      <c r="C908" s="32">
        <v>194.20500000000001</v>
      </c>
      <c r="D908" s="32">
        <v>267.46600000000001</v>
      </c>
      <c r="E908" s="38">
        <v>812.32899999999995</v>
      </c>
      <c r="F908" s="32">
        <v>1274</v>
      </c>
      <c r="G908" s="32">
        <v>75</v>
      </c>
      <c r="H908" s="40">
        <v>600</v>
      </c>
      <c r="I908" s="32">
        <v>695</v>
      </c>
      <c r="J908" s="32">
        <v>50</v>
      </c>
      <c r="K908" s="33"/>
      <c r="L908" s="33"/>
      <c r="M908" s="33"/>
      <c r="N908" s="33"/>
      <c r="O908" s="33"/>
      <c r="P908" s="33"/>
      <c r="Q908" s="33"/>
      <c r="R908" s="33"/>
      <c r="S908" s="33"/>
      <c r="T908" s="33"/>
    </row>
    <row r="909" spans="1:20" ht="15.75">
      <c r="A909" s="13">
        <v>69579</v>
      </c>
      <c r="B909" s="41">
        <f t="shared" si="5"/>
        <v>30</v>
      </c>
      <c r="C909" s="32">
        <v>194.20500000000001</v>
      </c>
      <c r="D909" s="32">
        <v>267.46600000000001</v>
      </c>
      <c r="E909" s="38">
        <v>812.32899999999995</v>
      </c>
      <c r="F909" s="32">
        <v>1274</v>
      </c>
      <c r="G909" s="32">
        <v>50</v>
      </c>
      <c r="H909" s="40">
        <v>600</v>
      </c>
      <c r="I909" s="32">
        <v>695</v>
      </c>
      <c r="J909" s="32">
        <v>50</v>
      </c>
      <c r="K909" s="33"/>
      <c r="L909" s="33"/>
      <c r="M909" s="33"/>
      <c r="N909" s="33"/>
      <c r="O909" s="33"/>
      <c r="P909" s="33"/>
      <c r="Q909" s="33"/>
      <c r="R909" s="33"/>
      <c r="S909" s="33"/>
      <c r="T909" s="33"/>
    </row>
    <row r="910" spans="1:20" ht="15.75">
      <c r="A910" s="13">
        <v>69610</v>
      </c>
      <c r="B910" s="41">
        <f t="shared" si="5"/>
        <v>31</v>
      </c>
      <c r="C910" s="32">
        <v>194.20500000000001</v>
      </c>
      <c r="D910" s="32">
        <v>267.46600000000001</v>
      </c>
      <c r="E910" s="38">
        <v>812.32899999999995</v>
      </c>
      <c r="F910" s="32">
        <v>1274</v>
      </c>
      <c r="G910" s="32">
        <v>50</v>
      </c>
      <c r="H910" s="40">
        <v>600</v>
      </c>
      <c r="I910" s="32">
        <v>695</v>
      </c>
      <c r="J910" s="32">
        <v>0</v>
      </c>
      <c r="K910" s="33"/>
      <c r="L910" s="33"/>
      <c r="M910" s="33"/>
      <c r="N910" s="33"/>
      <c r="O910" s="33"/>
      <c r="P910" s="33"/>
      <c r="Q910" s="33"/>
      <c r="R910" s="33"/>
      <c r="S910" s="33"/>
      <c r="T910" s="33"/>
    </row>
    <row r="911" spans="1:20" ht="15.75">
      <c r="A911" s="13">
        <v>69641</v>
      </c>
      <c r="B911" s="41">
        <f t="shared" si="5"/>
        <v>31</v>
      </c>
      <c r="C911" s="32">
        <v>194.20500000000001</v>
      </c>
      <c r="D911" s="32">
        <v>267.46600000000001</v>
      </c>
      <c r="E911" s="38">
        <v>812.32899999999995</v>
      </c>
      <c r="F911" s="32">
        <v>1274</v>
      </c>
      <c r="G911" s="32">
        <v>50</v>
      </c>
      <c r="H911" s="40">
        <v>600</v>
      </c>
      <c r="I911" s="32">
        <v>695</v>
      </c>
      <c r="J911" s="32">
        <v>0</v>
      </c>
      <c r="K911" s="33"/>
      <c r="L911" s="33"/>
      <c r="M911" s="33"/>
      <c r="N911" s="33"/>
      <c r="O911" s="33"/>
      <c r="P911" s="33"/>
      <c r="Q911" s="33"/>
      <c r="R911" s="33"/>
      <c r="S911" s="33"/>
      <c r="T911" s="33"/>
    </row>
    <row r="912" spans="1:20" ht="15.75">
      <c r="A912" s="13">
        <v>69671</v>
      </c>
      <c r="B912" s="41">
        <f t="shared" si="5"/>
        <v>30</v>
      </c>
      <c r="C912" s="32">
        <v>194.20500000000001</v>
      </c>
      <c r="D912" s="32">
        <v>267.46600000000001</v>
      </c>
      <c r="E912" s="38">
        <v>812.32899999999995</v>
      </c>
      <c r="F912" s="32">
        <v>1274</v>
      </c>
      <c r="G912" s="32">
        <v>50</v>
      </c>
      <c r="H912" s="40">
        <v>600</v>
      </c>
      <c r="I912" s="32">
        <v>695</v>
      </c>
      <c r="J912" s="32">
        <v>0</v>
      </c>
      <c r="K912" s="33"/>
      <c r="L912" s="33"/>
      <c r="M912" s="33"/>
      <c r="N912" s="33"/>
      <c r="O912" s="33"/>
      <c r="P912" s="33"/>
      <c r="Q912" s="33"/>
      <c r="R912" s="33"/>
      <c r="S912" s="33"/>
      <c r="T912" s="33"/>
    </row>
    <row r="913" spans="1:20" ht="15.75">
      <c r="A913" s="13">
        <v>69702</v>
      </c>
      <c r="B913" s="41">
        <f t="shared" si="5"/>
        <v>31</v>
      </c>
      <c r="C913" s="32">
        <v>131.881</v>
      </c>
      <c r="D913" s="32">
        <v>277.16699999999997</v>
      </c>
      <c r="E913" s="38">
        <v>829.952</v>
      </c>
      <c r="F913" s="32">
        <v>1239</v>
      </c>
      <c r="G913" s="32">
        <v>75</v>
      </c>
      <c r="H913" s="40">
        <v>600</v>
      </c>
      <c r="I913" s="32">
        <v>695</v>
      </c>
      <c r="J913" s="32">
        <v>0</v>
      </c>
      <c r="K913" s="33"/>
      <c r="L913" s="33"/>
      <c r="M913" s="33"/>
      <c r="N913" s="33"/>
      <c r="O913" s="33"/>
      <c r="P913" s="33"/>
      <c r="Q913" s="33"/>
      <c r="R913" s="33"/>
      <c r="S913" s="33"/>
      <c r="T913" s="33"/>
    </row>
    <row r="914" spans="1:20" ht="15.75">
      <c r="A914" s="13">
        <v>69732</v>
      </c>
      <c r="B914" s="41">
        <f t="shared" si="5"/>
        <v>30</v>
      </c>
      <c r="C914" s="32">
        <v>122.58</v>
      </c>
      <c r="D914" s="32">
        <v>297.94099999999997</v>
      </c>
      <c r="E914" s="38">
        <v>729.47900000000004</v>
      </c>
      <c r="F914" s="32">
        <v>1150</v>
      </c>
      <c r="G914" s="32">
        <v>100</v>
      </c>
      <c r="H914" s="40">
        <v>600</v>
      </c>
      <c r="I914" s="32">
        <v>695</v>
      </c>
      <c r="J914" s="32">
        <v>50</v>
      </c>
      <c r="K914" s="33"/>
      <c r="L914" s="33"/>
      <c r="M914" s="33"/>
      <c r="N914" s="33"/>
      <c r="O914" s="33"/>
      <c r="P914" s="33"/>
      <c r="Q914" s="33"/>
      <c r="R914" s="33"/>
      <c r="S914" s="33"/>
      <c r="T914" s="33"/>
    </row>
    <row r="915" spans="1:20" ht="15.75">
      <c r="A915" s="13">
        <v>69763</v>
      </c>
      <c r="B915" s="41">
        <f t="shared" si="5"/>
        <v>31</v>
      </c>
      <c r="C915" s="32">
        <v>122.58</v>
      </c>
      <c r="D915" s="32">
        <v>297.94099999999997</v>
      </c>
      <c r="E915" s="38">
        <v>729.47900000000004</v>
      </c>
      <c r="F915" s="32">
        <v>1150</v>
      </c>
      <c r="G915" s="32">
        <v>100</v>
      </c>
      <c r="H915" s="40">
        <v>600</v>
      </c>
      <c r="I915" s="32">
        <v>695</v>
      </c>
      <c r="J915" s="32">
        <v>50</v>
      </c>
      <c r="K915" s="33"/>
      <c r="L915" s="33"/>
      <c r="M915" s="33"/>
      <c r="N915" s="33"/>
      <c r="O915" s="33"/>
      <c r="P915" s="33"/>
      <c r="Q915" s="33"/>
      <c r="R915" s="33"/>
      <c r="S915" s="33"/>
      <c r="T915" s="33"/>
    </row>
    <row r="916" spans="1:20" ht="15.75">
      <c r="A916" s="13">
        <v>69794</v>
      </c>
      <c r="B916" s="41">
        <f t="shared" si="5"/>
        <v>31</v>
      </c>
      <c r="C916" s="32">
        <v>122.58</v>
      </c>
      <c r="D916" s="32">
        <v>297.94099999999997</v>
      </c>
      <c r="E916" s="38">
        <v>729.47900000000004</v>
      </c>
      <c r="F916" s="32">
        <v>1150</v>
      </c>
      <c r="G916" s="32">
        <v>100</v>
      </c>
      <c r="H916" s="40">
        <v>600</v>
      </c>
      <c r="I916" s="32">
        <v>695</v>
      </c>
      <c r="J916" s="32">
        <v>50</v>
      </c>
      <c r="K916" s="33"/>
      <c r="L916" s="33"/>
      <c r="M916" s="33"/>
      <c r="N916" s="33"/>
      <c r="O916" s="33"/>
      <c r="P916" s="33"/>
      <c r="Q916" s="33"/>
      <c r="R916" s="33"/>
      <c r="S916" s="33"/>
      <c r="T916" s="33"/>
    </row>
    <row r="917" spans="1:20" ht="15.75">
      <c r="A917" s="13">
        <v>69822</v>
      </c>
      <c r="B917" s="41">
        <f t="shared" si="5"/>
        <v>28</v>
      </c>
      <c r="C917" s="32">
        <v>122.58</v>
      </c>
      <c r="D917" s="32">
        <v>297.94099999999997</v>
      </c>
      <c r="E917" s="38">
        <v>729.47900000000004</v>
      </c>
      <c r="F917" s="32">
        <v>1150</v>
      </c>
      <c r="G917" s="32">
        <v>100</v>
      </c>
      <c r="H917" s="40">
        <v>600</v>
      </c>
      <c r="I917" s="32">
        <v>695</v>
      </c>
      <c r="J917" s="32">
        <v>50</v>
      </c>
      <c r="K917" s="33"/>
      <c r="L917" s="33"/>
      <c r="M917" s="33"/>
      <c r="N917" s="33"/>
      <c r="O917" s="33"/>
      <c r="P917" s="33"/>
      <c r="Q917" s="33"/>
      <c r="R917" s="33"/>
      <c r="S917" s="33"/>
      <c r="T917" s="33"/>
    </row>
    <row r="918" spans="1:20" ht="15.75">
      <c r="A918" s="13">
        <v>69853</v>
      </c>
      <c r="B918" s="41">
        <f t="shared" si="5"/>
        <v>31</v>
      </c>
      <c r="C918" s="32">
        <v>122.58</v>
      </c>
      <c r="D918" s="32">
        <v>297.94099999999997</v>
      </c>
      <c r="E918" s="38">
        <v>729.47900000000004</v>
      </c>
      <c r="F918" s="32">
        <v>1150</v>
      </c>
      <c r="G918" s="32">
        <v>100</v>
      </c>
      <c r="H918" s="40">
        <v>600</v>
      </c>
      <c r="I918" s="32">
        <v>695</v>
      </c>
      <c r="J918" s="32">
        <v>50</v>
      </c>
      <c r="K918" s="33"/>
      <c r="L918" s="33"/>
      <c r="M918" s="33"/>
      <c r="N918" s="33"/>
      <c r="O918" s="33"/>
      <c r="P918" s="33"/>
      <c r="Q918" s="33"/>
      <c r="R918" s="33"/>
      <c r="S918" s="33"/>
      <c r="T918" s="33"/>
    </row>
    <row r="919" spans="1:20" ht="15.75">
      <c r="A919" s="13">
        <v>69883</v>
      </c>
      <c r="B919" s="41">
        <f t="shared" si="5"/>
        <v>30</v>
      </c>
      <c r="C919" s="32">
        <v>141.29300000000001</v>
      </c>
      <c r="D919" s="32">
        <v>267.99299999999999</v>
      </c>
      <c r="E919" s="38">
        <v>829.71400000000006</v>
      </c>
      <c r="F919" s="32">
        <v>1239</v>
      </c>
      <c r="G919" s="32">
        <v>100</v>
      </c>
      <c r="H919" s="40">
        <v>600</v>
      </c>
      <c r="I919" s="32">
        <v>695</v>
      </c>
      <c r="J919" s="32">
        <v>50</v>
      </c>
      <c r="K919" s="33"/>
      <c r="L919" s="33"/>
      <c r="M919" s="33"/>
      <c r="N919" s="33"/>
      <c r="O919" s="33"/>
      <c r="P919" s="33"/>
      <c r="Q919" s="33"/>
      <c r="R919" s="33"/>
      <c r="S919" s="33"/>
      <c r="T919" s="33"/>
    </row>
    <row r="920" spans="1:20" ht="15.75">
      <c r="A920" s="13">
        <v>69914</v>
      </c>
      <c r="B920" s="41">
        <f t="shared" si="5"/>
        <v>31</v>
      </c>
      <c r="C920" s="32">
        <v>194.20500000000001</v>
      </c>
      <c r="D920" s="32">
        <v>267.46600000000001</v>
      </c>
      <c r="E920" s="38">
        <v>812.32899999999995</v>
      </c>
      <c r="F920" s="32">
        <v>1274</v>
      </c>
      <c r="G920" s="32">
        <v>75</v>
      </c>
      <c r="H920" s="40">
        <v>600</v>
      </c>
      <c r="I920" s="32">
        <v>695</v>
      </c>
      <c r="J920" s="32">
        <v>50</v>
      </c>
      <c r="K920" s="33"/>
      <c r="L920" s="33"/>
      <c r="M920" s="33"/>
      <c r="N920" s="33"/>
      <c r="O920" s="33"/>
      <c r="P920" s="33"/>
      <c r="Q920" s="33"/>
      <c r="R920" s="33"/>
      <c r="S920" s="33"/>
      <c r="T920" s="33"/>
    </row>
    <row r="921" spans="1:20" ht="15.75">
      <c r="A921" s="13">
        <v>69944</v>
      </c>
      <c r="B921" s="41">
        <f t="shared" si="5"/>
        <v>30</v>
      </c>
      <c r="C921" s="32">
        <v>194.20500000000001</v>
      </c>
      <c r="D921" s="32">
        <v>267.46600000000001</v>
      </c>
      <c r="E921" s="38">
        <v>812.32899999999995</v>
      </c>
      <c r="F921" s="32">
        <v>1274</v>
      </c>
      <c r="G921" s="32">
        <v>50</v>
      </c>
      <c r="H921" s="40">
        <v>600</v>
      </c>
      <c r="I921" s="32">
        <v>695</v>
      </c>
      <c r="J921" s="32">
        <v>50</v>
      </c>
      <c r="K921" s="33"/>
      <c r="L921" s="33"/>
      <c r="M921" s="33"/>
      <c r="N921" s="33"/>
      <c r="O921" s="33"/>
      <c r="P921" s="33"/>
      <c r="Q921" s="33"/>
      <c r="R921" s="33"/>
      <c r="S921" s="33"/>
      <c r="T921" s="33"/>
    </row>
    <row r="922" spans="1:20" ht="15.75">
      <c r="A922" s="13">
        <v>69975</v>
      </c>
      <c r="B922" s="41">
        <f t="shared" si="5"/>
        <v>31</v>
      </c>
      <c r="C922" s="32">
        <v>194.20500000000001</v>
      </c>
      <c r="D922" s="32">
        <v>267.46600000000001</v>
      </c>
      <c r="E922" s="38">
        <v>812.32899999999995</v>
      </c>
      <c r="F922" s="32">
        <v>1274</v>
      </c>
      <c r="G922" s="32">
        <v>50</v>
      </c>
      <c r="H922" s="40">
        <v>600</v>
      </c>
      <c r="I922" s="32">
        <v>695</v>
      </c>
      <c r="J922" s="32">
        <v>0</v>
      </c>
      <c r="K922" s="33"/>
      <c r="L922" s="33"/>
      <c r="M922" s="33"/>
      <c r="N922" s="33"/>
      <c r="O922" s="33"/>
      <c r="P922" s="33"/>
      <c r="Q922" s="33"/>
      <c r="R922" s="33"/>
      <c r="S922" s="33"/>
      <c r="T922" s="33"/>
    </row>
    <row r="923" spans="1:20" ht="15.75">
      <c r="A923" s="13">
        <v>70006</v>
      </c>
      <c r="B923" s="41">
        <f t="shared" si="5"/>
        <v>31</v>
      </c>
      <c r="C923" s="32">
        <v>194.20500000000001</v>
      </c>
      <c r="D923" s="32">
        <v>267.46600000000001</v>
      </c>
      <c r="E923" s="38">
        <v>812.32899999999995</v>
      </c>
      <c r="F923" s="32">
        <v>1274</v>
      </c>
      <c r="G923" s="32">
        <v>50</v>
      </c>
      <c r="H923" s="40">
        <v>600</v>
      </c>
      <c r="I923" s="32">
        <v>695</v>
      </c>
      <c r="J923" s="32">
        <v>0</v>
      </c>
      <c r="K923" s="33"/>
      <c r="L923" s="33"/>
      <c r="M923" s="33"/>
      <c r="N923" s="33"/>
      <c r="O923" s="33"/>
      <c r="P923" s="33"/>
      <c r="Q923" s="33"/>
      <c r="R923" s="33"/>
      <c r="S923" s="33"/>
      <c r="T923" s="33"/>
    </row>
    <row r="924" spans="1:20" ht="15.75">
      <c r="A924" s="13">
        <v>70036</v>
      </c>
      <c r="B924" s="41">
        <f t="shared" si="5"/>
        <v>30</v>
      </c>
      <c r="C924" s="32">
        <v>194.20500000000001</v>
      </c>
      <c r="D924" s="32">
        <v>267.46600000000001</v>
      </c>
      <c r="E924" s="38">
        <v>812.32899999999995</v>
      </c>
      <c r="F924" s="32">
        <v>1274</v>
      </c>
      <c r="G924" s="32">
        <v>50</v>
      </c>
      <c r="H924" s="40">
        <v>600</v>
      </c>
      <c r="I924" s="32">
        <v>695</v>
      </c>
      <c r="J924" s="32">
        <v>0</v>
      </c>
      <c r="K924" s="33"/>
      <c r="L924" s="33"/>
      <c r="M924" s="33"/>
      <c r="N924" s="33"/>
      <c r="O924" s="33"/>
      <c r="P924" s="33"/>
      <c r="Q924" s="33"/>
      <c r="R924" s="33"/>
      <c r="S924" s="33"/>
      <c r="T924" s="33"/>
    </row>
    <row r="925" spans="1:20" ht="15.75">
      <c r="A925" s="13">
        <v>70067</v>
      </c>
      <c r="B925" s="41">
        <f t="shared" si="5"/>
        <v>31</v>
      </c>
      <c r="C925" s="32">
        <v>131.881</v>
      </c>
      <c r="D925" s="32">
        <v>277.16699999999997</v>
      </c>
      <c r="E925" s="38">
        <v>829.952</v>
      </c>
      <c r="F925" s="32">
        <v>1239</v>
      </c>
      <c r="G925" s="32">
        <v>75</v>
      </c>
      <c r="H925" s="40">
        <v>600</v>
      </c>
      <c r="I925" s="32">
        <v>695</v>
      </c>
      <c r="J925" s="32">
        <v>0</v>
      </c>
      <c r="K925" s="33"/>
      <c r="L925" s="33"/>
      <c r="M925" s="33"/>
      <c r="N925" s="33"/>
      <c r="O925" s="33"/>
      <c r="P925" s="33"/>
      <c r="Q925" s="33"/>
      <c r="R925" s="33"/>
      <c r="S925" s="33"/>
      <c r="T925" s="33"/>
    </row>
    <row r="926" spans="1:20" ht="15.75">
      <c r="A926" s="13">
        <v>70097</v>
      </c>
      <c r="B926" s="41">
        <f t="shared" si="5"/>
        <v>30</v>
      </c>
      <c r="C926" s="32">
        <v>122.58</v>
      </c>
      <c r="D926" s="32">
        <v>297.94099999999997</v>
      </c>
      <c r="E926" s="38">
        <v>729.47900000000004</v>
      </c>
      <c r="F926" s="32">
        <v>1150</v>
      </c>
      <c r="G926" s="32">
        <v>100</v>
      </c>
      <c r="H926" s="40">
        <v>600</v>
      </c>
      <c r="I926" s="32">
        <v>695</v>
      </c>
      <c r="J926" s="32">
        <v>50</v>
      </c>
      <c r="K926" s="33"/>
      <c r="L926" s="33"/>
      <c r="M926" s="33"/>
      <c r="N926" s="33"/>
      <c r="O926" s="33"/>
      <c r="P926" s="33"/>
      <c r="Q926" s="33"/>
      <c r="R926" s="33"/>
      <c r="S926" s="33"/>
      <c r="T926" s="33"/>
    </row>
    <row r="927" spans="1:20" ht="15.75">
      <c r="A927" s="13">
        <v>70128</v>
      </c>
      <c r="B927" s="41">
        <f t="shared" si="5"/>
        <v>31</v>
      </c>
      <c r="C927" s="32">
        <v>122.58</v>
      </c>
      <c r="D927" s="32">
        <v>297.94099999999997</v>
      </c>
      <c r="E927" s="38">
        <v>729.47900000000004</v>
      </c>
      <c r="F927" s="32">
        <v>1150</v>
      </c>
      <c r="G927" s="32">
        <v>100</v>
      </c>
      <c r="H927" s="40">
        <v>600</v>
      </c>
      <c r="I927" s="32">
        <v>695</v>
      </c>
      <c r="J927" s="32">
        <v>50</v>
      </c>
      <c r="K927" s="33"/>
      <c r="L927" s="33"/>
      <c r="M927" s="33"/>
      <c r="N927" s="33"/>
      <c r="O927" s="33"/>
      <c r="P927" s="33"/>
      <c r="Q927" s="33"/>
      <c r="R927" s="33"/>
      <c r="S927" s="33"/>
      <c r="T927" s="33"/>
    </row>
    <row r="928" spans="1:20" ht="15.75">
      <c r="A928" s="13">
        <v>70159</v>
      </c>
      <c r="B928" s="41">
        <f t="shared" si="5"/>
        <v>31</v>
      </c>
      <c r="C928" s="32">
        <v>122.58</v>
      </c>
      <c r="D928" s="32">
        <v>297.94099999999997</v>
      </c>
      <c r="E928" s="38">
        <v>729.47900000000004</v>
      </c>
      <c r="F928" s="32">
        <v>1150</v>
      </c>
      <c r="G928" s="32">
        <v>100</v>
      </c>
      <c r="H928" s="40">
        <v>600</v>
      </c>
      <c r="I928" s="32">
        <v>695</v>
      </c>
      <c r="J928" s="32">
        <v>50</v>
      </c>
      <c r="K928" s="33"/>
      <c r="L928" s="33"/>
      <c r="M928" s="33"/>
      <c r="N928" s="33"/>
      <c r="O928" s="33"/>
      <c r="P928" s="33"/>
      <c r="Q928" s="33"/>
      <c r="R928" s="33"/>
      <c r="S928" s="33"/>
      <c r="T928" s="33"/>
    </row>
    <row r="929" spans="1:20" ht="15.75">
      <c r="A929" s="13">
        <v>70188</v>
      </c>
      <c r="B929" s="41">
        <f t="shared" si="5"/>
        <v>29</v>
      </c>
      <c r="C929" s="32">
        <v>122.58</v>
      </c>
      <c r="D929" s="32">
        <v>297.94099999999997</v>
      </c>
      <c r="E929" s="38">
        <v>729.47900000000004</v>
      </c>
      <c r="F929" s="32">
        <v>1150</v>
      </c>
      <c r="G929" s="32">
        <v>100</v>
      </c>
      <c r="H929" s="40">
        <v>600</v>
      </c>
      <c r="I929" s="32">
        <v>695</v>
      </c>
      <c r="J929" s="32">
        <v>50</v>
      </c>
      <c r="K929" s="33"/>
      <c r="L929" s="33"/>
      <c r="M929" s="33"/>
      <c r="N929" s="33"/>
      <c r="O929" s="33"/>
      <c r="P929" s="33"/>
      <c r="Q929" s="33"/>
      <c r="R929" s="33"/>
      <c r="S929" s="33"/>
      <c r="T929" s="33"/>
    </row>
    <row r="930" spans="1:20" ht="15.75">
      <c r="A930" s="13">
        <v>70219</v>
      </c>
      <c r="B930" s="41">
        <f t="shared" si="5"/>
        <v>31</v>
      </c>
      <c r="C930" s="32">
        <v>122.58</v>
      </c>
      <c r="D930" s="32">
        <v>297.94099999999997</v>
      </c>
      <c r="E930" s="38">
        <v>729.47900000000004</v>
      </c>
      <c r="F930" s="32">
        <v>1150</v>
      </c>
      <c r="G930" s="32">
        <v>100</v>
      </c>
      <c r="H930" s="40">
        <v>600</v>
      </c>
      <c r="I930" s="32">
        <v>695</v>
      </c>
      <c r="J930" s="32">
        <v>50</v>
      </c>
      <c r="K930" s="33"/>
      <c r="L930" s="33"/>
      <c r="M930" s="33"/>
      <c r="N930" s="33"/>
      <c r="O930" s="33"/>
      <c r="P930" s="33"/>
      <c r="Q930" s="33"/>
      <c r="R930" s="33"/>
      <c r="S930" s="33"/>
      <c r="T930" s="33"/>
    </row>
    <row r="931" spans="1:20" ht="15.75">
      <c r="A931" s="13">
        <v>70249</v>
      </c>
      <c r="B931" s="41">
        <f t="shared" si="5"/>
        <v>30</v>
      </c>
      <c r="C931" s="32">
        <v>141.29300000000001</v>
      </c>
      <c r="D931" s="32">
        <v>267.99299999999999</v>
      </c>
      <c r="E931" s="38">
        <v>829.71400000000006</v>
      </c>
      <c r="F931" s="32">
        <v>1239</v>
      </c>
      <c r="G931" s="32">
        <v>100</v>
      </c>
      <c r="H931" s="40">
        <v>600</v>
      </c>
      <c r="I931" s="32">
        <v>695</v>
      </c>
      <c r="J931" s="32">
        <v>50</v>
      </c>
      <c r="K931" s="33"/>
      <c r="L931" s="33"/>
      <c r="M931" s="33"/>
      <c r="N931" s="33"/>
      <c r="O931" s="33"/>
      <c r="P931" s="33"/>
      <c r="Q931" s="33"/>
      <c r="R931" s="33"/>
      <c r="S931" s="33"/>
      <c r="T931" s="33"/>
    </row>
    <row r="932" spans="1:20" ht="15.75">
      <c r="A932" s="13">
        <v>70280</v>
      </c>
      <c r="B932" s="41">
        <f t="shared" si="5"/>
        <v>31</v>
      </c>
      <c r="C932" s="32">
        <v>194.20500000000001</v>
      </c>
      <c r="D932" s="32">
        <v>267.46600000000001</v>
      </c>
      <c r="E932" s="38">
        <v>812.32899999999995</v>
      </c>
      <c r="F932" s="32">
        <v>1274</v>
      </c>
      <c r="G932" s="32">
        <v>75</v>
      </c>
      <c r="H932" s="40">
        <v>600</v>
      </c>
      <c r="I932" s="32">
        <v>695</v>
      </c>
      <c r="J932" s="32">
        <v>50</v>
      </c>
      <c r="K932" s="33"/>
      <c r="L932" s="33"/>
      <c r="M932" s="33"/>
      <c r="N932" s="33"/>
      <c r="O932" s="33"/>
      <c r="P932" s="33"/>
      <c r="Q932" s="33"/>
      <c r="R932" s="33"/>
      <c r="S932" s="33"/>
      <c r="T932" s="33"/>
    </row>
    <row r="933" spans="1:20" ht="15.75">
      <c r="A933" s="13">
        <v>70310</v>
      </c>
      <c r="B933" s="41">
        <f t="shared" si="5"/>
        <v>30</v>
      </c>
      <c r="C933" s="32">
        <v>194.20500000000001</v>
      </c>
      <c r="D933" s="32">
        <v>267.46600000000001</v>
      </c>
      <c r="E933" s="38">
        <v>812.32899999999995</v>
      </c>
      <c r="F933" s="32">
        <v>1274</v>
      </c>
      <c r="G933" s="32">
        <v>50</v>
      </c>
      <c r="H933" s="40">
        <v>600</v>
      </c>
      <c r="I933" s="32">
        <v>695</v>
      </c>
      <c r="J933" s="32">
        <v>50</v>
      </c>
      <c r="K933" s="33"/>
      <c r="L933" s="33"/>
      <c r="M933" s="33"/>
      <c r="N933" s="33"/>
      <c r="O933" s="33"/>
      <c r="P933" s="33"/>
      <c r="Q933" s="33"/>
      <c r="R933" s="33"/>
      <c r="S933" s="33"/>
      <c r="T933" s="33"/>
    </row>
    <row r="934" spans="1:20" ht="15.75">
      <c r="A934" s="13">
        <v>70341</v>
      </c>
      <c r="B934" s="41">
        <f t="shared" si="5"/>
        <v>31</v>
      </c>
      <c r="C934" s="32">
        <v>194.20500000000001</v>
      </c>
      <c r="D934" s="32">
        <v>267.46600000000001</v>
      </c>
      <c r="E934" s="38">
        <v>812.32899999999995</v>
      </c>
      <c r="F934" s="32">
        <v>1274</v>
      </c>
      <c r="G934" s="32">
        <v>50</v>
      </c>
      <c r="H934" s="40">
        <v>600</v>
      </c>
      <c r="I934" s="32">
        <v>695</v>
      </c>
      <c r="J934" s="32">
        <v>0</v>
      </c>
      <c r="K934" s="33"/>
      <c r="L934" s="33"/>
      <c r="M934" s="33"/>
      <c r="N934" s="33"/>
      <c r="O934" s="33"/>
      <c r="P934" s="33"/>
      <c r="Q934" s="33"/>
      <c r="R934" s="33"/>
      <c r="S934" s="33"/>
      <c r="T934" s="33"/>
    </row>
    <row r="935" spans="1:20" ht="15.75">
      <c r="A935" s="13">
        <v>70372</v>
      </c>
      <c r="B935" s="41">
        <f t="shared" si="5"/>
        <v>31</v>
      </c>
      <c r="C935" s="32">
        <v>194.20500000000001</v>
      </c>
      <c r="D935" s="32">
        <v>267.46600000000001</v>
      </c>
      <c r="E935" s="38">
        <v>812.32899999999995</v>
      </c>
      <c r="F935" s="32">
        <v>1274</v>
      </c>
      <c r="G935" s="32">
        <v>50</v>
      </c>
      <c r="H935" s="40">
        <v>600</v>
      </c>
      <c r="I935" s="32">
        <v>695</v>
      </c>
      <c r="J935" s="32">
        <v>0</v>
      </c>
      <c r="K935" s="33"/>
      <c r="L935" s="33"/>
      <c r="M935" s="33"/>
      <c r="N935" s="33"/>
      <c r="O935" s="33"/>
      <c r="P935" s="33"/>
      <c r="Q935" s="33"/>
      <c r="R935" s="33"/>
      <c r="S935" s="33"/>
      <c r="T935" s="33"/>
    </row>
    <row r="936" spans="1:20" ht="15.75">
      <c r="A936" s="13">
        <v>70402</v>
      </c>
      <c r="B936" s="41">
        <f t="shared" si="5"/>
        <v>30</v>
      </c>
      <c r="C936" s="32">
        <v>194.20500000000001</v>
      </c>
      <c r="D936" s="32">
        <v>267.46600000000001</v>
      </c>
      <c r="E936" s="38">
        <v>812.32899999999995</v>
      </c>
      <c r="F936" s="32">
        <v>1274</v>
      </c>
      <c r="G936" s="32">
        <v>50</v>
      </c>
      <c r="H936" s="40">
        <v>600</v>
      </c>
      <c r="I936" s="32">
        <v>695</v>
      </c>
      <c r="J936" s="32">
        <v>0</v>
      </c>
      <c r="K936" s="33"/>
      <c r="L936" s="33"/>
      <c r="M936" s="33"/>
      <c r="N936" s="33"/>
      <c r="O936" s="33"/>
      <c r="P936" s="33"/>
      <c r="Q936" s="33"/>
      <c r="R936" s="33"/>
      <c r="S936" s="33"/>
      <c r="T936" s="33"/>
    </row>
    <row r="937" spans="1:20" ht="15.75">
      <c r="A937" s="13">
        <v>70433</v>
      </c>
      <c r="B937" s="41">
        <f t="shared" si="5"/>
        <v>31</v>
      </c>
      <c r="C937" s="32">
        <v>131.881</v>
      </c>
      <c r="D937" s="32">
        <v>277.16699999999997</v>
      </c>
      <c r="E937" s="38">
        <v>829.952</v>
      </c>
      <c r="F937" s="32">
        <v>1239</v>
      </c>
      <c r="G937" s="32">
        <v>75</v>
      </c>
      <c r="H937" s="40">
        <v>600</v>
      </c>
      <c r="I937" s="32">
        <v>695</v>
      </c>
      <c r="J937" s="32">
        <v>0</v>
      </c>
      <c r="K937" s="33"/>
      <c r="L937" s="33"/>
      <c r="M937" s="33"/>
      <c r="N937" s="33"/>
      <c r="O937" s="33"/>
      <c r="P937" s="33"/>
      <c r="Q937" s="33"/>
      <c r="R937" s="33"/>
      <c r="S937" s="33"/>
      <c r="T937" s="33"/>
    </row>
    <row r="938" spans="1:20" ht="15.75">
      <c r="A938" s="13">
        <v>70463</v>
      </c>
      <c r="B938" s="41">
        <f t="shared" si="5"/>
        <v>30</v>
      </c>
      <c r="C938" s="32">
        <v>122.58</v>
      </c>
      <c r="D938" s="32">
        <v>297.94099999999997</v>
      </c>
      <c r="E938" s="38">
        <v>729.47900000000004</v>
      </c>
      <c r="F938" s="32">
        <v>1150</v>
      </c>
      <c r="G938" s="32">
        <v>100</v>
      </c>
      <c r="H938" s="40">
        <v>600</v>
      </c>
      <c r="I938" s="32">
        <v>695</v>
      </c>
      <c r="J938" s="32">
        <v>50</v>
      </c>
      <c r="K938" s="33"/>
      <c r="L938" s="33"/>
      <c r="M938" s="33"/>
      <c r="N938" s="33"/>
      <c r="O938" s="33"/>
      <c r="P938" s="33"/>
      <c r="Q938" s="33"/>
      <c r="R938" s="33"/>
      <c r="S938" s="33"/>
      <c r="T938" s="33"/>
    </row>
    <row r="939" spans="1:20" ht="15.75">
      <c r="A939" s="13">
        <v>70494</v>
      </c>
      <c r="B939" s="41">
        <f t="shared" si="5"/>
        <v>31</v>
      </c>
      <c r="C939" s="32">
        <v>122.58</v>
      </c>
      <c r="D939" s="32">
        <v>297.94099999999997</v>
      </c>
      <c r="E939" s="38">
        <v>729.47900000000004</v>
      </c>
      <c r="F939" s="32">
        <v>1150</v>
      </c>
      <c r="G939" s="32">
        <v>100</v>
      </c>
      <c r="H939" s="40">
        <v>600</v>
      </c>
      <c r="I939" s="32">
        <v>695</v>
      </c>
      <c r="J939" s="32">
        <v>50</v>
      </c>
      <c r="K939" s="33"/>
      <c r="L939" s="33"/>
      <c r="M939" s="33"/>
      <c r="N939" s="33"/>
      <c r="O939" s="33"/>
      <c r="P939" s="33"/>
      <c r="Q939" s="33"/>
      <c r="R939" s="33"/>
      <c r="S939" s="33"/>
      <c r="T939" s="33"/>
    </row>
    <row r="940" spans="1:20" ht="15.75">
      <c r="A940" s="13">
        <v>70525</v>
      </c>
      <c r="B940" s="41">
        <f t="shared" si="5"/>
        <v>31</v>
      </c>
      <c r="C940" s="32">
        <v>122.58</v>
      </c>
      <c r="D940" s="32">
        <v>297.94099999999997</v>
      </c>
      <c r="E940" s="38">
        <v>729.47900000000004</v>
      </c>
      <c r="F940" s="32">
        <v>1150</v>
      </c>
      <c r="G940" s="32">
        <v>100</v>
      </c>
      <c r="H940" s="40">
        <v>600</v>
      </c>
      <c r="I940" s="32">
        <v>695</v>
      </c>
      <c r="J940" s="32">
        <v>50</v>
      </c>
      <c r="K940" s="33"/>
      <c r="L940" s="33"/>
      <c r="M940" s="33"/>
      <c r="N940" s="33"/>
      <c r="O940" s="33"/>
      <c r="P940" s="33"/>
      <c r="Q940" s="33"/>
      <c r="R940" s="33"/>
      <c r="S940" s="33"/>
      <c r="T940" s="33"/>
    </row>
    <row r="941" spans="1:20" ht="15.75">
      <c r="A941" s="13">
        <v>70553</v>
      </c>
      <c r="B941" s="41">
        <f t="shared" si="5"/>
        <v>28</v>
      </c>
      <c r="C941" s="32">
        <v>122.58</v>
      </c>
      <c r="D941" s="32">
        <v>297.94099999999997</v>
      </c>
      <c r="E941" s="38">
        <v>729.47900000000004</v>
      </c>
      <c r="F941" s="32">
        <v>1150</v>
      </c>
      <c r="G941" s="32">
        <v>100</v>
      </c>
      <c r="H941" s="40">
        <v>600</v>
      </c>
      <c r="I941" s="32">
        <v>695</v>
      </c>
      <c r="J941" s="32">
        <v>50</v>
      </c>
      <c r="K941" s="33"/>
      <c r="L941" s="33"/>
      <c r="M941" s="33"/>
      <c r="N941" s="33"/>
      <c r="O941" s="33"/>
      <c r="P941" s="33"/>
      <c r="Q941" s="33"/>
      <c r="R941" s="33"/>
      <c r="S941" s="33"/>
      <c r="T941" s="33"/>
    </row>
    <row r="942" spans="1:20" ht="15.75">
      <c r="A942" s="13">
        <v>70584</v>
      </c>
      <c r="B942" s="41">
        <f t="shared" si="5"/>
        <v>31</v>
      </c>
      <c r="C942" s="32">
        <v>122.58</v>
      </c>
      <c r="D942" s="32">
        <v>297.94099999999997</v>
      </c>
      <c r="E942" s="38">
        <v>729.47900000000004</v>
      </c>
      <c r="F942" s="32">
        <v>1150</v>
      </c>
      <c r="G942" s="32">
        <v>100</v>
      </c>
      <c r="H942" s="40">
        <v>600</v>
      </c>
      <c r="I942" s="32">
        <v>695</v>
      </c>
      <c r="J942" s="32">
        <v>50</v>
      </c>
      <c r="K942" s="33"/>
      <c r="L942" s="33"/>
      <c r="M942" s="33"/>
      <c r="N942" s="33"/>
      <c r="O942" s="33"/>
      <c r="P942" s="33"/>
      <c r="Q942" s="33"/>
      <c r="R942" s="33"/>
      <c r="S942" s="33"/>
      <c r="T942" s="33"/>
    </row>
    <row r="943" spans="1:20" ht="15.75">
      <c r="A943" s="13">
        <v>70614</v>
      </c>
      <c r="B943" s="41">
        <f t="shared" si="5"/>
        <v>30</v>
      </c>
      <c r="C943" s="32">
        <v>141.29300000000001</v>
      </c>
      <c r="D943" s="32">
        <v>267.99299999999999</v>
      </c>
      <c r="E943" s="38">
        <v>829.71400000000006</v>
      </c>
      <c r="F943" s="32">
        <v>1239</v>
      </c>
      <c r="G943" s="32">
        <v>100</v>
      </c>
      <c r="H943" s="40">
        <v>600</v>
      </c>
      <c r="I943" s="32">
        <v>695</v>
      </c>
      <c r="J943" s="32">
        <v>50</v>
      </c>
      <c r="K943" s="33"/>
      <c r="L943" s="33"/>
      <c r="M943" s="33"/>
      <c r="N943" s="33"/>
      <c r="O943" s="33"/>
      <c r="P943" s="33"/>
      <c r="Q943" s="33"/>
      <c r="R943" s="33"/>
      <c r="S943" s="33"/>
      <c r="T943" s="33"/>
    </row>
    <row r="944" spans="1:20" ht="15.75">
      <c r="A944" s="13">
        <v>70645</v>
      </c>
      <c r="B944" s="41">
        <f t="shared" si="5"/>
        <v>31</v>
      </c>
      <c r="C944" s="32">
        <v>194.20500000000001</v>
      </c>
      <c r="D944" s="32">
        <v>267.46600000000001</v>
      </c>
      <c r="E944" s="38">
        <v>812.32899999999995</v>
      </c>
      <c r="F944" s="32">
        <v>1274</v>
      </c>
      <c r="G944" s="32">
        <v>75</v>
      </c>
      <c r="H944" s="40">
        <v>600</v>
      </c>
      <c r="I944" s="32">
        <v>695</v>
      </c>
      <c r="J944" s="32">
        <v>50</v>
      </c>
      <c r="K944" s="33"/>
      <c r="L944" s="33"/>
      <c r="M944" s="33"/>
      <c r="N944" s="33"/>
      <c r="O944" s="33"/>
      <c r="P944" s="33"/>
      <c r="Q944" s="33"/>
      <c r="R944" s="33"/>
      <c r="S944" s="33"/>
      <c r="T944" s="33"/>
    </row>
    <row r="945" spans="1:20" ht="15.75">
      <c r="A945" s="13">
        <v>70675</v>
      </c>
      <c r="B945" s="41">
        <f t="shared" si="5"/>
        <v>30</v>
      </c>
      <c r="C945" s="32">
        <v>194.20500000000001</v>
      </c>
      <c r="D945" s="32">
        <v>267.46600000000001</v>
      </c>
      <c r="E945" s="38">
        <v>812.32899999999995</v>
      </c>
      <c r="F945" s="32">
        <v>1274</v>
      </c>
      <c r="G945" s="32">
        <v>50</v>
      </c>
      <c r="H945" s="40">
        <v>600</v>
      </c>
      <c r="I945" s="32">
        <v>695</v>
      </c>
      <c r="J945" s="32">
        <v>50</v>
      </c>
      <c r="K945" s="33"/>
      <c r="L945" s="33"/>
      <c r="M945" s="33"/>
      <c r="N945" s="33"/>
      <c r="O945" s="33"/>
      <c r="P945" s="33"/>
      <c r="Q945" s="33"/>
      <c r="R945" s="33"/>
      <c r="S945" s="33"/>
      <c r="T945" s="33"/>
    </row>
    <row r="946" spans="1:20" ht="15.75">
      <c r="A946" s="13">
        <v>70706</v>
      </c>
      <c r="B946" s="41">
        <f t="shared" si="5"/>
        <v>31</v>
      </c>
      <c r="C946" s="32">
        <v>194.20500000000001</v>
      </c>
      <c r="D946" s="32">
        <v>267.46600000000001</v>
      </c>
      <c r="E946" s="38">
        <v>812.32899999999995</v>
      </c>
      <c r="F946" s="32">
        <v>1274</v>
      </c>
      <c r="G946" s="32">
        <v>50</v>
      </c>
      <c r="H946" s="40">
        <v>600</v>
      </c>
      <c r="I946" s="32">
        <v>695</v>
      </c>
      <c r="J946" s="32">
        <v>0</v>
      </c>
      <c r="K946" s="33"/>
      <c r="L946" s="33"/>
      <c r="M946" s="33"/>
      <c r="N946" s="33"/>
      <c r="O946" s="33"/>
      <c r="P946" s="33"/>
      <c r="Q946" s="33"/>
      <c r="R946" s="33"/>
      <c r="S946" s="33"/>
      <c r="T946" s="33"/>
    </row>
    <row r="947" spans="1:20" ht="15.75">
      <c r="A947" s="13">
        <v>70737</v>
      </c>
      <c r="B947" s="41">
        <f t="shared" si="5"/>
        <v>31</v>
      </c>
      <c r="C947" s="32">
        <v>194.20500000000001</v>
      </c>
      <c r="D947" s="32">
        <v>267.46600000000001</v>
      </c>
      <c r="E947" s="38">
        <v>812.32899999999995</v>
      </c>
      <c r="F947" s="32">
        <v>1274</v>
      </c>
      <c r="G947" s="32">
        <v>50</v>
      </c>
      <c r="H947" s="40">
        <v>600</v>
      </c>
      <c r="I947" s="32">
        <v>695</v>
      </c>
      <c r="J947" s="32">
        <v>0</v>
      </c>
      <c r="K947" s="33"/>
      <c r="L947" s="33"/>
      <c r="M947" s="33"/>
      <c r="N947" s="33"/>
      <c r="O947" s="33"/>
      <c r="P947" s="33"/>
      <c r="Q947" s="33"/>
      <c r="R947" s="33"/>
      <c r="S947" s="33"/>
      <c r="T947" s="33"/>
    </row>
    <row r="948" spans="1:20" ht="15.75">
      <c r="A948" s="13">
        <v>70767</v>
      </c>
      <c r="B948" s="41">
        <f t="shared" si="5"/>
        <v>30</v>
      </c>
      <c r="C948" s="32">
        <v>194.20500000000001</v>
      </c>
      <c r="D948" s="32">
        <v>267.46600000000001</v>
      </c>
      <c r="E948" s="38">
        <v>812.32899999999995</v>
      </c>
      <c r="F948" s="32">
        <v>1274</v>
      </c>
      <c r="G948" s="32">
        <v>50</v>
      </c>
      <c r="H948" s="40">
        <v>600</v>
      </c>
      <c r="I948" s="32">
        <v>695</v>
      </c>
      <c r="J948" s="32">
        <v>0</v>
      </c>
      <c r="K948" s="33"/>
      <c r="L948" s="33"/>
      <c r="M948" s="33"/>
      <c r="N948" s="33"/>
      <c r="O948" s="33"/>
      <c r="P948" s="33"/>
      <c r="Q948" s="33"/>
      <c r="R948" s="33"/>
      <c r="S948" s="33"/>
      <c r="T948" s="33"/>
    </row>
    <row r="949" spans="1:20" ht="15.75">
      <c r="A949" s="13">
        <v>70798</v>
      </c>
      <c r="B949" s="41">
        <f t="shared" si="5"/>
        <v>31</v>
      </c>
      <c r="C949" s="32">
        <v>131.881</v>
      </c>
      <c r="D949" s="32">
        <v>277.16699999999997</v>
      </c>
      <c r="E949" s="38">
        <v>829.952</v>
      </c>
      <c r="F949" s="32">
        <v>1239</v>
      </c>
      <c r="G949" s="32">
        <v>75</v>
      </c>
      <c r="H949" s="40">
        <v>600</v>
      </c>
      <c r="I949" s="32">
        <v>695</v>
      </c>
      <c r="J949" s="32">
        <v>0</v>
      </c>
      <c r="K949" s="33"/>
      <c r="L949" s="33"/>
      <c r="M949" s="33"/>
      <c r="N949" s="33"/>
      <c r="O949" s="33"/>
      <c r="P949" s="33"/>
      <c r="Q949" s="33"/>
      <c r="R949" s="33"/>
      <c r="S949" s="33"/>
      <c r="T949" s="33"/>
    </row>
    <row r="950" spans="1:20" ht="15.75">
      <c r="A950" s="13">
        <v>70828</v>
      </c>
      <c r="B950" s="41">
        <f t="shared" si="5"/>
        <v>30</v>
      </c>
      <c r="C950" s="32">
        <v>122.58</v>
      </c>
      <c r="D950" s="32">
        <v>297.94099999999997</v>
      </c>
      <c r="E950" s="38">
        <v>729.47900000000004</v>
      </c>
      <c r="F950" s="32">
        <v>1150</v>
      </c>
      <c r="G950" s="32">
        <v>100</v>
      </c>
      <c r="H950" s="40">
        <v>600</v>
      </c>
      <c r="I950" s="32">
        <v>695</v>
      </c>
      <c r="J950" s="32">
        <v>50</v>
      </c>
      <c r="K950" s="33"/>
      <c r="L950" s="33"/>
      <c r="M950" s="33"/>
      <c r="N950" s="33"/>
      <c r="O950" s="33"/>
      <c r="P950" s="33"/>
      <c r="Q950" s="33"/>
      <c r="R950" s="33"/>
      <c r="S950" s="33"/>
      <c r="T950" s="33"/>
    </row>
    <row r="951" spans="1:20" ht="15.75">
      <c r="A951" s="13">
        <v>70859</v>
      </c>
      <c r="B951" s="41">
        <f t="shared" si="5"/>
        <v>31</v>
      </c>
      <c r="C951" s="32">
        <v>122.58</v>
      </c>
      <c r="D951" s="32">
        <v>297.94099999999997</v>
      </c>
      <c r="E951" s="38">
        <v>729.47900000000004</v>
      </c>
      <c r="F951" s="32">
        <v>1150</v>
      </c>
      <c r="G951" s="32">
        <v>100</v>
      </c>
      <c r="H951" s="40">
        <v>600</v>
      </c>
      <c r="I951" s="32">
        <v>695</v>
      </c>
      <c r="J951" s="32">
        <v>50</v>
      </c>
      <c r="K951" s="33"/>
      <c r="L951" s="33"/>
      <c r="M951" s="33"/>
      <c r="N951" s="33"/>
      <c r="O951" s="33"/>
      <c r="P951" s="33"/>
      <c r="Q951" s="33"/>
      <c r="R951" s="33"/>
      <c r="S951" s="33"/>
      <c r="T951" s="33"/>
    </row>
    <row r="952" spans="1:20" ht="15.75">
      <c r="A952" s="13">
        <v>70890</v>
      </c>
      <c r="B952" s="41">
        <f t="shared" ref="B952:B1015" si="6">EOMONTH(A952,0)-EOMONTH(A952,-1)</f>
        <v>31</v>
      </c>
      <c r="C952" s="32">
        <v>122.58</v>
      </c>
      <c r="D952" s="32">
        <v>297.94099999999997</v>
      </c>
      <c r="E952" s="38">
        <v>729.47900000000004</v>
      </c>
      <c r="F952" s="32">
        <v>1150</v>
      </c>
      <c r="G952" s="32">
        <v>100</v>
      </c>
      <c r="H952" s="40">
        <v>600</v>
      </c>
      <c r="I952" s="32">
        <v>695</v>
      </c>
      <c r="J952" s="32">
        <v>50</v>
      </c>
      <c r="K952" s="33"/>
      <c r="L952" s="33"/>
      <c r="M952" s="33"/>
      <c r="N952" s="33"/>
      <c r="O952" s="33"/>
      <c r="P952" s="33"/>
      <c r="Q952" s="33"/>
      <c r="R952" s="33"/>
      <c r="S952" s="33"/>
      <c r="T952" s="33"/>
    </row>
    <row r="953" spans="1:20" ht="15.75">
      <c r="A953" s="13">
        <v>70918</v>
      </c>
      <c r="B953" s="41">
        <f t="shared" si="6"/>
        <v>28</v>
      </c>
      <c r="C953" s="32">
        <v>122.58</v>
      </c>
      <c r="D953" s="32">
        <v>297.94099999999997</v>
      </c>
      <c r="E953" s="38">
        <v>729.47900000000004</v>
      </c>
      <c r="F953" s="32">
        <v>1150</v>
      </c>
      <c r="G953" s="32">
        <v>100</v>
      </c>
      <c r="H953" s="40">
        <v>600</v>
      </c>
      <c r="I953" s="32">
        <v>695</v>
      </c>
      <c r="J953" s="32">
        <v>50</v>
      </c>
      <c r="K953" s="33"/>
      <c r="L953" s="33"/>
      <c r="M953" s="33"/>
      <c r="N953" s="33"/>
      <c r="O953" s="33"/>
      <c r="P953" s="33"/>
      <c r="Q953" s="33"/>
      <c r="R953" s="33"/>
      <c r="S953" s="33"/>
      <c r="T953" s="33"/>
    </row>
    <row r="954" spans="1:20" ht="15.75">
      <c r="A954" s="13">
        <v>70949</v>
      </c>
      <c r="B954" s="41">
        <f t="shared" si="6"/>
        <v>31</v>
      </c>
      <c r="C954" s="32">
        <v>122.58</v>
      </c>
      <c r="D954" s="32">
        <v>297.94099999999997</v>
      </c>
      <c r="E954" s="38">
        <v>729.47900000000004</v>
      </c>
      <c r="F954" s="32">
        <v>1150</v>
      </c>
      <c r="G954" s="32">
        <v>100</v>
      </c>
      <c r="H954" s="40">
        <v>600</v>
      </c>
      <c r="I954" s="32">
        <v>695</v>
      </c>
      <c r="J954" s="32">
        <v>50</v>
      </c>
      <c r="K954" s="33"/>
      <c r="L954" s="33"/>
      <c r="M954" s="33"/>
      <c r="N954" s="33"/>
      <c r="O954" s="33"/>
      <c r="P954" s="33"/>
      <c r="Q954" s="33"/>
      <c r="R954" s="33"/>
      <c r="S954" s="33"/>
      <c r="T954" s="33"/>
    </row>
    <row r="955" spans="1:20" ht="15.75">
      <c r="A955" s="13">
        <v>70979</v>
      </c>
      <c r="B955" s="41">
        <f t="shared" si="6"/>
        <v>30</v>
      </c>
      <c r="C955" s="32">
        <v>141.29300000000001</v>
      </c>
      <c r="D955" s="32">
        <v>267.99299999999999</v>
      </c>
      <c r="E955" s="38">
        <v>829.71400000000006</v>
      </c>
      <c r="F955" s="32">
        <v>1239</v>
      </c>
      <c r="G955" s="32">
        <v>100</v>
      </c>
      <c r="H955" s="40">
        <v>600</v>
      </c>
      <c r="I955" s="32">
        <v>695</v>
      </c>
      <c r="J955" s="32">
        <v>50</v>
      </c>
      <c r="K955" s="33"/>
      <c r="L955" s="33"/>
      <c r="M955" s="33"/>
      <c r="N955" s="33"/>
      <c r="O955" s="33"/>
      <c r="P955" s="33"/>
      <c r="Q955" s="33"/>
      <c r="R955" s="33"/>
      <c r="S955" s="33"/>
      <c r="T955" s="33"/>
    </row>
    <row r="956" spans="1:20" ht="15.75">
      <c r="A956" s="13">
        <v>71010</v>
      </c>
      <c r="B956" s="41">
        <f t="shared" si="6"/>
        <v>31</v>
      </c>
      <c r="C956" s="32">
        <v>194.20500000000001</v>
      </c>
      <c r="D956" s="32">
        <v>267.46600000000001</v>
      </c>
      <c r="E956" s="38">
        <v>812.32899999999995</v>
      </c>
      <c r="F956" s="32">
        <v>1274</v>
      </c>
      <c r="G956" s="32">
        <v>75</v>
      </c>
      <c r="H956" s="40">
        <v>600</v>
      </c>
      <c r="I956" s="32">
        <v>695</v>
      </c>
      <c r="J956" s="32">
        <v>50</v>
      </c>
      <c r="K956" s="33"/>
      <c r="L956" s="33"/>
      <c r="M956" s="33"/>
      <c r="N956" s="33"/>
      <c r="O956" s="33"/>
      <c r="P956" s="33"/>
      <c r="Q956" s="33"/>
      <c r="R956" s="33"/>
      <c r="S956" s="33"/>
      <c r="T956" s="33"/>
    </row>
    <row r="957" spans="1:20" ht="15.75">
      <c r="A957" s="13">
        <v>71040</v>
      </c>
      <c r="B957" s="41">
        <f t="shared" si="6"/>
        <v>30</v>
      </c>
      <c r="C957" s="32">
        <v>194.20500000000001</v>
      </c>
      <c r="D957" s="32">
        <v>267.46600000000001</v>
      </c>
      <c r="E957" s="38">
        <v>812.32899999999995</v>
      </c>
      <c r="F957" s="32">
        <v>1274</v>
      </c>
      <c r="G957" s="32">
        <v>50</v>
      </c>
      <c r="H957" s="40">
        <v>600</v>
      </c>
      <c r="I957" s="32">
        <v>695</v>
      </c>
      <c r="J957" s="32">
        <v>50</v>
      </c>
      <c r="K957" s="33"/>
      <c r="L957" s="33"/>
      <c r="M957" s="33"/>
      <c r="N957" s="33"/>
      <c r="O957" s="33"/>
      <c r="P957" s="33"/>
      <c r="Q957" s="33"/>
      <c r="R957" s="33"/>
      <c r="S957" s="33"/>
      <c r="T957" s="33"/>
    </row>
    <row r="958" spans="1:20" ht="15.75">
      <c r="A958" s="13">
        <v>71071</v>
      </c>
      <c r="B958" s="41">
        <f t="shared" si="6"/>
        <v>31</v>
      </c>
      <c r="C958" s="32">
        <v>194.20500000000001</v>
      </c>
      <c r="D958" s="32">
        <v>267.46600000000001</v>
      </c>
      <c r="E958" s="38">
        <v>812.32899999999995</v>
      </c>
      <c r="F958" s="32">
        <v>1274</v>
      </c>
      <c r="G958" s="32">
        <v>50</v>
      </c>
      <c r="H958" s="40">
        <v>600</v>
      </c>
      <c r="I958" s="32">
        <v>695</v>
      </c>
      <c r="J958" s="32">
        <v>0</v>
      </c>
      <c r="K958" s="33"/>
      <c r="L958" s="33"/>
      <c r="M958" s="33"/>
      <c r="N958" s="33"/>
      <c r="O958" s="33"/>
      <c r="P958" s="33"/>
      <c r="Q958" s="33"/>
      <c r="R958" s="33"/>
      <c r="S958" s="33"/>
      <c r="T958" s="33"/>
    </row>
    <row r="959" spans="1:20" ht="15.75">
      <c r="A959" s="13">
        <v>71102</v>
      </c>
      <c r="B959" s="41">
        <f t="shared" si="6"/>
        <v>31</v>
      </c>
      <c r="C959" s="32">
        <v>194.20500000000001</v>
      </c>
      <c r="D959" s="32">
        <v>267.46600000000001</v>
      </c>
      <c r="E959" s="38">
        <v>812.32899999999995</v>
      </c>
      <c r="F959" s="32">
        <v>1274</v>
      </c>
      <c r="G959" s="32">
        <v>50</v>
      </c>
      <c r="H959" s="40">
        <v>600</v>
      </c>
      <c r="I959" s="32">
        <v>695</v>
      </c>
      <c r="J959" s="32">
        <v>0</v>
      </c>
      <c r="K959" s="33"/>
      <c r="L959" s="33"/>
      <c r="M959" s="33"/>
      <c r="N959" s="33"/>
      <c r="O959" s="33"/>
      <c r="P959" s="33"/>
      <c r="Q959" s="33"/>
      <c r="R959" s="33"/>
      <c r="S959" s="33"/>
      <c r="T959" s="33"/>
    </row>
    <row r="960" spans="1:20" ht="15.75">
      <c r="A960" s="13">
        <v>71132</v>
      </c>
      <c r="B960" s="41">
        <f t="shared" si="6"/>
        <v>30</v>
      </c>
      <c r="C960" s="32">
        <v>194.20500000000001</v>
      </c>
      <c r="D960" s="32">
        <v>267.46600000000001</v>
      </c>
      <c r="E960" s="38">
        <v>812.32899999999995</v>
      </c>
      <c r="F960" s="32">
        <v>1274</v>
      </c>
      <c r="G960" s="32">
        <v>50</v>
      </c>
      <c r="H960" s="40">
        <v>600</v>
      </c>
      <c r="I960" s="32">
        <v>695</v>
      </c>
      <c r="J960" s="32">
        <v>0</v>
      </c>
      <c r="K960" s="33"/>
      <c r="L960" s="33"/>
      <c r="M960" s="33"/>
      <c r="N960" s="33"/>
      <c r="O960" s="33"/>
      <c r="P960" s="33"/>
      <c r="Q960" s="33"/>
      <c r="R960" s="33"/>
      <c r="S960" s="33"/>
      <c r="T960" s="33"/>
    </row>
    <row r="961" spans="1:20" ht="15.75">
      <c r="A961" s="13">
        <v>71163</v>
      </c>
      <c r="B961" s="41">
        <f t="shared" si="6"/>
        <v>31</v>
      </c>
      <c r="C961" s="32">
        <v>131.881</v>
      </c>
      <c r="D961" s="32">
        <v>277.16699999999997</v>
      </c>
      <c r="E961" s="38">
        <v>829.952</v>
      </c>
      <c r="F961" s="32">
        <v>1239</v>
      </c>
      <c r="G961" s="32">
        <v>75</v>
      </c>
      <c r="H961" s="40">
        <v>600</v>
      </c>
      <c r="I961" s="32">
        <v>695</v>
      </c>
      <c r="J961" s="32">
        <v>0</v>
      </c>
      <c r="K961" s="33"/>
      <c r="L961" s="33"/>
      <c r="M961" s="33"/>
      <c r="N961" s="33"/>
      <c r="O961" s="33"/>
      <c r="P961" s="33"/>
      <c r="Q961" s="33"/>
      <c r="R961" s="33"/>
      <c r="S961" s="33"/>
      <c r="T961" s="33"/>
    </row>
    <row r="962" spans="1:20" ht="15.75">
      <c r="A962" s="13">
        <v>71193</v>
      </c>
      <c r="B962" s="41">
        <f t="shared" si="6"/>
        <v>30</v>
      </c>
      <c r="C962" s="32">
        <v>122.58</v>
      </c>
      <c r="D962" s="32">
        <v>297.94099999999997</v>
      </c>
      <c r="E962" s="38">
        <v>729.47900000000004</v>
      </c>
      <c r="F962" s="32">
        <v>1150</v>
      </c>
      <c r="G962" s="32">
        <v>100</v>
      </c>
      <c r="H962" s="40">
        <v>600</v>
      </c>
      <c r="I962" s="32">
        <v>695</v>
      </c>
      <c r="J962" s="32">
        <v>50</v>
      </c>
      <c r="K962" s="33"/>
      <c r="L962" s="33"/>
      <c r="M962" s="33"/>
      <c r="N962" s="33"/>
      <c r="O962" s="33"/>
      <c r="P962" s="33"/>
      <c r="Q962" s="33"/>
      <c r="R962" s="33"/>
      <c r="S962" s="33"/>
      <c r="T962" s="33"/>
    </row>
    <row r="963" spans="1:20" ht="15.75">
      <c r="A963" s="13">
        <v>71224</v>
      </c>
      <c r="B963" s="41">
        <f t="shared" si="6"/>
        <v>31</v>
      </c>
      <c r="C963" s="32">
        <v>122.58</v>
      </c>
      <c r="D963" s="32">
        <v>297.94099999999997</v>
      </c>
      <c r="E963" s="38">
        <v>729.47900000000004</v>
      </c>
      <c r="F963" s="32">
        <v>1150</v>
      </c>
      <c r="G963" s="32">
        <v>100</v>
      </c>
      <c r="H963" s="40">
        <v>600</v>
      </c>
      <c r="I963" s="32">
        <v>695</v>
      </c>
      <c r="J963" s="32">
        <v>50</v>
      </c>
      <c r="K963" s="33"/>
      <c r="L963" s="33"/>
      <c r="M963" s="33"/>
      <c r="N963" s="33"/>
      <c r="O963" s="33"/>
      <c r="P963" s="33"/>
      <c r="Q963" s="33"/>
      <c r="R963" s="33"/>
      <c r="S963" s="33"/>
      <c r="T963" s="33"/>
    </row>
    <row r="964" spans="1:20" ht="15.75">
      <c r="A964" s="13">
        <v>71255</v>
      </c>
      <c r="B964" s="41">
        <f t="shared" si="6"/>
        <v>31</v>
      </c>
      <c r="C964" s="32">
        <v>122.58</v>
      </c>
      <c r="D964" s="32">
        <v>297.94099999999997</v>
      </c>
      <c r="E964" s="38">
        <v>729.47900000000004</v>
      </c>
      <c r="F964" s="32">
        <v>1150</v>
      </c>
      <c r="G964" s="32">
        <v>100</v>
      </c>
      <c r="H964" s="40">
        <v>600</v>
      </c>
      <c r="I964" s="32">
        <v>695</v>
      </c>
      <c r="J964" s="32">
        <v>50</v>
      </c>
      <c r="K964" s="33"/>
      <c r="L964" s="33"/>
      <c r="M964" s="33"/>
      <c r="N964" s="33"/>
      <c r="O964" s="33"/>
      <c r="P964" s="33"/>
      <c r="Q964" s="33"/>
      <c r="R964" s="33"/>
      <c r="S964" s="33"/>
      <c r="T964" s="33"/>
    </row>
    <row r="965" spans="1:20" ht="15.75">
      <c r="A965" s="13">
        <v>71283</v>
      </c>
      <c r="B965" s="41">
        <f t="shared" si="6"/>
        <v>28</v>
      </c>
      <c r="C965" s="32">
        <v>122.58</v>
      </c>
      <c r="D965" s="32">
        <v>297.94099999999997</v>
      </c>
      <c r="E965" s="38">
        <v>729.47900000000004</v>
      </c>
      <c r="F965" s="32">
        <v>1150</v>
      </c>
      <c r="G965" s="32">
        <v>100</v>
      </c>
      <c r="H965" s="40">
        <v>600</v>
      </c>
      <c r="I965" s="32">
        <v>695</v>
      </c>
      <c r="J965" s="32">
        <v>50</v>
      </c>
      <c r="K965" s="33"/>
      <c r="L965" s="33"/>
      <c r="M965" s="33"/>
      <c r="N965" s="33"/>
      <c r="O965" s="33"/>
      <c r="P965" s="33"/>
      <c r="Q965" s="33"/>
      <c r="R965" s="33"/>
      <c r="S965" s="33"/>
      <c r="T965" s="33"/>
    </row>
    <row r="966" spans="1:20" ht="15.75">
      <c r="A966" s="13">
        <v>71314</v>
      </c>
      <c r="B966" s="41">
        <f t="shared" si="6"/>
        <v>31</v>
      </c>
      <c r="C966" s="32">
        <v>122.58</v>
      </c>
      <c r="D966" s="32">
        <v>297.94099999999997</v>
      </c>
      <c r="E966" s="38">
        <v>729.47900000000004</v>
      </c>
      <c r="F966" s="32">
        <v>1150</v>
      </c>
      <c r="G966" s="32">
        <v>100</v>
      </c>
      <c r="H966" s="40">
        <v>600</v>
      </c>
      <c r="I966" s="32">
        <v>695</v>
      </c>
      <c r="J966" s="32">
        <v>50</v>
      </c>
      <c r="K966" s="33"/>
      <c r="L966" s="33"/>
      <c r="M966" s="33"/>
      <c r="N966" s="33"/>
      <c r="O966" s="33"/>
      <c r="P966" s="33"/>
      <c r="Q966" s="33"/>
      <c r="R966" s="33"/>
      <c r="S966" s="33"/>
      <c r="T966" s="33"/>
    </row>
    <row r="967" spans="1:20" ht="15.75">
      <c r="A967" s="13">
        <v>71344</v>
      </c>
      <c r="B967" s="41">
        <f t="shared" si="6"/>
        <v>30</v>
      </c>
      <c r="C967" s="32">
        <v>141.29300000000001</v>
      </c>
      <c r="D967" s="32">
        <v>267.99299999999999</v>
      </c>
      <c r="E967" s="38">
        <v>829.71400000000006</v>
      </c>
      <c r="F967" s="32">
        <v>1239</v>
      </c>
      <c r="G967" s="32">
        <v>100</v>
      </c>
      <c r="H967" s="40">
        <v>600</v>
      </c>
      <c r="I967" s="32">
        <v>695</v>
      </c>
      <c r="J967" s="32">
        <v>50</v>
      </c>
      <c r="K967" s="33"/>
      <c r="L967" s="33"/>
      <c r="M967" s="33"/>
      <c r="N967" s="33"/>
      <c r="O967" s="33"/>
      <c r="P967" s="33"/>
      <c r="Q967" s="33"/>
      <c r="R967" s="33"/>
      <c r="S967" s="33"/>
      <c r="T967" s="33"/>
    </row>
    <row r="968" spans="1:20" ht="15.75">
      <c r="A968" s="13">
        <v>71375</v>
      </c>
      <c r="B968" s="41">
        <f t="shared" si="6"/>
        <v>31</v>
      </c>
      <c r="C968" s="32">
        <v>194.20500000000001</v>
      </c>
      <c r="D968" s="32">
        <v>267.46600000000001</v>
      </c>
      <c r="E968" s="38">
        <v>812.32899999999995</v>
      </c>
      <c r="F968" s="32">
        <v>1274</v>
      </c>
      <c r="G968" s="32">
        <v>75</v>
      </c>
      <c r="H968" s="40">
        <v>600</v>
      </c>
      <c r="I968" s="32">
        <v>695</v>
      </c>
      <c r="J968" s="32">
        <v>50</v>
      </c>
      <c r="K968" s="33"/>
      <c r="L968" s="33"/>
      <c r="M968" s="33"/>
      <c r="N968" s="33"/>
      <c r="O968" s="33"/>
      <c r="P968" s="33"/>
      <c r="Q968" s="33"/>
      <c r="R968" s="33"/>
      <c r="S968" s="33"/>
      <c r="T968" s="33"/>
    </row>
    <row r="969" spans="1:20" ht="15.75">
      <c r="A969" s="13">
        <v>71405</v>
      </c>
      <c r="B969" s="41">
        <f t="shared" si="6"/>
        <v>30</v>
      </c>
      <c r="C969" s="32">
        <v>194.20500000000001</v>
      </c>
      <c r="D969" s="32">
        <v>267.46600000000001</v>
      </c>
      <c r="E969" s="38">
        <v>812.32899999999995</v>
      </c>
      <c r="F969" s="32">
        <v>1274</v>
      </c>
      <c r="G969" s="32">
        <v>50</v>
      </c>
      <c r="H969" s="40">
        <v>600</v>
      </c>
      <c r="I969" s="32">
        <v>695</v>
      </c>
      <c r="J969" s="32">
        <v>50</v>
      </c>
      <c r="K969" s="33"/>
      <c r="L969" s="33"/>
      <c r="M969" s="33"/>
      <c r="N969" s="33"/>
      <c r="O969" s="33"/>
      <c r="P969" s="33"/>
      <c r="Q969" s="33"/>
      <c r="R969" s="33"/>
      <c r="S969" s="33"/>
      <c r="T969" s="33"/>
    </row>
    <row r="970" spans="1:20" ht="15.75">
      <c r="A970" s="13">
        <v>71436</v>
      </c>
      <c r="B970" s="41">
        <f t="shared" si="6"/>
        <v>31</v>
      </c>
      <c r="C970" s="32">
        <v>194.20500000000001</v>
      </c>
      <c r="D970" s="32">
        <v>267.46600000000001</v>
      </c>
      <c r="E970" s="38">
        <v>812.32899999999995</v>
      </c>
      <c r="F970" s="32">
        <v>1274</v>
      </c>
      <c r="G970" s="32">
        <v>50</v>
      </c>
      <c r="H970" s="40">
        <v>600</v>
      </c>
      <c r="I970" s="32">
        <v>695</v>
      </c>
      <c r="J970" s="32">
        <v>0</v>
      </c>
      <c r="K970" s="33"/>
      <c r="L970" s="33"/>
      <c r="M970" s="33"/>
      <c r="N970" s="33"/>
      <c r="O970" s="33"/>
      <c r="P970" s="33"/>
      <c r="Q970" s="33"/>
      <c r="R970" s="33"/>
      <c r="S970" s="33"/>
      <c r="T970" s="33"/>
    </row>
    <row r="971" spans="1:20" ht="15.75">
      <c r="A971" s="13">
        <v>71467</v>
      </c>
      <c r="B971" s="41">
        <f t="shared" si="6"/>
        <v>31</v>
      </c>
      <c r="C971" s="32">
        <v>194.20500000000001</v>
      </c>
      <c r="D971" s="32">
        <v>267.46600000000001</v>
      </c>
      <c r="E971" s="38">
        <v>812.32899999999995</v>
      </c>
      <c r="F971" s="32">
        <v>1274</v>
      </c>
      <c r="G971" s="32">
        <v>50</v>
      </c>
      <c r="H971" s="40">
        <v>600</v>
      </c>
      <c r="I971" s="32">
        <v>695</v>
      </c>
      <c r="J971" s="32">
        <v>0</v>
      </c>
      <c r="K971" s="33"/>
      <c r="L971" s="33"/>
      <c r="M971" s="33"/>
      <c r="N971" s="33"/>
      <c r="O971" s="33"/>
      <c r="P971" s="33"/>
      <c r="Q971" s="33"/>
      <c r="R971" s="33"/>
      <c r="S971" s="33"/>
      <c r="T971" s="33"/>
    </row>
    <row r="972" spans="1:20" ht="15.75">
      <c r="A972" s="13">
        <v>71497</v>
      </c>
      <c r="B972" s="41">
        <f t="shared" si="6"/>
        <v>30</v>
      </c>
      <c r="C972" s="32">
        <v>194.20500000000001</v>
      </c>
      <c r="D972" s="32">
        <v>267.46600000000001</v>
      </c>
      <c r="E972" s="38">
        <v>812.32899999999995</v>
      </c>
      <c r="F972" s="32">
        <v>1274</v>
      </c>
      <c r="G972" s="32">
        <v>50</v>
      </c>
      <c r="H972" s="40">
        <v>600</v>
      </c>
      <c r="I972" s="32">
        <v>695</v>
      </c>
      <c r="J972" s="32">
        <v>0</v>
      </c>
      <c r="K972" s="33"/>
      <c r="L972" s="33"/>
      <c r="M972" s="33"/>
      <c r="N972" s="33"/>
      <c r="O972" s="33"/>
      <c r="P972" s="33"/>
      <c r="Q972" s="33"/>
      <c r="R972" s="33"/>
      <c r="S972" s="33"/>
      <c r="T972" s="33"/>
    </row>
    <row r="973" spans="1:20" ht="15.75">
      <c r="A973" s="13">
        <v>71528</v>
      </c>
      <c r="B973" s="41">
        <f t="shared" si="6"/>
        <v>31</v>
      </c>
      <c r="C973" s="32">
        <v>131.881</v>
      </c>
      <c r="D973" s="32">
        <v>277.16699999999997</v>
      </c>
      <c r="E973" s="38">
        <v>829.952</v>
      </c>
      <c r="F973" s="32">
        <v>1239</v>
      </c>
      <c r="G973" s="32">
        <v>75</v>
      </c>
      <c r="H973" s="40">
        <v>600</v>
      </c>
      <c r="I973" s="32">
        <v>695</v>
      </c>
      <c r="J973" s="32">
        <v>0</v>
      </c>
      <c r="K973" s="33"/>
      <c r="L973" s="33"/>
      <c r="M973" s="33"/>
      <c r="N973" s="33"/>
      <c r="O973" s="33"/>
      <c r="P973" s="33"/>
      <c r="Q973" s="33"/>
      <c r="R973" s="33"/>
      <c r="S973" s="33"/>
      <c r="T973" s="33"/>
    </row>
    <row r="974" spans="1:20" ht="15.75">
      <c r="A974" s="13">
        <v>71558</v>
      </c>
      <c r="B974" s="41">
        <f t="shared" si="6"/>
        <v>30</v>
      </c>
      <c r="C974" s="32">
        <v>122.58</v>
      </c>
      <c r="D974" s="32">
        <v>297.94099999999997</v>
      </c>
      <c r="E974" s="38">
        <v>729.47900000000004</v>
      </c>
      <c r="F974" s="32">
        <v>1150</v>
      </c>
      <c r="G974" s="32">
        <v>100</v>
      </c>
      <c r="H974" s="40">
        <v>600</v>
      </c>
      <c r="I974" s="32">
        <v>695</v>
      </c>
      <c r="J974" s="32">
        <v>50</v>
      </c>
      <c r="K974" s="33"/>
      <c r="L974" s="33"/>
      <c r="M974" s="33"/>
      <c r="N974" s="33"/>
      <c r="O974" s="33"/>
      <c r="P974" s="33"/>
      <c r="Q974" s="33"/>
      <c r="R974" s="33"/>
      <c r="S974" s="33"/>
      <c r="T974" s="33"/>
    </row>
    <row r="975" spans="1:20" ht="15.75">
      <c r="A975" s="13">
        <v>71589</v>
      </c>
      <c r="B975" s="41">
        <f t="shared" si="6"/>
        <v>31</v>
      </c>
      <c r="C975" s="32">
        <v>122.58</v>
      </c>
      <c r="D975" s="32">
        <v>297.94099999999997</v>
      </c>
      <c r="E975" s="38">
        <v>729.47900000000004</v>
      </c>
      <c r="F975" s="32">
        <v>1150</v>
      </c>
      <c r="G975" s="32">
        <v>100</v>
      </c>
      <c r="H975" s="40">
        <v>600</v>
      </c>
      <c r="I975" s="32">
        <v>695</v>
      </c>
      <c r="J975" s="32">
        <v>50</v>
      </c>
      <c r="K975" s="33"/>
      <c r="L975" s="33"/>
      <c r="M975" s="33"/>
      <c r="N975" s="33"/>
      <c r="O975" s="33"/>
      <c r="P975" s="33"/>
      <c r="Q975" s="33"/>
      <c r="R975" s="33"/>
      <c r="S975" s="33"/>
      <c r="T975" s="33"/>
    </row>
    <row r="976" spans="1:20" ht="15.75">
      <c r="A976" s="13">
        <v>71620</v>
      </c>
      <c r="B976" s="41">
        <f t="shared" si="6"/>
        <v>31</v>
      </c>
      <c r="C976" s="32">
        <v>122.58</v>
      </c>
      <c r="D976" s="32">
        <v>297.94099999999997</v>
      </c>
      <c r="E976" s="38">
        <v>729.47900000000004</v>
      </c>
      <c r="F976" s="32">
        <v>1150</v>
      </c>
      <c r="G976" s="32">
        <v>100</v>
      </c>
      <c r="H976" s="40">
        <v>600</v>
      </c>
      <c r="I976" s="32">
        <v>695</v>
      </c>
      <c r="J976" s="32">
        <v>50</v>
      </c>
      <c r="K976" s="33"/>
      <c r="L976" s="33"/>
      <c r="M976" s="33"/>
      <c r="N976" s="33"/>
      <c r="O976" s="33"/>
      <c r="P976" s="33"/>
      <c r="Q976" s="33"/>
      <c r="R976" s="33"/>
      <c r="S976" s="33"/>
      <c r="T976" s="33"/>
    </row>
    <row r="977" spans="1:20" ht="15.75">
      <c r="A977" s="13">
        <v>71649</v>
      </c>
      <c r="B977" s="41">
        <f t="shared" si="6"/>
        <v>29</v>
      </c>
      <c r="C977" s="32">
        <v>122.58</v>
      </c>
      <c r="D977" s="32">
        <v>297.94099999999997</v>
      </c>
      <c r="E977" s="38">
        <v>729.47900000000004</v>
      </c>
      <c r="F977" s="32">
        <v>1150</v>
      </c>
      <c r="G977" s="32">
        <v>100</v>
      </c>
      <c r="H977" s="40">
        <v>600</v>
      </c>
      <c r="I977" s="32">
        <v>695</v>
      </c>
      <c r="J977" s="32">
        <v>50</v>
      </c>
      <c r="K977" s="33"/>
      <c r="L977" s="33"/>
      <c r="M977" s="33"/>
      <c r="N977" s="33"/>
      <c r="O977" s="33"/>
      <c r="P977" s="33"/>
      <c r="Q977" s="33"/>
      <c r="R977" s="33"/>
      <c r="S977" s="33"/>
      <c r="T977" s="33"/>
    </row>
    <row r="978" spans="1:20" ht="15.75">
      <c r="A978" s="13">
        <v>71680</v>
      </c>
      <c r="B978" s="41">
        <f t="shared" si="6"/>
        <v>31</v>
      </c>
      <c r="C978" s="32">
        <v>122.58</v>
      </c>
      <c r="D978" s="32">
        <v>297.94099999999997</v>
      </c>
      <c r="E978" s="38">
        <v>729.47900000000004</v>
      </c>
      <c r="F978" s="32">
        <v>1150</v>
      </c>
      <c r="G978" s="32">
        <v>100</v>
      </c>
      <c r="H978" s="40">
        <v>600</v>
      </c>
      <c r="I978" s="32">
        <v>695</v>
      </c>
      <c r="J978" s="32">
        <v>50</v>
      </c>
      <c r="K978" s="33"/>
      <c r="L978" s="33"/>
      <c r="M978" s="33"/>
      <c r="N978" s="33"/>
      <c r="O978" s="33"/>
      <c r="P978" s="33"/>
      <c r="Q978" s="33"/>
      <c r="R978" s="33"/>
      <c r="S978" s="33"/>
      <c r="T978" s="33"/>
    </row>
    <row r="979" spans="1:20" ht="15.75">
      <c r="A979" s="13">
        <v>71710</v>
      </c>
      <c r="B979" s="41">
        <f t="shared" si="6"/>
        <v>30</v>
      </c>
      <c r="C979" s="32">
        <v>141.29300000000001</v>
      </c>
      <c r="D979" s="32">
        <v>267.99299999999999</v>
      </c>
      <c r="E979" s="38">
        <v>829.71400000000006</v>
      </c>
      <c r="F979" s="32">
        <v>1239</v>
      </c>
      <c r="G979" s="32">
        <v>100</v>
      </c>
      <c r="H979" s="40">
        <v>600</v>
      </c>
      <c r="I979" s="32">
        <v>695</v>
      </c>
      <c r="J979" s="32">
        <v>50</v>
      </c>
      <c r="K979" s="33"/>
      <c r="L979" s="33"/>
      <c r="M979" s="33"/>
      <c r="N979" s="33"/>
      <c r="O979" s="33"/>
      <c r="P979" s="33"/>
      <c r="Q979" s="33"/>
      <c r="R979" s="33"/>
      <c r="S979" s="33"/>
      <c r="T979" s="33"/>
    </row>
    <row r="980" spans="1:20" ht="15.75">
      <c r="A980" s="13">
        <v>71741</v>
      </c>
      <c r="B980" s="41">
        <f t="shared" si="6"/>
        <v>31</v>
      </c>
      <c r="C980" s="32">
        <v>194.20500000000001</v>
      </c>
      <c r="D980" s="32">
        <v>267.46600000000001</v>
      </c>
      <c r="E980" s="38">
        <v>812.32899999999995</v>
      </c>
      <c r="F980" s="32">
        <v>1274</v>
      </c>
      <c r="G980" s="32">
        <v>75</v>
      </c>
      <c r="H980" s="40">
        <v>600</v>
      </c>
      <c r="I980" s="32">
        <v>695</v>
      </c>
      <c r="J980" s="32">
        <v>50</v>
      </c>
      <c r="K980" s="33"/>
      <c r="L980" s="33"/>
      <c r="M980" s="33"/>
      <c r="N980" s="33"/>
      <c r="O980" s="33"/>
      <c r="P980" s="33"/>
      <c r="Q980" s="33"/>
      <c r="R980" s="33"/>
      <c r="S980" s="33"/>
      <c r="T980" s="33"/>
    </row>
    <row r="981" spans="1:20" ht="15.75">
      <c r="A981" s="13">
        <v>71771</v>
      </c>
      <c r="B981" s="41">
        <f t="shared" si="6"/>
        <v>30</v>
      </c>
      <c r="C981" s="32">
        <v>194.20500000000001</v>
      </c>
      <c r="D981" s="32">
        <v>267.46600000000001</v>
      </c>
      <c r="E981" s="38">
        <v>812.32899999999995</v>
      </c>
      <c r="F981" s="32">
        <v>1274</v>
      </c>
      <c r="G981" s="32">
        <v>50</v>
      </c>
      <c r="H981" s="40">
        <v>600</v>
      </c>
      <c r="I981" s="32">
        <v>695</v>
      </c>
      <c r="J981" s="32">
        <v>50</v>
      </c>
      <c r="K981" s="33"/>
      <c r="L981" s="33"/>
      <c r="M981" s="33"/>
      <c r="N981" s="33"/>
      <c r="O981" s="33"/>
      <c r="P981" s="33"/>
      <c r="Q981" s="33"/>
      <c r="R981" s="33"/>
      <c r="S981" s="33"/>
      <c r="T981" s="33"/>
    </row>
    <row r="982" spans="1:20" ht="15.75">
      <c r="A982" s="13">
        <v>71802</v>
      </c>
      <c r="B982" s="41">
        <f t="shared" si="6"/>
        <v>31</v>
      </c>
      <c r="C982" s="32">
        <v>194.20500000000001</v>
      </c>
      <c r="D982" s="32">
        <v>267.46600000000001</v>
      </c>
      <c r="E982" s="38">
        <v>812.32899999999995</v>
      </c>
      <c r="F982" s="32">
        <v>1274</v>
      </c>
      <c r="G982" s="32">
        <v>50</v>
      </c>
      <c r="H982" s="40">
        <v>600</v>
      </c>
      <c r="I982" s="32">
        <v>695</v>
      </c>
      <c r="J982" s="32">
        <v>0</v>
      </c>
      <c r="K982" s="33"/>
      <c r="L982" s="33"/>
      <c r="M982" s="33"/>
      <c r="N982" s="33"/>
      <c r="O982" s="33"/>
      <c r="P982" s="33"/>
      <c r="Q982" s="33"/>
      <c r="R982" s="33"/>
      <c r="S982" s="33"/>
      <c r="T982" s="33"/>
    </row>
    <row r="983" spans="1:20" ht="15.75">
      <c r="A983" s="13">
        <v>71833</v>
      </c>
      <c r="B983" s="41">
        <f t="shared" si="6"/>
        <v>31</v>
      </c>
      <c r="C983" s="32">
        <v>194.20500000000001</v>
      </c>
      <c r="D983" s="32">
        <v>267.46600000000001</v>
      </c>
      <c r="E983" s="38">
        <v>812.32899999999995</v>
      </c>
      <c r="F983" s="32">
        <v>1274</v>
      </c>
      <c r="G983" s="32">
        <v>50</v>
      </c>
      <c r="H983" s="40">
        <v>600</v>
      </c>
      <c r="I983" s="32">
        <v>695</v>
      </c>
      <c r="J983" s="32">
        <v>0</v>
      </c>
      <c r="K983" s="33"/>
      <c r="L983" s="33"/>
      <c r="M983" s="33"/>
      <c r="N983" s="33"/>
      <c r="O983" s="33"/>
      <c r="P983" s="33"/>
      <c r="Q983" s="33"/>
      <c r="R983" s="33"/>
      <c r="S983" s="33"/>
      <c r="T983" s="33"/>
    </row>
    <row r="984" spans="1:20" ht="15.75">
      <c r="A984" s="13">
        <v>71863</v>
      </c>
      <c r="B984" s="41">
        <f t="shared" si="6"/>
        <v>30</v>
      </c>
      <c r="C984" s="32">
        <v>194.20500000000001</v>
      </c>
      <c r="D984" s="32">
        <v>267.46600000000001</v>
      </c>
      <c r="E984" s="38">
        <v>812.32899999999995</v>
      </c>
      <c r="F984" s="32">
        <v>1274</v>
      </c>
      <c r="G984" s="32">
        <v>50</v>
      </c>
      <c r="H984" s="40">
        <v>600</v>
      </c>
      <c r="I984" s="32">
        <v>695</v>
      </c>
      <c r="J984" s="32">
        <v>0</v>
      </c>
      <c r="K984" s="33"/>
      <c r="L984" s="33"/>
      <c r="M984" s="33"/>
      <c r="N984" s="33"/>
      <c r="O984" s="33"/>
      <c r="P984" s="33"/>
      <c r="Q984" s="33"/>
      <c r="R984" s="33"/>
      <c r="S984" s="33"/>
      <c r="T984" s="33"/>
    </row>
    <row r="985" spans="1:20" ht="15.75">
      <c r="A985" s="13">
        <v>71894</v>
      </c>
      <c r="B985" s="41">
        <f t="shared" si="6"/>
        <v>31</v>
      </c>
      <c r="C985" s="32">
        <v>131.881</v>
      </c>
      <c r="D985" s="32">
        <v>277.16699999999997</v>
      </c>
      <c r="E985" s="38">
        <v>829.952</v>
      </c>
      <c r="F985" s="32">
        <v>1239</v>
      </c>
      <c r="G985" s="32">
        <v>75</v>
      </c>
      <c r="H985" s="40">
        <v>600</v>
      </c>
      <c r="I985" s="32">
        <v>695</v>
      </c>
      <c r="J985" s="32">
        <v>0</v>
      </c>
      <c r="K985" s="33"/>
      <c r="L985" s="33"/>
      <c r="M985" s="33"/>
      <c r="N985" s="33"/>
      <c r="O985" s="33"/>
      <c r="P985" s="33"/>
      <c r="Q985" s="33"/>
      <c r="R985" s="33"/>
      <c r="S985" s="33"/>
      <c r="T985" s="33"/>
    </row>
    <row r="986" spans="1:20" ht="15.75">
      <c r="A986" s="13">
        <v>71924</v>
      </c>
      <c r="B986" s="41">
        <f t="shared" si="6"/>
        <v>30</v>
      </c>
      <c r="C986" s="32">
        <v>122.58</v>
      </c>
      <c r="D986" s="32">
        <v>297.94099999999997</v>
      </c>
      <c r="E986" s="38">
        <v>729.47900000000004</v>
      </c>
      <c r="F986" s="32">
        <v>1150</v>
      </c>
      <c r="G986" s="32">
        <v>100</v>
      </c>
      <c r="H986" s="40">
        <v>600</v>
      </c>
      <c r="I986" s="32">
        <v>695</v>
      </c>
      <c r="J986" s="32">
        <v>50</v>
      </c>
      <c r="K986" s="33"/>
      <c r="L986" s="33"/>
      <c r="M986" s="33"/>
      <c r="N986" s="33"/>
      <c r="O986" s="33"/>
      <c r="P986" s="33"/>
      <c r="Q986" s="33"/>
      <c r="R986" s="33"/>
      <c r="S986" s="33"/>
      <c r="T986" s="33"/>
    </row>
    <row r="987" spans="1:20" ht="15.75">
      <c r="A987" s="13">
        <v>71955</v>
      </c>
      <c r="B987" s="41">
        <f t="shared" si="6"/>
        <v>31</v>
      </c>
      <c r="C987" s="32">
        <v>122.58</v>
      </c>
      <c r="D987" s="32">
        <v>297.94099999999997</v>
      </c>
      <c r="E987" s="38">
        <v>729.47900000000004</v>
      </c>
      <c r="F987" s="32">
        <v>1150</v>
      </c>
      <c r="G987" s="32">
        <v>100</v>
      </c>
      <c r="H987" s="40">
        <v>600</v>
      </c>
      <c r="I987" s="32">
        <v>695</v>
      </c>
      <c r="J987" s="32">
        <v>50</v>
      </c>
      <c r="K987" s="33"/>
      <c r="L987" s="33"/>
      <c r="M987" s="33"/>
      <c r="N987" s="33"/>
      <c r="O987" s="33"/>
      <c r="P987" s="33"/>
      <c r="Q987" s="33"/>
      <c r="R987" s="33"/>
      <c r="S987" s="33"/>
      <c r="T987" s="33"/>
    </row>
    <row r="988" spans="1:20" ht="15.75">
      <c r="A988" s="13">
        <v>71986</v>
      </c>
      <c r="B988" s="41">
        <f t="shared" si="6"/>
        <v>31</v>
      </c>
      <c r="C988" s="32">
        <v>122.58</v>
      </c>
      <c r="D988" s="32">
        <v>297.94099999999997</v>
      </c>
      <c r="E988" s="38">
        <v>729.47900000000004</v>
      </c>
      <c r="F988" s="32">
        <v>1150</v>
      </c>
      <c r="G988" s="32">
        <v>100</v>
      </c>
      <c r="H988" s="40">
        <v>600</v>
      </c>
      <c r="I988" s="32">
        <v>695</v>
      </c>
      <c r="J988" s="32">
        <v>50</v>
      </c>
      <c r="K988" s="33"/>
      <c r="L988" s="33"/>
      <c r="M988" s="33"/>
      <c r="N988" s="33"/>
      <c r="O988" s="33"/>
      <c r="P988" s="33"/>
      <c r="Q988" s="33"/>
      <c r="R988" s="33"/>
      <c r="S988" s="33"/>
      <c r="T988" s="33"/>
    </row>
    <row r="989" spans="1:20" ht="15.75">
      <c r="A989" s="13">
        <v>72014</v>
      </c>
      <c r="B989" s="41">
        <f t="shared" si="6"/>
        <v>28</v>
      </c>
      <c r="C989" s="32">
        <v>122.58</v>
      </c>
      <c r="D989" s="32">
        <v>297.94099999999997</v>
      </c>
      <c r="E989" s="38">
        <v>729.47900000000004</v>
      </c>
      <c r="F989" s="32">
        <v>1150</v>
      </c>
      <c r="G989" s="32">
        <v>100</v>
      </c>
      <c r="H989" s="40">
        <v>600</v>
      </c>
      <c r="I989" s="32">
        <v>695</v>
      </c>
      <c r="J989" s="32">
        <v>50</v>
      </c>
      <c r="K989" s="33"/>
      <c r="L989" s="33"/>
      <c r="M989" s="33"/>
      <c r="N989" s="33"/>
      <c r="O989" s="33"/>
      <c r="P989" s="33"/>
      <c r="Q989" s="33"/>
      <c r="R989" s="33"/>
      <c r="S989" s="33"/>
      <c r="T989" s="33"/>
    </row>
    <row r="990" spans="1:20" ht="15.75">
      <c r="A990" s="13">
        <v>72045</v>
      </c>
      <c r="B990" s="41">
        <f t="shared" si="6"/>
        <v>31</v>
      </c>
      <c r="C990" s="32">
        <v>122.58</v>
      </c>
      <c r="D990" s="32">
        <v>297.94099999999997</v>
      </c>
      <c r="E990" s="38">
        <v>729.47900000000004</v>
      </c>
      <c r="F990" s="32">
        <v>1150</v>
      </c>
      <c r="G990" s="32">
        <v>100</v>
      </c>
      <c r="H990" s="40">
        <v>600</v>
      </c>
      <c r="I990" s="32">
        <v>695</v>
      </c>
      <c r="J990" s="32">
        <v>50</v>
      </c>
      <c r="K990" s="33"/>
      <c r="L990" s="33"/>
      <c r="M990" s="33"/>
      <c r="N990" s="33"/>
      <c r="O990" s="33"/>
      <c r="P990" s="33"/>
      <c r="Q990" s="33"/>
      <c r="R990" s="33"/>
      <c r="S990" s="33"/>
      <c r="T990" s="33"/>
    </row>
    <row r="991" spans="1:20" ht="15.75">
      <c r="A991" s="13">
        <v>72075</v>
      </c>
      <c r="B991" s="41">
        <f t="shared" si="6"/>
        <v>30</v>
      </c>
      <c r="C991" s="32">
        <v>141.29300000000001</v>
      </c>
      <c r="D991" s="32">
        <v>267.99299999999999</v>
      </c>
      <c r="E991" s="38">
        <v>829.71400000000006</v>
      </c>
      <c r="F991" s="32">
        <v>1239</v>
      </c>
      <c r="G991" s="32">
        <v>100</v>
      </c>
      <c r="H991" s="40">
        <v>600</v>
      </c>
      <c r="I991" s="32">
        <v>695</v>
      </c>
      <c r="J991" s="32">
        <v>50</v>
      </c>
      <c r="K991" s="33"/>
      <c r="L991" s="33"/>
      <c r="M991" s="33"/>
      <c r="N991" s="33"/>
      <c r="O991" s="33"/>
      <c r="P991" s="33"/>
      <c r="Q991" s="33"/>
      <c r="R991" s="33"/>
      <c r="S991" s="33"/>
      <c r="T991" s="33"/>
    </row>
    <row r="992" spans="1:20" ht="15.75">
      <c r="A992" s="13">
        <v>72106</v>
      </c>
      <c r="B992" s="41">
        <f t="shared" si="6"/>
        <v>31</v>
      </c>
      <c r="C992" s="32">
        <v>194.20500000000001</v>
      </c>
      <c r="D992" s="32">
        <v>267.46600000000001</v>
      </c>
      <c r="E992" s="38">
        <v>812.32899999999995</v>
      </c>
      <c r="F992" s="32">
        <v>1274</v>
      </c>
      <c r="G992" s="32">
        <v>75</v>
      </c>
      <c r="H992" s="40">
        <v>600</v>
      </c>
      <c r="I992" s="32">
        <v>695</v>
      </c>
      <c r="J992" s="32">
        <v>50</v>
      </c>
      <c r="K992" s="33"/>
      <c r="L992" s="33"/>
      <c r="M992" s="33"/>
      <c r="N992" s="33"/>
      <c r="O992" s="33"/>
      <c r="P992" s="33"/>
      <c r="Q992" s="33"/>
      <c r="R992" s="33"/>
      <c r="S992" s="33"/>
      <c r="T992" s="33"/>
    </row>
    <row r="993" spans="1:20" ht="15.75">
      <c r="A993" s="13">
        <v>72136</v>
      </c>
      <c r="B993" s="41">
        <f t="shared" si="6"/>
        <v>30</v>
      </c>
      <c r="C993" s="32">
        <v>194.20500000000001</v>
      </c>
      <c r="D993" s="32">
        <v>267.46600000000001</v>
      </c>
      <c r="E993" s="38">
        <v>812.32899999999995</v>
      </c>
      <c r="F993" s="32">
        <v>1274</v>
      </c>
      <c r="G993" s="32">
        <v>50</v>
      </c>
      <c r="H993" s="40">
        <v>600</v>
      </c>
      <c r="I993" s="32">
        <v>695</v>
      </c>
      <c r="J993" s="32">
        <v>50</v>
      </c>
      <c r="K993" s="33"/>
      <c r="L993" s="33"/>
      <c r="M993" s="33"/>
      <c r="N993" s="33"/>
      <c r="O993" s="33"/>
      <c r="P993" s="33"/>
      <c r="Q993" s="33"/>
      <c r="R993" s="33"/>
      <c r="S993" s="33"/>
      <c r="T993" s="33"/>
    </row>
    <row r="994" spans="1:20" ht="15.75">
      <c r="A994" s="13">
        <v>72167</v>
      </c>
      <c r="B994" s="41">
        <f t="shared" si="6"/>
        <v>31</v>
      </c>
      <c r="C994" s="32">
        <v>194.20500000000001</v>
      </c>
      <c r="D994" s="32">
        <v>267.46600000000001</v>
      </c>
      <c r="E994" s="38">
        <v>812.32899999999995</v>
      </c>
      <c r="F994" s="32">
        <v>1274</v>
      </c>
      <c r="G994" s="32">
        <v>50</v>
      </c>
      <c r="H994" s="40">
        <v>600</v>
      </c>
      <c r="I994" s="32">
        <v>695</v>
      </c>
      <c r="J994" s="32">
        <v>0</v>
      </c>
      <c r="K994" s="33"/>
      <c r="L994" s="33"/>
      <c r="M994" s="33"/>
      <c r="N994" s="33"/>
      <c r="O994" s="33"/>
      <c r="P994" s="33"/>
      <c r="Q994" s="33"/>
      <c r="R994" s="33"/>
      <c r="S994" s="33"/>
      <c r="T994" s="33"/>
    </row>
    <row r="995" spans="1:20" ht="15.75">
      <c r="A995" s="13">
        <v>72198</v>
      </c>
      <c r="B995" s="41">
        <f t="shared" si="6"/>
        <v>31</v>
      </c>
      <c r="C995" s="32">
        <v>194.20500000000001</v>
      </c>
      <c r="D995" s="32">
        <v>267.46600000000001</v>
      </c>
      <c r="E995" s="38">
        <v>812.32899999999995</v>
      </c>
      <c r="F995" s="32">
        <v>1274</v>
      </c>
      <c r="G995" s="32">
        <v>50</v>
      </c>
      <c r="H995" s="40">
        <v>600</v>
      </c>
      <c r="I995" s="32">
        <v>695</v>
      </c>
      <c r="J995" s="32">
        <v>0</v>
      </c>
      <c r="K995" s="33"/>
      <c r="L995" s="33"/>
      <c r="M995" s="33"/>
      <c r="N995" s="33"/>
      <c r="O995" s="33"/>
      <c r="P995" s="33"/>
      <c r="Q995" s="33"/>
      <c r="R995" s="33"/>
      <c r="S995" s="33"/>
      <c r="T995" s="33"/>
    </row>
    <row r="996" spans="1:20" ht="15.75">
      <c r="A996" s="13">
        <v>72228</v>
      </c>
      <c r="B996" s="41">
        <f t="shared" si="6"/>
        <v>30</v>
      </c>
      <c r="C996" s="32">
        <v>194.20500000000001</v>
      </c>
      <c r="D996" s="32">
        <v>267.46600000000001</v>
      </c>
      <c r="E996" s="38">
        <v>812.32899999999995</v>
      </c>
      <c r="F996" s="32">
        <v>1274</v>
      </c>
      <c r="G996" s="32">
        <v>50</v>
      </c>
      <c r="H996" s="40">
        <v>600</v>
      </c>
      <c r="I996" s="32">
        <v>695</v>
      </c>
      <c r="J996" s="32">
        <v>0</v>
      </c>
      <c r="K996" s="33"/>
      <c r="L996" s="33"/>
      <c r="M996" s="33"/>
      <c r="N996" s="33"/>
      <c r="O996" s="33"/>
      <c r="P996" s="33"/>
      <c r="Q996" s="33"/>
      <c r="R996" s="33"/>
      <c r="S996" s="33"/>
      <c r="T996" s="33"/>
    </row>
    <row r="997" spans="1:20" ht="15.75">
      <c r="A997" s="13">
        <v>72259</v>
      </c>
      <c r="B997" s="41">
        <f t="shared" si="6"/>
        <v>31</v>
      </c>
      <c r="C997" s="32">
        <v>131.881</v>
      </c>
      <c r="D997" s="32">
        <v>277.16699999999997</v>
      </c>
      <c r="E997" s="38">
        <v>829.952</v>
      </c>
      <c r="F997" s="32">
        <v>1239</v>
      </c>
      <c r="G997" s="32">
        <v>75</v>
      </c>
      <c r="H997" s="40">
        <v>600</v>
      </c>
      <c r="I997" s="32">
        <v>695</v>
      </c>
      <c r="J997" s="32">
        <v>0</v>
      </c>
      <c r="K997" s="33"/>
      <c r="L997" s="33"/>
      <c r="M997" s="33"/>
      <c r="N997" s="33"/>
      <c r="O997" s="33"/>
      <c r="P997" s="33"/>
      <c r="Q997" s="33"/>
      <c r="R997" s="33"/>
      <c r="S997" s="33"/>
      <c r="T997" s="33"/>
    </row>
    <row r="998" spans="1:20" ht="15.75">
      <c r="A998" s="13">
        <v>72289</v>
      </c>
      <c r="B998" s="41">
        <f t="shared" si="6"/>
        <v>30</v>
      </c>
      <c r="C998" s="32">
        <v>122.58</v>
      </c>
      <c r="D998" s="32">
        <v>297.94099999999997</v>
      </c>
      <c r="E998" s="38">
        <v>729.47900000000004</v>
      </c>
      <c r="F998" s="32">
        <v>1150</v>
      </c>
      <c r="G998" s="32">
        <v>100</v>
      </c>
      <c r="H998" s="40">
        <v>600</v>
      </c>
      <c r="I998" s="32">
        <v>695</v>
      </c>
      <c r="J998" s="32">
        <v>50</v>
      </c>
      <c r="K998" s="33"/>
      <c r="L998" s="33"/>
      <c r="M998" s="33"/>
      <c r="N998" s="33"/>
      <c r="O998" s="33"/>
      <c r="P998" s="33"/>
      <c r="Q998" s="33"/>
      <c r="R998" s="33"/>
      <c r="S998" s="33"/>
      <c r="T998" s="33"/>
    </row>
    <row r="999" spans="1:20" ht="15.75">
      <c r="A999" s="13">
        <v>72320</v>
      </c>
      <c r="B999" s="41">
        <f t="shared" si="6"/>
        <v>31</v>
      </c>
      <c r="C999" s="32">
        <v>122.58</v>
      </c>
      <c r="D999" s="32">
        <v>297.94099999999997</v>
      </c>
      <c r="E999" s="38">
        <v>729.47900000000004</v>
      </c>
      <c r="F999" s="32">
        <v>1150</v>
      </c>
      <c r="G999" s="32">
        <v>100</v>
      </c>
      <c r="H999" s="40">
        <v>600</v>
      </c>
      <c r="I999" s="32">
        <v>695</v>
      </c>
      <c r="J999" s="32">
        <v>50</v>
      </c>
      <c r="K999" s="33"/>
      <c r="L999" s="33"/>
      <c r="M999" s="33"/>
      <c r="N999" s="33"/>
      <c r="O999" s="33"/>
      <c r="P999" s="33"/>
      <c r="Q999" s="33"/>
      <c r="R999" s="33"/>
      <c r="S999" s="33"/>
      <c r="T999" s="33"/>
    </row>
    <row r="1000" spans="1:20" ht="15.75">
      <c r="A1000" s="13">
        <v>72351</v>
      </c>
      <c r="B1000" s="41">
        <f t="shared" si="6"/>
        <v>31</v>
      </c>
      <c r="C1000" s="32">
        <v>122.58</v>
      </c>
      <c r="D1000" s="32">
        <v>297.94099999999997</v>
      </c>
      <c r="E1000" s="38">
        <v>729.47900000000004</v>
      </c>
      <c r="F1000" s="32">
        <v>1150</v>
      </c>
      <c r="G1000" s="32">
        <v>100</v>
      </c>
      <c r="H1000" s="40">
        <v>600</v>
      </c>
      <c r="I1000" s="32">
        <v>695</v>
      </c>
      <c r="J1000" s="32">
        <v>50</v>
      </c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</row>
    <row r="1001" spans="1:20" ht="15.75">
      <c r="A1001" s="13">
        <v>72379</v>
      </c>
      <c r="B1001" s="41">
        <f t="shared" si="6"/>
        <v>28</v>
      </c>
      <c r="C1001" s="32">
        <v>122.58</v>
      </c>
      <c r="D1001" s="32">
        <v>297.94099999999997</v>
      </c>
      <c r="E1001" s="38">
        <v>729.47900000000004</v>
      </c>
      <c r="F1001" s="32">
        <v>1150</v>
      </c>
      <c r="G1001" s="32">
        <v>100</v>
      </c>
      <c r="H1001" s="40">
        <v>600</v>
      </c>
      <c r="I1001" s="32">
        <v>695</v>
      </c>
      <c r="J1001" s="32">
        <v>50</v>
      </c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</row>
    <row r="1002" spans="1:20" ht="15.75">
      <c r="A1002" s="13">
        <v>72410</v>
      </c>
      <c r="B1002" s="41">
        <f t="shared" si="6"/>
        <v>31</v>
      </c>
      <c r="C1002" s="32">
        <v>122.58</v>
      </c>
      <c r="D1002" s="32">
        <v>297.94099999999997</v>
      </c>
      <c r="E1002" s="38">
        <v>729.47900000000004</v>
      </c>
      <c r="F1002" s="32">
        <v>1150</v>
      </c>
      <c r="G1002" s="32">
        <v>100</v>
      </c>
      <c r="H1002" s="40">
        <v>600</v>
      </c>
      <c r="I1002" s="32">
        <v>695</v>
      </c>
      <c r="J1002" s="32">
        <v>50</v>
      </c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</row>
    <row r="1003" spans="1:20" ht="15.75">
      <c r="A1003" s="13">
        <v>72440</v>
      </c>
      <c r="B1003" s="41">
        <f t="shared" si="6"/>
        <v>30</v>
      </c>
      <c r="C1003" s="32">
        <v>141.29300000000001</v>
      </c>
      <c r="D1003" s="32">
        <v>267.99299999999999</v>
      </c>
      <c r="E1003" s="38">
        <v>829.71400000000006</v>
      </c>
      <c r="F1003" s="32">
        <v>1239</v>
      </c>
      <c r="G1003" s="32">
        <v>100</v>
      </c>
      <c r="H1003" s="40">
        <v>600</v>
      </c>
      <c r="I1003" s="32">
        <v>695</v>
      </c>
      <c r="J1003" s="32">
        <v>50</v>
      </c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</row>
    <row r="1004" spans="1:20" ht="15.75">
      <c r="A1004" s="13">
        <v>72471</v>
      </c>
      <c r="B1004" s="41">
        <f t="shared" si="6"/>
        <v>31</v>
      </c>
      <c r="C1004" s="32">
        <v>194.20500000000001</v>
      </c>
      <c r="D1004" s="32">
        <v>267.46600000000001</v>
      </c>
      <c r="E1004" s="38">
        <v>812.32899999999995</v>
      </c>
      <c r="F1004" s="32">
        <v>1274</v>
      </c>
      <c r="G1004" s="32">
        <v>75</v>
      </c>
      <c r="H1004" s="40">
        <v>600</v>
      </c>
      <c r="I1004" s="32">
        <v>695</v>
      </c>
      <c r="J1004" s="32">
        <v>50</v>
      </c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</row>
    <row r="1005" spans="1:20" ht="15.75">
      <c r="A1005" s="13">
        <v>72501</v>
      </c>
      <c r="B1005" s="41">
        <f t="shared" si="6"/>
        <v>30</v>
      </c>
      <c r="C1005" s="32">
        <v>194.20500000000001</v>
      </c>
      <c r="D1005" s="32">
        <v>267.46600000000001</v>
      </c>
      <c r="E1005" s="38">
        <v>812.32899999999995</v>
      </c>
      <c r="F1005" s="32">
        <v>1274</v>
      </c>
      <c r="G1005" s="32">
        <v>50</v>
      </c>
      <c r="H1005" s="40">
        <v>600</v>
      </c>
      <c r="I1005" s="32">
        <v>695</v>
      </c>
      <c r="J1005" s="32">
        <v>50</v>
      </c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</row>
    <row r="1006" spans="1:20" ht="15.75">
      <c r="A1006" s="13">
        <v>72532</v>
      </c>
      <c r="B1006" s="41">
        <f t="shared" si="6"/>
        <v>31</v>
      </c>
      <c r="C1006" s="32">
        <v>194.20500000000001</v>
      </c>
      <c r="D1006" s="32">
        <v>267.46600000000001</v>
      </c>
      <c r="E1006" s="38">
        <v>812.32899999999995</v>
      </c>
      <c r="F1006" s="32">
        <v>1274</v>
      </c>
      <c r="G1006" s="32">
        <v>50</v>
      </c>
      <c r="H1006" s="40">
        <v>600</v>
      </c>
      <c r="I1006" s="32">
        <v>695</v>
      </c>
      <c r="J1006" s="32">
        <v>0</v>
      </c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</row>
    <row r="1007" spans="1:20" ht="15.75">
      <c r="A1007" s="13">
        <v>72563</v>
      </c>
      <c r="B1007" s="41">
        <f t="shared" si="6"/>
        <v>31</v>
      </c>
      <c r="C1007" s="32">
        <v>194.20500000000001</v>
      </c>
      <c r="D1007" s="32">
        <v>267.46600000000001</v>
      </c>
      <c r="E1007" s="38">
        <v>812.32899999999995</v>
      </c>
      <c r="F1007" s="32">
        <v>1274</v>
      </c>
      <c r="G1007" s="32">
        <v>50</v>
      </c>
      <c r="H1007" s="40">
        <v>600</v>
      </c>
      <c r="I1007" s="32">
        <v>695</v>
      </c>
      <c r="J1007" s="32">
        <v>0</v>
      </c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</row>
    <row r="1008" spans="1:20" ht="15.75">
      <c r="A1008" s="13">
        <v>72593</v>
      </c>
      <c r="B1008" s="41">
        <f t="shared" si="6"/>
        <v>30</v>
      </c>
      <c r="C1008" s="32">
        <v>194.20500000000001</v>
      </c>
      <c r="D1008" s="32">
        <v>267.46600000000001</v>
      </c>
      <c r="E1008" s="38">
        <v>812.32899999999995</v>
      </c>
      <c r="F1008" s="32">
        <v>1274</v>
      </c>
      <c r="G1008" s="32">
        <v>50</v>
      </c>
      <c r="H1008" s="40">
        <v>600</v>
      </c>
      <c r="I1008" s="32">
        <v>695</v>
      </c>
      <c r="J1008" s="32">
        <v>0</v>
      </c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</row>
    <row r="1009" spans="1:20" ht="15.75">
      <c r="A1009" s="13">
        <v>72624</v>
      </c>
      <c r="B1009" s="41">
        <f t="shared" si="6"/>
        <v>31</v>
      </c>
      <c r="C1009" s="32">
        <v>131.881</v>
      </c>
      <c r="D1009" s="32">
        <v>277.16699999999997</v>
      </c>
      <c r="E1009" s="38">
        <v>829.952</v>
      </c>
      <c r="F1009" s="32">
        <v>1239</v>
      </c>
      <c r="G1009" s="32">
        <v>75</v>
      </c>
      <c r="H1009" s="40">
        <v>600</v>
      </c>
      <c r="I1009" s="32">
        <v>695</v>
      </c>
      <c r="J1009" s="32">
        <v>0</v>
      </c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</row>
    <row r="1010" spans="1:20" ht="15.75">
      <c r="A1010" s="13">
        <v>72654</v>
      </c>
      <c r="B1010" s="41">
        <f t="shared" si="6"/>
        <v>30</v>
      </c>
      <c r="C1010" s="32">
        <v>122.58</v>
      </c>
      <c r="D1010" s="32">
        <v>297.94099999999997</v>
      </c>
      <c r="E1010" s="38">
        <v>729.47900000000004</v>
      </c>
      <c r="F1010" s="32">
        <v>1150</v>
      </c>
      <c r="G1010" s="32">
        <v>100</v>
      </c>
      <c r="H1010" s="40">
        <v>600</v>
      </c>
      <c r="I1010" s="32">
        <v>695</v>
      </c>
      <c r="J1010" s="32">
        <v>50</v>
      </c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</row>
    <row r="1011" spans="1:20" ht="15.75">
      <c r="A1011" s="13">
        <v>72685</v>
      </c>
      <c r="B1011" s="41">
        <f t="shared" si="6"/>
        <v>31</v>
      </c>
      <c r="C1011" s="32">
        <v>122.58</v>
      </c>
      <c r="D1011" s="32">
        <v>297.94099999999997</v>
      </c>
      <c r="E1011" s="38">
        <v>729.47900000000004</v>
      </c>
      <c r="F1011" s="32">
        <v>1150</v>
      </c>
      <c r="G1011" s="32">
        <v>100</v>
      </c>
      <c r="H1011" s="40">
        <v>600</v>
      </c>
      <c r="I1011" s="32">
        <v>695</v>
      </c>
      <c r="J1011" s="32">
        <v>50</v>
      </c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</row>
    <row r="1012" spans="1:20" ht="15.75">
      <c r="A1012" s="13">
        <v>72716</v>
      </c>
      <c r="B1012" s="41">
        <f t="shared" si="6"/>
        <v>31</v>
      </c>
      <c r="C1012" s="32">
        <v>122.58</v>
      </c>
      <c r="D1012" s="32">
        <v>297.94099999999997</v>
      </c>
      <c r="E1012" s="38">
        <v>729.47900000000004</v>
      </c>
      <c r="F1012" s="32">
        <v>1150</v>
      </c>
      <c r="G1012" s="32">
        <v>100</v>
      </c>
      <c r="H1012" s="40">
        <v>600</v>
      </c>
      <c r="I1012" s="32">
        <v>695</v>
      </c>
      <c r="J1012" s="32">
        <v>50</v>
      </c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</row>
    <row r="1013" spans="1:20" ht="15.75">
      <c r="A1013" s="13">
        <v>72744</v>
      </c>
      <c r="B1013" s="41">
        <f t="shared" si="6"/>
        <v>28</v>
      </c>
      <c r="C1013" s="32">
        <v>122.58</v>
      </c>
      <c r="D1013" s="32">
        <v>297.94099999999997</v>
      </c>
      <c r="E1013" s="38">
        <v>729.47900000000004</v>
      </c>
      <c r="F1013" s="32">
        <v>1150</v>
      </c>
      <c r="G1013" s="32">
        <v>100</v>
      </c>
      <c r="H1013" s="40">
        <v>600</v>
      </c>
      <c r="I1013" s="32">
        <v>695</v>
      </c>
      <c r="J1013" s="32">
        <v>50</v>
      </c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</row>
    <row r="1014" spans="1:20" ht="15.75">
      <c r="A1014" s="13">
        <v>72775</v>
      </c>
      <c r="B1014" s="41">
        <f t="shared" si="6"/>
        <v>31</v>
      </c>
      <c r="C1014" s="32">
        <v>122.58</v>
      </c>
      <c r="D1014" s="32">
        <v>297.94099999999997</v>
      </c>
      <c r="E1014" s="38">
        <v>729.47900000000004</v>
      </c>
      <c r="F1014" s="32">
        <v>1150</v>
      </c>
      <c r="G1014" s="32">
        <v>100</v>
      </c>
      <c r="H1014" s="40">
        <v>600</v>
      </c>
      <c r="I1014" s="32">
        <v>695</v>
      </c>
      <c r="J1014" s="32">
        <v>50</v>
      </c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</row>
    <row r="1015" spans="1:20" ht="15.75">
      <c r="A1015" s="13">
        <v>72805</v>
      </c>
      <c r="B1015" s="41">
        <f t="shared" si="6"/>
        <v>30</v>
      </c>
      <c r="C1015" s="32">
        <v>141.29300000000001</v>
      </c>
      <c r="D1015" s="32">
        <v>267.99299999999999</v>
      </c>
      <c r="E1015" s="38">
        <v>829.71400000000006</v>
      </c>
      <c r="F1015" s="32">
        <v>1239</v>
      </c>
      <c r="G1015" s="32">
        <v>100</v>
      </c>
      <c r="H1015" s="40">
        <v>600</v>
      </c>
      <c r="I1015" s="32">
        <v>695</v>
      </c>
      <c r="J1015" s="32">
        <v>50</v>
      </c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</row>
    <row r="1016" spans="1:20" ht="15.75">
      <c r="A1016" s="13">
        <v>72836</v>
      </c>
      <c r="B1016" s="41">
        <f t="shared" ref="B1016:B1035" si="7">EOMONTH(A1016,0)-EOMONTH(A1016,-1)</f>
        <v>31</v>
      </c>
      <c r="C1016" s="32">
        <v>194.20500000000001</v>
      </c>
      <c r="D1016" s="32">
        <v>267.46600000000001</v>
      </c>
      <c r="E1016" s="38">
        <v>812.32899999999995</v>
      </c>
      <c r="F1016" s="32">
        <v>1274</v>
      </c>
      <c r="G1016" s="32">
        <v>75</v>
      </c>
      <c r="H1016" s="40">
        <v>600</v>
      </c>
      <c r="I1016" s="32">
        <v>695</v>
      </c>
      <c r="J1016" s="32">
        <v>50</v>
      </c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</row>
    <row r="1017" spans="1:20" ht="15.75">
      <c r="A1017" s="13">
        <v>72866</v>
      </c>
      <c r="B1017" s="41">
        <f t="shared" si="7"/>
        <v>30</v>
      </c>
      <c r="C1017" s="32">
        <v>194.20500000000001</v>
      </c>
      <c r="D1017" s="32">
        <v>267.46600000000001</v>
      </c>
      <c r="E1017" s="38">
        <v>812.32899999999995</v>
      </c>
      <c r="F1017" s="32">
        <v>1274</v>
      </c>
      <c r="G1017" s="32">
        <v>50</v>
      </c>
      <c r="H1017" s="40">
        <v>600</v>
      </c>
      <c r="I1017" s="32">
        <v>695</v>
      </c>
      <c r="J1017" s="32">
        <v>50</v>
      </c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</row>
    <row r="1018" spans="1:20" ht="15.75">
      <c r="A1018" s="13">
        <v>72897</v>
      </c>
      <c r="B1018" s="41">
        <f t="shared" si="7"/>
        <v>31</v>
      </c>
      <c r="C1018" s="32">
        <v>194.20500000000001</v>
      </c>
      <c r="D1018" s="32">
        <v>267.46600000000001</v>
      </c>
      <c r="E1018" s="38">
        <v>812.32899999999995</v>
      </c>
      <c r="F1018" s="32">
        <v>1274</v>
      </c>
      <c r="G1018" s="32">
        <v>50</v>
      </c>
      <c r="H1018" s="40">
        <v>600</v>
      </c>
      <c r="I1018" s="32">
        <v>695</v>
      </c>
      <c r="J1018" s="32">
        <v>0</v>
      </c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</row>
    <row r="1019" spans="1:20" ht="15.75">
      <c r="A1019" s="13">
        <v>72928</v>
      </c>
      <c r="B1019" s="41">
        <f t="shared" si="7"/>
        <v>31</v>
      </c>
      <c r="C1019" s="32">
        <v>194.20500000000001</v>
      </c>
      <c r="D1019" s="32">
        <v>267.46600000000001</v>
      </c>
      <c r="E1019" s="38">
        <v>812.32899999999995</v>
      </c>
      <c r="F1019" s="32">
        <v>1274</v>
      </c>
      <c r="G1019" s="32">
        <v>50</v>
      </c>
      <c r="H1019" s="40">
        <v>600</v>
      </c>
      <c r="I1019" s="32">
        <v>695</v>
      </c>
      <c r="J1019" s="32">
        <v>0</v>
      </c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</row>
    <row r="1020" spans="1:20" ht="15.75">
      <c r="A1020" s="13">
        <v>72958</v>
      </c>
      <c r="B1020" s="41">
        <f t="shared" si="7"/>
        <v>30</v>
      </c>
      <c r="C1020" s="32">
        <v>194.20500000000001</v>
      </c>
      <c r="D1020" s="32">
        <v>267.46600000000001</v>
      </c>
      <c r="E1020" s="38">
        <v>812.32899999999995</v>
      </c>
      <c r="F1020" s="32">
        <v>1274</v>
      </c>
      <c r="G1020" s="32">
        <v>50</v>
      </c>
      <c r="H1020" s="40">
        <v>600</v>
      </c>
      <c r="I1020" s="32">
        <v>695</v>
      </c>
      <c r="J1020" s="32">
        <v>0</v>
      </c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</row>
    <row r="1021" spans="1:20" ht="15.75">
      <c r="A1021" s="13">
        <v>72989</v>
      </c>
      <c r="B1021" s="41">
        <f t="shared" si="7"/>
        <v>31</v>
      </c>
      <c r="C1021" s="32">
        <v>131.881</v>
      </c>
      <c r="D1021" s="32">
        <v>277.16699999999997</v>
      </c>
      <c r="E1021" s="38">
        <v>829.952</v>
      </c>
      <c r="F1021" s="32">
        <v>1239</v>
      </c>
      <c r="G1021" s="32">
        <v>75</v>
      </c>
      <c r="H1021" s="40">
        <v>600</v>
      </c>
      <c r="I1021" s="32">
        <v>695</v>
      </c>
      <c r="J1021" s="32">
        <v>0</v>
      </c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</row>
    <row r="1022" spans="1:20" ht="15.75">
      <c r="A1022" s="13">
        <v>73019</v>
      </c>
      <c r="B1022" s="41">
        <f t="shared" si="7"/>
        <v>30</v>
      </c>
      <c r="C1022" s="32">
        <v>122.58</v>
      </c>
      <c r="D1022" s="32">
        <v>297.94099999999997</v>
      </c>
      <c r="E1022" s="38">
        <v>729.47900000000004</v>
      </c>
      <c r="F1022" s="32">
        <v>1150</v>
      </c>
      <c r="G1022" s="32">
        <v>100</v>
      </c>
      <c r="H1022" s="40">
        <v>600</v>
      </c>
      <c r="I1022" s="32">
        <v>695</v>
      </c>
      <c r="J1022" s="32">
        <v>50</v>
      </c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</row>
    <row r="1023" spans="1:20" ht="15.75">
      <c r="A1023" s="13">
        <v>73050</v>
      </c>
      <c r="B1023" s="41">
        <f t="shared" si="7"/>
        <v>31</v>
      </c>
      <c r="C1023" s="32">
        <v>122.58</v>
      </c>
      <c r="D1023" s="32">
        <v>297.94099999999997</v>
      </c>
      <c r="E1023" s="38">
        <v>729.47900000000004</v>
      </c>
      <c r="F1023" s="32">
        <v>1150</v>
      </c>
      <c r="G1023" s="32">
        <v>100</v>
      </c>
      <c r="H1023" s="40">
        <v>600</v>
      </c>
      <c r="I1023" s="32">
        <v>695</v>
      </c>
      <c r="J1023" s="32">
        <v>50</v>
      </c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</row>
    <row r="1024" spans="1:20" ht="15.75">
      <c r="A1024" s="13">
        <v>73081</v>
      </c>
      <c r="B1024" s="41">
        <f t="shared" si="7"/>
        <v>31</v>
      </c>
      <c r="C1024" s="32">
        <v>122.58</v>
      </c>
      <c r="D1024" s="32">
        <v>297.94099999999997</v>
      </c>
      <c r="E1024" s="38">
        <v>729.47900000000004</v>
      </c>
      <c r="F1024" s="32">
        <v>1150</v>
      </c>
      <c r="G1024" s="32">
        <v>100</v>
      </c>
      <c r="H1024" s="40">
        <v>600</v>
      </c>
      <c r="I1024" s="32">
        <v>695</v>
      </c>
      <c r="J1024" s="32">
        <v>50</v>
      </c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</row>
    <row r="1025" spans="1:20" ht="15.75">
      <c r="A1025" s="13">
        <v>73109</v>
      </c>
      <c r="B1025" s="41">
        <f t="shared" si="7"/>
        <v>28</v>
      </c>
      <c r="C1025" s="32">
        <v>122.58</v>
      </c>
      <c r="D1025" s="32">
        <v>297.94099999999997</v>
      </c>
      <c r="E1025" s="38">
        <v>729.47900000000004</v>
      </c>
      <c r="F1025" s="32">
        <v>1150</v>
      </c>
      <c r="G1025" s="32">
        <v>100</v>
      </c>
      <c r="H1025" s="40">
        <v>600</v>
      </c>
      <c r="I1025" s="32">
        <v>695</v>
      </c>
      <c r="J1025" s="32">
        <v>50</v>
      </c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</row>
    <row r="1026" spans="1:20" ht="15.75">
      <c r="A1026" s="13">
        <v>73140</v>
      </c>
      <c r="B1026" s="41">
        <f t="shared" si="7"/>
        <v>31</v>
      </c>
      <c r="C1026" s="32">
        <v>122.58</v>
      </c>
      <c r="D1026" s="32">
        <v>297.94099999999997</v>
      </c>
      <c r="E1026" s="38">
        <v>729.47900000000004</v>
      </c>
      <c r="F1026" s="32">
        <v>1150</v>
      </c>
      <c r="G1026" s="32">
        <v>100</v>
      </c>
      <c r="H1026" s="40">
        <v>600</v>
      </c>
      <c r="I1026" s="32">
        <v>695</v>
      </c>
      <c r="J1026" s="32">
        <v>50</v>
      </c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</row>
    <row r="1027" spans="1:20" ht="15.75">
      <c r="A1027" s="13">
        <v>73170</v>
      </c>
      <c r="B1027" s="41">
        <f t="shared" si="7"/>
        <v>30</v>
      </c>
      <c r="C1027" s="32">
        <v>141.29300000000001</v>
      </c>
      <c r="D1027" s="32">
        <v>267.99299999999999</v>
      </c>
      <c r="E1027" s="38">
        <v>829.71400000000006</v>
      </c>
      <c r="F1027" s="32">
        <v>1239</v>
      </c>
      <c r="G1027" s="32">
        <v>100</v>
      </c>
      <c r="H1027" s="40">
        <v>600</v>
      </c>
      <c r="I1027" s="32">
        <v>695</v>
      </c>
      <c r="J1027" s="32">
        <v>50</v>
      </c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</row>
    <row r="1028" spans="1:20" ht="15.75">
      <c r="A1028" s="13">
        <v>73201</v>
      </c>
      <c r="B1028" s="41">
        <f t="shared" si="7"/>
        <v>31</v>
      </c>
      <c r="C1028" s="32">
        <v>194.20500000000001</v>
      </c>
      <c r="D1028" s="32">
        <v>267.46600000000001</v>
      </c>
      <c r="E1028" s="38">
        <v>812.32899999999995</v>
      </c>
      <c r="F1028" s="32">
        <v>1274</v>
      </c>
      <c r="G1028" s="32">
        <v>75</v>
      </c>
      <c r="H1028" s="40">
        <v>600</v>
      </c>
      <c r="I1028" s="32">
        <v>695</v>
      </c>
      <c r="J1028" s="32">
        <v>50</v>
      </c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</row>
    <row r="1029" spans="1:20" ht="15.75">
      <c r="A1029" s="13">
        <v>73231</v>
      </c>
      <c r="B1029" s="41">
        <f t="shared" si="7"/>
        <v>30</v>
      </c>
      <c r="C1029" s="32">
        <v>194.20500000000001</v>
      </c>
      <c r="D1029" s="32">
        <v>267.46600000000001</v>
      </c>
      <c r="E1029" s="38">
        <v>812.32899999999995</v>
      </c>
      <c r="F1029" s="32">
        <v>1274</v>
      </c>
      <c r="G1029" s="32">
        <v>50</v>
      </c>
      <c r="H1029" s="40">
        <v>600</v>
      </c>
      <c r="I1029" s="32">
        <v>695</v>
      </c>
      <c r="J1029" s="32">
        <v>50</v>
      </c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</row>
    <row r="1030" spans="1:20" ht="15.75">
      <c r="A1030" s="13">
        <v>73262</v>
      </c>
      <c r="B1030" s="41">
        <f t="shared" si="7"/>
        <v>31</v>
      </c>
      <c r="C1030" s="32">
        <v>194.20500000000001</v>
      </c>
      <c r="D1030" s="32">
        <v>267.46600000000001</v>
      </c>
      <c r="E1030" s="38">
        <v>812.32899999999995</v>
      </c>
      <c r="F1030" s="32">
        <v>1274</v>
      </c>
      <c r="G1030" s="32">
        <v>50</v>
      </c>
      <c r="H1030" s="40">
        <v>600</v>
      </c>
      <c r="I1030" s="32">
        <v>695</v>
      </c>
      <c r="J1030" s="32">
        <v>0</v>
      </c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</row>
    <row r="1031" spans="1:20" ht="15.75">
      <c r="A1031" s="13">
        <v>73293</v>
      </c>
      <c r="B1031" s="41">
        <f t="shared" si="7"/>
        <v>31</v>
      </c>
      <c r="C1031" s="32">
        <v>194.20500000000001</v>
      </c>
      <c r="D1031" s="32">
        <v>267.46600000000001</v>
      </c>
      <c r="E1031" s="38">
        <v>812.32899999999995</v>
      </c>
      <c r="F1031" s="32">
        <v>1274</v>
      </c>
      <c r="G1031" s="32">
        <v>50</v>
      </c>
      <c r="H1031" s="40">
        <v>600</v>
      </c>
      <c r="I1031" s="32">
        <v>695</v>
      </c>
      <c r="J1031" s="32">
        <v>0</v>
      </c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</row>
    <row r="1032" spans="1:20" ht="15.75">
      <c r="A1032" s="13">
        <v>73323</v>
      </c>
      <c r="B1032" s="41">
        <f t="shared" si="7"/>
        <v>30</v>
      </c>
      <c r="C1032" s="32">
        <v>194.20500000000001</v>
      </c>
      <c r="D1032" s="32">
        <v>267.46600000000001</v>
      </c>
      <c r="E1032" s="38">
        <v>812.32899999999995</v>
      </c>
      <c r="F1032" s="32">
        <v>1274</v>
      </c>
      <c r="G1032" s="32">
        <v>50</v>
      </c>
      <c r="H1032" s="40">
        <v>600</v>
      </c>
      <c r="I1032" s="32">
        <v>695</v>
      </c>
      <c r="J1032" s="32">
        <v>0</v>
      </c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</row>
    <row r="1033" spans="1:20" ht="15.75">
      <c r="A1033" s="13">
        <v>73354</v>
      </c>
      <c r="B1033" s="41">
        <f t="shared" si="7"/>
        <v>31</v>
      </c>
      <c r="C1033" s="32">
        <v>131.881</v>
      </c>
      <c r="D1033" s="32">
        <v>277.16699999999997</v>
      </c>
      <c r="E1033" s="38">
        <v>829.952</v>
      </c>
      <c r="F1033" s="32">
        <v>1239</v>
      </c>
      <c r="G1033" s="32">
        <v>75</v>
      </c>
      <c r="H1033" s="40">
        <v>600</v>
      </c>
      <c r="I1033" s="32">
        <v>695</v>
      </c>
      <c r="J1033" s="32">
        <v>0</v>
      </c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</row>
    <row r="1034" spans="1:20" ht="15.75">
      <c r="A1034" s="13">
        <v>73384</v>
      </c>
      <c r="B1034" s="41">
        <f t="shared" si="7"/>
        <v>30</v>
      </c>
      <c r="C1034" s="32">
        <v>122.58</v>
      </c>
      <c r="D1034" s="32">
        <v>297.94099999999997</v>
      </c>
      <c r="E1034" s="38">
        <v>729.47900000000004</v>
      </c>
      <c r="F1034" s="32">
        <v>1150</v>
      </c>
      <c r="G1034" s="32">
        <v>100</v>
      </c>
      <c r="H1034" s="40">
        <v>600</v>
      </c>
      <c r="I1034" s="32">
        <v>695</v>
      </c>
      <c r="J1034" s="32">
        <v>50</v>
      </c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</row>
    <row r="1035" spans="1:20" ht="15.75">
      <c r="A1035" s="13">
        <v>73415</v>
      </c>
      <c r="B1035" s="41">
        <f t="shared" si="7"/>
        <v>31</v>
      </c>
      <c r="C1035" s="32">
        <v>122.58</v>
      </c>
      <c r="D1035" s="32">
        <v>297.94099999999997</v>
      </c>
      <c r="E1035" s="38">
        <v>729.47900000000004</v>
      </c>
      <c r="F1035" s="32">
        <v>1150</v>
      </c>
      <c r="G1035" s="32">
        <v>100</v>
      </c>
      <c r="H1035" s="40">
        <v>600</v>
      </c>
      <c r="I1035" s="32">
        <v>695</v>
      </c>
      <c r="J1035" s="32">
        <v>50</v>
      </c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</row>
    <row r="1036" spans="1:20" ht="15">
      <c r="A1036" s="10"/>
      <c r="B1036" s="39"/>
      <c r="C1036" s="32"/>
      <c r="D1036" s="32"/>
      <c r="E1036" s="38"/>
      <c r="F1036" s="32"/>
      <c r="G1036" s="32"/>
      <c r="H1036" s="32"/>
      <c r="I1036" s="32"/>
      <c r="J1036" s="32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</row>
    <row r="1037" spans="1:20" ht="15.75">
      <c r="A1037" s="3">
        <v>2016</v>
      </c>
      <c r="B1037" s="3">
        <f t="shared" ref="B1037:B1068" si="8">DATE(A1037+1,1,1)-DATE(A1037,1,1)</f>
        <v>366</v>
      </c>
      <c r="C1037" s="35">
        <f>AVERAGE(C16:C27)</f>
        <v>154.75825</v>
      </c>
      <c r="D1037" s="35">
        <f>AVERAGE(D16:D27)</f>
        <v>281.0162499999999</v>
      </c>
      <c r="E1037" s="35">
        <f>AVERAGE(E16:E27)</f>
        <v>840.72549999999967</v>
      </c>
      <c r="F1037" s="35">
        <f>AVERAGE(F16:F27)</f>
        <v>1276.5</v>
      </c>
      <c r="G1037" s="35">
        <f>AVERAGE(G16:G27)</f>
        <v>79.166666666666671</v>
      </c>
      <c r="H1037" s="37"/>
      <c r="I1037" s="35">
        <f>AVERAGE(I16:I27)</f>
        <v>695</v>
      </c>
      <c r="J1037" s="35">
        <f>AVERAGE(J16:J27)</f>
        <v>33.333333333333336</v>
      </c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</row>
    <row r="1038" spans="1:20" ht="15">
      <c r="A1038" s="3">
        <v>2017</v>
      </c>
      <c r="B1038" s="3">
        <f t="shared" si="8"/>
        <v>365</v>
      </c>
      <c r="C1038" s="35">
        <f t="shared" ref="C1038:J1038" si="9">AVERAGE(C28:C39)</f>
        <v>154.75825</v>
      </c>
      <c r="D1038" s="35">
        <f t="shared" si="9"/>
        <v>281.0162499999999</v>
      </c>
      <c r="E1038" s="35">
        <f t="shared" si="9"/>
        <v>780.7254999999999</v>
      </c>
      <c r="F1038" s="35">
        <f t="shared" si="9"/>
        <v>1216.5</v>
      </c>
      <c r="G1038" s="35">
        <f t="shared" si="9"/>
        <v>79.166666666666671</v>
      </c>
      <c r="H1038" s="36">
        <f t="shared" si="9"/>
        <v>400</v>
      </c>
      <c r="I1038" s="35">
        <f t="shared" si="9"/>
        <v>695</v>
      </c>
      <c r="J1038" s="35">
        <f t="shared" si="9"/>
        <v>33.333333333333336</v>
      </c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</row>
    <row r="1039" spans="1:20" ht="15">
      <c r="A1039" s="3">
        <v>2018</v>
      </c>
      <c r="B1039" s="3">
        <f t="shared" si="8"/>
        <v>365</v>
      </c>
      <c r="C1039" s="35">
        <f t="shared" ref="C1039:J1039" si="10">AVERAGE(C40:C51)</f>
        <v>154.75825</v>
      </c>
      <c r="D1039" s="35">
        <f t="shared" si="10"/>
        <v>281.0162499999999</v>
      </c>
      <c r="E1039" s="35">
        <f t="shared" si="10"/>
        <v>780.7254999999999</v>
      </c>
      <c r="F1039" s="35">
        <f t="shared" si="10"/>
        <v>1216.5</v>
      </c>
      <c r="G1039" s="35">
        <f t="shared" si="10"/>
        <v>79.166666666666671</v>
      </c>
      <c r="H1039" s="36">
        <f t="shared" si="10"/>
        <v>400</v>
      </c>
      <c r="I1039" s="35">
        <f t="shared" si="10"/>
        <v>695</v>
      </c>
      <c r="J1039" s="35">
        <f t="shared" si="10"/>
        <v>33.333333333333336</v>
      </c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</row>
    <row r="1040" spans="1:20" ht="15">
      <c r="A1040" s="3">
        <v>2019</v>
      </c>
      <c r="B1040" s="3">
        <f t="shared" si="8"/>
        <v>365</v>
      </c>
      <c r="C1040" s="35">
        <f t="shared" ref="C1040:J1040" si="11">AVERAGE(C52:C63)</f>
        <v>154.75825</v>
      </c>
      <c r="D1040" s="35">
        <f t="shared" si="11"/>
        <v>281.0162499999999</v>
      </c>
      <c r="E1040" s="35">
        <f t="shared" si="11"/>
        <v>780.7254999999999</v>
      </c>
      <c r="F1040" s="35">
        <f t="shared" si="11"/>
        <v>1216.5</v>
      </c>
      <c r="G1040" s="35">
        <f t="shared" si="11"/>
        <v>79.166666666666671</v>
      </c>
      <c r="H1040" s="36">
        <f t="shared" si="11"/>
        <v>400</v>
      </c>
      <c r="I1040" s="35">
        <f t="shared" si="11"/>
        <v>695</v>
      </c>
      <c r="J1040" s="35">
        <f t="shared" si="11"/>
        <v>33.333333333333336</v>
      </c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</row>
    <row r="1041" spans="1:20" ht="15">
      <c r="A1041" s="3">
        <v>2020</v>
      </c>
      <c r="B1041" s="3">
        <f t="shared" si="8"/>
        <v>366</v>
      </c>
      <c r="C1041" s="35">
        <f t="shared" ref="C1041:J1041" si="12">AVERAGE(C64:C75)</f>
        <v>154.75825</v>
      </c>
      <c r="D1041" s="35">
        <f t="shared" si="12"/>
        <v>281.0162499999999</v>
      </c>
      <c r="E1041" s="35">
        <f t="shared" si="12"/>
        <v>780.7254999999999</v>
      </c>
      <c r="F1041" s="35">
        <f t="shared" si="12"/>
        <v>1216.5</v>
      </c>
      <c r="G1041" s="35">
        <f t="shared" si="12"/>
        <v>79.166666666666671</v>
      </c>
      <c r="H1041" s="36">
        <f t="shared" si="12"/>
        <v>533.33333333333337</v>
      </c>
      <c r="I1041" s="35">
        <f t="shared" si="12"/>
        <v>695</v>
      </c>
      <c r="J1041" s="35">
        <f t="shared" si="12"/>
        <v>33.333333333333336</v>
      </c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</row>
    <row r="1042" spans="1:20" ht="15">
      <c r="A1042" s="3">
        <v>2021</v>
      </c>
      <c r="B1042" s="3">
        <f t="shared" si="8"/>
        <v>365</v>
      </c>
      <c r="C1042" s="35">
        <f t="shared" ref="C1042:J1042" si="13">AVERAGE(C76:C87)</f>
        <v>154.75825</v>
      </c>
      <c r="D1042" s="35">
        <f t="shared" si="13"/>
        <v>281.0162499999999</v>
      </c>
      <c r="E1042" s="35">
        <f t="shared" si="13"/>
        <v>780.7254999999999</v>
      </c>
      <c r="F1042" s="35">
        <f t="shared" si="13"/>
        <v>1216.5</v>
      </c>
      <c r="G1042" s="35">
        <f t="shared" si="13"/>
        <v>79.166666666666671</v>
      </c>
      <c r="H1042" s="36">
        <f t="shared" si="13"/>
        <v>600</v>
      </c>
      <c r="I1042" s="35">
        <f t="shared" si="13"/>
        <v>695</v>
      </c>
      <c r="J1042" s="35">
        <f t="shared" si="13"/>
        <v>33.333333333333336</v>
      </c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</row>
    <row r="1043" spans="1:20" ht="15">
      <c r="A1043" s="3">
        <v>2022</v>
      </c>
      <c r="B1043" s="3">
        <f t="shared" si="8"/>
        <v>365</v>
      </c>
      <c r="C1043" s="35">
        <f t="shared" ref="C1043:J1043" si="14">AVERAGE(C88:C99)</f>
        <v>154.75825</v>
      </c>
      <c r="D1043" s="35">
        <f t="shared" si="14"/>
        <v>281.0162499999999</v>
      </c>
      <c r="E1043" s="35">
        <f t="shared" si="14"/>
        <v>780.7254999999999</v>
      </c>
      <c r="F1043" s="35">
        <f t="shared" si="14"/>
        <v>1216.5</v>
      </c>
      <c r="G1043" s="35">
        <f t="shared" si="14"/>
        <v>79.166666666666671</v>
      </c>
      <c r="H1043" s="36">
        <f t="shared" si="14"/>
        <v>600</v>
      </c>
      <c r="I1043" s="35">
        <f t="shared" si="14"/>
        <v>695</v>
      </c>
      <c r="J1043" s="35">
        <f t="shared" si="14"/>
        <v>33.333333333333336</v>
      </c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</row>
    <row r="1044" spans="1:20" ht="15">
      <c r="A1044" s="3">
        <v>2023</v>
      </c>
      <c r="B1044" s="3">
        <f t="shared" si="8"/>
        <v>365</v>
      </c>
      <c r="C1044" s="35">
        <f t="shared" ref="C1044:J1044" si="15">AVERAGE(C100:C111)</f>
        <v>154.75825</v>
      </c>
      <c r="D1044" s="35">
        <f t="shared" si="15"/>
        <v>281.0162499999999</v>
      </c>
      <c r="E1044" s="35">
        <f t="shared" si="15"/>
        <v>780.7254999999999</v>
      </c>
      <c r="F1044" s="35">
        <f t="shared" si="15"/>
        <v>1216.5</v>
      </c>
      <c r="G1044" s="35">
        <f t="shared" si="15"/>
        <v>79.166666666666671</v>
      </c>
      <c r="H1044" s="36">
        <f t="shared" si="15"/>
        <v>600</v>
      </c>
      <c r="I1044" s="35">
        <f t="shared" si="15"/>
        <v>695</v>
      </c>
      <c r="J1044" s="35">
        <f t="shared" si="15"/>
        <v>33.333333333333336</v>
      </c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</row>
    <row r="1045" spans="1:20" ht="15">
      <c r="A1045" s="3">
        <v>2024</v>
      </c>
      <c r="B1045" s="3">
        <f t="shared" si="8"/>
        <v>366</v>
      </c>
      <c r="C1045" s="35">
        <f t="shared" ref="C1045:J1045" si="16">AVERAGE(C112:C123)</f>
        <v>154.75825</v>
      </c>
      <c r="D1045" s="35">
        <f t="shared" si="16"/>
        <v>281.0162499999999</v>
      </c>
      <c r="E1045" s="35">
        <f t="shared" si="16"/>
        <v>780.7254999999999</v>
      </c>
      <c r="F1045" s="35">
        <f t="shared" si="16"/>
        <v>1216.5</v>
      </c>
      <c r="G1045" s="35">
        <f t="shared" si="16"/>
        <v>79.166666666666671</v>
      </c>
      <c r="H1045" s="36">
        <f t="shared" si="16"/>
        <v>600</v>
      </c>
      <c r="I1045" s="35">
        <f t="shared" si="16"/>
        <v>695</v>
      </c>
      <c r="J1045" s="35">
        <f t="shared" si="16"/>
        <v>33.333333333333336</v>
      </c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</row>
    <row r="1046" spans="1:20" ht="15">
      <c r="A1046" s="3">
        <v>2025</v>
      </c>
      <c r="B1046" s="3">
        <f t="shared" si="8"/>
        <v>365</v>
      </c>
      <c r="C1046" s="35">
        <f t="shared" ref="C1046:J1046" si="17">AVERAGE(C124:C135)</f>
        <v>154.75825</v>
      </c>
      <c r="D1046" s="35">
        <f t="shared" si="17"/>
        <v>281.0162499999999</v>
      </c>
      <c r="E1046" s="35">
        <f t="shared" si="17"/>
        <v>780.7254999999999</v>
      </c>
      <c r="F1046" s="35">
        <f t="shared" si="17"/>
        <v>1216.5</v>
      </c>
      <c r="G1046" s="35">
        <f t="shared" si="17"/>
        <v>79.166666666666671</v>
      </c>
      <c r="H1046" s="36">
        <f t="shared" si="17"/>
        <v>600</v>
      </c>
      <c r="I1046" s="35">
        <f t="shared" si="17"/>
        <v>695</v>
      </c>
      <c r="J1046" s="35">
        <f t="shared" si="17"/>
        <v>33.333333333333336</v>
      </c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</row>
    <row r="1047" spans="1:20" ht="15">
      <c r="A1047" s="3">
        <v>2026</v>
      </c>
      <c r="B1047" s="3">
        <f t="shared" si="8"/>
        <v>365</v>
      </c>
      <c r="C1047" s="35">
        <f t="shared" ref="C1047:J1047" si="18">AVERAGE(C136:C147)</f>
        <v>154.75825</v>
      </c>
      <c r="D1047" s="35">
        <f t="shared" si="18"/>
        <v>281.0162499999999</v>
      </c>
      <c r="E1047" s="35">
        <f t="shared" si="18"/>
        <v>780.7254999999999</v>
      </c>
      <c r="F1047" s="35">
        <f t="shared" si="18"/>
        <v>1216.5</v>
      </c>
      <c r="G1047" s="35">
        <f t="shared" si="18"/>
        <v>79.166666666666671</v>
      </c>
      <c r="H1047" s="36">
        <f t="shared" si="18"/>
        <v>600</v>
      </c>
      <c r="I1047" s="35">
        <f t="shared" si="18"/>
        <v>695</v>
      </c>
      <c r="J1047" s="35">
        <f t="shared" si="18"/>
        <v>33.333333333333336</v>
      </c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</row>
    <row r="1048" spans="1:20" ht="15">
      <c r="A1048" s="3">
        <v>2027</v>
      </c>
      <c r="B1048" s="3">
        <f t="shared" si="8"/>
        <v>365</v>
      </c>
      <c r="C1048" s="35">
        <f t="shared" ref="C1048:J1048" si="19">AVERAGE(C148:C159)</f>
        <v>154.75825</v>
      </c>
      <c r="D1048" s="35">
        <f t="shared" si="19"/>
        <v>281.0162499999999</v>
      </c>
      <c r="E1048" s="35">
        <f t="shared" si="19"/>
        <v>780.7254999999999</v>
      </c>
      <c r="F1048" s="35">
        <f t="shared" si="19"/>
        <v>1216.5</v>
      </c>
      <c r="G1048" s="35">
        <f t="shared" si="19"/>
        <v>79.166666666666671</v>
      </c>
      <c r="H1048" s="36">
        <f t="shared" si="19"/>
        <v>600</v>
      </c>
      <c r="I1048" s="35">
        <f t="shared" si="19"/>
        <v>695</v>
      </c>
      <c r="J1048" s="35">
        <f t="shared" si="19"/>
        <v>33.333333333333336</v>
      </c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</row>
    <row r="1049" spans="1:20" ht="15">
      <c r="A1049" s="3">
        <v>2028</v>
      </c>
      <c r="B1049" s="3">
        <f t="shared" si="8"/>
        <v>366</v>
      </c>
      <c r="C1049" s="35">
        <f t="shared" ref="C1049:J1049" si="20">AVERAGE(C160:C171)</f>
        <v>154.75825</v>
      </c>
      <c r="D1049" s="35">
        <f t="shared" si="20"/>
        <v>281.0162499999999</v>
      </c>
      <c r="E1049" s="35">
        <f t="shared" si="20"/>
        <v>780.7254999999999</v>
      </c>
      <c r="F1049" s="35">
        <f t="shared" si="20"/>
        <v>1216.5</v>
      </c>
      <c r="G1049" s="35">
        <f t="shared" si="20"/>
        <v>79.166666666666671</v>
      </c>
      <c r="H1049" s="36">
        <f t="shared" si="20"/>
        <v>600</v>
      </c>
      <c r="I1049" s="35">
        <f t="shared" si="20"/>
        <v>695</v>
      </c>
      <c r="J1049" s="35">
        <f t="shared" si="20"/>
        <v>33.333333333333336</v>
      </c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</row>
    <row r="1050" spans="1:20" ht="15">
      <c r="A1050" s="3">
        <v>2029</v>
      </c>
      <c r="B1050" s="3">
        <f t="shared" si="8"/>
        <v>365</v>
      </c>
      <c r="C1050" s="35">
        <f t="shared" ref="C1050:J1050" si="21">AVERAGE(C172:C183)</f>
        <v>154.75825</v>
      </c>
      <c r="D1050" s="35">
        <f t="shared" si="21"/>
        <v>281.0162499999999</v>
      </c>
      <c r="E1050" s="35">
        <f t="shared" si="21"/>
        <v>780.7254999999999</v>
      </c>
      <c r="F1050" s="35">
        <f t="shared" si="21"/>
        <v>1216.5</v>
      </c>
      <c r="G1050" s="35">
        <f t="shared" si="21"/>
        <v>79.166666666666671</v>
      </c>
      <c r="H1050" s="36">
        <f t="shared" si="21"/>
        <v>600</v>
      </c>
      <c r="I1050" s="35">
        <f t="shared" si="21"/>
        <v>695</v>
      </c>
      <c r="J1050" s="35">
        <f t="shared" si="21"/>
        <v>33.333333333333336</v>
      </c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</row>
    <row r="1051" spans="1:20" ht="15">
      <c r="A1051" s="3">
        <v>2030</v>
      </c>
      <c r="B1051" s="3">
        <f t="shared" si="8"/>
        <v>365</v>
      </c>
      <c r="C1051" s="35">
        <f t="shared" ref="C1051:J1051" si="22">AVERAGE(C184:C195)</f>
        <v>154.75825</v>
      </c>
      <c r="D1051" s="35">
        <f t="shared" si="22"/>
        <v>281.0162499999999</v>
      </c>
      <c r="E1051" s="35">
        <f t="shared" si="22"/>
        <v>780.7254999999999</v>
      </c>
      <c r="F1051" s="35">
        <f t="shared" si="22"/>
        <v>1216.5</v>
      </c>
      <c r="G1051" s="35">
        <f t="shared" si="22"/>
        <v>79.166666666666671</v>
      </c>
      <c r="H1051" s="36">
        <f t="shared" si="22"/>
        <v>600</v>
      </c>
      <c r="I1051" s="35">
        <f t="shared" si="22"/>
        <v>695</v>
      </c>
      <c r="J1051" s="35">
        <f t="shared" si="22"/>
        <v>33.333333333333336</v>
      </c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</row>
    <row r="1052" spans="1:20" ht="15">
      <c r="A1052" s="3">
        <v>2031</v>
      </c>
      <c r="B1052" s="3">
        <f t="shared" si="8"/>
        <v>365</v>
      </c>
      <c r="C1052" s="35">
        <f t="shared" ref="C1052:J1052" si="23">AVERAGE(C196:C207)</f>
        <v>154.75825</v>
      </c>
      <c r="D1052" s="35">
        <f t="shared" si="23"/>
        <v>281.0162499999999</v>
      </c>
      <c r="E1052" s="35">
        <f t="shared" si="23"/>
        <v>780.7254999999999</v>
      </c>
      <c r="F1052" s="35">
        <f t="shared" si="23"/>
        <v>1216.5</v>
      </c>
      <c r="G1052" s="35">
        <f t="shared" si="23"/>
        <v>79.166666666666671</v>
      </c>
      <c r="H1052" s="36">
        <f t="shared" si="23"/>
        <v>600</v>
      </c>
      <c r="I1052" s="35">
        <f t="shared" si="23"/>
        <v>695</v>
      </c>
      <c r="J1052" s="35">
        <f t="shared" si="23"/>
        <v>33.333333333333336</v>
      </c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</row>
    <row r="1053" spans="1:20" ht="15">
      <c r="A1053" s="3">
        <v>2032</v>
      </c>
      <c r="B1053" s="3">
        <f t="shared" si="8"/>
        <v>366</v>
      </c>
      <c r="C1053" s="35">
        <f t="shared" ref="C1053:J1053" si="24">AVERAGE(C208:C219)</f>
        <v>154.75825</v>
      </c>
      <c r="D1053" s="35">
        <f t="shared" si="24"/>
        <v>281.0162499999999</v>
      </c>
      <c r="E1053" s="35">
        <f t="shared" si="24"/>
        <v>780.7254999999999</v>
      </c>
      <c r="F1053" s="35">
        <f t="shared" si="24"/>
        <v>1216.5</v>
      </c>
      <c r="G1053" s="35">
        <f t="shared" si="24"/>
        <v>79.166666666666671</v>
      </c>
      <c r="H1053" s="36">
        <f t="shared" si="24"/>
        <v>600</v>
      </c>
      <c r="I1053" s="35">
        <f t="shared" si="24"/>
        <v>695</v>
      </c>
      <c r="J1053" s="35">
        <f t="shared" si="24"/>
        <v>33.333333333333336</v>
      </c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</row>
    <row r="1054" spans="1:20" ht="15">
      <c r="A1054" s="3">
        <v>2033</v>
      </c>
      <c r="B1054" s="3">
        <f t="shared" si="8"/>
        <v>365</v>
      </c>
      <c r="C1054" s="35">
        <f t="shared" ref="C1054:J1054" si="25">AVERAGE(C220:C231)</f>
        <v>154.75825</v>
      </c>
      <c r="D1054" s="35">
        <f t="shared" si="25"/>
        <v>281.0162499999999</v>
      </c>
      <c r="E1054" s="35">
        <f t="shared" si="25"/>
        <v>780.7254999999999</v>
      </c>
      <c r="F1054" s="35">
        <f t="shared" si="25"/>
        <v>1216.5</v>
      </c>
      <c r="G1054" s="35">
        <f t="shared" si="25"/>
        <v>79.166666666666671</v>
      </c>
      <c r="H1054" s="36">
        <f t="shared" si="25"/>
        <v>600</v>
      </c>
      <c r="I1054" s="35">
        <f t="shared" si="25"/>
        <v>695</v>
      </c>
      <c r="J1054" s="35">
        <f t="shared" si="25"/>
        <v>33.333333333333336</v>
      </c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</row>
    <row r="1055" spans="1:20" ht="15">
      <c r="A1055" s="3">
        <v>2034</v>
      </c>
      <c r="B1055" s="3">
        <f t="shared" si="8"/>
        <v>365</v>
      </c>
      <c r="C1055" s="35">
        <f t="shared" ref="C1055:J1055" si="26">AVERAGE(C232:C243)</f>
        <v>154.75825</v>
      </c>
      <c r="D1055" s="35">
        <f t="shared" si="26"/>
        <v>281.0162499999999</v>
      </c>
      <c r="E1055" s="35">
        <f t="shared" si="26"/>
        <v>780.7254999999999</v>
      </c>
      <c r="F1055" s="35">
        <f t="shared" si="26"/>
        <v>1216.5</v>
      </c>
      <c r="G1055" s="35">
        <f t="shared" si="26"/>
        <v>79.166666666666671</v>
      </c>
      <c r="H1055" s="36">
        <f t="shared" si="26"/>
        <v>600</v>
      </c>
      <c r="I1055" s="35">
        <f t="shared" si="26"/>
        <v>695</v>
      </c>
      <c r="J1055" s="35">
        <f t="shared" si="26"/>
        <v>33.333333333333336</v>
      </c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</row>
    <row r="1056" spans="1:20" ht="15">
      <c r="A1056" s="3">
        <v>2035</v>
      </c>
      <c r="B1056" s="3">
        <f t="shared" si="8"/>
        <v>365</v>
      </c>
      <c r="C1056" s="35">
        <f t="shared" ref="C1056:J1056" si="27">AVERAGE(C244:C255)</f>
        <v>154.75825</v>
      </c>
      <c r="D1056" s="35">
        <f t="shared" si="27"/>
        <v>281.0162499999999</v>
      </c>
      <c r="E1056" s="35">
        <f t="shared" si="27"/>
        <v>780.7254999999999</v>
      </c>
      <c r="F1056" s="35">
        <f t="shared" si="27"/>
        <v>1216.5</v>
      </c>
      <c r="G1056" s="35">
        <f t="shared" si="27"/>
        <v>79.166666666666671</v>
      </c>
      <c r="H1056" s="36">
        <f t="shared" si="27"/>
        <v>600</v>
      </c>
      <c r="I1056" s="35">
        <f t="shared" si="27"/>
        <v>695</v>
      </c>
      <c r="J1056" s="35">
        <f t="shared" si="27"/>
        <v>33.333333333333336</v>
      </c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</row>
    <row r="1057" spans="1:20" ht="15">
      <c r="A1057" s="3">
        <v>2036</v>
      </c>
      <c r="B1057" s="3">
        <f t="shared" si="8"/>
        <v>366</v>
      </c>
      <c r="C1057" s="35">
        <f t="shared" ref="C1057:J1057" si="28">AVERAGE(C256:C267)</f>
        <v>154.75825</v>
      </c>
      <c r="D1057" s="35">
        <f t="shared" si="28"/>
        <v>281.0162499999999</v>
      </c>
      <c r="E1057" s="35">
        <f t="shared" si="28"/>
        <v>780.7254999999999</v>
      </c>
      <c r="F1057" s="35">
        <f t="shared" si="28"/>
        <v>1216.5</v>
      </c>
      <c r="G1057" s="35">
        <f t="shared" si="28"/>
        <v>79.166666666666671</v>
      </c>
      <c r="H1057" s="36">
        <f t="shared" si="28"/>
        <v>600</v>
      </c>
      <c r="I1057" s="35">
        <f t="shared" si="28"/>
        <v>695</v>
      </c>
      <c r="J1057" s="35">
        <f t="shared" si="28"/>
        <v>33.333333333333336</v>
      </c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</row>
    <row r="1058" spans="1:20" ht="15">
      <c r="A1058" s="3">
        <v>2037</v>
      </c>
      <c r="B1058" s="3">
        <f t="shared" si="8"/>
        <v>365</v>
      </c>
      <c r="C1058" s="35">
        <f t="shared" ref="C1058:J1058" si="29">AVERAGE(C268:C279)</f>
        <v>154.75825</v>
      </c>
      <c r="D1058" s="35">
        <f t="shared" si="29"/>
        <v>281.0162499999999</v>
      </c>
      <c r="E1058" s="35">
        <f t="shared" si="29"/>
        <v>780.7254999999999</v>
      </c>
      <c r="F1058" s="35">
        <f t="shared" si="29"/>
        <v>1216.5</v>
      </c>
      <c r="G1058" s="35">
        <f t="shared" si="29"/>
        <v>79.166666666666671</v>
      </c>
      <c r="H1058" s="36">
        <f t="shared" si="29"/>
        <v>600</v>
      </c>
      <c r="I1058" s="35">
        <f t="shared" si="29"/>
        <v>695</v>
      </c>
      <c r="J1058" s="35">
        <f t="shared" si="29"/>
        <v>33.333333333333336</v>
      </c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</row>
    <row r="1059" spans="1:20" ht="15">
      <c r="A1059" s="3">
        <f t="shared" ref="A1059:A1090" si="30">A1058+1</f>
        <v>2038</v>
      </c>
      <c r="B1059" s="3">
        <f t="shared" si="8"/>
        <v>365</v>
      </c>
      <c r="C1059" s="32">
        <f t="shared" ref="C1059:J1059" si="31">AVERAGE(C280:C291)</f>
        <v>154.75825</v>
      </c>
      <c r="D1059" s="32">
        <f t="shared" si="31"/>
        <v>281.0162499999999</v>
      </c>
      <c r="E1059" s="32">
        <f t="shared" si="31"/>
        <v>780.7254999999999</v>
      </c>
      <c r="F1059" s="32">
        <f t="shared" si="31"/>
        <v>1216.5</v>
      </c>
      <c r="G1059" s="32">
        <f t="shared" si="31"/>
        <v>79.166666666666671</v>
      </c>
      <c r="H1059" s="34">
        <f t="shared" si="31"/>
        <v>600</v>
      </c>
      <c r="I1059" s="32">
        <f t="shared" si="31"/>
        <v>695</v>
      </c>
      <c r="J1059" s="32">
        <f t="shared" si="31"/>
        <v>33.333333333333336</v>
      </c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</row>
    <row r="1060" spans="1:20" ht="15">
      <c r="A1060" s="3">
        <f t="shared" si="30"/>
        <v>2039</v>
      </c>
      <c r="B1060" s="3">
        <f t="shared" si="8"/>
        <v>365</v>
      </c>
      <c r="C1060" s="32">
        <f t="shared" ref="C1060:J1060" si="32">AVERAGE(C292:C303)</f>
        <v>154.75825</v>
      </c>
      <c r="D1060" s="32">
        <f t="shared" si="32"/>
        <v>281.0162499999999</v>
      </c>
      <c r="E1060" s="32">
        <f t="shared" si="32"/>
        <v>780.7254999999999</v>
      </c>
      <c r="F1060" s="32">
        <f t="shared" si="32"/>
        <v>1216.5</v>
      </c>
      <c r="G1060" s="32">
        <f t="shared" si="32"/>
        <v>79.166666666666671</v>
      </c>
      <c r="H1060" s="34">
        <f t="shared" si="32"/>
        <v>600</v>
      </c>
      <c r="I1060" s="32">
        <f t="shared" si="32"/>
        <v>695</v>
      </c>
      <c r="J1060" s="32">
        <f t="shared" si="32"/>
        <v>33.333333333333336</v>
      </c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</row>
    <row r="1061" spans="1:20" ht="15">
      <c r="A1061" s="3">
        <f t="shared" si="30"/>
        <v>2040</v>
      </c>
      <c r="B1061" s="3">
        <f t="shared" si="8"/>
        <v>366</v>
      </c>
      <c r="C1061" s="32">
        <f t="shared" ref="C1061:J1061" si="33">AVERAGE(C304:C315)</f>
        <v>154.75825</v>
      </c>
      <c r="D1061" s="32">
        <f t="shared" si="33"/>
        <v>281.0162499999999</v>
      </c>
      <c r="E1061" s="32">
        <f t="shared" si="33"/>
        <v>780.7254999999999</v>
      </c>
      <c r="F1061" s="32">
        <f t="shared" si="33"/>
        <v>1216.5</v>
      </c>
      <c r="G1061" s="32">
        <f t="shared" si="33"/>
        <v>79.166666666666671</v>
      </c>
      <c r="H1061" s="34">
        <f t="shared" si="33"/>
        <v>600</v>
      </c>
      <c r="I1061" s="32">
        <f t="shared" si="33"/>
        <v>695</v>
      </c>
      <c r="J1061" s="32">
        <f t="shared" si="33"/>
        <v>33.333333333333336</v>
      </c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</row>
    <row r="1062" spans="1:20" ht="15">
      <c r="A1062" s="3">
        <f t="shared" si="30"/>
        <v>2041</v>
      </c>
      <c r="B1062" s="3">
        <f t="shared" si="8"/>
        <v>365</v>
      </c>
      <c r="C1062" s="32">
        <f t="shared" ref="C1062:J1062" si="34">AVERAGE(C316:C327)</f>
        <v>154.75825</v>
      </c>
      <c r="D1062" s="32">
        <f t="shared" si="34"/>
        <v>281.0162499999999</v>
      </c>
      <c r="E1062" s="32">
        <f t="shared" si="34"/>
        <v>780.7254999999999</v>
      </c>
      <c r="F1062" s="32">
        <f t="shared" si="34"/>
        <v>1216.5</v>
      </c>
      <c r="G1062" s="32">
        <f t="shared" si="34"/>
        <v>79.166666666666671</v>
      </c>
      <c r="H1062" s="34">
        <f t="shared" si="34"/>
        <v>600</v>
      </c>
      <c r="I1062" s="32">
        <f t="shared" si="34"/>
        <v>695</v>
      </c>
      <c r="J1062" s="32">
        <f t="shared" si="34"/>
        <v>33.333333333333336</v>
      </c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</row>
    <row r="1063" spans="1:20" ht="15">
      <c r="A1063" s="3">
        <f t="shared" si="30"/>
        <v>2042</v>
      </c>
      <c r="B1063" s="3">
        <f t="shared" si="8"/>
        <v>365</v>
      </c>
      <c r="C1063" s="32">
        <f t="shared" ref="C1063:J1063" si="35">AVERAGE(C328:C339)</f>
        <v>154.75825</v>
      </c>
      <c r="D1063" s="32">
        <f t="shared" si="35"/>
        <v>281.0162499999999</v>
      </c>
      <c r="E1063" s="32">
        <f t="shared" si="35"/>
        <v>780.7254999999999</v>
      </c>
      <c r="F1063" s="32">
        <f t="shared" si="35"/>
        <v>1216.5</v>
      </c>
      <c r="G1063" s="32">
        <f t="shared" si="35"/>
        <v>79.166666666666671</v>
      </c>
      <c r="H1063" s="34">
        <f t="shared" si="35"/>
        <v>600</v>
      </c>
      <c r="I1063" s="32">
        <f t="shared" si="35"/>
        <v>695</v>
      </c>
      <c r="J1063" s="32">
        <f t="shared" si="35"/>
        <v>33.333333333333336</v>
      </c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</row>
    <row r="1064" spans="1:20" ht="15">
      <c r="A1064" s="3">
        <f t="shared" si="30"/>
        <v>2043</v>
      </c>
      <c r="B1064" s="3">
        <f t="shared" si="8"/>
        <v>365</v>
      </c>
      <c r="C1064" s="32">
        <f t="shared" ref="C1064:J1064" si="36">AVERAGE(C340:C351)</f>
        <v>154.75825</v>
      </c>
      <c r="D1064" s="32">
        <f t="shared" si="36"/>
        <v>281.0162499999999</v>
      </c>
      <c r="E1064" s="32">
        <f t="shared" si="36"/>
        <v>780.7254999999999</v>
      </c>
      <c r="F1064" s="32">
        <f t="shared" si="36"/>
        <v>1216.5</v>
      </c>
      <c r="G1064" s="32">
        <f t="shared" si="36"/>
        <v>79.166666666666671</v>
      </c>
      <c r="H1064" s="34">
        <f t="shared" si="36"/>
        <v>600</v>
      </c>
      <c r="I1064" s="32">
        <f t="shared" si="36"/>
        <v>695</v>
      </c>
      <c r="J1064" s="32">
        <f t="shared" si="36"/>
        <v>33.333333333333336</v>
      </c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</row>
    <row r="1065" spans="1:20" ht="15">
      <c r="A1065" s="3">
        <f t="shared" si="30"/>
        <v>2044</v>
      </c>
      <c r="B1065" s="3">
        <f t="shared" si="8"/>
        <v>366</v>
      </c>
      <c r="C1065" s="32">
        <f t="shared" ref="C1065:J1065" si="37">AVERAGE(C352:C363)</f>
        <v>154.75825</v>
      </c>
      <c r="D1065" s="32">
        <f t="shared" si="37"/>
        <v>281.0162499999999</v>
      </c>
      <c r="E1065" s="32">
        <f t="shared" si="37"/>
        <v>780.7254999999999</v>
      </c>
      <c r="F1065" s="32">
        <f t="shared" si="37"/>
        <v>1216.5</v>
      </c>
      <c r="G1065" s="32">
        <f t="shared" si="37"/>
        <v>79.166666666666671</v>
      </c>
      <c r="H1065" s="34">
        <f t="shared" si="37"/>
        <v>600</v>
      </c>
      <c r="I1065" s="32">
        <f t="shared" si="37"/>
        <v>695</v>
      </c>
      <c r="J1065" s="32">
        <f t="shared" si="37"/>
        <v>33.333333333333336</v>
      </c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</row>
    <row r="1066" spans="1:20" ht="15">
      <c r="A1066" s="3">
        <f t="shared" si="30"/>
        <v>2045</v>
      </c>
      <c r="B1066" s="3">
        <f t="shared" si="8"/>
        <v>365</v>
      </c>
      <c r="C1066" s="32">
        <f t="shared" ref="C1066:J1066" si="38">AVERAGE(C364:C375)</f>
        <v>154.75825</v>
      </c>
      <c r="D1066" s="32">
        <f t="shared" si="38"/>
        <v>281.0162499999999</v>
      </c>
      <c r="E1066" s="32">
        <f t="shared" si="38"/>
        <v>780.7254999999999</v>
      </c>
      <c r="F1066" s="32">
        <f t="shared" si="38"/>
        <v>1216.5</v>
      </c>
      <c r="G1066" s="32">
        <f t="shared" si="38"/>
        <v>79.166666666666671</v>
      </c>
      <c r="H1066" s="34">
        <f t="shared" si="38"/>
        <v>600</v>
      </c>
      <c r="I1066" s="32">
        <f t="shared" si="38"/>
        <v>695</v>
      </c>
      <c r="J1066" s="32">
        <f t="shared" si="38"/>
        <v>33.333333333333336</v>
      </c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</row>
    <row r="1067" spans="1:20" ht="15">
      <c r="A1067" s="3">
        <f t="shared" si="30"/>
        <v>2046</v>
      </c>
      <c r="B1067" s="3">
        <f t="shared" si="8"/>
        <v>365</v>
      </c>
      <c r="C1067" s="32">
        <f t="shared" ref="C1067:J1067" si="39">AVERAGE(C376:C387)</f>
        <v>154.75825</v>
      </c>
      <c r="D1067" s="32">
        <f t="shared" si="39"/>
        <v>281.0162499999999</v>
      </c>
      <c r="E1067" s="32">
        <f t="shared" si="39"/>
        <v>780.7254999999999</v>
      </c>
      <c r="F1067" s="32">
        <f t="shared" si="39"/>
        <v>1216.5</v>
      </c>
      <c r="G1067" s="32">
        <f t="shared" si="39"/>
        <v>79.166666666666671</v>
      </c>
      <c r="H1067" s="34">
        <f t="shared" si="39"/>
        <v>600</v>
      </c>
      <c r="I1067" s="32">
        <f t="shared" si="39"/>
        <v>695</v>
      </c>
      <c r="J1067" s="32">
        <f t="shared" si="39"/>
        <v>33.333333333333336</v>
      </c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</row>
    <row r="1068" spans="1:20" ht="15">
      <c r="A1068" s="3">
        <f t="shared" si="30"/>
        <v>2047</v>
      </c>
      <c r="B1068" s="3">
        <f t="shared" si="8"/>
        <v>365</v>
      </c>
      <c r="C1068" s="32">
        <f t="shared" ref="C1068:J1068" si="40">AVERAGE(C388:C399)</f>
        <v>154.75825</v>
      </c>
      <c r="D1068" s="32">
        <f t="shared" si="40"/>
        <v>281.0162499999999</v>
      </c>
      <c r="E1068" s="32">
        <f t="shared" si="40"/>
        <v>780.7254999999999</v>
      </c>
      <c r="F1068" s="32">
        <f t="shared" si="40"/>
        <v>1216.5</v>
      </c>
      <c r="G1068" s="32">
        <f t="shared" si="40"/>
        <v>79.166666666666671</v>
      </c>
      <c r="H1068" s="34">
        <f t="shared" si="40"/>
        <v>600</v>
      </c>
      <c r="I1068" s="32">
        <f t="shared" si="40"/>
        <v>695</v>
      </c>
      <c r="J1068" s="32">
        <f t="shared" si="40"/>
        <v>33.333333333333336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</row>
    <row r="1069" spans="1:20" ht="15">
      <c r="A1069" s="3">
        <f t="shared" si="30"/>
        <v>2048</v>
      </c>
      <c r="B1069" s="3">
        <f t="shared" ref="B1069:B1100" si="41">DATE(A1069+1,1,1)-DATE(A1069,1,1)</f>
        <v>366</v>
      </c>
      <c r="C1069" s="32">
        <f t="shared" ref="C1069:J1069" si="42">AVERAGE(C400:C411)</f>
        <v>154.75825</v>
      </c>
      <c r="D1069" s="32">
        <f t="shared" si="42"/>
        <v>281.0162499999999</v>
      </c>
      <c r="E1069" s="32">
        <f t="shared" si="42"/>
        <v>780.7254999999999</v>
      </c>
      <c r="F1069" s="32">
        <f t="shared" si="42"/>
        <v>1216.5</v>
      </c>
      <c r="G1069" s="32">
        <f t="shared" si="42"/>
        <v>79.166666666666671</v>
      </c>
      <c r="H1069" s="34">
        <f t="shared" si="42"/>
        <v>600</v>
      </c>
      <c r="I1069" s="32">
        <f t="shared" si="42"/>
        <v>695</v>
      </c>
      <c r="J1069" s="32">
        <f t="shared" si="42"/>
        <v>33.333333333333336</v>
      </c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</row>
    <row r="1070" spans="1:20" ht="15">
      <c r="A1070" s="3">
        <f t="shared" si="30"/>
        <v>2049</v>
      </c>
      <c r="B1070" s="3">
        <f t="shared" si="41"/>
        <v>365</v>
      </c>
      <c r="C1070" s="32">
        <f t="shared" ref="C1070:J1070" si="43">AVERAGE(C412:C423)</f>
        <v>154.75825</v>
      </c>
      <c r="D1070" s="32">
        <f t="shared" si="43"/>
        <v>281.0162499999999</v>
      </c>
      <c r="E1070" s="32">
        <f t="shared" si="43"/>
        <v>780.7254999999999</v>
      </c>
      <c r="F1070" s="32">
        <f t="shared" si="43"/>
        <v>1216.5</v>
      </c>
      <c r="G1070" s="32">
        <f t="shared" si="43"/>
        <v>79.166666666666671</v>
      </c>
      <c r="H1070" s="34">
        <f t="shared" si="43"/>
        <v>600</v>
      </c>
      <c r="I1070" s="32">
        <f t="shared" si="43"/>
        <v>695</v>
      </c>
      <c r="J1070" s="32">
        <f t="shared" si="43"/>
        <v>33.333333333333336</v>
      </c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</row>
    <row r="1071" spans="1:20" ht="15">
      <c r="A1071" s="3">
        <f t="shared" si="30"/>
        <v>2050</v>
      </c>
      <c r="B1071" s="3">
        <f t="shared" si="41"/>
        <v>365</v>
      </c>
      <c r="C1071" s="32">
        <f t="shared" ref="C1071:J1071" si="44">AVERAGE(C424:C435)</f>
        <v>154.75825</v>
      </c>
      <c r="D1071" s="32">
        <f t="shared" si="44"/>
        <v>281.0162499999999</v>
      </c>
      <c r="E1071" s="32">
        <f t="shared" si="44"/>
        <v>780.7254999999999</v>
      </c>
      <c r="F1071" s="32">
        <f t="shared" si="44"/>
        <v>1216.5</v>
      </c>
      <c r="G1071" s="32">
        <f t="shared" si="44"/>
        <v>79.166666666666671</v>
      </c>
      <c r="H1071" s="34">
        <f t="shared" si="44"/>
        <v>600</v>
      </c>
      <c r="I1071" s="32">
        <f t="shared" si="44"/>
        <v>695</v>
      </c>
      <c r="J1071" s="32">
        <f t="shared" si="44"/>
        <v>33.333333333333336</v>
      </c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</row>
    <row r="1072" spans="1:20" ht="15">
      <c r="A1072" s="3">
        <f t="shared" si="30"/>
        <v>2051</v>
      </c>
      <c r="B1072" s="3">
        <f t="shared" si="41"/>
        <v>365</v>
      </c>
      <c r="C1072" s="32">
        <f t="shared" ref="C1072:J1072" si="45">AVERAGE(C436:C447)</f>
        <v>154.75825</v>
      </c>
      <c r="D1072" s="32">
        <f t="shared" si="45"/>
        <v>281.0162499999999</v>
      </c>
      <c r="E1072" s="32">
        <f t="shared" si="45"/>
        <v>780.7254999999999</v>
      </c>
      <c r="F1072" s="32">
        <f t="shared" si="45"/>
        <v>1216.5</v>
      </c>
      <c r="G1072" s="32">
        <f t="shared" si="45"/>
        <v>79.166666666666671</v>
      </c>
      <c r="H1072" s="34">
        <f t="shared" si="45"/>
        <v>600</v>
      </c>
      <c r="I1072" s="32">
        <f t="shared" si="45"/>
        <v>695</v>
      </c>
      <c r="J1072" s="32">
        <f t="shared" si="45"/>
        <v>33.333333333333336</v>
      </c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</row>
    <row r="1073" spans="1:20" ht="15">
      <c r="A1073" s="3">
        <f t="shared" si="30"/>
        <v>2052</v>
      </c>
      <c r="B1073" s="3">
        <f t="shared" si="41"/>
        <v>366</v>
      </c>
      <c r="C1073" s="32">
        <f t="shared" ref="C1073:J1073" si="46">AVERAGE(C448:C459)</f>
        <v>154.75825</v>
      </c>
      <c r="D1073" s="32">
        <f t="shared" si="46"/>
        <v>281.0162499999999</v>
      </c>
      <c r="E1073" s="32">
        <f t="shared" si="46"/>
        <v>780.7254999999999</v>
      </c>
      <c r="F1073" s="32">
        <f t="shared" si="46"/>
        <v>1216.5</v>
      </c>
      <c r="G1073" s="32">
        <f t="shared" si="46"/>
        <v>79.166666666666671</v>
      </c>
      <c r="H1073" s="34">
        <f t="shared" si="46"/>
        <v>600</v>
      </c>
      <c r="I1073" s="32">
        <f t="shared" si="46"/>
        <v>695</v>
      </c>
      <c r="J1073" s="32">
        <f t="shared" si="46"/>
        <v>33.333333333333336</v>
      </c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</row>
    <row r="1074" spans="1:20" ht="15">
      <c r="A1074" s="3">
        <f t="shared" si="30"/>
        <v>2053</v>
      </c>
      <c r="B1074" s="3">
        <f t="shared" si="41"/>
        <v>365</v>
      </c>
      <c r="C1074" s="32">
        <f t="shared" ref="C1074:J1074" si="47">AVERAGE(C460:C471)</f>
        <v>154.75825</v>
      </c>
      <c r="D1074" s="32">
        <f t="shared" si="47"/>
        <v>281.0162499999999</v>
      </c>
      <c r="E1074" s="32">
        <f t="shared" si="47"/>
        <v>780.7254999999999</v>
      </c>
      <c r="F1074" s="32">
        <f t="shared" si="47"/>
        <v>1216.5</v>
      </c>
      <c r="G1074" s="32">
        <f t="shared" si="47"/>
        <v>79.166666666666671</v>
      </c>
      <c r="H1074" s="34">
        <f t="shared" si="47"/>
        <v>600</v>
      </c>
      <c r="I1074" s="32">
        <f t="shared" si="47"/>
        <v>695</v>
      </c>
      <c r="J1074" s="32">
        <f t="shared" si="47"/>
        <v>33.333333333333336</v>
      </c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</row>
    <row r="1075" spans="1:20" ht="15">
      <c r="A1075" s="3">
        <f t="shared" si="30"/>
        <v>2054</v>
      </c>
      <c r="B1075" s="3">
        <f t="shared" si="41"/>
        <v>365</v>
      </c>
      <c r="C1075" s="32">
        <f t="shared" ref="C1075:J1082" si="48">AVERAGE(C472:C483)</f>
        <v>154.75825</v>
      </c>
      <c r="D1075" s="32">
        <f t="shared" si="48"/>
        <v>281.0162499999999</v>
      </c>
      <c r="E1075" s="32">
        <f t="shared" si="48"/>
        <v>780.7254999999999</v>
      </c>
      <c r="F1075" s="32">
        <f t="shared" si="48"/>
        <v>1216.5</v>
      </c>
      <c r="G1075" s="32">
        <f t="shared" si="48"/>
        <v>79.166666666666671</v>
      </c>
      <c r="H1075" s="34">
        <f t="shared" si="48"/>
        <v>600</v>
      </c>
      <c r="I1075" s="32">
        <f t="shared" si="48"/>
        <v>695</v>
      </c>
      <c r="J1075" s="32">
        <f t="shared" si="48"/>
        <v>33.333333333333336</v>
      </c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</row>
    <row r="1076" spans="1:20" ht="15">
      <c r="A1076" s="3">
        <f t="shared" si="30"/>
        <v>2055</v>
      </c>
      <c r="B1076" s="3">
        <f t="shared" si="41"/>
        <v>365</v>
      </c>
      <c r="C1076" s="32">
        <f t="shared" si="48"/>
        <v>154.75825</v>
      </c>
      <c r="D1076" s="32">
        <f t="shared" si="48"/>
        <v>281.0162499999999</v>
      </c>
      <c r="E1076" s="32">
        <f t="shared" si="48"/>
        <v>780.7254999999999</v>
      </c>
      <c r="F1076" s="32">
        <f t="shared" si="48"/>
        <v>1216.5</v>
      </c>
      <c r="G1076" s="32">
        <f t="shared" si="48"/>
        <v>79.166666666666671</v>
      </c>
      <c r="H1076" s="34">
        <f t="shared" si="48"/>
        <v>600</v>
      </c>
      <c r="I1076" s="32">
        <f t="shared" si="48"/>
        <v>695</v>
      </c>
      <c r="J1076" s="32">
        <f t="shared" si="48"/>
        <v>33.333333333333336</v>
      </c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</row>
    <row r="1077" spans="1:20" ht="15">
      <c r="A1077" s="3">
        <f t="shared" si="30"/>
        <v>2056</v>
      </c>
      <c r="B1077" s="3">
        <f t="shared" si="41"/>
        <v>366</v>
      </c>
      <c r="C1077" s="32">
        <f t="shared" si="48"/>
        <v>154.75824999999998</v>
      </c>
      <c r="D1077" s="32">
        <f t="shared" si="48"/>
        <v>281.0162499999999</v>
      </c>
      <c r="E1077" s="32">
        <f t="shared" si="48"/>
        <v>780.7254999999999</v>
      </c>
      <c r="F1077" s="32">
        <f t="shared" si="48"/>
        <v>1216.5</v>
      </c>
      <c r="G1077" s="32">
        <f t="shared" si="48"/>
        <v>79.166666666666671</v>
      </c>
      <c r="H1077" s="34">
        <f t="shared" si="48"/>
        <v>600</v>
      </c>
      <c r="I1077" s="32">
        <f t="shared" si="48"/>
        <v>695</v>
      </c>
      <c r="J1077" s="32">
        <f t="shared" si="48"/>
        <v>33.333333333333336</v>
      </c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</row>
    <row r="1078" spans="1:20" ht="15">
      <c r="A1078" s="3">
        <f t="shared" si="30"/>
        <v>2057</v>
      </c>
      <c r="B1078" s="3">
        <f t="shared" si="41"/>
        <v>365</v>
      </c>
      <c r="C1078" s="32">
        <f t="shared" si="48"/>
        <v>154.75825</v>
      </c>
      <c r="D1078" s="32">
        <f t="shared" si="48"/>
        <v>281.0162499999999</v>
      </c>
      <c r="E1078" s="32">
        <f t="shared" si="48"/>
        <v>780.72550000000001</v>
      </c>
      <c r="F1078" s="32">
        <f t="shared" si="48"/>
        <v>1216.5</v>
      </c>
      <c r="G1078" s="32">
        <f t="shared" si="48"/>
        <v>79.166666666666671</v>
      </c>
      <c r="H1078" s="34">
        <f t="shared" si="48"/>
        <v>600</v>
      </c>
      <c r="I1078" s="32">
        <f t="shared" si="48"/>
        <v>695</v>
      </c>
      <c r="J1078" s="32">
        <f t="shared" si="48"/>
        <v>33.333333333333336</v>
      </c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</row>
    <row r="1079" spans="1:20" ht="15">
      <c r="A1079" s="3">
        <f t="shared" si="30"/>
        <v>2058</v>
      </c>
      <c r="B1079" s="3">
        <f t="shared" si="41"/>
        <v>365</v>
      </c>
      <c r="C1079" s="32">
        <f t="shared" si="48"/>
        <v>154.75824999999998</v>
      </c>
      <c r="D1079" s="32">
        <f t="shared" si="48"/>
        <v>281.01624999999996</v>
      </c>
      <c r="E1079" s="32">
        <f t="shared" si="48"/>
        <v>780.72550000000001</v>
      </c>
      <c r="F1079" s="32">
        <f t="shared" si="48"/>
        <v>1216.5</v>
      </c>
      <c r="G1079" s="32">
        <f t="shared" si="48"/>
        <v>79.166666666666671</v>
      </c>
      <c r="H1079" s="34">
        <f t="shared" si="48"/>
        <v>600</v>
      </c>
      <c r="I1079" s="32">
        <f t="shared" si="48"/>
        <v>695</v>
      </c>
      <c r="J1079" s="32">
        <f t="shared" si="48"/>
        <v>33.333333333333336</v>
      </c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</row>
    <row r="1080" spans="1:20" ht="15">
      <c r="A1080" s="3">
        <f t="shared" si="30"/>
        <v>2059</v>
      </c>
      <c r="B1080" s="3">
        <f t="shared" si="41"/>
        <v>365</v>
      </c>
      <c r="C1080" s="32">
        <f t="shared" si="48"/>
        <v>154.75824999999998</v>
      </c>
      <c r="D1080" s="32">
        <f t="shared" si="48"/>
        <v>281.01624999999996</v>
      </c>
      <c r="E1080" s="32">
        <f t="shared" si="48"/>
        <v>780.72550000000012</v>
      </c>
      <c r="F1080" s="32">
        <f t="shared" si="48"/>
        <v>1216.5</v>
      </c>
      <c r="G1080" s="32">
        <f t="shared" si="48"/>
        <v>79.166666666666671</v>
      </c>
      <c r="H1080" s="34">
        <f t="shared" si="48"/>
        <v>600</v>
      </c>
      <c r="I1080" s="32">
        <f t="shared" si="48"/>
        <v>695</v>
      </c>
      <c r="J1080" s="32">
        <f t="shared" si="48"/>
        <v>33.333333333333336</v>
      </c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</row>
    <row r="1081" spans="1:20" ht="15">
      <c r="A1081" s="3">
        <f t="shared" si="30"/>
        <v>2060</v>
      </c>
      <c r="B1081" s="3">
        <f t="shared" si="41"/>
        <v>366</v>
      </c>
      <c r="C1081" s="32">
        <f t="shared" si="48"/>
        <v>154.75824999999998</v>
      </c>
      <c r="D1081" s="32">
        <f t="shared" si="48"/>
        <v>281.01624999999996</v>
      </c>
      <c r="E1081" s="32">
        <f t="shared" si="48"/>
        <v>780.72550000000012</v>
      </c>
      <c r="F1081" s="32">
        <f t="shared" si="48"/>
        <v>1216.5</v>
      </c>
      <c r="G1081" s="32">
        <f t="shared" si="48"/>
        <v>79.166666666666671</v>
      </c>
      <c r="H1081" s="34">
        <f t="shared" si="48"/>
        <v>600</v>
      </c>
      <c r="I1081" s="32">
        <f t="shared" si="48"/>
        <v>695</v>
      </c>
      <c r="J1081" s="32">
        <f t="shared" si="48"/>
        <v>33.333333333333336</v>
      </c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</row>
    <row r="1082" spans="1:20" ht="15">
      <c r="A1082" s="3">
        <f t="shared" si="30"/>
        <v>2061</v>
      </c>
      <c r="B1082" s="3">
        <f t="shared" si="41"/>
        <v>365</v>
      </c>
      <c r="C1082" s="32">
        <f t="shared" si="48"/>
        <v>154.75825</v>
      </c>
      <c r="D1082" s="32">
        <f t="shared" si="48"/>
        <v>281.01624999999996</v>
      </c>
      <c r="E1082" s="32">
        <f t="shared" si="48"/>
        <v>780.72550000000001</v>
      </c>
      <c r="F1082" s="32">
        <f t="shared" si="48"/>
        <v>1216.5</v>
      </c>
      <c r="G1082" s="32">
        <f t="shared" si="48"/>
        <v>79.166666666666671</v>
      </c>
      <c r="H1082" s="34">
        <f t="shared" si="48"/>
        <v>600</v>
      </c>
      <c r="I1082" s="32">
        <f t="shared" si="48"/>
        <v>695</v>
      </c>
      <c r="J1082" s="32">
        <f t="shared" si="48"/>
        <v>33.333333333333336</v>
      </c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</row>
    <row r="1083" spans="1:20" ht="15">
      <c r="A1083" s="3">
        <f t="shared" si="30"/>
        <v>2062</v>
      </c>
      <c r="B1083" s="3">
        <f t="shared" si="41"/>
        <v>365</v>
      </c>
      <c r="C1083" s="32">
        <f t="shared" ref="C1083:J1092" ca="1" si="49">AVERAGE(OFFSET(C$568,($A1083-$A$1083)*12,0,12,1))</f>
        <v>154.75825</v>
      </c>
      <c r="D1083" s="32">
        <f t="shared" ca="1" si="49"/>
        <v>281.0162499999999</v>
      </c>
      <c r="E1083" s="32">
        <f t="shared" ca="1" si="49"/>
        <v>780.7254999999999</v>
      </c>
      <c r="F1083" s="32">
        <f t="shared" ca="1" si="49"/>
        <v>1216.5</v>
      </c>
      <c r="G1083" s="32">
        <f t="shared" ca="1" si="49"/>
        <v>79.166666666666671</v>
      </c>
      <c r="H1083" s="32">
        <f t="shared" ca="1" si="49"/>
        <v>600</v>
      </c>
      <c r="I1083" s="32">
        <f t="shared" ca="1" si="49"/>
        <v>695</v>
      </c>
      <c r="J1083" s="32">
        <f t="shared" ca="1" si="49"/>
        <v>33.333333333333336</v>
      </c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</row>
    <row r="1084" spans="1:20" ht="15">
      <c r="A1084" s="3">
        <f t="shared" si="30"/>
        <v>2063</v>
      </c>
      <c r="B1084" s="3">
        <f t="shared" si="41"/>
        <v>365</v>
      </c>
      <c r="C1084" s="32">
        <f t="shared" ca="1" si="49"/>
        <v>154.75825</v>
      </c>
      <c r="D1084" s="32">
        <f t="shared" ca="1" si="49"/>
        <v>281.0162499999999</v>
      </c>
      <c r="E1084" s="32">
        <f t="shared" ca="1" si="49"/>
        <v>780.7254999999999</v>
      </c>
      <c r="F1084" s="32">
        <f t="shared" ca="1" si="49"/>
        <v>1216.5</v>
      </c>
      <c r="G1084" s="32">
        <f t="shared" ca="1" si="49"/>
        <v>79.166666666666671</v>
      </c>
      <c r="H1084" s="32">
        <f t="shared" ca="1" si="49"/>
        <v>600</v>
      </c>
      <c r="I1084" s="32">
        <f t="shared" ca="1" si="49"/>
        <v>695</v>
      </c>
      <c r="J1084" s="32">
        <f t="shared" ca="1" si="49"/>
        <v>33.333333333333336</v>
      </c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</row>
    <row r="1085" spans="1:20" ht="15">
      <c r="A1085" s="3">
        <f t="shared" si="30"/>
        <v>2064</v>
      </c>
      <c r="B1085" s="3">
        <f t="shared" si="41"/>
        <v>366</v>
      </c>
      <c r="C1085" s="32">
        <f t="shared" ca="1" si="49"/>
        <v>154.75825</v>
      </c>
      <c r="D1085" s="32">
        <f t="shared" ca="1" si="49"/>
        <v>281.0162499999999</v>
      </c>
      <c r="E1085" s="32">
        <f t="shared" ca="1" si="49"/>
        <v>780.7254999999999</v>
      </c>
      <c r="F1085" s="32">
        <f t="shared" ca="1" si="49"/>
        <v>1216.5</v>
      </c>
      <c r="G1085" s="32">
        <f t="shared" ca="1" si="49"/>
        <v>79.166666666666671</v>
      </c>
      <c r="H1085" s="32">
        <f t="shared" ca="1" si="49"/>
        <v>600</v>
      </c>
      <c r="I1085" s="32">
        <f t="shared" ca="1" si="49"/>
        <v>695</v>
      </c>
      <c r="J1085" s="32">
        <f t="shared" ca="1" si="49"/>
        <v>33.333333333333336</v>
      </c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</row>
    <row r="1086" spans="1:20" ht="15">
      <c r="A1086" s="3">
        <f t="shared" si="30"/>
        <v>2065</v>
      </c>
      <c r="B1086" s="3">
        <f t="shared" si="41"/>
        <v>365</v>
      </c>
      <c r="C1086" s="32">
        <f t="shared" ca="1" si="49"/>
        <v>154.75825</v>
      </c>
      <c r="D1086" s="32">
        <f t="shared" ca="1" si="49"/>
        <v>281.0162499999999</v>
      </c>
      <c r="E1086" s="32">
        <f t="shared" ca="1" si="49"/>
        <v>780.7254999999999</v>
      </c>
      <c r="F1086" s="32">
        <f t="shared" ca="1" si="49"/>
        <v>1216.5</v>
      </c>
      <c r="G1086" s="32">
        <f t="shared" ca="1" si="49"/>
        <v>79.166666666666671</v>
      </c>
      <c r="H1086" s="32">
        <f t="shared" ca="1" si="49"/>
        <v>600</v>
      </c>
      <c r="I1086" s="32">
        <f t="shared" ca="1" si="49"/>
        <v>695</v>
      </c>
      <c r="J1086" s="32">
        <f t="shared" ca="1" si="49"/>
        <v>33.333333333333336</v>
      </c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</row>
    <row r="1087" spans="1:20" ht="15">
      <c r="A1087" s="3">
        <f t="shared" si="30"/>
        <v>2066</v>
      </c>
      <c r="B1087" s="3">
        <f t="shared" si="41"/>
        <v>365</v>
      </c>
      <c r="C1087" s="32">
        <f t="shared" ca="1" si="49"/>
        <v>154.75825</v>
      </c>
      <c r="D1087" s="32">
        <f t="shared" ca="1" si="49"/>
        <v>281.0162499999999</v>
      </c>
      <c r="E1087" s="32">
        <f t="shared" ca="1" si="49"/>
        <v>780.7254999999999</v>
      </c>
      <c r="F1087" s="32">
        <f t="shared" ca="1" si="49"/>
        <v>1216.5</v>
      </c>
      <c r="G1087" s="32">
        <f t="shared" ca="1" si="49"/>
        <v>79.166666666666671</v>
      </c>
      <c r="H1087" s="32">
        <f t="shared" ca="1" si="49"/>
        <v>600</v>
      </c>
      <c r="I1087" s="32">
        <f t="shared" ca="1" si="49"/>
        <v>695</v>
      </c>
      <c r="J1087" s="32">
        <f t="shared" ca="1" si="49"/>
        <v>33.333333333333336</v>
      </c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</row>
    <row r="1088" spans="1:20" ht="15">
      <c r="A1088" s="3">
        <f t="shared" si="30"/>
        <v>2067</v>
      </c>
      <c r="B1088" s="3">
        <f t="shared" si="41"/>
        <v>365</v>
      </c>
      <c r="C1088" s="32">
        <f t="shared" ca="1" si="49"/>
        <v>154.75825</v>
      </c>
      <c r="D1088" s="32">
        <f t="shared" ca="1" si="49"/>
        <v>281.0162499999999</v>
      </c>
      <c r="E1088" s="32">
        <f t="shared" ca="1" si="49"/>
        <v>780.7254999999999</v>
      </c>
      <c r="F1088" s="32">
        <f t="shared" ca="1" si="49"/>
        <v>1216.5</v>
      </c>
      <c r="G1088" s="32">
        <f t="shared" ca="1" si="49"/>
        <v>79.166666666666671</v>
      </c>
      <c r="H1088" s="32">
        <f t="shared" ca="1" si="49"/>
        <v>600</v>
      </c>
      <c r="I1088" s="32">
        <f t="shared" ca="1" si="49"/>
        <v>695</v>
      </c>
      <c r="J1088" s="32">
        <f t="shared" ca="1" si="49"/>
        <v>33.333333333333336</v>
      </c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</row>
    <row r="1089" spans="1:20" ht="15">
      <c r="A1089" s="3">
        <f t="shared" si="30"/>
        <v>2068</v>
      </c>
      <c r="B1089" s="3">
        <f t="shared" si="41"/>
        <v>366</v>
      </c>
      <c r="C1089" s="32">
        <f t="shared" ca="1" si="49"/>
        <v>154.75825</v>
      </c>
      <c r="D1089" s="32">
        <f t="shared" ca="1" si="49"/>
        <v>281.0162499999999</v>
      </c>
      <c r="E1089" s="32">
        <f t="shared" ca="1" si="49"/>
        <v>780.7254999999999</v>
      </c>
      <c r="F1089" s="32">
        <f t="shared" ca="1" si="49"/>
        <v>1216.5</v>
      </c>
      <c r="G1089" s="32">
        <f t="shared" ca="1" si="49"/>
        <v>79.166666666666671</v>
      </c>
      <c r="H1089" s="32">
        <f t="shared" ca="1" si="49"/>
        <v>600</v>
      </c>
      <c r="I1089" s="32">
        <f t="shared" ca="1" si="49"/>
        <v>695</v>
      </c>
      <c r="J1089" s="32">
        <f t="shared" ca="1" si="49"/>
        <v>33.333333333333336</v>
      </c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</row>
    <row r="1090" spans="1:20" ht="15">
      <c r="A1090" s="3">
        <f t="shared" si="30"/>
        <v>2069</v>
      </c>
      <c r="B1090" s="3">
        <f t="shared" si="41"/>
        <v>365</v>
      </c>
      <c r="C1090" s="32">
        <f t="shared" ca="1" si="49"/>
        <v>154.75825</v>
      </c>
      <c r="D1090" s="32">
        <f t="shared" ca="1" si="49"/>
        <v>281.0162499999999</v>
      </c>
      <c r="E1090" s="32">
        <f t="shared" ca="1" si="49"/>
        <v>780.7254999999999</v>
      </c>
      <c r="F1090" s="32">
        <f t="shared" ca="1" si="49"/>
        <v>1216.5</v>
      </c>
      <c r="G1090" s="32">
        <f t="shared" ca="1" si="49"/>
        <v>79.166666666666671</v>
      </c>
      <c r="H1090" s="32">
        <f t="shared" ca="1" si="49"/>
        <v>600</v>
      </c>
      <c r="I1090" s="32">
        <f t="shared" ca="1" si="49"/>
        <v>695</v>
      </c>
      <c r="J1090" s="32">
        <f t="shared" ca="1" si="49"/>
        <v>33.333333333333336</v>
      </c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</row>
    <row r="1091" spans="1:20" ht="15">
      <c r="A1091" s="3">
        <f t="shared" ref="A1091:A1121" si="50">A1090+1</f>
        <v>2070</v>
      </c>
      <c r="B1091" s="3">
        <f t="shared" si="41"/>
        <v>365</v>
      </c>
      <c r="C1091" s="32">
        <f t="shared" ca="1" si="49"/>
        <v>154.75825</v>
      </c>
      <c r="D1091" s="32">
        <f t="shared" ca="1" si="49"/>
        <v>281.0162499999999</v>
      </c>
      <c r="E1091" s="32">
        <f t="shared" ca="1" si="49"/>
        <v>780.7254999999999</v>
      </c>
      <c r="F1091" s="32">
        <f t="shared" ca="1" si="49"/>
        <v>1216.5</v>
      </c>
      <c r="G1091" s="32">
        <f t="shared" ca="1" si="49"/>
        <v>79.166666666666671</v>
      </c>
      <c r="H1091" s="32">
        <f t="shared" ca="1" si="49"/>
        <v>600</v>
      </c>
      <c r="I1091" s="32">
        <f t="shared" ca="1" si="49"/>
        <v>695</v>
      </c>
      <c r="J1091" s="32">
        <f t="shared" ca="1" si="49"/>
        <v>33.333333333333336</v>
      </c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</row>
    <row r="1092" spans="1:20" ht="15">
      <c r="A1092" s="3">
        <f t="shared" si="50"/>
        <v>2071</v>
      </c>
      <c r="B1092" s="3">
        <f t="shared" si="41"/>
        <v>365</v>
      </c>
      <c r="C1092" s="32">
        <f t="shared" ca="1" si="49"/>
        <v>154.75825</v>
      </c>
      <c r="D1092" s="32">
        <f t="shared" ca="1" si="49"/>
        <v>281.0162499999999</v>
      </c>
      <c r="E1092" s="32">
        <f t="shared" ca="1" si="49"/>
        <v>780.7254999999999</v>
      </c>
      <c r="F1092" s="32">
        <f t="shared" ca="1" si="49"/>
        <v>1216.5</v>
      </c>
      <c r="G1092" s="32">
        <f t="shared" ca="1" si="49"/>
        <v>79.166666666666671</v>
      </c>
      <c r="H1092" s="32">
        <f t="shared" ca="1" si="49"/>
        <v>600</v>
      </c>
      <c r="I1092" s="32">
        <f t="shared" ca="1" si="49"/>
        <v>695</v>
      </c>
      <c r="J1092" s="32">
        <f t="shared" ca="1" si="49"/>
        <v>33.333333333333336</v>
      </c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</row>
    <row r="1093" spans="1:20" ht="15">
      <c r="A1093" s="3">
        <f t="shared" si="50"/>
        <v>2072</v>
      </c>
      <c r="B1093" s="3">
        <f t="shared" si="41"/>
        <v>366</v>
      </c>
      <c r="C1093" s="32">
        <f t="shared" ref="C1093:J1102" ca="1" si="51">AVERAGE(OFFSET(C$568,($A1093-$A$1083)*12,0,12,1))</f>
        <v>154.75825</v>
      </c>
      <c r="D1093" s="32">
        <f t="shared" ca="1" si="51"/>
        <v>281.0162499999999</v>
      </c>
      <c r="E1093" s="32">
        <f t="shared" ca="1" si="51"/>
        <v>780.7254999999999</v>
      </c>
      <c r="F1093" s="32">
        <f t="shared" ca="1" si="51"/>
        <v>1216.5</v>
      </c>
      <c r="G1093" s="32">
        <f t="shared" ca="1" si="51"/>
        <v>79.166666666666671</v>
      </c>
      <c r="H1093" s="32">
        <f t="shared" ca="1" si="51"/>
        <v>600</v>
      </c>
      <c r="I1093" s="32">
        <f t="shared" ca="1" si="51"/>
        <v>695</v>
      </c>
      <c r="J1093" s="32">
        <f t="shared" ca="1" si="51"/>
        <v>33.333333333333336</v>
      </c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</row>
    <row r="1094" spans="1:20" ht="15">
      <c r="A1094" s="3">
        <f t="shared" si="50"/>
        <v>2073</v>
      </c>
      <c r="B1094" s="3">
        <f t="shared" si="41"/>
        <v>365</v>
      </c>
      <c r="C1094" s="32">
        <f t="shared" ca="1" si="51"/>
        <v>154.75825</v>
      </c>
      <c r="D1094" s="32">
        <f t="shared" ca="1" si="51"/>
        <v>281.0162499999999</v>
      </c>
      <c r="E1094" s="32">
        <f t="shared" ca="1" si="51"/>
        <v>780.7254999999999</v>
      </c>
      <c r="F1094" s="32">
        <f t="shared" ca="1" si="51"/>
        <v>1216.5</v>
      </c>
      <c r="G1094" s="32">
        <f t="shared" ca="1" si="51"/>
        <v>79.166666666666671</v>
      </c>
      <c r="H1094" s="32">
        <f t="shared" ca="1" si="51"/>
        <v>600</v>
      </c>
      <c r="I1094" s="32">
        <f t="shared" ca="1" si="51"/>
        <v>695</v>
      </c>
      <c r="J1094" s="32">
        <f t="shared" ca="1" si="51"/>
        <v>33.333333333333336</v>
      </c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</row>
    <row r="1095" spans="1:20" ht="15">
      <c r="A1095" s="3">
        <f t="shared" si="50"/>
        <v>2074</v>
      </c>
      <c r="B1095" s="3">
        <f t="shared" si="41"/>
        <v>365</v>
      </c>
      <c r="C1095" s="32">
        <f t="shared" ca="1" si="51"/>
        <v>154.75825</v>
      </c>
      <c r="D1095" s="32">
        <f t="shared" ca="1" si="51"/>
        <v>281.0162499999999</v>
      </c>
      <c r="E1095" s="32">
        <f t="shared" ca="1" si="51"/>
        <v>780.7254999999999</v>
      </c>
      <c r="F1095" s="32">
        <f t="shared" ca="1" si="51"/>
        <v>1216.5</v>
      </c>
      <c r="G1095" s="32">
        <f t="shared" ca="1" si="51"/>
        <v>79.166666666666671</v>
      </c>
      <c r="H1095" s="32">
        <f t="shared" ca="1" si="51"/>
        <v>600</v>
      </c>
      <c r="I1095" s="32">
        <f t="shared" ca="1" si="51"/>
        <v>695</v>
      </c>
      <c r="J1095" s="32">
        <f t="shared" ca="1" si="51"/>
        <v>33.333333333333336</v>
      </c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</row>
    <row r="1096" spans="1:20" ht="15">
      <c r="A1096" s="3">
        <f t="shared" si="50"/>
        <v>2075</v>
      </c>
      <c r="B1096" s="3">
        <f t="shared" si="41"/>
        <v>365</v>
      </c>
      <c r="C1096" s="32">
        <f t="shared" ca="1" si="51"/>
        <v>154.75825</v>
      </c>
      <c r="D1096" s="32">
        <f t="shared" ca="1" si="51"/>
        <v>281.0162499999999</v>
      </c>
      <c r="E1096" s="32">
        <f t="shared" ca="1" si="51"/>
        <v>780.7254999999999</v>
      </c>
      <c r="F1096" s="32">
        <f t="shared" ca="1" si="51"/>
        <v>1216.5</v>
      </c>
      <c r="G1096" s="32">
        <f t="shared" ca="1" si="51"/>
        <v>79.166666666666671</v>
      </c>
      <c r="H1096" s="32">
        <f t="shared" ca="1" si="51"/>
        <v>600</v>
      </c>
      <c r="I1096" s="32">
        <f t="shared" ca="1" si="51"/>
        <v>695</v>
      </c>
      <c r="J1096" s="32">
        <f t="shared" ca="1" si="51"/>
        <v>33.333333333333336</v>
      </c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</row>
    <row r="1097" spans="1:20" ht="15">
      <c r="A1097" s="3">
        <f t="shared" si="50"/>
        <v>2076</v>
      </c>
      <c r="B1097" s="3">
        <f t="shared" si="41"/>
        <v>366</v>
      </c>
      <c r="C1097" s="32">
        <f t="shared" ca="1" si="51"/>
        <v>154.75825</v>
      </c>
      <c r="D1097" s="32">
        <f t="shared" ca="1" si="51"/>
        <v>281.0162499999999</v>
      </c>
      <c r="E1097" s="32">
        <f t="shared" ca="1" si="51"/>
        <v>780.7254999999999</v>
      </c>
      <c r="F1097" s="32">
        <f t="shared" ca="1" si="51"/>
        <v>1216.5</v>
      </c>
      <c r="G1097" s="32">
        <f t="shared" ca="1" si="51"/>
        <v>79.166666666666671</v>
      </c>
      <c r="H1097" s="32">
        <f t="shared" ca="1" si="51"/>
        <v>600</v>
      </c>
      <c r="I1097" s="32">
        <f t="shared" ca="1" si="51"/>
        <v>695</v>
      </c>
      <c r="J1097" s="32">
        <f t="shared" ca="1" si="51"/>
        <v>33.333333333333336</v>
      </c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</row>
    <row r="1098" spans="1:20" ht="15">
      <c r="A1098" s="3">
        <f t="shared" si="50"/>
        <v>2077</v>
      </c>
      <c r="B1098" s="3">
        <f t="shared" si="41"/>
        <v>365</v>
      </c>
      <c r="C1098" s="32">
        <f t="shared" ca="1" si="51"/>
        <v>154.75825</v>
      </c>
      <c r="D1098" s="32">
        <f t="shared" ca="1" si="51"/>
        <v>281.0162499999999</v>
      </c>
      <c r="E1098" s="32">
        <f t="shared" ca="1" si="51"/>
        <v>780.7254999999999</v>
      </c>
      <c r="F1098" s="32">
        <f t="shared" ca="1" si="51"/>
        <v>1216.5</v>
      </c>
      <c r="G1098" s="32">
        <f t="shared" ca="1" si="51"/>
        <v>79.166666666666671</v>
      </c>
      <c r="H1098" s="32">
        <f t="shared" ca="1" si="51"/>
        <v>600</v>
      </c>
      <c r="I1098" s="32">
        <f t="shared" ca="1" si="51"/>
        <v>695</v>
      </c>
      <c r="J1098" s="32">
        <f t="shared" ca="1" si="51"/>
        <v>33.333333333333336</v>
      </c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</row>
    <row r="1099" spans="1:20" ht="15">
      <c r="A1099" s="3">
        <f t="shared" si="50"/>
        <v>2078</v>
      </c>
      <c r="B1099" s="3">
        <f t="shared" si="41"/>
        <v>365</v>
      </c>
      <c r="C1099" s="32">
        <f t="shared" ca="1" si="51"/>
        <v>154.75825</v>
      </c>
      <c r="D1099" s="32">
        <f t="shared" ca="1" si="51"/>
        <v>281.0162499999999</v>
      </c>
      <c r="E1099" s="32">
        <f t="shared" ca="1" si="51"/>
        <v>780.7254999999999</v>
      </c>
      <c r="F1099" s="32">
        <f t="shared" ca="1" si="51"/>
        <v>1216.5</v>
      </c>
      <c r="G1099" s="32">
        <f t="shared" ca="1" si="51"/>
        <v>79.166666666666671</v>
      </c>
      <c r="H1099" s="32">
        <f t="shared" ca="1" si="51"/>
        <v>600</v>
      </c>
      <c r="I1099" s="32">
        <f t="shared" ca="1" si="51"/>
        <v>695</v>
      </c>
      <c r="J1099" s="32">
        <f t="shared" ca="1" si="51"/>
        <v>33.333333333333336</v>
      </c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</row>
    <row r="1100" spans="1:20" ht="15">
      <c r="A1100" s="3">
        <f t="shared" si="50"/>
        <v>2079</v>
      </c>
      <c r="B1100" s="3">
        <f t="shared" si="41"/>
        <v>365</v>
      </c>
      <c r="C1100" s="32">
        <f t="shared" ca="1" si="51"/>
        <v>154.75825</v>
      </c>
      <c r="D1100" s="32">
        <f t="shared" ca="1" si="51"/>
        <v>281.0162499999999</v>
      </c>
      <c r="E1100" s="32">
        <f t="shared" ca="1" si="51"/>
        <v>780.7254999999999</v>
      </c>
      <c r="F1100" s="32">
        <f t="shared" ca="1" si="51"/>
        <v>1216.5</v>
      </c>
      <c r="G1100" s="32">
        <f t="shared" ca="1" si="51"/>
        <v>79.166666666666671</v>
      </c>
      <c r="H1100" s="32">
        <f t="shared" ca="1" si="51"/>
        <v>600</v>
      </c>
      <c r="I1100" s="32">
        <f t="shared" ca="1" si="51"/>
        <v>695</v>
      </c>
      <c r="J1100" s="32">
        <f t="shared" ca="1" si="51"/>
        <v>33.333333333333336</v>
      </c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</row>
    <row r="1101" spans="1:20" ht="15">
      <c r="A1101" s="3">
        <f t="shared" si="50"/>
        <v>2080</v>
      </c>
      <c r="B1101" s="3">
        <f t="shared" ref="B1101:B1121" si="52">DATE(A1101+1,1,1)-DATE(A1101,1,1)</f>
        <v>366</v>
      </c>
      <c r="C1101" s="32">
        <f t="shared" ca="1" si="51"/>
        <v>154.75825</v>
      </c>
      <c r="D1101" s="32">
        <f t="shared" ca="1" si="51"/>
        <v>281.0162499999999</v>
      </c>
      <c r="E1101" s="32">
        <f t="shared" ca="1" si="51"/>
        <v>780.7254999999999</v>
      </c>
      <c r="F1101" s="32">
        <f t="shared" ca="1" si="51"/>
        <v>1216.5</v>
      </c>
      <c r="G1101" s="32">
        <f t="shared" ca="1" si="51"/>
        <v>79.166666666666671</v>
      </c>
      <c r="H1101" s="32">
        <f t="shared" ca="1" si="51"/>
        <v>600</v>
      </c>
      <c r="I1101" s="32">
        <f t="shared" ca="1" si="51"/>
        <v>695</v>
      </c>
      <c r="J1101" s="32">
        <f t="shared" ca="1" si="51"/>
        <v>33.333333333333336</v>
      </c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</row>
    <row r="1102" spans="1:20" ht="15">
      <c r="A1102" s="3">
        <f t="shared" si="50"/>
        <v>2081</v>
      </c>
      <c r="B1102" s="3">
        <f t="shared" si="52"/>
        <v>365</v>
      </c>
      <c r="C1102" s="32">
        <f t="shared" ca="1" si="51"/>
        <v>154.75825</v>
      </c>
      <c r="D1102" s="32">
        <f t="shared" ca="1" si="51"/>
        <v>281.0162499999999</v>
      </c>
      <c r="E1102" s="32">
        <f t="shared" ca="1" si="51"/>
        <v>780.7254999999999</v>
      </c>
      <c r="F1102" s="32">
        <f t="shared" ca="1" si="51"/>
        <v>1216.5</v>
      </c>
      <c r="G1102" s="32">
        <f t="shared" ca="1" si="51"/>
        <v>79.166666666666671</v>
      </c>
      <c r="H1102" s="32">
        <f t="shared" ca="1" si="51"/>
        <v>600</v>
      </c>
      <c r="I1102" s="32">
        <f t="shared" ca="1" si="51"/>
        <v>695</v>
      </c>
      <c r="J1102" s="32">
        <f t="shared" ca="1" si="51"/>
        <v>33.333333333333336</v>
      </c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</row>
    <row r="1103" spans="1:20" ht="15">
      <c r="A1103" s="3">
        <f t="shared" si="50"/>
        <v>2082</v>
      </c>
      <c r="B1103" s="3">
        <f t="shared" si="52"/>
        <v>365</v>
      </c>
      <c r="C1103" s="32">
        <f t="shared" ref="C1103:J1112" ca="1" si="53">AVERAGE(OFFSET(C$568,($A1103-$A$1083)*12,0,12,1))</f>
        <v>154.75825</v>
      </c>
      <c r="D1103" s="32">
        <f t="shared" ca="1" si="53"/>
        <v>281.0162499999999</v>
      </c>
      <c r="E1103" s="32">
        <f t="shared" ca="1" si="53"/>
        <v>780.7254999999999</v>
      </c>
      <c r="F1103" s="32">
        <f t="shared" ca="1" si="53"/>
        <v>1216.5</v>
      </c>
      <c r="G1103" s="32">
        <f t="shared" ca="1" si="53"/>
        <v>79.166666666666671</v>
      </c>
      <c r="H1103" s="32">
        <f t="shared" ca="1" si="53"/>
        <v>600</v>
      </c>
      <c r="I1103" s="32">
        <f t="shared" ca="1" si="53"/>
        <v>695</v>
      </c>
      <c r="J1103" s="32">
        <f t="shared" ca="1" si="53"/>
        <v>33.333333333333336</v>
      </c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</row>
    <row r="1104" spans="1:20" ht="15">
      <c r="A1104" s="3">
        <f t="shared" si="50"/>
        <v>2083</v>
      </c>
      <c r="B1104" s="3">
        <f t="shared" si="52"/>
        <v>365</v>
      </c>
      <c r="C1104" s="32">
        <f t="shared" ca="1" si="53"/>
        <v>154.75825</v>
      </c>
      <c r="D1104" s="32">
        <f t="shared" ca="1" si="53"/>
        <v>281.0162499999999</v>
      </c>
      <c r="E1104" s="32">
        <f t="shared" ca="1" si="53"/>
        <v>780.7254999999999</v>
      </c>
      <c r="F1104" s="32">
        <f t="shared" ca="1" si="53"/>
        <v>1216.5</v>
      </c>
      <c r="G1104" s="32">
        <f t="shared" ca="1" si="53"/>
        <v>79.166666666666671</v>
      </c>
      <c r="H1104" s="32">
        <f t="shared" ca="1" si="53"/>
        <v>600</v>
      </c>
      <c r="I1104" s="32">
        <f t="shared" ca="1" si="53"/>
        <v>695</v>
      </c>
      <c r="J1104" s="32">
        <f t="shared" ca="1" si="53"/>
        <v>33.333333333333336</v>
      </c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</row>
    <row r="1105" spans="1:20" ht="15">
      <c r="A1105" s="3">
        <f t="shared" si="50"/>
        <v>2084</v>
      </c>
      <c r="B1105" s="3">
        <f t="shared" si="52"/>
        <v>366</v>
      </c>
      <c r="C1105" s="32">
        <f t="shared" ca="1" si="53"/>
        <v>154.75825</v>
      </c>
      <c r="D1105" s="32">
        <f t="shared" ca="1" si="53"/>
        <v>281.0162499999999</v>
      </c>
      <c r="E1105" s="32">
        <f t="shared" ca="1" si="53"/>
        <v>780.7254999999999</v>
      </c>
      <c r="F1105" s="32">
        <f t="shared" ca="1" si="53"/>
        <v>1216.5</v>
      </c>
      <c r="G1105" s="32">
        <f t="shared" ca="1" si="53"/>
        <v>79.166666666666671</v>
      </c>
      <c r="H1105" s="32">
        <f t="shared" ca="1" si="53"/>
        <v>600</v>
      </c>
      <c r="I1105" s="32">
        <f t="shared" ca="1" si="53"/>
        <v>695</v>
      </c>
      <c r="J1105" s="32">
        <f t="shared" ca="1" si="53"/>
        <v>33.333333333333336</v>
      </c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</row>
    <row r="1106" spans="1:20" ht="15">
      <c r="A1106" s="3">
        <f t="shared" si="50"/>
        <v>2085</v>
      </c>
      <c r="B1106" s="3">
        <f t="shared" si="52"/>
        <v>365</v>
      </c>
      <c r="C1106" s="32">
        <f t="shared" ca="1" si="53"/>
        <v>154.75825</v>
      </c>
      <c r="D1106" s="32">
        <f t="shared" ca="1" si="53"/>
        <v>281.0162499999999</v>
      </c>
      <c r="E1106" s="32">
        <f t="shared" ca="1" si="53"/>
        <v>780.7254999999999</v>
      </c>
      <c r="F1106" s="32">
        <f t="shared" ca="1" si="53"/>
        <v>1216.5</v>
      </c>
      <c r="G1106" s="32">
        <f t="shared" ca="1" si="53"/>
        <v>79.166666666666671</v>
      </c>
      <c r="H1106" s="32">
        <f t="shared" ca="1" si="53"/>
        <v>600</v>
      </c>
      <c r="I1106" s="32">
        <f t="shared" ca="1" si="53"/>
        <v>695</v>
      </c>
      <c r="J1106" s="32">
        <f t="shared" ca="1" si="53"/>
        <v>33.333333333333336</v>
      </c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</row>
    <row r="1107" spans="1:20" ht="15">
      <c r="A1107" s="3">
        <f t="shared" si="50"/>
        <v>2086</v>
      </c>
      <c r="B1107" s="3">
        <f t="shared" si="52"/>
        <v>365</v>
      </c>
      <c r="C1107" s="32">
        <f t="shared" ca="1" si="53"/>
        <v>154.75825</v>
      </c>
      <c r="D1107" s="32">
        <f t="shared" ca="1" si="53"/>
        <v>281.0162499999999</v>
      </c>
      <c r="E1107" s="32">
        <f t="shared" ca="1" si="53"/>
        <v>780.7254999999999</v>
      </c>
      <c r="F1107" s="32">
        <f t="shared" ca="1" si="53"/>
        <v>1216.5</v>
      </c>
      <c r="G1107" s="32">
        <f t="shared" ca="1" si="53"/>
        <v>79.166666666666671</v>
      </c>
      <c r="H1107" s="32">
        <f t="shared" ca="1" si="53"/>
        <v>600</v>
      </c>
      <c r="I1107" s="32">
        <f t="shared" ca="1" si="53"/>
        <v>695</v>
      </c>
      <c r="J1107" s="32">
        <f t="shared" ca="1" si="53"/>
        <v>33.333333333333336</v>
      </c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</row>
    <row r="1108" spans="1:20" ht="15">
      <c r="A1108" s="3">
        <f t="shared" si="50"/>
        <v>2087</v>
      </c>
      <c r="B1108" s="3">
        <f t="shared" si="52"/>
        <v>365</v>
      </c>
      <c r="C1108" s="32">
        <f t="shared" ca="1" si="53"/>
        <v>154.75825</v>
      </c>
      <c r="D1108" s="32">
        <f t="shared" ca="1" si="53"/>
        <v>281.0162499999999</v>
      </c>
      <c r="E1108" s="32">
        <f t="shared" ca="1" si="53"/>
        <v>780.7254999999999</v>
      </c>
      <c r="F1108" s="32">
        <f t="shared" ca="1" si="53"/>
        <v>1216.5</v>
      </c>
      <c r="G1108" s="32">
        <f t="shared" ca="1" si="53"/>
        <v>79.166666666666671</v>
      </c>
      <c r="H1108" s="32">
        <f t="shared" ca="1" si="53"/>
        <v>600</v>
      </c>
      <c r="I1108" s="32">
        <f t="shared" ca="1" si="53"/>
        <v>695</v>
      </c>
      <c r="J1108" s="32">
        <f t="shared" ca="1" si="53"/>
        <v>33.333333333333336</v>
      </c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</row>
    <row r="1109" spans="1:20" ht="15">
      <c r="A1109" s="3">
        <f t="shared" si="50"/>
        <v>2088</v>
      </c>
      <c r="B1109" s="3">
        <f t="shared" si="52"/>
        <v>366</v>
      </c>
      <c r="C1109" s="32">
        <f t="shared" ca="1" si="53"/>
        <v>154.75825</v>
      </c>
      <c r="D1109" s="32">
        <f t="shared" ca="1" si="53"/>
        <v>281.0162499999999</v>
      </c>
      <c r="E1109" s="32">
        <f t="shared" ca="1" si="53"/>
        <v>780.7254999999999</v>
      </c>
      <c r="F1109" s="32">
        <f t="shared" ca="1" si="53"/>
        <v>1216.5</v>
      </c>
      <c r="G1109" s="32">
        <f t="shared" ca="1" si="53"/>
        <v>79.166666666666671</v>
      </c>
      <c r="H1109" s="32">
        <f t="shared" ca="1" si="53"/>
        <v>600</v>
      </c>
      <c r="I1109" s="32">
        <f t="shared" ca="1" si="53"/>
        <v>695</v>
      </c>
      <c r="J1109" s="32">
        <f t="shared" ca="1" si="53"/>
        <v>33.333333333333336</v>
      </c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</row>
    <row r="1110" spans="1:20" ht="15">
      <c r="A1110" s="3">
        <f t="shared" si="50"/>
        <v>2089</v>
      </c>
      <c r="B1110" s="3">
        <f t="shared" si="52"/>
        <v>365</v>
      </c>
      <c r="C1110" s="32">
        <f t="shared" ca="1" si="53"/>
        <v>154.75825</v>
      </c>
      <c r="D1110" s="32">
        <f t="shared" ca="1" si="53"/>
        <v>281.0162499999999</v>
      </c>
      <c r="E1110" s="32">
        <f t="shared" ca="1" si="53"/>
        <v>780.7254999999999</v>
      </c>
      <c r="F1110" s="32">
        <f t="shared" ca="1" si="53"/>
        <v>1216.5</v>
      </c>
      <c r="G1110" s="32">
        <f t="shared" ca="1" si="53"/>
        <v>79.166666666666671</v>
      </c>
      <c r="H1110" s="32">
        <f t="shared" ca="1" si="53"/>
        <v>600</v>
      </c>
      <c r="I1110" s="32">
        <f t="shared" ca="1" si="53"/>
        <v>695</v>
      </c>
      <c r="J1110" s="32">
        <f t="shared" ca="1" si="53"/>
        <v>33.333333333333336</v>
      </c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</row>
    <row r="1111" spans="1:20" ht="15">
      <c r="A1111" s="3">
        <f t="shared" si="50"/>
        <v>2090</v>
      </c>
      <c r="B1111" s="3">
        <f t="shared" si="52"/>
        <v>365</v>
      </c>
      <c r="C1111" s="32">
        <f t="shared" ca="1" si="53"/>
        <v>154.75825</v>
      </c>
      <c r="D1111" s="32">
        <f t="shared" ca="1" si="53"/>
        <v>281.0162499999999</v>
      </c>
      <c r="E1111" s="32">
        <f t="shared" ca="1" si="53"/>
        <v>780.7254999999999</v>
      </c>
      <c r="F1111" s="32">
        <f t="shared" ca="1" si="53"/>
        <v>1216.5</v>
      </c>
      <c r="G1111" s="32">
        <f t="shared" ca="1" si="53"/>
        <v>79.166666666666671</v>
      </c>
      <c r="H1111" s="32">
        <f t="shared" ca="1" si="53"/>
        <v>600</v>
      </c>
      <c r="I1111" s="32">
        <f t="shared" ca="1" si="53"/>
        <v>695</v>
      </c>
      <c r="J1111" s="32">
        <f t="shared" ca="1" si="53"/>
        <v>33.333333333333336</v>
      </c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</row>
    <row r="1112" spans="1:20" ht="15">
      <c r="A1112" s="3">
        <f t="shared" si="50"/>
        <v>2091</v>
      </c>
      <c r="B1112" s="3">
        <f t="shared" si="52"/>
        <v>365</v>
      </c>
      <c r="C1112" s="32">
        <f t="shared" ca="1" si="53"/>
        <v>154.75825</v>
      </c>
      <c r="D1112" s="32">
        <f t="shared" ca="1" si="53"/>
        <v>281.0162499999999</v>
      </c>
      <c r="E1112" s="32">
        <f t="shared" ca="1" si="53"/>
        <v>780.7254999999999</v>
      </c>
      <c r="F1112" s="32">
        <f t="shared" ca="1" si="53"/>
        <v>1216.5</v>
      </c>
      <c r="G1112" s="32">
        <f t="shared" ca="1" si="53"/>
        <v>79.166666666666671</v>
      </c>
      <c r="H1112" s="32">
        <f t="shared" ca="1" si="53"/>
        <v>600</v>
      </c>
      <c r="I1112" s="32">
        <f t="shared" ca="1" si="53"/>
        <v>695</v>
      </c>
      <c r="J1112" s="32">
        <f t="shared" ca="1" si="53"/>
        <v>33.333333333333336</v>
      </c>
    </row>
    <row r="1113" spans="1:20" ht="15">
      <c r="A1113" s="3">
        <f t="shared" si="50"/>
        <v>2092</v>
      </c>
      <c r="B1113" s="3">
        <f t="shared" si="52"/>
        <v>366</v>
      </c>
      <c r="C1113" s="32">
        <f t="shared" ref="C1113:J1121" ca="1" si="54">AVERAGE(OFFSET(C$568,($A1113-$A$1083)*12,0,12,1))</f>
        <v>154.75825</v>
      </c>
      <c r="D1113" s="32">
        <f t="shared" ca="1" si="54"/>
        <v>281.0162499999999</v>
      </c>
      <c r="E1113" s="32">
        <f t="shared" ca="1" si="54"/>
        <v>780.7254999999999</v>
      </c>
      <c r="F1113" s="32">
        <f t="shared" ca="1" si="54"/>
        <v>1216.5</v>
      </c>
      <c r="G1113" s="32">
        <f t="shared" ca="1" si="54"/>
        <v>79.166666666666671</v>
      </c>
      <c r="H1113" s="32">
        <f t="shared" ca="1" si="54"/>
        <v>600</v>
      </c>
      <c r="I1113" s="32">
        <f t="shared" ca="1" si="54"/>
        <v>695</v>
      </c>
      <c r="J1113" s="32">
        <f t="shared" ca="1" si="54"/>
        <v>33.333333333333336</v>
      </c>
    </row>
    <row r="1114" spans="1:20" ht="15">
      <c r="A1114" s="3">
        <f t="shared" si="50"/>
        <v>2093</v>
      </c>
      <c r="B1114" s="3">
        <f t="shared" si="52"/>
        <v>365</v>
      </c>
      <c r="C1114" s="32">
        <f t="shared" ca="1" si="54"/>
        <v>154.75825</v>
      </c>
      <c r="D1114" s="32">
        <f t="shared" ca="1" si="54"/>
        <v>281.0162499999999</v>
      </c>
      <c r="E1114" s="32">
        <f t="shared" ca="1" si="54"/>
        <v>780.7254999999999</v>
      </c>
      <c r="F1114" s="32">
        <f t="shared" ca="1" si="54"/>
        <v>1216.5</v>
      </c>
      <c r="G1114" s="32">
        <f t="shared" ca="1" si="54"/>
        <v>79.166666666666671</v>
      </c>
      <c r="H1114" s="32">
        <f t="shared" ca="1" si="54"/>
        <v>600</v>
      </c>
      <c r="I1114" s="32">
        <f t="shared" ca="1" si="54"/>
        <v>695</v>
      </c>
      <c r="J1114" s="32">
        <f t="shared" ca="1" si="54"/>
        <v>33.333333333333336</v>
      </c>
    </row>
    <row r="1115" spans="1:20" ht="15">
      <c r="A1115" s="3">
        <f t="shared" si="50"/>
        <v>2094</v>
      </c>
      <c r="B1115" s="3">
        <f t="shared" si="52"/>
        <v>365</v>
      </c>
      <c r="C1115" s="32">
        <f t="shared" ca="1" si="54"/>
        <v>154.75825</v>
      </c>
      <c r="D1115" s="32">
        <f t="shared" ca="1" si="54"/>
        <v>281.0162499999999</v>
      </c>
      <c r="E1115" s="32">
        <f t="shared" ca="1" si="54"/>
        <v>780.7254999999999</v>
      </c>
      <c r="F1115" s="32">
        <f t="shared" ca="1" si="54"/>
        <v>1216.5</v>
      </c>
      <c r="G1115" s="32">
        <f t="shared" ca="1" si="54"/>
        <v>79.166666666666671</v>
      </c>
      <c r="H1115" s="32">
        <f t="shared" ca="1" si="54"/>
        <v>600</v>
      </c>
      <c r="I1115" s="32">
        <f t="shared" ca="1" si="54"/>
        <v>695</v>
      </c>
      <c r="J1115" s="32">
        <f t="shared" ca="1" si="54"/>
        <v>33.333333333333336</v>
      </c>
    </row>
    <row r="1116" spans="1:20" ht="15">
      <c r="A1116" s="3">
        <f t="shared" si="50"/>
        <v>2095</v>
      </c>
      <c r="B1116" s="3">
        <f t="shared" si="52"/>
        <v>365</v>
      </c>
      <c r="C1116" s="32">
        <f t="shared" ca="1" si="54"/>
        <v>154.75825</v>
      </c>
      <c r="D1116" s="32">
        <f t="shared" ca="1" si="54"/>
        <v>281.0162499999999</v>
      </c>
      <c r="E1116" s="32">
        <f t="shared" ca="1" si="54"/>
        <v>780.7254999999999</v>
      </c>
      <c r="F1116" s="32">
        <f t="shared" ca="1" si="54"/>
        <v>1216.5</v>
      </c>
      <c r="G1116" s="32">
        <f t="shared" ca="1" si="54"/>
        <v>79.166666666666671</v>
      </c>
      <c r="H1116" s="32">
        <f t="shared" ca="1" si="54"/>
        <v>600</v>
      </c>
      <c r="I1116" s="32">
        <f t="shared" ca="1" si="54"/>
        <v>695</v>
      </c>
      <c r="J1116" s="32">
        <f t="shared" ca="1" si="54"/>
        <v>33.333333333333336</v>
      </c>
    </row>
    <row r="1117" spans="1:20" ht="15">
      <c r="A1117" s="3">
        <f t="shared" si="50"/>
        <v>2096</v>
      </c>
      <c r="B1117" s="3">
        <f t="shared" si="52"/>
        <v>366</v>
      </c>
      <c r="C1117" s="32">
        <f t="shared" ca="1" si="54"/>
        <v>154.75825</v>
      </c>
      <c r="D1117" s="32">
        <f t="shared" ca="1" si="54"/>
        <v>281.0162499999999</v>
      </c>
      <c r="E1117" s="32">
        <f t="shared" ca="1" si="54"/>
        <v>780.7254999999999</v>
      </c>
      <c r="F1117" s="32">
        <f t="shared" ca="1" si="54"/>
        <v>1216.5</v>
      </c>
      <c r="G1117" s="32">
        <f t="shared" ca="1" si="54"/>
        <v>79.166666666666671</v>
      </c>
      <c r="H1117" s="32">
        <f t="shared" ca="1" si="54"/>
        <v>600</v>
      </c>
      <c r="I1117" s="32">
        <f t="shared" ca="1" si="54"/>
        <v>695</v>
      </c>
      <c r="J1117" s="32">
        <f t="shared" ca="1" si="54"/>
        <v>33.333333333333336</v>
      </c>
    </row>
    <row r="1118" spans="1:20" ht="15">
      <c r="A1118" s="3">
        <f t="shared" si="50"/>
        <v>2097</v>
      </c>
      <c r="B1118" s="3">
        <f t="shared" si="52"/>
        <v>365</v>
      </c>
      <c r="C1118" s="32">
        <f t="shared" ca="1" si="54"/>
        <v>154.75825</v>
      </c>
      <c r="D1118" s="32">
        <f t="shared" ca="1" si="54"/>
        <v>281.0162499999999</v>
      </c>
      <c r="E1118" s="32">
        <f t="shared" ca="1" si="54"/>
        <v>780.7254999999999</v>
      </c>
      <c r="F1118" s="32">
        <f t="shared" ca="1" si="54"/>
        <v>1216.5</v>
      </c>
      <c r="G1118" s="32">
        <f t="shared" ca="1" si="54"/>
        <v>79.166666666666671</v>
      </c>
      <c r="H1118" s="32">
        <f t="shared" ca="1" si="54"/>
        <v>600</v>
      </c>
      <c r="I1118" s="32">
        <f t="shared" ca="1" si="54"/>
        <v>695</v>
      </c>
      <c r="J1118" s="32">
        <f t="shared" ca="1" si="54"/>
        <v>33.333333333333336</v>
      </c>
    </row>
    <row r="1119" spans="1:20" ht="15">
      <c r="A1119" s="3">
        <f t="shared" si="50"/>
        <v>2098</v>
      </c>
      <c r="B1119" s="3">
        <f t="shared" si="52"/>
        <v>365</v>
      </c>
      <c r="C1119" s="32">
        <f t="shared" ca="1" si="54"/>
        <v>154.75825</v>
      </c>
      <c r="D1119" s="32">
        <f t="shared" ca="1" si="54"/>
        <v>281.0162499999999</v>
      </c>
      <c r="E1119" s="32">
        <f t="shared" ca="1" si="54"/>
        <v>780.7254999999999</v>
      </c>
      <c r="F1119" s="32">
        <f t="shared" ca="1" si="54"/>
        <v>1216.5</v>
      </c>
      <c r="G1119" s="32">
        <f t="shared" ca="1" si="54"/>
        <v>79.166666666666671</v>
      </c>
      <c r="H1119" s="32">
        <f t="shared" ca="1" si="54"/>
        <v>600</v>
      </c>
      <c r="I1119" s="32">
        <f t="shared" ca="1" si="54"/>
        <v>695</v>
      </c>
      <c r="J1119" s="32">
        <f t="shared" ca="1" si="54"/>
        <v>33.333333333333336</v>
      </c>
    </row>
    <row r="1120" spans="1:20" ht="15">
      <c r="A1120" s="3">
        <f t="shared" si="50"/>
        <v>2099</v>
      </c>
      <c r="B1120" s="3">
        <f t="shared" si="52"/>
        <v>365</v>
      </c>
      <c r="C1120" s="32">
        <f t="shared" ca="1" si="54"/>
        <v>154.75825</v>
      </c>
      <c r="D1120" s="32">
        <f t="shared" ca="1" si="54"/>
        <v>281.0162499999999</v>
      </c>
      <c r="E1120" s="32">
        <f t="shared" ca="1" si="54"/>
        <v>780.7254999999999</v>
      </c>
      <c r="F1120" s="32">
        <f t="shared" ca="1" si="54"/>
        <v>1216.5</v>
      </c>
      <c r="G1120" s="32">
        <f t="shared" ca="1" si="54"/>
        <v>79.166666666666671</v>
      </c>
      <c r="H1120" s="32">
        <f t="shared" ca="1" si="54"/>
        <v>600</v>
      </c>
      <c r="I1120" s="32">
        <f t="shared" ca="1" si="54"/>
        <v>695</v>
      </c>
      <c r="J1120" s="32">
        <f t="shared" ca="1" si="54"/>
        <v>33.333333333333336</v>
      </c>
    </row>
    <row r="1121" spans="1:10" ht="15">
      <c r="A1121" s="3">
        <f t="shared" si="50"/>
        <v>2100</v>
      </c>
      <c r="B1121" s="3">
        <f t="shared" si="52"/>
        <v>365</v>
      </c>
      <c r="C1121" s="32">
        <f t="shared" ca="1" si="54"/>
        <v>154.75825</v>
      </c>
      <c r="D1121" s="32">
        <f t="shared" ca="1" si="54"/>
        <v>281.0162499999999</v>
      </c>
      <c r="E1121" s="32">
        <f t="shared" ca="1" si="54"/>
        <v>780.7254999999999</v>
      </c>
      <c r="F1121" s="32">
        <f t="shared" ca="1" si="54"/>
        <v>1216.5</v>
      </c>
      <c r="G1121" s="32">
        <f t="shared" ca="1" si="54"/>
        <v>79.166666666666671</v>
      </c>
      <c r="H1121" s="32">
        <f t="shared" ca="1" si="54"/>
        <v>600</v>
      </c>
      <c r="I1121" s="32">
        <f t="shared" ca="1" si="54"/>
        <v>695</v>
      </c>
      <c r="J1121" s="32">
        <f t="shared" ca="1" si="54"/>
        <v>33.333333333333336</v>
      </c>
    </row>
    <row r="1122" spans="1:10">
      <c r="A1122" s="29"/>
      <c r="B1122" s="29"/>
      <c r="C1122" s="31"/>
      <c r="D1122" s="31"/>
      <c r="E1122" s="31"/>
      <c r="F1122" s="31"/>
      <c r="G1122" s="31"/>
    </row>
    <row r="1123" spans="1:10">
      <c r="A1123" s="29"/>
      <c r="B1123" s="29"/>
    </row>
    <row r="1124" spans="1:10">
      <c r="A1124" s="29"/>
      <c r="B1124" s="29"/>
    </row>
    <row r="1125" spans="1:10">
      <c r="A1125" s="29"/>
      <c r="B1125" s="29"/>
    </row>
    <row r="1126" spans="1:10">
      <c r="A1126" s="29"/>
      <c r="B1126" s="29"/>
    </row>
    <row r="1127" spans="1:10">
      <c r="A1127" s="29"/>
      <c r="B1127" s="29"/>
    </row>
    <row r="1128" spans="1:10">
      <c r="A1128" s="29"/>
      <c r="B1128" s="29"/>
    </row>
    <row r="1129" spans="1:10">
      <c r="A1129" s="29"/>
      <c r="B1129" s="29"/>
    </row>
    <row r="1130" spans="1:10">
      <c r="A1130" s="29"/>
      <c r="B1130" s="29"/>
    </row>
    <row r="1131" spans="1:10">
      <c r="A1131" s="29"/>
      <c r="B1131" s="29"/>
    </row>
    <row r="1132" spans="1:10">
      <c r="A1132" s="29"/>
      <c r="B1132" s="29"/>
    </row>
    <row r="1133" spans="1:10">
      <c r="A1133" s="29"/>
      <c r="B1133" s="29"/>
    </row>
    <row r="1134" spans="1:10">
      <c r="A1134" s="29"/>
      <c r="B1134" s="29"/>
    </row>
    <row r="1135" spans="1:10">
      <c r="A1135" s="29"/>
      <c r="B1135" s="29"/>
    </row>
    <row r="1136" spans="1:10">
      <c r="A1136" s="29"/>
      <c r="B1136" s="29"/>
    </row>
    <row r="1137" spans="1:2">
      <c r="A1137" s="29"/>
      <c r="B1137" s="29"/>
    </row>
    <row r="1138" spans="1:2">
      <c r="A1138" s="29"/>
      <c r="B1138" s="29"/>
    </row>
    <row r="1139" spans="1:2">
      <c r="A1139" s="29"/>
      <c r="B1139" s="29"/>
    </row>
    <row r="1140" spans="1:2">
      <c r="A1140" s="29"/>
      <c r="B1140" s="29"/>
    </row>
    <row r="1141" spans="1:2">
      <c r="A1141" s="29"/>
      <c r="B1141" s="29"/>
    </row>
  </sheetData>
  <mergeCells count="1">
    <mergeCell ref="C13:E1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41"/>
  <sheetViews>
    <sheetView zoomScale="70" zoomScaleNormal="70" workbookViewId="0">
      <pane xSplit="1" ySplit="15" topLeftCell="B16" activePane="bottomRight" state="frozen"/>
      <selection activeCell="S136" sqref="S136"/>
      <selection pane="topRight" activeCell="S136" sqref="S136"/>
      <selection pane="bottomLeft" activeCell="S136" sqref="S136"/>
      <selection pane="bottomRight" activeCell="A6" sqref="A6"/>
    </sheetView>
  </sheetViews>
  <sheetFormatPr defaultColWidth="7.109375" defaultRowHeight="12.75"/>
  <cols>
    <col min="1" max="1" width="7.5546875" style="30" bestFit="1" customWidth="1"/>
    <col min="2" max="2" width="10" style="30" customWidth="1"/>
    <col min="3" max="3" width="12" style="30" customWidth="1"/>
    <col min="4" max="4" width="12.109375" style="30" bestFit="1" customWidth="1"/>
    <col min="5" max="5" width="7.44140625" style="30" bestFit="1" customWidth="1"/>
    <col min="6" max="16384" width="7.109375" style="29"/>
  </cols>
  <sheetData>
    <row r="1" spans="1:7" ht="15.75">
      <c r="A1" s="81" t="s">
        <v>64</v>
      </c>
    </row>
    <row r="2" spans="1:7" ht="15.75">
      <c r="A2" s="81" t="s">
        <v>65</v>
      </c>
    </row>
    <row r="3" spans="1:7" ht="15.75">
      <c r="A3" s="81" t="s">
        <v>70</v>
      </c>
    </row>
    <row r="4" spans="1:7" ht="15.75">
      <c r="A4" s="81" t="s">
        <v>66</v>
      </c>
    </row>
    <row r="5" spans="1:7" ht="15.75">
      <c r="A5" s="81" t="s">
        <v>67</v>
      </c>
    </row>
    <row r="6" spans="1:7" ht="15.75">
      <c r="A6" s="81" t="s">
        <v>72</v>
      </c>
    </row>
    <row r="7" spans="1:7" ht="20.25">
      <c r="A7" s="28" t="s">
        <v>43</v>
      </c>
    </row>
    <row r="8" spans="1:7" ht="15" customHeight="1">
      <c r="A8" s="54" t="s">
        <v>25</v>
      </c>
    </row>
    <row r="9" spans="1:7" ht="15" customHeight="1">
      <c r="A9" s="59"/>
      <c r="F9" s="57"/>
      <c r="G9" s="57"/>
    </row>
    <row r="10" spans="1:7" ht="15" customHeight="1">
      <c r="A10" s="59"/>
      <c r="B10" s="58"/>
      <c r="C10" s="58"/>
      <c r="D10" s="58"/>
      <c r="E10" s="58"/>
      <c r="F10" s="57"/>
      <c r="G10" s="57"/>
    </row>
    <row r="11" spans="1:7" ht="15" customHeight="1"/>
    <row r="12" spans="1:7" ht="15" customHeight="1">
      <c r="B12" s="56" t="s">
        <v>24</v>
      </c>
      <c r="C12" s="55">
        <f>1-0.261</f>
        <v>0.73899999999999999</v>
      </c>
      <c r="D12" s="56" t="s">
        <v>23</v>
      </c>
      <c r="E12" s="55">
        <f>1+0.261</f>
        <v>1.2610000000000001</v>
      </c>
    </row>
    <row r="13" spans="1:7" ht="15" customHeight="1">
      <c r="A13" s="54"/>
      <c r="B13" s="84" t="s">
        <v>42</v>
      </c>
      <c r="C13" s="84"/>
      <c r="D13" s="53" t="s">
        <v>41</v>
      </c>
      <c r="E13" s="48"/>
    </row>
    <row r="14" spans="1:7" s="51" customFormat="1" ht="63">
      <c r="B14" s="52" t="s">
        <v>40</v>
      </c>
      <c r="C14" s="52" t="s">
        <v>39</v>
      </c>
      <c r="D14" s="52" t="s">
        <v>38</v>
      </c>
      <c r="E14" s="20" t="s">
        <v>37</v>
      </c>
    </row>
    <row r="15" spans="1:7" s="51" customFormat="1" ht="21" customHeight="1">
      <c r="A15" s="17" t="s">
        <v>2</v>
      </c>
      <c r="B15" s="43" t="s">
        <v>1</v>
      </c>
      <c r="C15" s="43" t="s">
        <v>1</v>
      </c>
      <c r="D15" s="43" t="s">
        <v>1</v>
      </c>
      <c r="E15" s="17" t="s">
        <v>36</v>
      </c>
    </row>
    <row r="16" spans="1:7" ht="15">
      <c r="A16" s="13">
        <v>42370</v>
      </c>
      <c r="B16" s="4">
        <f>5.8031 * CHOOSE(CONTROL!$C$8, $C$12, 100%, $E$12) + CHOOSE(CONTROL!$C$27, 0.0003, 0)</f>
        <v>5.8033999999999999</v>
      </c>
      <c r="C16" s="4">
        <f>5.4906 * CHOOSE(CONTROL!$C$8, $C$12, 100%, $E$12) + CHOOSE(CONTROL!$C$27, 0.0003, 0)</f>
        <v>5.4908999999999999</v>
      </c>
      <c r="D16" s="4">
        <f>9.6341 * CHOOSE(CONTROL!$C$8, $C$12, 100%, $E$12) + CHOOSE(CONTROL!$C$27, 0, 0)</f>
        <v>9.6341000000000001</v>
      </c>
      <c r="E16" s="4">
        <f>34.74 * CHOOSE(CONTROL!$C$8, $C$12, 100%, $E$12) + CHOOSE(CONTROL!$C$27, 0, 0)</f>
        <v>34.74</v>
      </c>
    </row>
    <row r="17" spans="1:5" ht="15">
      <c r="A17" s="13">
        <v>42401</v>
      </c>
      <c r="B17" s="4">
        <f>6.3594 * CHOOSE(CONTROL!$C$8, $C$12, 100%, $E$12) + CHOOSE(CONTROL!$C$27, 0.0003, 0)</f>
        <v>6.3597000000000001</v>
      </c>
      <c r="C17" s="4">
        <f>6.0469 * CHOOSE(CONTROL!$C$8, $C$12, 100%, $E$12) + CHOOSE(CONTROL!$C$27, 0.0003, 0)</f>
        <v>6.0472000000000001</v>
      </c>
      <c r="D17" s="4">
        <f>9.8192 * CHOOSE(CONTROL!$C$8, $C$12, 100%, $E$12) + CHOOSE(CONTROL!$C$27, 0, 0)</f>
        <v>9.8192000000000004</v>
      </c>
      <c r="E17" s="4">
        <f>36.76 * CHOOSE(CONTROL!$C$8, $C$12, 100%, $E$12) + CHOOSE(CONTROL!$C$27, 0, 0)</f>
        <v>36.76</v>
      </c>
    </row>
    <row r="18" spans="1:5" ht="15">
      <c r="A18" s="13">
        <v>42430</v>
      </c>
      <c r="B18" s="4">
        <f>6.4687 * CHOOSE(CONTROL!$C$8, $C$12, 100%, $E$12) + CHOOSE(CONTROL!$C$27, 0.0003, 0)</f>
        <v>6.4690000000000003</v>
      </c>
      <c r="C18" s="4">
        <f>6.1562 * CHOOSE(CONTROL!$C$8, $C$12, 100%, $E$12) + CHOOSE(CONTROL!$C$27, 0.0003, 0)</f>
        <v>6.1565000000000003</v>
      </c>
      <c r="D18" s="4">
        <f>9.982 * CHOOSE(CONTROL!$C$8, $C$12, 100%, $E$12) + CHOOSE(CONTROL!$C$27, 0, 0)</f>
        <v>9.9819999999999993</v>
      </c>
      <c r="E18" s="4">
        <f>37.95 * CHOOSE(CONTROL!$C$8, $C$12, 100%, $E$12) + CHOOSE(CONTROL!$C$27, 0, 0)</f>
        <v>37.950000000000003</v>
      </c>
    </row>
    <row r="19" spans="1:5" ht="15">
      <c r="A19" s="13">
        <v>42461</v>
      </c>
      <c r="B19" s="4">
        <f>6.5781 * CHOOSE(CONTROL!$C$8, $C$12, 100%, $E$12) + CHOOSE(CONTROL!$C$27, 0.0003, 0)</f>
        <v>6.5784000000000002</v>
      </c>
      <c r="C19" s="4">
        <f>6.2656 * CHOOSE(CONTROL!$C$8, $C$12, 100%, $E$12) + CHOOSE(CONTROL!$C$27, 0.0003, 0)</f>
        <v>6.2659000000000002</v>
      </c>
      <c r="D19" s="4">
        <f>10.093 * CHOOSE(CONTROL!$C$8, $C$12, 100%, $E$12) + CHOOSE(CONTROL!$C$27, 0, 0)</f>
        <v>10.093</v>
      </c>
      <c r="E19" s="4">
        <f>38.93 * CHOOSE(CONTROL!$C$8, $C$12, 100%, $E$12) + CHOOSE(CONTROL!$C$27, 0, 0)</f>
        <v>38.93</v>
      </c>
    </row>
    <row r="20" spans="1:5" ht="15">
      <c r="A20" s="13">
        <v>42491</v>
      </c>
      <c r="B20" s="4">
        <f>6.6875 * CHOOSE(CONTROL!$C$8, $C$12, 100%, $E$12) + CHOOSE(CONTROL!$C$27, 0.0166, 0)</f>
        <v>6.7041000000000004</v>
      </c>
      <c r="C20" s="4">
        <f>6.375 * CHOOSE(CONTROL!$C$8, $C$12, 100%, $E$12) + CHOOSE(CONTROL!$C$27, 0.0166, 0)</f>
        <v>6.3916000000000004</v>
      </c>
      <c r="D20" s="4">
        <f>10.2399 * CHOOSE(CONTROL!$C$8, $C$12, 100%, $E$12) + CHOOSE(CONTROL!$C$27, 0, 0)</f>
        <v>10.2399</v>
      </c>
      <c r="E20" s="4">
        <f>39.8 * CHOOSE(CONTROL!$C$8, $C$12, 100%, $E$12) + CHOOSE(CONTROL!$C$27, 0, 0)</f>
        <v>39.799999999999997</v>
      </c>
    </row>
    <row r="21" spans="1:5" ht="15">
      <c r="A21" s="13">
        <v>42522</v>
      </c>
      <c r="B21" s="4">
        <f>6.7969 * CHOOSE(CONTROL!$C$8, $C$12, 100%, $E$12) + CHOOSE(CONTROL!$C$27, 0.0166, 0)</f>
        <v>6.8135000000000003</v>
      </c>
      <c r="C21" s="4">
        <f>6.4844 * CHOOSE(CONTROL!$C$8, $C$12, 100%, $E$12) + CHOOSE(CONTROL!$C$27, 0.0166, 0)</f>
        <v>6.5010000000000003</v>
      </c>
      <c r="D21" s="4">
        <f>10.4236 * CHOOSE(CONTROL!$C$8, $C$12, 100%, $E$12) + CHOOSE(CONTROL!$C$27, 0, 0)</f>
        <v>10.4236</v>
      </c>
      <c r="E21" s="4">
        <f>40.55 * CHOOSE(CONTROL!$C$8, $C$12, 100%, $E$12) + CHOOSE(CONTROL!$C$27, 0, 0)</f>
        <v>40.549999999999997</v>
      </c>
    </row>
    <row r="22" spans="1:5" ht="15">
      <c r="A22" s="13">
        <v>42552</v>
      </c>
      <c r="B22" s="4">
        <f>6.9062 * CHOOSE(CONTROL!$C$8, $C$12, 100%, $E$12) + CHOOSE(CONTROL!$C$27, 0.0166, 0)</f>
        <v>6.9228000000000005</v>
      </c>
      <c r="C22" s="4">
        <f>6.5938 * CHOOSE(CONTROL!$C$8, $C$12, 100%, $E$12) + CHOOSE(CONTROL!$C$27, 0.0166, 0)</f>
        <v>6.6104000000000003</v>
      </c>
      <c r="D22" s="4">
        <f>10.6131 * CHOOSE(CONTROL!$C$8, $C$12, 100%, $E$12) + CHOOSE(CONTROL!$C$27, 0, 0)</f>
        <v>10.613099999999999</v>
      </c>
      <c r="E22" s="4">
        <f>41.19 * CHOOSE(CONTROL!$C$8, $C$12, 100%, $E$12) + CHOOSE(CONTROL!$C$27, 0, 0)</f>
        <v>41.19</v>
      </c>
    </row>
    <row r="23" spans="1:5" ht="15">
      <c r="A23" s="13">
        <v>42583</v>
      </c>
      <c r="B23" s="4">
        <f>7.0156 * CHOOSE(CONTROL!$C$8, $C$12, 100%, $E$12) + CHOOSE(CONTROL!$C$27, 0.0166, 0)</f>
        <v>7.0322000000000005</v>
      </c>
      <c r="C23" s="4">
        <f>6.7031 * CHOOSE(CONTROL!$C$8, $C$12, 100%, $E$12) + CHOOSE(CONTROL!$C$27, 0.0166, 0)</f>
        <v>6.7197000000000005</v>
      </c>
      <c r="D23" s="4">
        <f>10.7846 * CHOOSE(CONTROL!$C$8, $C$12, 100%, $E$12) + CHOOSE(CONTROL!$C$27, 0, 0)</f>
        <v>10.784599999999999</v>
      </c>
      <c r="E23" s="4">
        <f>41.76 * CHOOSE(CONTROL!$C$8, $C$12, 100%, $E$12) + CHOOSE(CONTROL!$C$27, 0, 0)</f>
        <v>41.76</v>
      </c>
    </row>
    <row r="24" spans="1:5" ht="15">
      <c r="A24" s="13">
        <v>42614</v>
      </c>
      <c r="B24" s="4">
        <f>7.125 * CHOOSE(CONTROL!$C$8, $C$12, 100%, $E$12) + CHOOSE(CONTROL!$C$27, 0.0166, 0)</f>
        <v>7.1416000000000004</v>
      </c>
      <c r="C24" s="4">
        <f>6.8125 * CHOOSE(CONTROL!$C$8, $C$12, 100%, $E$12) + CHOOSE(CONTROL!$C$27, 0.0166, 0)</f>
        <v>6.8291000000000004</v>
      </c>
      <c r="D24" s="4">
        <f>10.9452 * CHOOSE(CONTROL!$C$8, $C$12, 100%, $E$12) + CHOOSE(CONTROL!$C$27, 0, 0)</f>
        <v>10.9452</v>
      </c>
      <c r="E24" s="4">
        <f>42.28 * CHOOSE(CONTROL!$C$8, $C$12, 100%, $E$12) + CHOOSE(CONTROL!$C$27, 0, 0)</f>
        <v>42.28</v>
      </c>
    </row>
    <row r="25" spans="1:5" ht="15">
      <c r="A25" s="13">
        <v>42644</v>
      </c>
      <c r="B25" s="4">
        <f>7.2188 * CHOOSE(CONTROL!$C$8, $C$12, 100%, $E$12) + CHOOSE(CONTROL!$C$27, 0.0003, 0)</f>
        <v>7.2191000000000001</v>
      </c>
      <c r="C25" s="4">
        <f>6.9062 * CHOOSE(CONTROL!$C$8, $C$12, 100%, $E$12) + CHOOSE(CONTROL!$C$27, 0.0003, 0)</f>
        <v>6.9065000000000003</v>
      </c>
      <c r="D25" s="4">
        <f>11.1123 * CHOOSE(CONTROL!$C$8, $C$12, 100%, $E$12) + CHOOSE(CONTROL!$C$27, 0, 0)</f>
        <v>11.112299999999999</v>
      </c>
      <c r="E25" s="4">
        <f>42.75 * CHOOSE(CONTROL!$C$8, $C$12, 100%, $E$12) + CHOOSE(CONTROL!$C$27, 0, 0)</f>
        <v>42.75</v>
      </c>
    </row>
    <row r="26" spans="1:5" ht="15">
      <c r="A26" s="13">
        <v>42675</v>
      </c>
      <c r="B26" s="4">
        <f>7.3125 * CHOOSE(CONTROL!$C$8, $C$12, 100%, $E$12) + CHOOSE(CONTROL!$C$27, 0.0003, 0)</f>
        <v>7.3128000000000002</v>
      </c>
      <c r="C26" s="4">
        <f>7 * CHOOSE(CONTROL!$C$8, $C$12, 100%, $E$12) + CHOOSE(CONTROL!$C$27, 0.0003, 0)</f>
        <v>7.0003000000000002</v>
      </c>
      <c r="D26" s="4">
        <f>11.2629 * CHOOSE(CONTROL!$C$8, $C$12, 100%, $E$12) + CHOOSE(CONTROL!$C$27, 0, 0)</f>
        <v>11.2629</v>
      </c>
      <c r="E26" s="4">
        <f>43.23 * CHOOSE(CONTROL!$C$8, $C$12, 100%, $E$12) + CHOOSE(CONTROL!$C$27, 0, 0)</f>
        <v>43.23</v>
      </c>
    </row>
    <row r="27" spans="1:5" ht="15">
      <c r="A27" s="13">
        <v>42705</v>
      </c>
      <c r="B27" s="4">
        <f>7.3984 * CHOOSE(CONTROL!$C$8, $C$12, 100%, $E$12) + CHOOSE(CONTROL!$C$27, 0.0003, 0)</f>
        <v>7.3986999999999998</v>
      </c>
      <c r="C27" s="4">
        <f>7.0859 * CHOOSE(CONTROL!$C$8, $C$12, 100%, $E$12) + CHOOSE(CONTROL!$C$27, 0.0003, 0)</f>
        <v>7.0861999999999998</v>
      </c>
      <c r="D27" s="4">
        <f>11.4041 * CHOOSE(CONTROL!$C$8, $C$12, 100%, $E$12) + CHOOSE(CONTROL!$C$27, 0, 0)</f>
        <v>11.4041</v>
      </c>
      <c r="E27" s="4">
        <f>43.73 * CHOOSE(CONTROL!$C$8, $C$12, 100%, $E$12) + CHOOSE(CONTROL!$C$27, 0, 0)</f>
        <v>43.73</v>
      </c>
    </row>
    <row r="28" spans="1:5" ht="15">
      <c r="A28" s="13">
        <v>42736</v>
      </c>
      <c r="B28" s="4">
        <f>7.4766 * CHOOSE(CONTROL!$C$8, $C$12, 100%, $E$12) + CHOOSE(CONTROL!$C$27, 0.0003, 0)</f>
        <v>7.4769000000000005</v>
      </c>
      <c r="C28" s="4">
        <f>7.1641 * CHOOSE(CONTROL!$C$8, $C$12, 100%, $E$12) + CHOOSE(CONTROL!$C$27, 0.0003, 0)</f>
        <v>7.1644000000000005</v>
      </c>
      <c r="D28" s="4">
        <f>11.5468 * CHOOSE(CONTROL!$C$8, $C$12, 100%, $E$12) + CHOOSE(CONTROL!$C$27, 0, 0)</f>
        <v>11.546799999999999</v>
      </c>
      <c r="E28" s="4">
        <f>44.12 * CHOOSE(CONTROL!$C$8, $C$12, 100%, $E$12) + CHOOSE(CONTROL!$C$27, 0, 0)</f>
        <v>44.12</v>
      </c>
    </row>
    <row r="29" spans="1:5" ht="15">
      <c r="A29" s="13">
        <v>42767</v>
      </c>
      <c r="B29" s="4">
        <f>7.5469 * CHOOSE(CONTROL!$C$8, $C$12, 100%, $E$12) + CHOOSE(CONTROL!$C$27, 0.0003, 0)</f>
        <v>7.5472000000000001</v>
      </c>
      <c r="C29" s="4">
        <f>7.2344 * CHOOSE(CONTROL!$C$8, $C$12, 100%, $E$12) + CHOOSE(CONTROL!$C$27, 0.0003, 0)</f>
        <v>7.2347000000000001</v>
      </c>
      <c r="D29" s="4">
        <f>11.662 * CHOOSE(CONTROL!$C$8, $C$12, 100%, $E$12) + CHOOSE(CONTROL!$C$27, 0, 0)</f>
        <v>11.662000000000001</v>
      </c>
      <c r="E29" s="4">
        <f>44.5 * CHOOSE(CONTROL!$C$8, $C$12, 100%, $E$12) + CHOOSE(CONTROL!$C$27, 0, 0)</f>
        <v>44.5</v>
      </c>
    </row>
    <row r="30" spans="1:5" ht="15">
      <c r="A30" s="13">
        <v>42795</v>
      </c>
      <c r="B30" s="4">
        <f>7.6172 * CHOOSE(CONTROL!$C$8, $C$12, 100%, $E$12) + CHOOSE(CONTROL!$C$27, 0.0003, 0)</f>
        <v>7.6175000000000006</v>
      </c>
      <c r="C30" s="4">
        <f>7.3047 * CHOOSE(CONTROL!$C$8, $C$12, 100%, $E$12) + CHOOSE(CONTROL!$C$27, 0.0003, 0)</f>
        <v>7.3050000000000006</v>
      </c>
      <c r="D30" s="4">
        <f>11.7305 * CHOOSE(CONTROL!$C$8, $C$12, 100%, $E$12) + CHOOSE(CONTROL!$C$27, 0, 0)</f>
        <v>11.730499999999999</v>
      </c>
      <c r="E30" s="4">
        <f>44.88 * CHOOSE(CONTROL!$C$8, $C$12, 100%, $E$12) + CHOOSE(CONTROL!$C$27, 0, 0)</f>
        <v>44.88</v>
      </c>
    </row>
    <row r="31" spans="1:5" ht="15">
      <c r="A31" s="13">
        <v>42826</v>
      </c>
      <c r="B31" s="4">
        <f>7.6875 * CHOOSE(CONTROL!$C$8, $C$12, 100%, $E$12) + CHOOSE(CONTROL!$C$27, 0.0003, 0)</f>
        <v>7.6878000000000002</v>
      </c>
      <c r="C31" s="4">
        <f>7.375 * CHOOSE(CONTROL!$C$8, $C$12, 100%, $E$12) + CHOOSE(CONTROL!$C$27, 0.0003, 0)</f>
        <v>7.3753000000000002</v>
      </c>
      <c r="D31" s="4">
        <f>11.7362 * CHOOSE(CONTROL!$C$8, $C$12, 100%, $E$12) + CHOOSE(CONTROL!$C$27, 0, 0)</f>
        <v>11.7362</v>
      </c>
      <c r="E31" s="4">
        <f>45.24 * CHOOSE(CONTROL!$C$8, $C$12, 100%, $E$12) + CHOOSE(CONTROL!$C$27, 0, 0)</f>
        <v>45.24</v>
      </c>
    </row>
    <row r="32" spans="1:5" ht="15">
      <c r="A32" s="13">
        <v>42856</v>
      </c>
      <c r="B32" s="4">
        <f>7.7656 * CHOOSE(CONTROL!$C$8, $C$12, 100%, $E$12) + CHOOSE(CONTROL!$C$27, 0.0166, 0)</f>
        <v>7.7822000000000005</v>
      </c>
      <c r="C32" s="4">
        <f>7.4531 * CHOOSE(CONTROL!$C$8, $C$12, 100%, $E$12) + CHOOSE(CONTROL!$C$27, 0.0166, 0)</f>
        <v>7.4697000000000005</v>
      </c>
      <c r="D32" s="4">
        <f>11.8018 * CHOOSE(CONTROL!$C$8, $C$12, 100%, $E$12) + CHOOSE(CONTROL!$C$27, 0, 0)</f>
        <v>11.8018</v>
      </c>
      <c r="E32" s="4">
        <f>45.57 * CHOOSE(CONTROL!$C$8, $C$12, 100%, $E$12) + CHOOSE(CONTROL!$C$27, 0, 0)</f>
        <v>45.57</v>
      </c>
    </row>
    <row r="33" spans="1:5" ht="15">
      <c r="A33" s="13">
        <v>42887</v>
      </c>
      <c r="B33" s="4">
        <f>7.8438 * CHOOSE(CONTROL!$C$8, $C$12, 100%, $E$12) + CHOOSE(CONTROL!$C$27, 0.0166, 0)</f>
        <v>7.8604000000000003</v>
      </c>
      <c r="C33" s="4">
        <f>7.5312 * CHOOSE(CONTROL!$C$8, $C$12, 100%, $E$12) + CHOOSE(CONTROL!$C$27, 0.0166, 0)</f>
        <v>7.5478000000000005</v>
      </c>
      <c r="D33" s="4">
        <f>11.8897 * CHOOSE(CONTROL!$C$8, $C$12, 100%, $E$12) + CHOOSE(CONTROL!$C$27, 0, 0)</f>
        <v>11.889699999999999</v>
      </c>
      <c r="E33" s="4">
        <f>45.89 * CHOOSE(CONTROL!$C$8, $C$12, 100%, $E$12) + CHOOSE(CONTROL!$C$27, 0, 0)</f>
        <v>45.89</v>
      </c>
    </row>
    <row r="34" spans="1:5" ht="15">
      <c r="A34" s="13">
        <v>42917</v>
      </c>
      <c r="B34" s="4">
        <f>7.9219 * CHOOSE(CONTROL!$C$8, $C$12, 100%, $E$12) + CHOOSE(CONTROL!$C$27, 0.0166, 0)</f>
        <v>7.9385000000000003</v>
      </c>
      <c r="C34" s="4">
        <f>7.6094 * CHOOSE(CONTROL!$C$8, $C$12, 100%, $E$12) + CHOOSE(CONTROL!$C$27, 0.0166, 0)</f>
        <v>7.6260000000000003</v>
      </c>
      <c r="D34" s="4">
        <f>12.0057 * CHOOSE(CONTROL!$C$8, $C$12, 100%, $E$12) + CHOOSE(CONTROL!$C$27, 0, 0)</f>
        <v>12.005699999999999</v>
      </c>
      <c r="E34" s="4">
        <f>46.17 * CHOOSE(CONTROL!$C$8, $C$12, 100%, $E$12) + CHOOSE(CONTROL!$C$27, 0, 0)</f>
        <v>46.17</v>
      </c>
    </row>
    <row r="35" spans="1:5" ht="15">
      <c r="A35" s="13">
        <v>42948</v>
      </c>
      <c r="B35" s="4">
        <f>8 * CHOOSE(CONTROL!$C$8, $C$12, 100%, $E$12) + CHOOSE(CONTROL!$C$27, 0.0166, 0)</f>
        <v>8.0166000000000004</v>
      </c>
      <c r="C35" s="4">
        <f>7.6875 * CHOOSE(CONTROL!$C$8, $C$12, 100%, $E$12) + CHOOSE(CONTROL!$C$27, 0.0166, 0)</f>
        <v>7.7041000000000004</v>
      </c>
      <c r="D35" s="4">
        <f>12.1238 * CHOOSE(CONTROL!$C$8, $C$12, 100%, $E$12) + CHOOSE(CONTROL!$C$27, 0, 0)</f>
        <v>12.123799999999999</v>
      </c>
      <c r="E35" s="4">
        <f>46.46 * CHOOSE(CONTROL!$C$8, $C$12, 100%, $E$12) + CHOOSE(CONTROL!$C$27, 0, 0)</f>
        <v>46.46</v>
      </c>
    </row>
    <row r="36" spans="1:5" ht="15">
      <c r="A36" s="13">
        <v>42979</v>
      </c>
      <c r="B36" s="4">
        <f>8.0781 * CHOOSE(CONTROL!$C$8, $C$12, 100%, $E$12) + CHOOSE(CONTROL!$C$27, 0.0166, 0)</f>
        <v>8.0946999999999996</v>
      </c>
      <c r="C36" s="4">
        <f>7.7656 * CHOOSE(CONTROL!$C$8, $C$12, 100%, $E$12) + CHOOSE(CONTROL!$C$27, 0.0166, 0)</f>
        <v>7.7822000000000005</v>
      </c>
      <c r="D36" s="4">
        <f>12.2463 * CHOOSE(CONTROL!$C$8, $C$12, 100%, $E$12) + CHOOSE(CONTROL!$C$27, 0, 0)</f>
        <v>12.2463</v>
      </c>
      <c r="E36" s="4">
        <f>46.75 * CHOOSE(CONTROL!$C$8, $C$12, 100%, $E$12) + CHOOSE(CONTROL!$C$27, 0, 0)</f>
        <v>46.75</v>
      </c>
    </row>
    <row r="37" spans="1:5" ht="15">
      <c r="A37" s="13">
        <v>43009</v>
      </c>
      <c r="B37" s="4">
        <f>8.1562 * CHOOSE(CONTROL!$C$8, $C$12, 100%, $E$12) + CHOOSE(CONTROL!$C$27, 0.0003, 0)</f>
        <v>8.1564999999999994</v>
      </c>
      <c r="C37" s="4">
        <f>7.8438 * CHOOSE(CONTROL!$C$8, $C$12, 100%, $E$12) + CHOOSE(CONTROL!$C$27, 0.0003, 0)</f>
        <v>7.8441000000000001</v>
      </c>
      <c r="D37" s="4">
        <f>12.3687 * CHOOSE(CONTROL!$C$8, $C$12, 100%, $E$12) + CHOOSE(CONTROL!$C$27, 0, 0)</f>
        <v>12.3687</v>
      </c>
      <c r="E37" s="4">
        <f>47.05 * CHOOSE(CONTROL!$C$8, $C$12, 100%, $E$12) + CHOOSE(CONTROL!$C$27, 0, 0)</f>
        <v>47.05</v>
      </c>
    </row>
    <row r="38" spans="1:5" ht="15">
      <c r="A38" s="13">
        <v>43040</v>
      </c>
      <c r="B38" s="4">
        <f>8.2344 * CHOOSE(CONTROL!$C$8, $C$12, 100%, $E$12) + CHOOSE(CONTROL!$C$27, 0.0003, 0)</f>
        <v>8.2347000000000001</v>
      </c>
      <c r="C38" s="4">
        <f>7.9219 * CHOOSE(CONTROL!$C$8, $C$12, 100%, $E$12) + CHOOSE(CONTROL!$C$27, 0.0003, 0)</f>
        <v>7.9222000000000001</v>
      </c>
      <c r="D38" s="4">
        <f>12.4696 * CHOOSE(CONTROL!$C$8, $C$12, 100%, $E$12) + CHOOSE(CONTROL!$C$27, 0, 0)</f>
        <v>12.4696</v>
      </c>
      <c r="E38" s="4">
        <f>47.36 * CHOOSE(CONTROL!$C$8, $C$12, 100%, $E$12) + CHOOSE(CONTROL!$C$27, 0, 0)</f>
        <v>47.36</v>
      </c>
    </row>
    <row r="39" spans="1:5" ht="15">
      <c r="A39" s="13">
        <v>43070</v>
      </c>
      <c r="B39" s="4">
        <f>8.3125 * CHOOSE(CONTROL!$C$8, $C$12, 100%, $E$12) + CHOOSE(CONTROL!$C$27, 0.0003, 0)</f>
        <v>8.3127999999999993</v>
      </c>
      <c r="C39" s="4">
        <f>8 * CHOOSE(CONTROL!$C$8, $C$12, 100%, $E$12) + CHOOSE(CONTROL!$C$27, 0.0003, 0)</f>
        <v>8.0002999999999993</v>
      </c>
      <c r="D39" s="4">
        <f>12.5561 * CHOOSE(CONTROL!$C$8, $C$12, 100%, $E$12) + CHOOSE(CONTROL!$C$27, 0, 0)</f>
        <v>12.556100000000001</v>
      </c>
      <c r="E39" s="4">
        <f>47.68 * CHOOSE(CONTROL!$C$8, $C$12, 100%, $E$12) + CHOOSE(CONTROL!$C$27, 0, 0)</f>
        <v>47.68</v>
      </c>
    </row>
    <row r="40" spans="1:5" ht="15">
      <c r="A40" s="13">
        <v>43101</v>
      </c>
      <c r="B40" s="4">
        <f>8.0625 * CHOOSE(CONTROL!$C$8, $C$12, 100%, $E$12) + CHOOSE(CONTROL!$C$27, 0.0003, 0)</f>
        <v>8.0627999999999993</v>
      </c>
      <c r="C40" s="4">
        <f>7.75 * CHOOSE(CONTROL!$C$8, $C$12, 100%, $E$12) + CHOOSE(CONTROL!$C$27, 0.0003, 0)</f>
        <v>7.7503000000000002</v>
      </c>
      <c r="D40" s="4">
        <f>12.6461 * CHOOSE(CONTROL!$C$8, $C$12, 100%, $E$12) + CHOOSE(CONTROL!$C$27, 0, 0)</f>
        <v>12.646100000000001</v>
      </c>
      <c r="E40" s="4">
        <f>47.87 * CHOOSE(CONTROL!$C$8, $C$12, 100%, $E$12) + CHOOSE(CONTROL!$C$27, 0, 0)</f>
        <v>47.87</v>
      </c>
    </row>
    <row r="41" spans="1:5" ht="15">
      <c r="A41" s="13">
        <v>43132</v>
      </c>
      <c r="B41" s="4">
        <f>8.1062 * CHOOSE(CONTROL!$C$8, $C$12, 100%, $E$12) + CHOOSE(CONTROL!$C$27, 0.0003, 0)</f>
        <v>8.1064999999999987</v>
      </c>
      <c r="C41" s="4">
        <f>7.7938 * CHOOSE(CONTROL!$C$8, $C$12, 100%, $E$12) + CHOOSE(CONTROL!$C$27, 0.0003, 0)</f>
        <v>7.7941000000000003</v>
      </c>
      <c r="D41" s="4">
        <f>12.6929 * CHOOSE(CONTROL!$C$8, $C$12, 100%, $E$12) + CHOOSE(CONTROL!$C$27, 0, 0)</f>
        <v>12.6929</v>
      </c>
      <c r="E41" s="4">
        <f>48.08 * CHOOSE(CONTROL!$C$8, $C$12, 100%, $E$12) + CHOOSE(CONTROL!$C$27, 0, 0)</f>
        <v>48.08</v>
      </c>
    </row>
    <row r="42" spans="1:5" ht="15">
      <c r="A42" s="13">
        <v>43160</v>
      </c>
      <c r="B42" s="4">
        <f>8.1547 * CHOOSE(CONTROL!$C$8, $C$12, 100%, $E$12) + CHOOSE(CONTROL!$C$27, 0.0003, 0)</f>
        <v>8.1549999999999994</v>
      </c>
      <c r="C42" s="4">
        <f>7.8422 * CHOOSE(CONTROL!$C$8, $C$12, 100%, $E$12) + CHOOSE(CONTROL!$C$27, 0.0003, 0)</f>
        <v>7.8425000000000002</v>
      </c>
      <c r="D42" s="4">
        <f>12.6893 * CHOOSE(CONTROL!$C$8, $C$12, 100%, $E$12) + CHOOSE(CONTROL!$C$27, 0, 0)</f>
        <v>12.689299999999999</v>
      </c>
      <c r="E42" s="4">
        <f>48.32 * CHOOSE(CONTROL!$C$8, $C$12, 100%, $E$12) + CHOOSE(CONTROL!$C$27, 0, 0)</f>
        <v>48.32</v>
      </c>
    </row>
    <row r="43" spans="1:5" ht="15">
      <c r="A43" s="13">
        <v>43191</v>
      </c>
      <c r="B43" s="4">
        <f>8.2078 * CHOOSE(CONTROL!$C$8, $C$12, 100%, $E$12) + CHOOSE(CONTROL!$C$27, 0.0003, 0)</f>
        <v>8.2081</v>
      </c>
      <c r="C43" s="4">
        <f>7.8953 * CHOOSE(CONTROL!$C$8, $C$12, 100%, $E$12) + CHOOSE(CONTROL!$C$27, 0.0003, 0)</f>
        <v>7.8956</v>
      </c>
      <c r="D43" s="4">
        <f>12.6605 * CHOOSE(CONTROL!$C$8, $C$12, 100%, $E$12) + CHOOSE(CONTROL!$C$27, 0, 0)</f>
        <v>12.660500000000001</v>
      </c>
      <c r="E43" s="4">
        <f>48.57 * CHOOSE(CONTROL!$C$8, $C$12, 100%, $E$12) + CHOOSE(CONTROL!$C$27, 0, 0)</f>
        <v>48.57</v>
      </c>
    </row>
    <row r="44" spans="1:5" ht="15">
      <c r="A44" s="13">
        <v>43221</v>
      </c>
      <c r="B44" s="4">
        <f>8.2781 * CHOOSE(CONTROL!$C$8, $C$12, 100%, $E$12) + CHOOSE(CONTROL!$C$27, 0.0166, 0)</f>
        <v>8.2947000000000006</v>
      </c>
      <c r="C44" s="4">
        <f>7.9656 * CHOOSE(CONTROL!$C$8, $C$12, 100%, $E$12) + CHOOSE(CONTROL!$C$27, 0.0166, 0)</f>
        <v>7.9822000000000006</v>
      </c>
      <c r="D44" s="4">
        <f>12.7254 * CHOOSE(CONTROL!$C$8, $C$12, 100%, $E$12) + CHOOSE(CONTROL!$C$27, 0, 0)</f>
        <v>12.7254</v>
      </c>
      <c r="E44" s="4">
        <f>48.85 * CHOOSE(CONTROL!$C$8, $C$12, 100%, $E$12) + CHOOSE(CONTROL!$C$27, 0, 0)</f>
        <v>48.85</v>
      </c>
    </row>
    <row r="45" spans="1:5" ht="15">
      <c r="A45" s="13">
        <v>43252</v>
      </c>
      <c r="B45" s="4">
        <f>8.3516 * CHOOSE(CONTROL!$C$8, $C$12, 100%, $E$12) + CHOOSE(CONTROL!$C$27, 0.0166, 0)</f>
        <v>8.3681999999999999</v>
      </c>
      <c r="C45" s="4">
        <f>8.0391 * CHOOSE(CONTROL!$C$8, $C$12, 100%, $E$12) + CHOOSE(CONTROL!$C$27, 0.0166, 0)</f>
        <v>8.0556999999999999</v>
      </c>
      <c r="D45" s="4">
        <f>12.801 * CHOOSE(CONTROL!$C$8, $C$12, 100%, $E$12) + CHOOSE(CONTROL!$C$27, 0, 0)</f>
        <v>12.801</v>
      </c>
      <c r="E45" s="4">
        <f>49.14 * CHOOSE(CONTROL!$C$8, $C$12, 100%, $E$12) + CHOOSE(CONTROL!$C$27, 0, 0)</f>
        <v>49.14</v>
      </c>
    </row>
    <row r="46" spans="1:5" ht="15">
      <c r="A46" s="13">
        <v>43282</v>
      </c>
      <c r="B46" s="4">
        <f>8.4203 * CHOOSE(CONTROL!$C$8, $C$12, 100%, $E$12) + CHOOSE(CONTROL!$C$27, 0.0166, 0)</f>
        <v>8.4368999999999996</v>
      </c>
      <c r="C46" s="4">
        <f>8.1078 * CHOOSE(CONTROL!$C$8, $C$12, 100%, $E$12) + CHOOSE(CONTROL!$C$27, 0.0166, 0)</f>
        <v>8.1243999999999996</v>
      </c>
      <c r="D46" s="4">
        <f>12.8946 * CHOOSE(CONTROL!$C$8, $C$12, 100%, $E$12) + CHOOSE(CONTROL!$C$27, 0, 0)</f>
        <v>12.894600000000001</v>
      </c>
      <c r="E46" s="4">
        <f>49.36 * CHOOSE(CONTROL!$C$8, $C$12, 100%, $E$12) + CHOOSE(CONTROL!$C$27, 0, 0)</f>
        <v>49.36</v>
      </c>
    </row>
    <row r="47" spans="1:5" ht="15">
      <c r="A47" s="13">
        <v>43313</v>
      </c>
      <c r="B47" s="4">
        <f>8.4906 * CHOOSE(CONTROL!$C$8, $C$12, 100%, $E$12) + CHOOSE(CONTROL!$C$27, 0.0166, 0)</f>
        <v>8.507200000000001</v>
      </c>
      <c r="C47" s="4">
        <f>8.1781 * CHOOSE(CONTROL!$C$8, $C$12, 100%, $E$12) + CHOOSE(CONTROL!$C$27, 0.0166, 0)</f>
        <v>8.194700000000001</v>
      </c>
      <c r="D47" s="4">
        <f>12.9847 * CHOOSE(CONTROL!$C$8, $C$12, 100%, $E$12) + CHOOSE(CONTROL!$C$27, 0, 0)</f>
        <v>12.9847</v>
      </c>
      <c r="E47" s="4">
        <f>49.6 * CHOOSE(CONTROL!$C$8, $C$12, 100%, $E$12) + CHOOSE(CONTROL!$C$27, 0, 0)</f>
        <v>49.6</v>
      </c>
    </row>
    <row r="48" spans="1:5" ht="15">
      <c r="A48" s="13">
        <v>43344</v>
      </c>
      <c r="B48" s="4">
        <f>8.5625 * CHOOSE(CONTROL!$C$8, $C$12, 100%, $E$12) + CHOOSE(CONTROL!$C$27, 0.0166, 0)</f>
        <v>8.5791000000000004</v>
      </c>
      <c r="C48" s="4">
        <f>8.25 * CHOOSE(CONTROL!$C$8, $C$12, 100%, $E$12) + CHOOSE(CONTROL!$C$27, 0.0166, 0)</f>
        <v>8.2666000000000004</v>
      </c>
      <c r="D48" s="4">
        <f>13.0784 * CHOOSE(CONTROL!$C$8, $C$12, 100%, $E$12) + CHOOSE(CONTROL!$C$27, 0, 0)</f>
        <v>13.0784</v>
      </c>
      <c r="E48" s="4">
        <f>49.85 * CHOOSE(CONTROL!$C$8, $C$12, 100%, $E$12) + CHOOSE(CONTROL!$C$27, 0, 0)</f>
        <v>49.85</v>
      </c>
    </row>
    <row r="49" spans="1:5" ht="15">
      <c r="A49" s="13">
        <v>43374</v>
      </c>
      <c r="B49" s="4">
        <f>8.6359 * CHOOSE(CONTROL!$C$8, $C$12, 100%, $E$12) + CHOOSE(CONTROL!$C$27, 0.0003, 0)</f>
        <v>8.6361999999999988</v>
      </c>
      <c r="C49" s="4">
        <f>8.3234 * CHOOSE(CONTROL!$C$8, $C$12, 100%, $E$12) + CHOOSE(CONTROL!$C$27, 0.0003, 0)</f>
        <v>8.3236999999999988</v>
      </c>
      <c r="D49" s="4">
        <f>13.1684 * CHOOSE(CONTROL!$C$8, $C$12, 100%, $E$12) + CHOOSE(CONTROL!$C$27, 0, 0)</f>
        <v>13.1684</v>
      </c>
      <c r="E49" s="4">
        <f>50.12 * CHOOSE(CONTROL!$C$8, $C$12, 100%, $E$12) + CHOOSE(CONTROL!$C$27, 0, 0)</f>
        <v>50.12</v>
      </c>
    </row>
    <row r="50" spans="1:5" ht="15">
      <c r="A50" s="13">
        <v>43405</v>
      </c>
      <c r="B50" s="4">
        <f>8.7141 * CHOOSE(CONTROL!$C$8, $C$12, 100%, $E$12) + CHOOSE(CONTROL!$C$27, 0.0003, 0)</f>
        <v>8.7143999999999995</v>
      </c>
      <c r="C50" s="4">
        <f>8.4016 * CHOOSE(CONTROL!$C$8, $C$12, 100%, $E$12) + CHOOSE(CONTROL!$C$27, 0.0003, 0)</f>
        <v>8.4018999999999995</v>
      </c>
      <c r="D50" s="4">
        <f>13.2368 * CHOOSE(CONTROL!$C$8, $C$12, 100%, $E$12) + CHOOSE(CONTROL!$C$27, 0, 0)</f>
        <v>13.236800000000001</v>
      </c>
      <c r="E50" s="4">
        <f>50.43 * CHOOSE(CONTROL!$C$8, $C$12, 100%, $E$12) + CHOOSE(CONTROL!$C$27, 0, 0)</f>
        <v>50.43</v>
      </c>
    </row>
    <row r="51" spans="1:5" ht="15">
      <c r="A51" s="13">
        <v>43435</v>
      </c>
      <c r="B51" s="4">
        <f>8.7906 * CHOOSE(CONTROL!$C$8, $C$12, 100%, $E$12) + CHOOSE(CONTROL!$C$27, 0.0003, 0)</f>
        <v>8.7908999999999988</v>
      </c>
      <c r="C51" s="4">
        <f>8.4781 * CHOOSE(CONTROL!$C$8, $C$12, 100%, $E$12) + CHOOSE(CONTROL!$C$27, 0.0003, 0)</f>
        <v>8.4783999999999988</v>
      </c>
      <c r="D51" s="4">
        <f>13.2945 * CHOOSE(CONTROL!$C$8, $C$12, 100%, $E$12) + CHOOSE(CONTROL!$C$27, 0, 0)</f>
        <v>13.294499999999999</v>
      </c>
      <c r="E51" s="4">
        <f>50.74 * CHOOSE(CONTROL!$C$8, $C$12, 100%, $E$12) + CHOOSE(CONTROL!$C$27, 0, 0)</f>
        <v>50.74</v>
      </c>
    </row>
    <row r="52" spans="1:5" ht="15">
      <c r="A52" s="13">
        <v>43466</v>
      </c>
      <c r="B52" s="4">
        <f>9.6524 * CHOOSE(CONTROL!$C$8, $C$12, 100%, $E$12) + CHOOSE(CONTROL!$C$27, 0.0003, 0)</f>
        <v>9.6526999999999994</v>
      </c>
      <c r="C52" s="4">
        <f>9.3399 * CHOOSE(CONTROL!$C$8, $C$12, 100%, $E$12) + CHOOSE(CONTROL!$C$27, 0.0003, 0)</f>
        <v>9.3401999999999994</v>
      </c>
      <c r="D52" s="4">
        <f>14.2793 * CHOOSE(CONTROL!$C$8, $C$12, 100%, $E$12) + CHOOSE(CONTROL!$C$27, 0, 0)</f>
        <v>14.279299999999999</v>
      </c>
      <c r="E52" s="4">
        <f>55.3212867733142 * CHOOSE(CONTROL!$C$8, $C$12, 100%, $E$12) + CHOOSE(CONTROL!$C$27, 0, 0)</f>
        <v>55.321286773314199</v>
      </c>
    </row>
    <row r="53" spans="1:5" ht="15">
      <c r="A53" s="13">
        <v>43497</v>
      </c>
      <c r="B53" s="4">
        <f>9.8371 * CHOOSE(CONTROL!$C$8, $C$12, 100%, $E$12) + CHOOSE(CONTROL!$C$27, 0.0003, 0)</f>
        <v>9.8373999999999988</v>
      </c>
      <c r="C53" s="4">
        <f>9.5246 * CHOOSE(CONTROL!$C$8, $C$12, 100%, $E$12) + CHOOSE(CONTROL!$C$27, 0.0003, 0)</f>
        <v>9.5248999999999988</v>
      </c>
      <c r="D53" s="4">
        <f>14.7231 * CHOOSE(CONTROL!$C$8, $C$12, 100%, $E$12) + CHOOSE(CONTROL!$C$27, 0, 0)</f>
        <v>14.723100000000001</v>
      </c>
      <c r="E53" s="4">
        <f>56.6348321374941 * CHOOSE(CONTROL!$C$8, $C$12, 100%, $E$12) + CHOOSE(CONTROL!$C$27, 0, 0)</f>
        <v>56.634832137494101</v>
      </c>
    </row>
    <row r="54" spans="1:5" ht="15">
      <c r="A54" s="13">
        <v>43525</v>
      </c>
      <c r="B54" s="4">
        <f>10.322 * CHOOSE(CONTROL!$C$8, $C$12, 100%, $E$12) + CHOOSE(CONTROL!$C$27, 0.0003, 0)</f>
        <v>10.322299999999998</v>
      </c>
      <c r="C54" s="4">
        <f>10.0095 * CHOOSE(CONTROL!$C$8, $C$12, 100%, $E$12) + CHOOSE(CONTROL!$C$27, 0.0003, 0)</f>
        <v>10.009799999999998</v>
      </c>
      <c r="D54" s="4">
        <f>15.4178 * CHOOSE(CONTROL!$C$8, $C$12, 100%, $E$12) + CHOOSE(CONTROL!$C$27, 0, 0)</f>
        <v>15.4178</v>
      </c>
      <c r="E54" s="4">
        <f>60.0842720698703 * CHOOSE(CONTROL!$C$8, $C$12, 100%, $E$12) + CHOOSE(CONTROL!$C$27, 0, 0)</f>
        <v>60.084272069870302</v>
      </c>
    </row>
    <row r="55" spans="1:5" ht="15">
      <c r="A55" s="13">
        <v>43556</v>
      </c>
      <c r="B55" s="4">
        <f>10.6666 * CHOOSE(CONTROL!$C$8, $C$12, 100%, $E$12) + CHOOSE(CONTROL!$C$27, 0.0003, 0)</f>
        <v>10.6669</v>
      </c>
      <c r="C55" s="4">
        <f>10.3541 * CHOOSE(CONTROL!$C$8, $C$12, 100%, $E$12) + CHOOSE(CONTROL!$C$27, 0.0003, 0)</f>
        <v>10.3544</v>
      </c>
      <c r="D55" s="4">
        <f>15.818 * CHOOSE(CONTROL!$C$8, $C$12, 100%, $E$12) + CHOOSE(CONTROL!$C$27, 0, 0)</f>
        <v>15.818</v>
      </c>
      <c r="E55" s="4">
        <f>62.5351451116549 * CHOOSE(CONTROL!$C$8, $C$12, 100%, $E$12) + CHOOSE(CONTROL!$C$27, 0, 0)</f>
        <v>62.535145111654899</v>
      </c>
    </row>
    <row r="56" spans="1:5" ht="15">
      <c r="A56" s="13">
        <v>43586</v>
      </c>
      <c r="B56" s="4">
        <f>10.8771 * CHOOSE(CONTROL!$C$8, $C$12, 100%, $E$12) + CHOOSE(CONTROL!$C$27, 0.0166, 0)</f>
        <v>10.893700000000001</v>
      </c>
      <c r="C56" s="4">
        <f>10.5646 * CHOOSE(CONTROL!$C$8, $C$12, 100%, $E$12) + CHOOSE(CONTROL!$C$27, 0.0166, 0)</f>
        <v>10.581200000000001</v>
      </c>
      <c r="D56" s="4">
        <f>15.6599 * CHOOSE(CONTROL!$C$8, $C$12, 100%, $E$12) + CHOOSE(CONTROL!$C$27, 0, 0)</f>
        <v>15.6599</v>
      </c>
      <c r="E56" s="4">
        <f>64.0325698009564 * CHOOSE(CONTROL!$C$8, $C$12, 100%, $E$12) + CHOOSE(CONTROL!$C$27, 0, 0)</f>
        <v>64.032569800956395</v>
      </c>
    </row>
    <row r="57" spans="1:5" ht="15">
      <c r="A57" s="13">
        <v>43617</v>
      </c>
      <c r="B57" s="4">
        <f>10.9056 * CHOOSE(CONTROL!$C$8, $C$12, 100%, $E$12) + CHOOSE(CONTROL!$C$27, 0.0166, 0)</f>
        <v>10.9222</v>
      </c>
      <c r="C57" s="4">
        <f>10.5931 * CHOOSE(CONTROL!$C$8, $C$12, 100%, $E$12) + CHOOSE(CONTROL!$C$27, 0.0166, 0)</f>
        <v>10.6097</v>
      </c>
      <c r="D57" s="4">
        <f>15.7887 * CHOOSE(CONTROL!$C$8, $C$12, 100%, $E$12) + CHOOSE(CONTROL!$C$27, 0, 0)</f>
        <v>15.7887</v>
      </c>
      <c r="E57" s="4">
        <f>64.235177575859 * CHOOSE(CONTROL!$C$8, $C$12, 100%, $E$12) + CHOOSE(CONTROL!$C$27, 0, 0)</f>
        <v>64.235177575858998</v>
      </c>
    </row>
    <row r="58" spans="1:5" ht="15">
      <c r="A58" s="13">
        <v>43647</v>
      </c>
      <c r="B58" s="4">
        <f>10.9027 * CHOOSE(CONTROL!$C$8, $C$12, 100%, $E$12) + CHOOSE(CONTROL!$C$27, 0.0166, 0)</f>
        <v>10.9193</v>
      </c>
      <c r="C58" s="4">
        <f>10.5902 * CHOOSE(CONTROL!$C$8, $C$12, 100%, $E$12) + CHOOSE(CONTROL!$C$27, 0.0166, 0)</f>
        <v>10.6068</v>
      </c>
      <c r="D58" s="4">
        <f>16.0211 * CHOOSE(CONTROL!$C$8, $C$12, 100%, $E$12) + CHOOSE(CONTROL!$C$27, 0, 0)</f>
        <v>16.021100000000001</v>
      </c>
      <c r="E58" s="4">
        <f>64.2147465397344 * CHOOSE(CONTROL!$C$8, $C$12, 100%, $E$12) + CHOOSE(CONTROL!$C$27, 0, 0)</f>
        <v>64.214746539734406</v>
      </c>
    </row>
    <row r="59" spans="1:5" ht="15">
      <c r="A59" s="13">
        <v>43678</v>
      </c>
      <c r="B59" s="4">
        <f>11.1188 * CHOOSE(CONTROL!$C$8, $C$12, 100%, $E$12) + CHOOSE(CONTROL!$C$27, 0.0166, 0)</f>
        <v>11.135400000000001</v>
      </c>
      <c r="C59" s="4">
        <f>10.8063 * CHOOSE(CONTROL!$C$8, $C$12, 100%, $E$12) + CHOOSE(CONTROL!$C$27, 0.0166, 0)</f>
        <v>10.822900000000001</v>
      </c>
      <c r="D59" s="4">
        <f>15.8676 * CHOOSE(CONTROL!$C$8, $C$12, 100%, $E$12) + CHOOSE(CONTROL!$C$27, 0, 0)</f>
        <v>15.867599999999999</v>
      </c>
      <c r="E59" s="4">
        <f>65.7521820081134 * CHOOSE(CONTROL!$C$8, $C$12, 100%, $E$12) + CHOOSE(CONTROL!$C$27, 0, 0)</f>
        <v>65.752182008113394</v>
      </c>
    </row>
    <row r="60" spans="1:5" ht="15">
      <c r="A60" s="13">
        <v>43709</v>
      </c>
      <c r="B60" s="4">
        <f>10.7504 * CHOOSE(CONTROL!$C$8, $C$12, 100%, $E$12) + CHOOSE(CONTROL!$C$27, 0.0166, 0)</f>
        <v>10.767000000000001</v>
      </c>
      <c r="C60" s="4">
        <f>10.4379 * CHOOSE(CONTROL!$C$8, $C$12, 100%, $E$12) + CHOOSE(CONTROL!$C$27, 0.0166, 0)</f>
        <v>10.454500000000001</v>
      </c>
      <c r="D60" s="4">
        <f>15.7951 * CHOOSE(CONTROL!$C$8, $C$12, 100%, $E$12) + CHOOSE(CONTROL!$C$27, 0, 0)</f>
        <v>15.7951</v>
      </c>
      <c r="E60" s="4">
        <f>63.1319016251287 * CHOOSE(CONTROL!$C$8, $C$12, 100%, $E$12) + CHOOSE(CONTROL!$C$27, 0, 0)</f>
        <v>63.131901625128698</v>
      </c>
    </row>
    <row r="61" spans="1:5" ht="15">
      <c r="A61" s="13">
        <v>43739</v>
      </c>
      <c r="B61" s="4">
        <f>10.4556 * CHOOSE(CONTROL!$C$8, $C$12, 100%, $E$12) + CHOOSE(CONTROL!$C$27, 0.0003, 0)</f>
        <v>10.4559</v>
      </c>
      <c r="C61" s="4">
        <f>10.1431 * CHOOSE(CONTROL!$C$8, $C$12, 100%, $E$12) + CHOOSE(CONTROL!$C$27, 0.0003, 0)</f>
        <v>10.1434</v>
      </c>
      <c r="D61" s="4">
        <f>15.6009 * CHOOSE(CONTROL!$C$8, $C$12, 100%, $E$12) + CHOOSE(CONTROL!$C$27, 0, 0)</f>
        <v>15.600899999999999</v>
      </c>
      <c r="E61" s="4">
        <f>61.0343152496659 * CHOOSE(CONTROL!$C$8, $C$12, 100%, $E$12) + CHOOSE(CONTROL!$C$27, 0, 0)</f>
        <v>61.034315249665902</v>
      </c>
    </row>
    <row r="62" spans="1:5" ht="15">
      <c r="A62" s="13">
        <v>43770</v>
      </c>
      <c r="B62" s="4">
        <f>10.2656 * CHOOSE(CONTROL!$C$8, $C$12, 100%, $E$12) + CHOOSE(CONTROL!$C$27, 0.0003, 0)</f>
        <v>10.265899999999998</v>
      </c>
      <c r="C62" s="4">
        <f>9.9531 * CHOOSE(CONTROL!$C$8, $C$12, 100%, $E$12) + CHOOSE(CONTROL!$C$27, 0.0003, 0)</f>
        <v>9.9533999999999985</v>
      </c>
      <c r="D62" s="4">
        <f>15.5342 * CHOOSE(CONTROL!$C$8, $C$12, 100%, $E$12) + CHOOSE(CONTROL!$C$27, 0, 0)</f>
        <v>15.5342</v>
      </c>
      <c r="E62" s="4">
        <f>59.6833129859243 * CHOOSE(CONTROL!$C$8, $C$12, 100%, $E$12) + CHOOSE(CONTROL!$C$27, 0, 0)</f>
        <v>59.683312985924303</v>
      </c>
    </row>
    <row r="63" spans="1:5" ht="15">
      <c r="A63" s="13">
        <v>43800</v>
      </c>
      <c r="B63" s="4">
        <f>10.1342 * CHOOSE(CONTROL!$C$8, $C$12, 100%, $E$12) + CHOOSE(CONTROL!$C$27, 0.0003, 0)</f>
        <v>10.134499999999999</v>
      </c>
      <c r="C63" s="4">
        <f>9.8217 * CHOOSE(CONTROL!$C$8, $C$12, 100%, $E$12) + CHOOSE(CONTROL!$C$27, 0.0003, 0)</f>
        <v>9.8219999999999992</v>
      </c>
      <c r="D63" s="4">
        <f>15.0428 * CHOOSE(CONTROL!$C$8, $C$12, 100%, $E$12) + CHOOSE(CONTROL!$C$27, 0, 0)</f>
        <v>15.0428</v>
      </c>
      <c r="E63" s="4">
        <f>58.7485930832221 * CHOOSE(CONTROL!$C$8, $C$12, 100%, $E$12) + CHOOSE(CONTROL!$C$27, 0, 0)</f>
        <v>58.748593083222097</v>
      </c>
    </row>
    <row r="64" spans="1:5" ht="15">
      <c r="A64" s="13">
        <v>43831</v>
      </c>
      <c r="B64" s="4">
        <f>10.1614 * CHOOSE(CONTROL!$C$8, $C$12, 100%, $E$12) + CHOOSE(CONTROL!$C$27, 0.0003, 0)</f>
        <v>10.1617</v>
      </c>
      <c r="C64" s="4">
        <f>9.8489 * CHOOSE(CONTROL!$C$8, $C$12, 100%, $E$12) + CHOOSE(CONTROL!$C$27, 0.0003, 0)</f>
        <v>9.8491999999999997</v>
      </c>
      <c r="D64" s="4">
        <f>14.8704 * CHOOSE(CONTROL!$C$8, $C$12, 100%, $E$12) + CHOOSE(CONTROL!$C$27, 0, 0)</f>
        <v>14.8704</v>
      </c>
      <c r="E64" s="4">
        <f>58.2852825028717 * CHOOSE(CONTROL!$C$8, $C$12, 100%, $E$12) + CHOOSE(CONTROL!$C$27, 0, 0)</f>
        <v>58.285282502871702</v>
      </c>
    </row>
    <row r="65" spans="1:5" ht="15">
      <c r="A65" s="13">
        <v>43862</v>
      </c>
      <c r="B65" s="4">
        <f>10.3582 * CHOOSE(CONTROL!$C$8, $C$12, 100%, $E$12) + CHOOSE(CONTROL!$C$27, 0.0003, 0)</f>
        <v>10.358499999999999</v>
      </c>
      <c r="C65" s="4">
        <f>10.0457 * CHOOSE(CONTROL!$C$8, $C$12, 100%, $E$12) + CHOOSE(CONTROL!$C$27, 0.0003, 0)</f>
        <v>10.045999999999999</v>
      </c>
      <c r="D65" s="4">
        <f>15.3351 * CHOOSE(CONTROL!$C$8, $C$12, 100%, $E$12) + CHOOSE(CONTROL!$C$27, 0, 0)</f>
        <v>15.335100000000001</v>
      </c>
      <c r="E65" s="4">
        <f>59.66920480651 * CHOOSE(CONTROL!$C$8, $C$12, 100%, $E$12) + CHOOSE(CONTROL!$C$27, 0, 0)</f>
        <v>59.669204806510002</v>
      </c>
    </row>
    <row r="66" spans="1:5" ht="15">
      <c r="A66" s="13">
        <v>43891</v>
      </c>
      <c r="B66" s="4">
        <f>10.8749 * CHOOSE(CONTROL!$C$8, $C$12, 100%, $E$12) + CHOOSE(CONTROL!$C$27, 0.0003, 0)</f>
        <v>10.8752</v>
      </c>
      <c r="C66" s="4">
        <f>10.5624 * CHOOSE(CONTROL!$C$8, $C$12, 100%, $E$12) + CHOOSE(CONTROL!$C$27, 0.0003, 0)</f>
        <v>10.5627</v>
      </c>
      <c r="D66" s="4">
        <f>16.0625 * CHOOSE(CONTROL!$C$8, $C$12, 100%, $E$12) + CHOOSE(CONTROL!$C$27, 0, 0)</f>
        <v>16.0625</v>
      </c>
      <c r="E66" s="4">
        <f>63.3034583219618 * CHOOSE(CONTROL!$C$8, $C$12, 100%, $E$12) + CHOOSE(CONTROL!$C$27, 0, 0)</f>
        <v>63.303458321961799</v>
      </c>
    </row>
    <row r="67" spans="1:5" ht="15">
      <c r="A67" s="13">
        <v>43922</v>
      </c>
      <c r="B67" s="4">
        <f>11.242 * CHOOSE(CONTROL!$C$8, $C$12, 100%, $E$12) + CHOOSE(CONTROL!$C$27, 0.0003, 0)</f>
        <v>11.2423</v>
      </c>
      <c r="C67" s="4">
        <f>10.9295 * CHOOSE(CONTROL!$C$8, $C$12, 100%, $E$12) + CHOOSE(CONTROL!$C$27, 0.0003, 0)</f>
        <v>10.9298</v>
      </c>
      <c r="D67" s="4">
        <f>16.4816 * CHOOSE(CONTROL!$C$8, $C$12, 100%, $E$12) + CHOOSE(CONTROL!$C$27, 0, 0)</f>
        <v>16.4816</v>
      </c>
      <c r="E67" s="4">
        <f>65.8856438774864 * CHOOSE(CONTROL!$C$8, $C$12, 100%, $E$12) + CHOOSE(CONTROL!$C$27, 0, 0)</f>
        <v>65.885643877486402</v>
      </c>
    </row>
    <row r="68" spans="1:5" ht="15">
      <c r="A68" s="13">
        <v>43952</v>
      </c>
      <c r="B68" s="4">
        <f>11.4663 * CHOOSE(CONTROL!$C$8, $C$12, 100%, $E$12) + CHOOSE(CONTROL!$C$27, 0.0166, 0)</f>
        <v>11.482900000000001</v>
      </c>
      <c r="C68" s="4">
        <f>11.1538 * CHOOSE(CONTROL!$C$8, $C$12, 100%, $E$12) + CHOOSE(CONTROL!$C$27, 0.0166, 0)</f>
        <v>11.170400000000001</v>
      </c>
      <c r="D68" s="4">
        <f>16.316 * CHOOSE(CONTROL!$C$8, $C$12, 100%, $E$12) + CHOOSE(CONTROL!$C$27, 0, 0)</f>
        <v>16.315999999999999</v>
      </c>
      <c r="E68" s="4">
        <f>67.4632973655614 * CHOOSE(CONTROL!$C$8, $C$12, 100%, $E$12) + CHOOSE(CONTROL!$C$27, 0, 0)</f>
        <v>67.463297365561402</v>
      </c>
    </row>
    <row r="69" spans="1:5" ht="15">
      <c r="A69" s="13">
        <v>43983</v>
      </c>
      <c r="B69" s="4">
        <f>11.4966 * CHOOSE(CONTROL!$C$8, $C$12, 100%, $E$12) + CHOOSE(CONTROL!$C$27, 0.0166, 0)</f>
        <v>11.513200000000001</v>
      </c>
      <c r="C69" s="4">
        <f>11.1841 * CHOOSE(CONTROL!$C$8, $C$12, 100%, $E$12) + CHOOSE(CONTROL!$C$27, 0.0166, 0)</f>
        <v>11.200700000000001</v>
      </c>
      <c r="D69" s="4">
        <f>16.4508 * CHOOSE(CONTROL!$C$8, $C$12, 100%, $E$12) + CHOOSE(CONTROL!$C$27, 0, 0)</f>
        <v>16.450800000000001</v>
      </c>
      <c r="E69" s="4">
        <f>67.6767604298944 * CHOOSE(CONTROL!$C$8, $C$12, 100%, $E$12) + CHOOSE(CONTROL!$C$27, 0, 0)</f>
        <v>67.676760429894401</v>
      </c>
    </row>
    <row r="70" spans="1:5" ht="15">
      <c r="A70" s="13">
        <v>44013</v>
      </c>
      <c r="B70" s="4">
        <f>11.4936 * CHOOSE(CONTROL!$C$8, $C$12, 100%, $E$12) + CHOOSE(CONTROL!$C$27, 0.0166, 0)</f>
        <v>11.510200000000001</v>
      </c>
      <c r="C70" s="4">
        <f>11.1811 * CHOOSE(CONTROL!$C$8, $C$12, 100%, $E$12) + CHOOSE(CONTROL!$C$27, 0.0166, 0)</f>
        <v>11.197700000000001</v>
      </c>
      <c r="D70" s="4">
        <f>16.6941 * CHOOSE(CONTROL!$C$8, $C$12, 100%, $E$12) + CHOOSE(CONTROL!$C$27, 0, 0)</f>
        <v>16.694099999999999</v>
      </c>
      <c r="E70" s="4">
        <f>67.6552347427348 * CHOOSE(CONTROL!$C$8, $C$12, 100%, $E$12) + CHOOSE(CONTROL!$C$27, 0, 0)</f>
        <v>67.655234742734805</v>
      </c>
    </row>
    <row r="71" spans="1:5" ht="15">
      <c r="A71" s="13">
        <v>44044</v>
      </c>
      <c r="B71" s="4">
        <f>11.7238 * CHOOSE(CONTROL!$C$8, $C$12, 100%, $E$12) + CHOOSE(CONTROL!$C$27, 0.0166, 0)</f>
        <v>11.740400000000001</v>
      </c>
      <c r="C71" s="4">
        <f>11.4113 * CHOOSE(CONTROL!$C$8, $C$12, 100%, $E$12) + CHOOSE(CONTROL!$C$27, 0.0166, 0)</f>
        <v>11.427900000000001</v>
      </c>
      <c r="D71" s="4">
        <f>16.5335 * CHOOSE(CONTROL!$C$8, $C$12, 100%, $E$12) + CHOOSE(CONTROL!$C$27, 0, 0)</f>
        <v>16.5335</v>
      </c>
      <c r="E71" s="4">
        <f>69.2750427014974 * CHOOSE(CONTROL!$C$8, $C$12, 100%, $E$12) + CHOOSE(CONTROL!$C$27, 0, 0)</f>
        <v>69.275042701497398</v>
      </c>
    </row>
    <row r="72" spans="1:5" ht="15">
      <c r="A72" s="13">
        <v>44075</v>
      </c>
      <c r="B72" s="4">
        <f>11.3314 * CHOOSE(CONTROL!$C$8, $C$12, 100%, $E$12) + CHOOSE(CONTROL!$C$27, 0.0166, 0)</f>
        <v>11.348000000000001</v>
      </c>
      <c r="C72" s="4">
        <f>11.0189 * CHOOSE(CONTROL!$C$8, $C$12, 100%, $E$12) + CHOOSE(CONTROL!$C$27, 0.0166, 0)</f>
        <v>11.035500000000001</v>
      </c>
      <c r="D72" s="4">
        <f>16.4575 * CHOOSE(CONTROL!$C$8, $C$12, 100%, $E$12) + CHOOSE(CONTROL!$C$27, 0, 0)</f>
        <v>16.4575</v>
      </c>
      <c r="E72" s="4">
        <f>66.5143733232741 * CHOOSE(CONTROL!$C$8, $C$12, 100%, $E$12) + CHOOSE(CONTROL!$C$27, 0, 0)</f>
        <v>66.5143733232741</v>
      </c>
    </row>
    <row r="73" spans="1:5" ht="15">
      <c r="A73" s="13">
        <v>44105</v>
      </c>
      <c r="B73" s="4">
        <f>11.0172 * CHOOSE(CONTROL!$C$8, $C$12, 100%, $E$12) + CHOOSE(CONTROL!$C$27, 0.0003, 0)</f>
        <v>11.0175</v>
      </c>
      <c r="C73" s="4">
        <f>10.7047 * CHOOSE(CONTROL!$C$8, $C$12, 100%, $E$12) + CHOOSE(CONTROL!$C$27, 0.0003, 0)</f>
        <v>10.705</v>
      </c>
      <c r="D73" s="4">
        <f>16.2543 * CHOOSE(CONTROL!$C$8, $C$12, 100%, $E$12) + CHOOSE(CONTROL!$C$27, 0, 0)</f>
        <v>16.254300000000001</v>
      </c>
      <c r="E73" s="4">
        <f>64.3044027748848 * CHOOSE(CONTROL!$C$8, $C$12, 100%, $E$12) + CHOOSE(CONTROL!$C$27, 0, 0)</f>
        <v>64.304402774884807</v>
      </c>
    </row>
    <row r="74" spans="1:5" ht="15">
      <c r="A74" s="13">
        <v>44136</v>
      </c>
      <c r="B74" s="4">
        <f>10.8148 * CHOOSE(CONTROL!$C$8, $C$12, 100%, $E$12) + CHOOSE(CONTROL!$C$27, 0.0003, 0)</f>
        <v>10.815099999999999</v>
      </c>
      <c r="C74" s="4">
        <f>10.5023 * CHOOSE(CONTROL!$C$8, $C$12, 100%, $E$12) + CHOOSE(CONTROL!$C$27, 0.0003, 0)</f>
        <v>10.502599999999999</v>
      </c>
      <c r="D74" s="4">
        <f>16.1844 * CHOOSE(CONTROL!$C$8, $C$12, 100%, $E$12) + CHOOSE(CONTROL!$C$27, 0, 0)</f>
        <v>16.1844</v>
      </c>
      <c r="E74" s="4">
        <f>62.8810167114539 * CHOOSE(CONTROL!$C$8, $C$12, 100%, $E$12) + CHOOSE(CONTROL!$C$27, 0, 0)</f>
        <v>62.881016711453903</v>
      </c>
    </row>
    <row r="75" spans="1:5" ht="15">
      <c r="A75" s="13">
        <v>44166</v>
      </c>
      <c r="B75" s="4">
        <f>10.6748 * CHOOSE(CONTROL!$C$8, $C$12, 100%, $E$12) + CHOOSE(CONTROL!$C$27, 0.0003, 0)</f>
        <v>10.675099999999999</v>
      </c>
      <c r="C75" s="4">
        <f>10.3623 * CHOOSE(CONTROL!$C$8, $C$12, 100%, $E$12) + CHOOSE(CONTROL!$C$27, 0.0003, 0)</f>
        <v>10.362599999999999</v>
      </c>
      <c r="D75" s="4">
        <f>15.6698 * CHOOSE(CONTROL!$C$8, $C$12, 100%, $E$12) + CHOOSE(CONTROL!$C$27, 0, 0)</f>
        <v>15.6698</v>
      </c>
      <c r="E75" s="4">
        <f>61.8962165239006 * CHOOSE(CONTROL!$C$8, $C$12, 100%, $E$12) + CHOOSE(CONTROL!$C$27, 0, 0)</f>
        <v>61.896216523900598</v>
      </c>
    </row>
    <row r="76" spans="1:5" ht="15">
      <c r="A76" s="13">
        <v>44197</v>
      </c>
      <c r="B76" s="4">
        <f>12.68 * CHOOSE(CONTROL!$C$8, $C$12, 100%, $E$12) + CHOOSE(CONTROL!$C$27, 0.0003, 0)</f>
        <v>12.680299999999999</v>
      </c>
      <c r="C76" s="4">
        <f>12.3675 * CHOOSE(CONTROL!$C$8, $C$12, 100%, $E$12) + CHOOSE(CONTROL!$C$27, 0.0003, 0)</f>
        <v>12.367799999999999</v>
      </c>
      <c r="D76" s="4">
        <f>17.5586 * CHOOSE(CONTROL!$C$8, $C$12, 100%, $E$12) + CHOOSE(CONTROL!$C$27, 0, 0)</f>
        <v>17.558599999999998</v>
      </c>
      <c r="E76" s="4">
        <f>71.7047853608682 * CHOOSE(CONTROL!$C$8, $C$12, 100%, $E$12) + CHOOSE(CONTROL!$C$27, 0, 0)</f>
        <v>71.7047853608682</v>
      </c>
    </row>
    <row r="77" spans="1:5" ht="15">
      <c r="A77" s="13">
        <v>44228</v>
      </c>
      <c r="B77" s="4">
        <f>12.9365 * CHOOSE(CONTROL!$C$8, $C$12, 100%, $E$12) + CHOOSE(CONTROL!$C$27, 0.0003, 0)</f>
        <v>12.9368</v>
      </c>
      <c r="C77" s="4">
        <f>12.624 * CHOOSE(CONTROL!$C$8, $C$12, 100%, $E$12) + CHOOSE(CONTROL!$C$27, 0.0003, 0)</f>
        <v>12.6243</v>
      </c>
      <c r="D77" s="4">
        <f>18.1181 * CHOOSE(CONTROL!$C$8, $C$12, 100%, $E$12) + CHOOSE(CONTROL!$C$27, 0, 0)</f>
        <v>18.118099999999998</v>
      </c>
      <c r="E77" s="4">
        <f>73.4073395474008 * CHOOSE(CONTROL!$C$8, $C$12, 100%, $E$12) + CHOOSE(CONTROL!$C$27, 0, 0)</f>
        <v>73.407339547400795</v>
      </c>
    </row>
    <row r="78" spans="1:5" ht="15">
      <c r="A78" s="13">
        <v>44256</v>
      </c>
      <c r="B78" s="4">
        <f>13.6103 * CHOOSE(CONTROL!$C$8, $C$12, 100%, $E$12) + CHOOSE(CONTROL!$C$27, 0.0003, 0)</f>
        <v>13.6106</v>
      </c>
      <c r="C78" s="4">
        <f>13.2978 * CHOOSE(CONTROL!$C$8, $C$12, 100%, $E$12) + CHOOSE(CONTROL!$C$27, 0.0003, 0)</f>
        <v>13.2981</v>
      </c>
      <c r="D78" s="4">
        <f>18.994 * CHOOSE(CONTROL!$C$8, $C$12, 100%, $E$12) + CHOOSE(CONTROL!$C$27, 0, 0)</f>
        <v>18.994</v>
      </c>
      <c r="E78" s="4">
        <f>77.8783373204597 * CHOOSE(CONTROL!$C$8, $C$12, 100%, $E$12) + CHOOSE(CONTROL!$C$27, 0, 0)</f>
        <v>77.878337320459707</v>
      </c>
    </row>
    <row r="79" spans="1:5" ht="15">
      <c r="A79" s="13">
        <v>44287</v>
      </c>
      <c r="B79" s="4">
        <f>14.089 * CHOOSE(CONTROL!$C$8, $C$12, 100%, $E$12) + CHOOSE(CONTROL!$C$27, 0.0003, 0)</f>
        <v>14.0893</v>
      </c>
      <c r="C79" s="4">
        <f>13.7765 * CHOOSE(CONTROL!$C$8, $C$12, 100%, $E$12) + CHOOSE(CONTROL!$C$27, 0.0003, 0)</f>
        <v>13.7768</v>
      </c>
      <c r="D79" s="4">
        <f>19.4986 * CHOOSE(CONTROL!$C$8, $C$12, 100%, $E$12) + CHOOSE(CONTROL!$C$27, 0, 0)</f>
        <v>19.4986</v>
      </c>
      <c r="E79" s="4">
        <f>81.0550408220977 * CHOOSE(CONTROL!$C$8, $C$12, 100%, $E$12) + CHOOSE(CONTROL!$C$27, 0, 0)</f>
        <v>81.055040822097695</v>
      </c>
    </row>
    <row r="80" spans="1:5" ht="15">
      <c r="A80" s="13">
        <v>44317</v>
      </c>
      <c r="B80" s="4">
        <f>14.3814 * CHOOSE(CONTROL!$C$8, $C$12, 100%, $E$12) + CHOOSE(CONTROL!$C$27, 0.0166, 0)</f>
        <v>14.398</v>
      </c>
      <c r="C80" s="4">
        <f>14.0689 * CHOOSE(CONTROL!$C$8, $C$12, 100%, $E$12) + CHOOSE(CONTROL!$C$27, 0.0166, 0)</f>
        <v>14.0855</v>
      </c>
      <c r="D80" s="4">
        <f>19.2992 * CHOOSE(CONTROL!$C$8, $C$12, 100%, $E$12) + CHOOSE(CONTROL!$C$27, 0, 0)</f>
        <v>19.299199999999999</v>
      </c>
      <c r="E80" s="4">
        <f>82.9959305266413 * CHOOSE(CONTROL!$C$8, $C$12, 100%, $E$12) + CHOOSE(CONTROL!$C$27, 0, 0)</f>
        <v>82.995930526641303</v>
      </c>
    </row>
    <row r="81" spans="1:5" ht="15">
      <c r="A81" s="13">
        <v>44348</v>
      </c>
      <c r="B81" s="4">
        <f>14.421 * CHOOSE(CONTROL!$C$8, $C$12, 100%, $E$12) + CHOOSE(CONTROL!$C$27, 0.0166, 0)</f>
        <v>14.4376</v>
      </c>
      <c r="C81" s="4">
        <f>14.1085 * CHOOSE(CONTROL!$C$8, $C$12, 100%, $E$12) + CHOOSE(CONTROL!$C$27, 0.0166, 0)</f>
        <v>14.1251</v>
      </c>
      <c r="D81" s="4">
        <f>19.4616 * CHOOSE(CONTROL!$C$8, $C$12, 100%, $E$12) + CHOOSE(CONTROL!$C$27, 0, 0)</f>
        <v>19.461600000000001</v>
      </c>
      <c r="E81" s="4">
        <f>83.2585409585238 * CHOOSE(CONTROL!$C$8, $C$12, 100%, $E$12) + CHOOSE(CONTROL!$C$27, 0, 0)</f>
        <v>83.258540958523795</v>
      </c>
    </row>
    <row r="82" spans="1:5" ht="15">
      <c r="A82" s="13">
        <v>44378</v>
      </c>
      <c r="B82" s="4">
        <f>14.417 * CHOOSE(CONTROL!$C$8, $C$12, 100%, $E$12) + CHOOSE(CONTROL!$C$27, 0.0166, 0)</f>
        <v>14.4336</v>
      </c>
      <c r="C82" s="4">
        <f>14.1045 * CHOOSE(CONTROL!$C$8, $C$12, 100%, $E$12) + CHOOSE(CONTROL!$C$27, 0.0166, 0)</f>
        <v>14.1211</v>
      </c>
      <c r="D82" s="4">
        <f>19.7546 * CHOOSE(CONTROL!$C$8, $C$12, 100%, $E$12) + CHOOSE(CONTROL!$C$27, 0, 0)</f>
        <v>19.7546</v>
      </c>
      <c r="E82" s="4">
        <f>83.2320592343004 * CHOOSE(CONTROL!$C$8, $C$12, 100%, $E$12) + CHOOSE(CONTROL!$C$27, 0, 0)</f>
        <v>83.232059234300394</v>
      </c>
    </row>
    <row r="83" spans="1:5" ht="15">
      <c r="A83" s="13">
        <v>44409</v>
      </c>
      <c r="B83" s="4">
        <f>14.7173 * CHOOSE(CONTROL!$C$8, $C$12, 100%, $E$12) + CHOOSE(CONTROL!$C$27, 0.0166, 0)</f>
        <v>14.7339</v>
      </c>
      <c r="C83" s="4">
        <f>14.4048 * CHOOSE(CONTROL!$C$8, $C$12, 100%, $E$12) + CHOOSE(CONTROL!$C$27, 0.0166, 0)</f>
        <v>14.4214</v>
      </c>
      <c r="D83" s="4">
        <f>19.5611 * CHOOSE(CONTROL!$C$8, $C$12, 100%, $E$12) + CHOOSE(CONTROL!$C$27, 0, 0)</f>
        <v>19.5611</v>
      </c>
      <c r="E83" s="4">
        <f>85.2248089821149 * CHOOSE(CONTROL!$C$8, $C$12, 100%, $E$12) + CHOOSE(CONTROL!$C$27, 0, 0)</f>
        <v>85.224808982114894</v>
      </c>
    </row>
    <row r="84" spans="1:5" ht="15">
      <c r="A84" s="13">
        <v>44440</v>
      </c>
      <c r="B84" s="4">
        <f>14.2055 * CHOOSE(CONTROL!$C$8, $C$12, 100%, $E$12) + CHOOSE(CONTROL!$C$27, 0.0166, 0)</f>
        <v>14.222100000000001</v>
      </c>
      <c r="C84" s="4">
        <f>13.893 * CHOOSE(CONTROL!$C$8, $C$12, 100%, $E$12) + CHOOSE(CONTROL!$C$27, 0.0166, 0)</f>
        <v>13.909600000000001</v>
      </c>
      <c r="D84" s="4">
        <f>19.4697 * CHOOSE(CONTROL!$C$8, $C$12, 100%, $E$12) + CHOOSE(CONTROL!$C$27, 0, 0)</f>
        <v>19.4697</v>
      </c>
      <c r="E84" s="4">
        <f>81.8285278504576 * CHOOSE(CONTROL!$C$8, $C$12, 100%, $E$12) + CHOOSE(CONTROL!$C$27, 0, 0)</f>
        <v>81.828527850457604</v>
      </c>
    </row>
    <row r="85" spans="1:5" ht="15">
      <c r="A85" s="13">
        <v>44470</v>
      </c>
      <c r="B85" s="4">
        <f>13.7958 * CHOOSE(CONTROL!$C$8, $C$12, 100%, $E$12) + CHOOSE(CONTROL!$C$27, 0.0003, 0)</f>
        <v>13.796099999999999</v>
      </c>
      <c r="C85" s="4">
        <f>13.4833 * CHOOSE(CONTROL!$C$8, $C$12, 100%, $E$12) + CHOOSE(CONTROL!$C$27, 0.0003, 0)</f>
        <v>13.483599999999999</v>
      </c>
      <c r="D85" s="4">
        <f>19.2249 * CHOOSE(CONTROL!$C$8, $C$12, 100%, $E$12) + CHOOSE(CONTROL!$C$27, 0, 0)</f>
        <v>19.224900000000002</v>
      </c>
      <c r="E85" s="4">
        <f>79.1097374968501 * CHOOSE(CONTROL!$C$8, $C$12, 100%, $E$12) + CHOOSE(CONTROL!$C$27, 0, 0)</f>
        <v>79.109737496850101</v>
      </c>
    </row>
    <row r="86" spans="1:5" ht="15">
      <c r="A86" s="13">
        <v>44501</v>
      </c>
      <c r="B86" s="4">
        <f>13.532 * CHOOSE(CONTROL!$C$8, $C$12, 100%, $E$12) + CHOOSE(CONTROL!$C$27, 0.0003, 0)</f>
        <v>13.532299999999999</v>
      </c>
      <c r="C86" s="4">
        <f>13.2195 * CHOOSE(CONTROL!$C$8, $C$12, 100%, $E$12) + CHOOSE(CONTROL!$C$27, 0.0003, 0)</f>
        <v>13.219799999999999</v>
      </c>
      <c r="D86" s="4">
        <f>19.1407 * CHOOSE(CONTROL!$C$8, $C$12, 100%, $E$12) + CHOOSE(CONTROL!$C$27, 0, 0)</f>
        <v>19.140699999999999</v>
      </c>
      <c r="E86" s="4">
        <f>77.3586334825745 * CHOOSE(CONTROL!$C$8, $C$12, 100%, $E$12) + CHOOSE(CONTROL!$C$27, 0, 0)</f>
        <v>77.358633482574504</v>
      </c>
    </row>
    <row r="87" spans="1:5" ht="15">
      <c r="A87" s="13">
        <v>44531</v>
      </c>
      <c r="B87" s="4">
        <f>13.3494 * CHOOSE(CONTROL!$C$8, $C$12, 100%, $E$12) + CHOOSE(CONTROL!$C$27, 0.0003, 0)</f>
        <v>13.349699999999999</v>
      </c>
      <c r="C87" s="4">
        <f>13.0369 * CHOOSE(CONTROL!$C$8, $C$12, 100%, $E$12) + CHOOSE(CONTROL!$C$27, 0.0003, 0)</f>
        <v>13.037199999999999</v>
      </c>
      <c r="D87" s="4">
        <f>18.5212 * CHOOSE(CONTROL!$C$8, $C$12, 100%, $E$12) + CHOOSE(CONTROL!$C$27, 0, 0)</f>
        <v>18.5212</v>
      </c>
      <c r="E87" s="4">
        <f>76.1470945993518 * CHOOSE(CONTROL!$C$8, $C$12, 100%, $E$12) + CHOOSE(CONTROL!$C$27, 0, 0)</f>
        <v>76.147094599351803</v>
      </c>
    </row>
    <row r="88" spans="1:5" ht="15">
      <c r="A88" s="13">
        <v>44562</v>
      </c>
      <c r="B88" s="4">
        <f>13.2312 * CHOOSE(CONTROL!$C$8, $C$12, 100%, $E$12) + CHOOSE(CONTROL!$C$27, 0.0003, 0)</f>
        <v>13.231499999999999</v>
      </c>
      <c r="C88" s="4">
        <f>12.9187 * CHOOSE(CONTROL!$C$8, $C$12, 100%, $E$12) + CHOOSE(CONTROL!$C$27, 0.0003, 0)</f>
        <v>12.918999999999999</v>
      </c>
      <c r="D88" s="4">
        <f>18.3109 * CHOOSE(CONTROL!$C$8, $C$12, 100%, $E$12) + CHOOSE(CONTROL!$C$27, 0, 0)</f>
        <v>18.3109</v>
      </c>
      <c r="E88" s="4">
        <f>75.1594060162188 * CHOOSE(CONTROL!$C$8, $C$12, 100%, $E$12) + CHOOSE(CONTROL!$C$27, 0, 0)</f>
        <v>75.159406016218796</v>
      </c>
    </row>
    <row r="89" spans="1:5" ht="15">
      <c r="A89" s="13">
        <v>44593</v>
      </c>
      <c r="B89" s="4">
        <f>13.5008 * CHOOSE(CONTROL!$C$8, $C$12, 100%, $E$12) + CHOOSE(CONTROL!$C$27, 0.0003, 0)</f>
        <v>13.501099999999999</v>
      </c>
      <c r="C89" s="4">
        <f>13.1883 * CHOOSE(CONTROL!$C$8, $C$12, 100%, $E$12) + CHOOSE(CONTROL!$C$27, 0.0003, 0)</f>
        <v>13.188599999999999</v>
      </c>
      <c r="D89" s="4">
        <f>18.897 * CHOOSE(CONTROL!$C$8, $C$12, 100%, $E$12) + CHOOSE(CONTROL!$C$27, 0, 0)</f>
        <v>18.896999999999998</v>
      </c>
      <c r="E89" s="4">
        <f>76.9439865114566 * CHOOSE(CONTROL!$C$8, $C$12, 100%, $E$12) + CHOOSE(CONTROL!$C$27, 0, 0)</f>
        <v>76.9439865114566</v>
      </c>
    </row>
    <row r="90" spans="1:5" ht="15">
      <c r="A90" s="13">
        <v>44621</v>
      </c>
      <c r="B90" s="4">
        <f>14.2089 * CHOOSE(CONTROL!$C$8, $C$12, 100%, $E$12) + CHOOSE(CONTROL!$C$27, 0.0003, 0)</f>
        <v>14.209199999999999</v>
      </c>
      <c r="C90" s="4">
        <f>13.8964 * CHOOSE(CONTROL!$C$8, $C$12, 100%, $E$12) + CHOOSE(CONTROL!$C$27, 0.0003, 0)</f>
        <v>13.896699999999999</v>
      </c>
      <c r="D90" s="4">
        <f>19.8145 * CHOOSE(CONTROL!$C$8, $C$12, 100%, $E$12) + CHOOSE(CONTROL!$C$27, 0, 0)</f>
        <v>19.814499999999999</v>
      </c>
      <c r="E90" s="4">
        <f>81.6303897303181 * CHOOSE(CONTROL!$C$8, $C$12, 100%, $E$12) + CHOOSE(CONTROL!$C$27, 0, 0)</f>
        <v>81.6303897303181</v>
      </c>
    </row>
    <row r="91" spans="1:5" ht="15">
      <c r="A91" s="13">
        <v>44652</v>
      </c>
      <c r="B91" s="4">
        <f>14.712 * CHOOSE(CONTROL!$C$8, $C$12, 100%, $E$12) + CHOOSE(CONTROL!$C$27, 0.0003, 0)</f>
        <v>14.712299999999999</v>
      </c>
      <c r="C91" s="4">
        <f>14.3995 * CHOOSE(CONTROL!$C$8, $C$12, 100%, $E$12) + CHOOSE(CONTROL!$C$27, 0.0003, 0)</f>
        <v>14.399799999999999</v>
      </c>
      <c r="D91" s="4">
        <f>20.343 * CHOOSE(CONTROL!$C$8, $C$12, 100%, $E$12) + CHOOSE(CONTROL!$C$27, 0, 0)</f>
        <v>20.343</v>
      </c>
      <c r="E91" s="4">
        <f>84.9601416718538 * CHOOSE(CONTROL!$C$8, $C$12, 100%, $E$12) + CHOOSE(CONTROL!$C$27, 0, 0)</f>
        <v>84.960141671853805</v>
      </c>
    </row>
    <row r="92" spans="1:5" ht="15">
      <c r="A92" s="13">
        <v>44682</v>
      </c>
      <c r="B92" s="4">
        <f>15.0194 * CHOOSE(CONTROL!$C$8, $C$12, 100%, $E$12) + CHOOSE(CONTROL!$C$27, 0.0166, 0)</f>
        <v>15.036</v>
      </c>
      <c r="C92" s="4">
        <f>14.7069 * CHOOSE(CONTROL!$C$8, $C$12, 100%, $E$12) + CHOOSE(CONTROL!$C$27, 0.0166, 0)</f>
        <v>14.7235</v>
      </c>
      <c r="D92" s="4">
        <f>20.1342 * CHOOSE(CONTROL!$C$8, $C$12, 100%, $E$12) + CHOOSE(CONTROL!$C$27, 0, 0)</f>
        <v>20.1342</v>
      </c>
      <c r="E92" s="4">
        <f>86.9945403051157 * CHOOSE(CONTROL!$C$8, $C$12, 100%, $E$12) + CHOOSE(CONTROL!$C$27, 0, 0)</f>
        <v>86.994540305115706</v>
      </c>
    </row>
    <row r="93" spans="1:5" ht="15">
      <c r="A93" s="13">
        <v>44713</v>
      </c>
      <c r="B93" s="4">
        <f>15.061 * CHOOSE(CONTROL!$C$8, $C$12, 100%, $E$12) + CHOOSE(CONTROL!$C$27, 0.0166, 0)</f>
        <v>15.0776</v>
      </c>
      <c r="C93" s="4">
        <f>14.7485 * CHOOSE(CONTROL!$C$8, $C$12, 100%, $E$12) + CHOOSE(CONTROL!$C$27, 0.0166, 0)</f>
        <v>14.7651</v>
      </c>
      <c r="D93" s="4">
        <f>20.3043 * CHOOSE(CONTROL!$C$8, $C$12, 100%, $E$12) + CHOOSE(CONTROL!$C$27, 0, 0)</f>
        <v>20.304300000000001</v>
      </c>
      <c r="E93" s="4">
        <f>87.2698028831239 * CHOOSE(CONTROL!$C$8, $C$12, 100%, $E$12) + CHOOSE(CONTROL!$C$27, 0, 0)</f>
        <v>87.269802883123901</v>
      </c>
    </row>
    <row r="94" spans="1:5" ht="15">
      <c r="A94" s="13">
        <v>44743</v>
      </c>
      <c r="B94" s="4">
        <f>15.0568 * CHOOSE(CONTROL!$C$8, $C$12, 100%, $E$12) + CHOOSE(CONTROL!$C$27, 0.0166, 0)</f>
        <v>15.073400000000001</v>
      </c>
      <c r="C94" s="4">
        <f>14.7443 * CHOOSE(CONTROL!$C$8, $C$12, 100%, $E$12) + CHOOSE(CONTROL!$C$27, 0.0166, 0)</f>
        <v>14.760900000000001</v>
      </c>
      <c r="D94" s="4">
        <f>20.6112 * CHOOSE(CONTROL!$C$8, $C$12, 100%, $E$12) + CHOOSE(CONTROL!$C$27, 0, 0)</f>
        <v>20.6112</v>
      </c>
      <c r="E94" s="4">
        <f>87.2420453122323 * CHOOSE(CONTROL!$C$8, $C$12, 100%, $E$12) + CHOOSE(CONTROL!$C$27, 0, 0)</f>
        <v>87.242045312232307</v>
      </c>
    </row>
    <row r="95" spans="1:5" ht="15">
      <c r="A95" s="13">
        <v>44774</v>
      </c>
      <c r="B95" s="4">
        <f>15.3724 * CHOOSE(CONTROL!$C$8, $C$12, 100%, $E$12) + CHOOSE(CONTROL!$C$27, 0.0166, 0)</f>
        <v>15.389000000000001</v>
      </c>
      <c r="C95" s="4">
        <f>15.0599 * CHOOSE(CONTROL!$C$8, $C$12, 100%, $E$12) + CHOOSE(CONTROL!$C$27, 0.0166, 0)</f>
        <v>15.076500000000001</v>
      </c>
      <c r="D95" s="4">
        <f>20.4085 * CHOOSE(CONTROL!$C$8, $C$12, 100%, $E$12) + CHOOSE(CONTROL!$C$27, 0, 0)</f>
        <v>20.4085</v>
      </c>
      <c r="E95" s="4">
        <f>89.3308025218236 * CHOOSE(CONTROL!$C$8, $C$12, 100%, $E$12) + CHOOSE(CONTROL!$C$27, 0, 0)</f>
        <v>89.3308025218236</v>
      </c>
    </row>
    <row r="96" spans="1:5" ht="15">
      <c r="A96" s="13">
        <v>44805</v>
      </c>
      <c r="B96" s="4">
        <f>14.8345 * CHOOSE(CONTROL!$C$8, $C$12, 100%, $E$12) + CHOOSE(CONTROL!$C$27, 0.0166, 0)</f>
        <v>14.851100000000001</v>
      </c>
      <c r="C96" s="4">
        <f>14.522 * CHOOSE(CONTROL!$C$8, $C$12, 100%, $E$12) + CHOOSE(CONTROL!$C$27, 0.0166, 0)</f>
        <v>14.538600000000001</v>
      </c>
      <c r="D96" s="4">
        <f>20.3127 * CHOOSE(CONTROL!$C$8, $C$12, 100%, $E$12) + CHOOSE(CONTROL!$C$27, 0, 0)</f>
        <v>20.3127</v>
      </c>
      <c r="E96" s="4">
        <f>85.7708940549787 * CHOOSE(CONTROL!$C$8, $C$12, 100%, $E$12) + CHOOSE(CONTROL!$C$27, 0, 0)</f>
        <v>85.770894054978697</v>
      </c>
    </row>
    <row r="97" spans="1:5" ht="15">
      <c r="A97" s="13">
        <v>44835</v>
      </c>
      <c r="B97" s="4">
        <f>14.4039 * CHOOSE(CONTROL!$C$8, $C$12, 100%, $E$12) + CHOOSE(CONTROL!$C$27, 0.0003, 0)</f>
        <v>14.404199999999999</v>
      </c>
      <c r="C97" s="4">
        <f>14.0914 * CHOOSE(CONTROL!$C$8, $C$12, 100%, $E$12) + CHOOSE(CONTROL!$C$27, 0.0003, 0)</f>
        <v>14.091699999999999</v>
      </c>
      <c r="D97" s="4">
        <f>20.0563 * CHOOSE(CONTROL!$C$8, $C$12, 100%, $E$12) + CHOOSE(CONTROL!$C$27, 0, 0)</f>
        <v>20.0563</v>
      </c>
      <c r="E97" s="4">
        <f>82.9211167767765 * CHOOSE(CONTROL!$C$8, $C$12, 100%, $E$12) + CHOOSE(CONTROL!$C$27, 0, 0)</f>
        <v>82.921116776776501</v>
      </c>
    </row>
    <row r="98" spans="1:5" ht="15">
      <c r="A98" s="13">
        <v>44866</v>
      </c>
      <c r="B98" s="4">
        <f>14.1266 * CHOOSE(CONTROL!$C$8, $C$12, 100%, $E$12) + CHOOSE(CONTROL!$C$27, 0.0003, 0)</f>
        <v>14.126899999999999</v>
      </c>
      <c r="C98" s="4">
        <f>13.8141 * CHOOSE(CONTROL!$C$8, $C$12, 100%, $E$12) + CHOOSE(CONTROL!$C$27, 0.0003, 0)</f>
        <v>13.814399999999999</v>
      </c>
      <c r="D98" s="4">
        <f>19.9682 * CHOOSE(CONTROL!$C$8, $C$12, 100%, $E$12) + CHOOSE(CONTROL!$C$27, 0, 0)</f>
        <v>19.9682</v>
      </c>
      <c r="E98" s="4">
        <f>81.0856474015709 * CHOOSE(CONTROL!$C$8, $C$12, 100%, $E$12) + CHOOSE(CONTROL!$C$27, 0, 0)</f>
        <v>81.085647401570895</v>
      </c>
    </row>
    <row r="99" spans="1:5" ht="15">
      <c r="A99" s="13">
        <v>44896</v>
      </c>
      <c r="B99" s="4">
        <f>13.9347 * CHOOSE(CONTROL!$C$8, $C$12, 100%, $E$12) + CHOOSE(CONTROL!$C$27, 0.0003, 0)</f>
        <v>13.934999999999999</v>
      </c>
      <c r="C99" s="4">
        <f>13.6222 * CHOOSE(CONTROL!$C$8, $C$12, 100%, $E$12) + CHOOSE(CONTROL!$C$27, 0.0003, 0)</f>
        <v>13.622499999999999</v>
      </c>
      <c r="D99" s="4">
        <f>19.3192 * CHOOSE(CONTROL!$C$8, $C$12, 100%, $E$12) + CHOOSE(CONTROL!$C$27, 0, 0)</f>
        <v>19.319199999999999</v>
      </c>
      <c r="E99" s="4">
        <f>79.8157385332812 * CHOOSE(CONTROL!$C$8, $C$12, 100%, $E$12) + CHOOSE(CONTROL!$C$27, 0, 0)</f>
        <v>79.815738533281205</v>
      </c>
    </row>
    <row r="100" spans="1:5" ht="15">
      <c r="A100" s="13">
        <v>44927</v>
      </c>
      <c r="B100" s="4">
        <f>13.8649 * CHOOSE(CONTROL!$C$8, $C$12, 100%, $E$12) + CHOOSE(CONTROL!$C$27, 0.0003, 0)</f>
        <v>13.8652</v>
      </c>
      <c r="C100" s="4">
        <f>13.5524 * CHOOSE(CONTROL!$C$8, $C$12, 100%, $E$12) + CHOOSE(CONTROL!$C$27, 0.0003, 0)</f>
        <v>13.5527</v>
      </c>
      <c r="D100" s="4">
        <f>19.1525 * CHOOSE(CONTROL!$C$8, $C$12, 100%, $E$12) + CHOOSE(CONTROL!$C$27, 0, 0)</f>
        <v>19.1525</v>
      </c>
      <c r="E100" s="4">
        <f>78.7697917303344 * CHOOSE(CONTROL!$C$8, $C$12, 100%, $E$12) + CHOOSE(CONTROL!$C$27, 0, 0)</f>
        <v>78.769791730334404</v>
      </c>
    </row>
    <row r="101" spans="1:5" ht="15">
      <c r="A101" s="13">
        <v>44958</v>
      </c>
      <c r="B101" s="4">
        <f>14.1496 * CHOOSE(CONTROL!$C$8, $C$12, 100%, $E$12) + CHOOSE(CONTROL!$C$27, 0.0003, 0)</f>
        <v>14.149899999999999</v>
      </c>
      <c r="C101" s="4">
        <f>13.8371 * CHOOSE(CONTROL!$C$8, $C$12, 100%, $E$12) + CHOOSE(CONTROL!$C$27, 0.0003, 0)</f>
        <v>13.837399999999999</v>
      </c>
      <c r="D101" s="4">
        <f>19.7683 * CHOOSE(CONTROL!$C$8, $C$12, 100%, $E$12) + CHOOSE(CONTROL!$C$27, 0, 0)</f>
        <v>19.7683</v>
      </c>
      <c r="E101" s="4">
        <f>80.6400970106285 * CHOOSE(CONTROL!$C$8, $C$12, 100%, $E$12) + CHOOSE(CONTROL!$C$27, 0, 0)</f>
        <v>80.640097010628494</v>
      </c>
    </row>
    <row r="102" spans="1:5" ht="15">
      <c r="A102" s="13">
        <v>44986</v>
      </c>
      <c r="B102" s="4">
        <f>14.8972 * CHOOSE(CONTROL!$C$8, $C$12, 100%, $E$12) + CHOOSE(CONTROL!$C$27, 0.0003, 0)</f>
        <v>14.897499999999999</v>
      </c>
      <c r="C102" s="4">
        <f>14.5847 * CHOOSE(CONTROL!$C$8, $C$12, 100%, $E$12) + CHOOSE(CONTROL!$C$27, 0.0003, 0)</f>
        <v>14.584999999999999</v>
      </c>
      <c r="D102" s="4">
        <f>20.7324 * CHOOSE(CONTROL!$C$8, $C$12, 100%, $E$12) + CHOOSE(CONTROL!$C$27, 0, 0)</f>
        <v>20.732399999999998</v>
      </c>
      <c r="E102" s="4">
        <f>85.5516180707395 * CHOOSE(CONTROL!$C$8, $C$12, 100%, $E$12) + CHOOSE(CONTROL!$C$27, 0, 0)</f>
        <v>85.551618070739494</v>
      </c>
    </row>
    <row r="103" spans="1:5" ht="15">
      <c r="A103" s="13">
        <v>45017</v>
      </c>
      <c r="B103" s="4">
        <f>15.4284 * CHOOSE(CONTROL!$C$8, $C$12, 100%, $E$12) + CHOOSE(CONTROL!$C$27, 0.0003, 0)</f>
        <v>15.428699999999999</v>
      </c>
      <c r="C103" s="4">
        <f>15.1159 * CHOOSE(CONTROL!$C$8, $C$12, 100%, $E$12) + CHOOSE(CONTROL!$C$27, 0.0003, 0)</f>
        <v>15.116199999999999</v>
      </c>
      <c r="D103" s="4">
        <f>21.2876 * CHOOSE(CONTROL!$C$8, $C$12, 100%, $E$12) + CHOOSE(CONTROL!$C$27, 0, 0)</f>
        <v>21.287600000000001</v>
      </c>
      <c r="E103" s="4">
        <f>89.0413192385726 * CHOOSE(CONTROL!$C$8, $C$12, 100%, $E$12) + CHOOSE(CONTROL!$C$27, 0, 0)</f>
        <v>89.041319238572598</v>
      </c>
    </row>
    <row r="104" spans="1:5" ht="15">
      <c r="A104" s="13">
        <v>45047</v>
      </c>
      <c r="B104" s="4">
        <f>15.7529 * CHOOSE(CONTROL!$C$8, $C$12, 100%, $E$12) + CHOOSE(CONTROL!$C$27, 0.0166, 0)</f>
        <v>15.769500000000001</v>
      </c>
      <c r="C104" s="4">
        <f>15.4404 * CHOOSE(CONTROL!$C$8, $C$12, 100%, $E$12) + CHOOSE(CONTROL!$C$27, 0.0166, 0)</f>
        <v>15.457000000000001</v>
      </c>
      <c r="D104" s="4">
        <f>21.0682 * CHOOSE(CONTROL!$C$8, $C$12, 100%, $E$12) + CHOOSE(CONTROL!$C$27, 0, 0)</f>
        <v>21.068200000000001</v>
      </c>
      <c r="E104" s="4">
        <f>91.1734430156543 * CHOOSE(CONTROL!$C$8, $C$12, 100%, $E$12) + CHOOSE(CONTROL!$C$27, 0, 0)</f>
        <v>91.1734430156543</v>
      </c>
    </row>
    <row r="105" spans="1:5" ht="15">
      <c r="A105" s="13">
        <v>45078</v>
      </c>
      <c r="B105" s="4">
        <f>15.7968 * CHOOSE(CONTROL!$C$8, $C$12, 100%, $E$12) + CHOOSE(CONTROL!$C$27, 0.0166, 0)</f>
        <v>15.8134</v>
      </c>
      <c r="C105" s="4">
        <f>15.4843 * CHOOSE(CONTROL!$C$8, $C$12, 100%, $E$12) + CHOOSE(CONTROL!$C$27, 0.0166, 0)</f>
        <v>15.5009</v>
      </c>
      <c r="D105" s="4">
        <f>21.2469 * CHOOSE(CONTROL!$C$8, $C$12, 100%, $E$12) + CHOOSE(CONTROL!$C$27, 0, 0)</f>
        <v>21.2469</v>
      </c>
      <c r="E105" s="4">
        <f>91.461928211189 * CHOOSE(CONTROL!$C$8, $C$12, 100%, $E$12) + CHOOSE(CONTROL!$C$27, 0, 0)</f>
        <v>91.461928211189004</v>
      </c>
    </row>
    <row r="106" spans="1:5" ht="15">
      <c r="A106" s="13">
        <v>45108</v>
      </c>
      <c r="B106" s="4">
        <f>15.7924 * CHOOSE(CONTROL!$C$8, $C$12, 100%, $E$12) + CHOOSE(CONTROL!$C$27, 0.0166, 0)</f>
        <v>15.809000000000001</v>
      </c>
      <c r="C106" s="4">
        <f>15.4799 * CHOOSE(CONTROL!$C$8, $C$12, 100%, $E$12) + CHOOSE(CONTROL!$C$27, 0.0166, 0)</f>
        <v>15.496500000000001</v>
      </c>
      <c r="D106" s="4">
        <f>21.5694 * CHOOSE(CONTROL!$C$8, $C$12, 100%, $E$12) + CHOOSE(CONTROL!$C$27, 0, 0)</f>
        <v>21.569400000000002</v>
      </c>
      <c r="E106" s="4">
        <f>91.4328372671015 * CHOOSE(CONTROL!$C$8, $C$12, 100%, $E$12) + CHOOSE(CONTROL!$C$27, 0, 0)</f>
        <v>91.432837267101505</v>
      </c>
    </row>
    <row r="107" spans="1:5" ht="15">
      <c r="A107" s="13">
        <v>45139</v>
      </c>
      <c r="B107" s="4">
        <f>16.1256 * CHOOSE(CONTROL!$C$8, $C$12, 100%, $E$12) + CHOOSE(CONTROL!$C$27, 0.0166, 0)</f>
        <v>16.142199999999999</v>
      </c>
      <c r="C107" s="4">
        <f>15.8131 * CHOOSE(CONTROL!$C$8, $C$12, 100%, $E$12) + CHOOSE(CONTROL!$C$27, 0.0166, 0)</f>
        <v>15.829700000000001</v>
      </c>
      <c r="D107" s="4">
        <f>21.3564 * CHOOSE(CONTROL!$C$8, $C$12, 100%, $E$12) + CHOOSE(CONTROL!$C$27, 0, 0)</f>
        <v>21.356400000000001</v>
      </c>
      <c r="E107" s="4">
        <f>93.621930809688 * CHOOSE(CONTROL!$C$8, $C$12, 100%, $E$12) + CHOOSE(CONTROL!$C$27, 0, 0)</f>
        <v>93.621930809687996</v>
      </c>
    </row>
    <row r="108" spans="1:5" ht="15">
      <c r="A108" s="13">
        <v>45170</v>
      </c>
      <c r="B108" s="4">
        <f>15.5577 * CHOOSE(CONTROL!$C$8, $C$12, 100%, $E$12) + CHOOSE(CONTROL!$C$27, 0.0166, 0)</f>
        <v>15.574300000000001</v>
      </c>
      <c r="C108" s="4">
        <f>15.2452 * CHOOSE(CONTROL!$C$8, $C$12, 100%, $E$12) + CHOOSE(CONTROL!$C$27, 0.0166, 0)</f>
        <v>15.261800000000001</v>
      </c>
      <c r="D108" s="4">
        <f>21.2558 * CHOOSE(CONTROL!$C$8, $C$12, 100%, $E$12) + CHOOSE(CONTROL!$C$27, 0, 0)</f>
        <v>21.255800000000001</v>
      </c>
      <c r="E108" s="4">
        <f>89.8910172304625 * CHOOSE(CONTROL!$C$8, $C$12, 100%, $E$12) + CHOOSE(CONTROL!$C$27, 0, 0)</f>
        <v>89.891017230462495</v>
      </c>
    </row>
    <row r="109" spans="1:5" ht="15">
      <c r="A109" s="13">
        <v>45200</v>
      </c>
      <c r="B109" s="4">
        <f>15.1031 * CHOOSE(CONTROL!$C$8, $C$12, 100%, $E$12) + CHOOSE(CONTROL!$C$27, 0.0003, 0)</f>
        <v>15.103399999999999</v>
      </c>
      <c r="C109" s="4">
        <f>14.7906 * CHOOSE(CONTROL!$C$8, $C$12, 100%, $E$12) + CHOOSE(CONTROL!$C$27, 0.0003, 0)</f>
        <v>14.790899999999999</v>
      </c>
      <c r="D109" s="4">
        <f>20.9864 * CHOOSE(CONTROL!$C$8, $C$12, 100%, $E$12) + CHOOSE(CONTROL!$C$27, 0, 0)</f>
        <v>20.9864</v>
      </c>
      <c r="E109" s="4">
        <f>86.9043469708095 * CHOOSE(CONTROL!$C$8, $C$12, 100%, $E$12) + CHOOSE(CONTROL!$C$27, 0, 0)</f>
        <v>86.904346970809499</v>
      </c>
    </row>
    <row r="110" spans="1:5" ht="15">
      <c r="A110" s="13">
        <v>45231</v>
      </c>
      <c r="B110" s="4">
        <f>14.8103 * CHOOSE(CONTROL!$C$8, $C$12, 100%, $E$12) + CHOOSE(CONTROL!$C$27, 0.0003, 0)</f>
        <v>14.810599999999999</v>
      </c>
      <c r="C110" s="4">
        <f>14.4978 * CHOOSE(CONTROL!$C$8, $C$12, 100%, $E$12) + CHOOSE(CONTROL!$C$27, 0.0003, 0)</f>
        <v>14.498099999999999</v>
      </c>
      <c r="D110" s="4">
        <f>20.8938 * CHOOSE(CONTROL!$C$8, $C$12, 100%, $E$12) + CHOOSE(CONTROL!$C$27, 0, 0)</f>
        <v>20.893799999999999</v>
      </c>
      <c r="E110" s="4">
        <f>84.9807082930217 * CHOOSE(CONTROL!$C$8, $C$12, 100%, $E$12) + CHOOSE(CONTROL!$C$27, 0, 0)</f>
        <v>84.980708293021706</v>
      </c>
    </row>
    <row r="111" spans="1:5" ht="15">
      <c r="A111" s="13">
        <v>45261</v>
      </c>
      <c r="B111" s="4">
        <f>14.6077 * CHOOSE(CONTROL!$C$8, $C$12, 100%, $E$12) + CHOOSE(CONTROL!$C$27, 0.0003, 0)</f>
        <v>14.607999999999999</v>
      </c>
      <c r="C111" s="4">
        <f>14.2952 * CHOOSE(CONTROL!$C$8, $C$12, 100%, $E$12) + CHOOSE(CONTROL!$C$27, 0.0003, 0)</f>
        <v>14.295499999999999</v>
      </c>
      <c r="D111" s="4">
        <f>20.2119 * CHOOSE(CONTROL!$C$8, $C$12, 100%, $E$12) + CHOOSE(CONTROL!$C$27, 0, 0)</f>
        <v>20.2119</v>
      </c>
      <c r="E111" s="4">
        <f>83.6497976010173 * CHOOSE(CONTROL!$C$8, $C$12, 100%, $E$12) + CHOOSE(CONTROL!$C$27, 0, 0)</f>
        <v>83.649797601017298</v>
      </c>
    </row>
    <row r="112" spans="1:5" ht="15">
      <c r="A112" s="13">
        <v>45292</v>
      </c>
      <c r="B112" s="4">
        <f>14.4786 * CHOOSE(CONTROL!$C$8, $C$12, 100%, $E$12) + CHOOSE(CONTROL!$C$27, 0.0003, 0)</f>
        <v>14.478899999999999</v>
      </c>
      <c r="C112" s="4">
        <f>14.1661 * CHOOSE(CONTROL!$C$8, $C$12, 100%, $E$12) + CHOOSE(CONTROL!$C$27, 0.0003, 0)</f>
        <v>14.166399999999999</v>
      </c>
      <c r="D112" s="4">
        <f>20.3274 * CHOOSE(CONTROL!$C$8, $C$12, 100%, $E$12) + CHOOSE(CONTROL!$C$27, 0, 0)</f>
        <v>20.327400000000001</v>
      </c>
      <c r="E112" s="4">
        <f>82.4886558209195 * CHOOSE(CONTROL!$C$8, $C$12, 100%, $E$12) + CHOOSE(CONTROL!$C$27, 0, 0)</f>
        <v>82.488655820919504</v>
      </c>
    </row>
    <row r="113" spans="1:5" ht="15">
      <c r="A113" s="13">
        <v>45323</v>
      </c>
      <c r="B113" s="4">
        <f>14.7778 * CHOOSE(CONTROL!$C$8, $C$12, 100%, $E$12) + CHOOSE(CONTROL!$C$27, 0.0003, 0)</f>
        <v>14.778099999999998</v>
      </c>
      <c r="C113" s="4">
        <f>14.4653 * CHOOSE(CONTROL!$C$8, $C$12, 100%, $E$12) + CHOOSE(CONTROL!$C$27, 0.0003, 0)</f>
        <v>14.465599999999998</v>
      </c>
      <c r="D113" s="4">
        <f>20.9847 * CHOOSE(CONTROL!$C$8, $C$12, 100%, $E$12) + CHOOSE(CONTROL!$C$27, 0, 0)</f>
        <v>20.9847</v>
      </c>
      <c r="E113" s="4">
        <f>84.4472615904306 * CHOOSE(CONTROL!$C$8, $C$12, 100%, $E$12) + CHOOSE(CONTROL!$C$27, 0, 0)</f>
        <v>84.4472615904306</v>
      </c>
    </row>
    <row r="114" spans="1:5" ht="15">
      <c r="A114" s="13">
        <v>45352</v>
      </c>
      <c r="B114" s="4">
        <f>15.5637 * CHOOSE(CONTROL!$C$8, $C$12, 100%, $E$12) + CHOOSE(CONTROL!$C$27, 0.0003, 0)</f>
        <v>15.564</v>
      </c>
      <c r="C114" s="4">
        <f>15.2512 * CHOOSE(CONTROL!$C$8, $C$12, 100%, $E$12) + CHOOSE(CONTROL!$C$27, 0.0003, 0)</f>
        <v>15.2515</v>
      </c>
      <c r="D114" s="4">
        <f>22.0136 * CHOOSE(CONTROL!$C$8, $C$12, 100%, $E$12) + CHOOSE(CONTROL!$C$27, 0, 0)</f>
        <v>22.0136</v>
      </c>
      <c r="E114" s="4">
        <f>89.5906644277987 * CHOOSE(CONTROL!$C$8, $C$12, 100%, $E$12) + CHOOSE(CONTROL!$C$27, 0, 0)</f>
        <v>89.5906644277987</v>
      </c>
    </row>
    <row r="115" spans="1:5" ht="15">
      <c r="A115" s="13">
        <v>45383</v>
      </c>
      <c r="B115" s="4">
        <f>16.1221 * CHOOSE(CONTROL!$C$8, $C$12, 100%, $E$12) + CHOOSE(CONTROL!$C$27, 0.0003, 0)</f>
        <v>16.122399999999999</v>
      </c>
      <c r="C115" s="4">
        <f>15.8096 * CHOOSE(CONTROL!$C$8, $C$12, 100%, $E$12) + CHOOSE(CONTROL!$C$27, 0.0003, 0)</f>
        <v>15.809899999999999</v>
      </c>
      <c r="D115" s="4">
        <f>22.6063 * CHOOSE(CONTROL!$C$8, $C$12, 100%, $E$12) + CHOOSE(CONTROL!$C$27, 0, 0)</f>
        <v>22.606300000000001</v>
      </c>
      <c r="E115" s="4">
        <f>93.2451206886039 * CHOOSE(CONTROL!$C$8, $C$12, 100%, $E$12) + CHOOSE(CONTROL!$C$27, 0, 0)</f>
        <v>93.245120688603905</v>
      </c>
    </row>
    <row r="116" spans="1:5" ht="15">
      <c r="A116" s="13">
        <v>45413</v>
      </c>
      <c r="B116" s="4">
        <f>16.4632 * CHOOSE(CONTROL!$C$8, $C$12, 100%, $E$12) + CHOOSE(CONTROL!$C$27, 0.0166, 0)</f>
        <v>16.479800000000001</v>
      </c>
      <c r="C116" s="4">
        <f>16.1507 * CHOOSE(CONTROL!$C$8, $C$12, 100%, $E$12) + CHOOSE(CONTROL!$C$27, 0.0166, 0)</f>
        <v>16.167300000000001</v>
      </c>
      <c r="D116" s="4">
        <f>22.3721 * CHOOSE(CONTROL!$C$8, $C$12, 100%, $E$12) + CHOOSE(CONTROL!$C$27, 0, 0)</f>
        <v>22.3721</v>
      </c>
      <c r="E116" s="4">
        <f>95.4779058788631 * CHOOSE(CONTROL!$C$8, $C$12, 100%, $E$12) + CHOOSE(CONTROL!$C$27, 0, 0)</f>
        <v>95.477905878863098</v>
      </c>
    </row>
    <row r="117" spans="1:5" ht="15">
      <c r="A117" s="13">
        <v>45444</v>
      </c>
      <c r="B117" s="4">
        <f>16.5094 * CHOOSE(CONTROL!$C$8, $C$12, 100%, $E$12) + CHOOSE(CONTROL!$C$27, 0.0166, 0)</f>
        <v>16.526</v>
      </c>
      <c r="C117" s="4">
        <f>16.1969 * CHOOSE(CONTROL!$C$8, $C$12, 100%, $E$12) + CHOOSE(CONTROL!$C$27, 0.0166, 0)</f>
        <v>16.2135</v>
      </c>
      <c r="D117" s="4">
        <f>22.5628 * CHOOSE(CONTROL!$C$8, $C$12, 100%, $E$12) + CHOOSE(CONTROL!$C$27, 0, 0)</f>
        <v>22.562799999999999</v>
      </c>
      <c r="E117" s="4">
        <f>95.7800109813541 * CHOOSE(CONTROL!$C$8, $C$12, 100%, $E$12) + CHOOSE(CONTROL!$C$27, 0, 0)</f>
        <v>95.780010981354096</v>
      </c>
    </row>
    <row r="118" spans="1:5" ht="15">
      <c r="A118" s="13">
        <v>45474</v>
      </c>
      <c r="B118" s="4">
        <f>16.5047 * CHOOSE(CONTROL!$C$8, $C$12, 100%, $E$12) + CHOOSE(CONTROL!$C$27, 0.0166, 0)</f>
        <v>16.5213</v>
      </c>
      <c r="C118" s="4">
        <f>16.1922 * CHOOSE(CONTROL!$C$8, $C$12, 100%, $E$12) + CHOOSE(CONTROL!$C$27, 0.0166, 0)</f>
        <v>16.2088</v>
      </c>
      <c r="D118" s="4">
        <f>22.907 * CHOOSE(CONTROL!$C$8, $C$12, 100%, $E$12) + CHOOSE(CONTROL!$C$27, 0, 0)</f>
        <v>22.907</v>
      </c>
      <c r="E118" s="4">
        <f>95.749546601271 * CHOOSE(CONTROL!$C$8, $C$12, 100%, $E$12) + CHOOSE(CONTROL!$C$27, 0, 0)</f>
        <v>95.749546601271007</v>
      </c>
    </row>
    <row r="119" spans="1:5" ht="15">
      <c r="A119" s="13">
        <v>45505</v>
      </c>
      <c r="B119" s="4">
        <f>16.855 * CHOOSE(CONTROL!$C$8, $C$12, 100%, $E$12) + CHOOSE(CONTROL!$C$27, 0.0166, 0)</f>
        <v>16.871600000000001</v>
      </c>
      <c r="C119" s="4">
        <f>16.5425 * CHOOSE(CONTROL!$C$8, $C$12, 100%, $E$12) + CHOOSE(CONTROL!$C$27, 0.0166, 0)</f>
        <v>16.559100000000001</v>
      </c>
      <c r="D119" s="4">
        <f>22.6797 * CHOOSE(CONTROL!$C$8, $C$12, 100%, $E$12) + CHOOSE(CONTROL!$C$27, 0, 0)</f>
        <v>22.6797</v>
      </c>
      <c r="E119" s="4">
        <f>98.0419912025264 * CHOOSE(CONTROL!$C$8, $C$12, 100%, $E$12) + CHOOSE(CONTROL!$C$27, 0, 0)</f>
        <v>98.041991202526404</v>
      </c>
    </row>
    <row r="120" spans="1:5" ht="15">
      <c r="A120" s="13">
        <v>45536</v>
      </c>
      <c r="B120" s="4">
        <f>16.258 * CHOOSE(CONTROL!$C$8, $C$12, 100%, $E$12) + CHOOSE(CONTROL!$C$27, 0.0166, 0)</f>
        <v>16.2746</v>
      </c>
      <c r="C120" s="4">
        <f>15.9455 * CHOOSE(CONTROL!$C$8, $C$12, 100%, $E$12) + CHOOSE(CONTROL!$C$27, 0.0166, 0)</f>
        <v>15.9621</v>
      </c>
      <c r="D120" s="4">
        <f>22.5723 * CHOOSE(CONTROL!$C$8, $C$12, 100%, $E$12) + CHOOSE(CONTROL!$C$27, 0, 0)</f>
        <v>22.572299999999998</v>
      </c>
      <c r="E120" s="4">
        <f>94.1349344568653 * CHOOSE(CONTROL!$C$8, $C$12, 100%, $E$12) + CHOOSE(CONTROL!$C$27, 0, 0)</f>
        <v>94.134934456865295</v>
      </c>
    </row>
    <row r="121" spans="1:5" ht="15">
      <c r="A121" s="13">
        <v>45566</v>
      </c>
      <c r="B121" s="4">
        <f>15.7801 * CHOOSE(CONTROL!$C$8, $C$12, 100%, $E$12) + CHOOSE(CONTROL!$C$27, 0.0003, 0)</f>
        <v>15.780399999999998</v>
      </c>
      <c r="C121" s="4">
        <f>15.4676 * CHOOSE(CONTROL!$C$8, $C$12, 100%, $E$12) + CHOOSE(CONTROL!$C$27, 0.0003, 0)</f>
        <v>15.467899999999998</v>
      </c>
      <c r="D121" s="4">
        <f>22.2848 * CHOOSE(CONTROL!$C$8, $C$12, 100%, $E$12) + CHOOSE(CONTROL!$C$27, 0, 0)</f>
        <v>22.284800000000001</v>
      </c>
      <c r="E121" s="4">
        <f>91.0072581016641 * CHOOSE(CONTROL!$C$8, $C$12, 100%, $E$12) + CHOOSE(CONTROL!$C$27, 0, 0)</f>
        <v>91.007258101664107</v>
      </c>
    </row>
    <row r="122" spans="1:5" ht="15">
      <c r="A122" s="13">
        <v>45597</v>
      </c>
      <c r="B122" s="4">
        <f>15.4723 * CHOOSE(CONTROL!$C$8, $C$12, 100%, $E$12) + CHOOSE(CONTROL!$C$27, 0.0003, 0)</f>
        <v>15.4726</v>
      </c>
      <c r="C122" s="4">
        <f>15.1598 * CHOOSE(CONTROL!$C$8, $C$12, 100%, $E$12) + CHOOSE(CONTROL!$C$27, 0.0003, 0)</f>
        <v>15.1601</v>
      </c>
      <c r="D122" s="4">
        <f>22.1859 * CHOOSE(CONTROL!$C$8, $C$12, 100%, $E$12) + CHOOSE(CONTROL!$C$27, 0, 0)</f>
        <v>22.1859</v>
      </c>
      <c r="E122" s="4">
        <f>88.9928009686673 * CHOOSE(CONTROL!$C$8, $C$12, 100%, $E$12) + CHOOSE(CONTROL!$C$27, 0, 0)</f>
        <v>88.992800968667297</v>
      </c>
    </row>
    <row r="123" spans="1:5" ht="15">
      <c r="A123" s="13">
        <v>45627</v>
      </c>
      <c r="B123" s="4">
        <f>15.2594 * CHOOSE(CONTROL!$C$8, $C$12, 100%, $E$12) + CHOOSE(CONTROL!$C$27, 0.0003, 0)</f>
        <v>15.259699999999999</v>
      </c>
      <c r="C123" s="4">
        <f>14.9469 * CHOOSE(CONTROL!$C$8, $C$12, 100%, $E$12) + CHOOSE(CONTROL!$C$27, 0.0003, 0)</f>
        <v>14.947199999999999</v>
      </c>
      <c r="D123" s="4">
        <f>21.4581 * CHOOSE(CONTROL!$C$8, $C$12, 100%, $E$12) + CHOOSE(CONTROL!$C$27, 0, 0)</f>
        <v>21.458100000000002</v>
      </c>
      <c r="E123" s="4">
        <f>87.5990555798642 * CHOOSE(CONTROL!$C$8, $C$12, 100%, $E$12) + CHOOSE(CONTROL!$C$27, 0, 0)</f>
        <v>87.599055579864199</v>
      </c>
    </row>
    <row r="124" spans="1:5" ht="15">
      <c r="A124" s="13">
        <v>45658</v>
      </c>
      <c r="B124" s="4">
        <f>15.1778 * CHOOSE(CONTROL!$C$8, $C$12, 100%, $E$12) + CHOOSE(CONTROL!$C$27, 0.0003, 0)</f>
        <v>15.178099999999999</v>
      </c>
      <c r="C124" s="4">
        <f>14.8653 * CHOOSE(CONTROL!$C$8, $C$12, 100%, $E$12) + CHOOSE(CONTROL!$C$27, 0.0003, 0)</f>
        <v>14.865599999999999</v>
      </c>
      <c r="D124" s="4">
        <f>21.1248 * CHOOSE(CONTROL!$C$8, $C$12, 100%, $E$12) + CHOOSE(CONTROL!$C$27, 0, 0)</f>
        <v>21.1248</v>
      </c>
      <c r="E124" s="4">
        <f>85.1854705466113 * CHOOSE(CONTROL!$C$8, $C$12, 100%, $E$12) + CHOOSE(CONTROL!$C$27, 0, 0)</f>
        <v>85.185470546611299</v>
      </c>
    </row>
    <row r="125" spans="1:5" ht="15">
      <c r="A125" s="13">
        <v>45689</v>
      </c>
      <c r="B125" s="4">
        <f>15.4936 * CHOOSE(CONTROL!$C$8, $C$12, 100%, $E$12) + CHOOSE(CONTROL!$C$27, 0.0003, 0)</f>
        <v>15.4939</v>
      </c>
      <c r="C125" s="4">
        <f>15.1811 * CHOOSE(CONTROL!$C$8, $C$12, 100%, $E$12) + CHOOSE(CONTROL!$C$27, 0.0003, 0)</f>
        <v>15.1814</v>
      </c>
      <c r="D125" s="4">
        <f>21.8103 * CHOOSE(CONTROL!$C$8, $C$12, 100%, $E$12) + CHOOSE(CONTROL!$C$27, 0, 0)</f>
        <v>21.810300000000002</v>
      </c>
      <c r="E125" s="4">
        <f>87.208109325613 * CHOOSE(CONTROL!$C$8, $C$12, 100%, $E$12) + CHOOSE(CONTROL!$C$27, 0, 0)</f>
        <v>87.208109325612995</v>
      </c>
    </row>
    <row r="126" spans="1:5" ht="15">
      <c r="A126" s="13">
        <v>45717</v>
      </c>
      <c r="B126" s="4">
        <f>16.3231 * CHOOSE(CONTROL!$C$8, $C$12, 100%, $E$12) + CHOOSE(CONTROL!$C$27, 0.0003, 0)</f>
        <v>16.323399999999999</v>
      </c>
      <c r="C126" s="4">
        <f>16.0106 * CHOOSE(CONTROL!$C$8, $C$12, 100%, $E$12) + CHOOSE(CONTROL!$C$27, 0.0003, 0)</f>
        <v>16.010899999999999</v>
      </c>
      <c r="D126" s="4">
        <f>22.8832 * CHOOSE(CONTROL!$C$8, $C$12, 100%, $E$12) + CHOOSE(CONTROL!$C$27, 0, 0)</f>
        <v>22.883199999999999</v>
      </c>
      <c r="E126" s="4">
        <f>92.519666248824 * CHOOSE(CONTROL!$C$8, $C$12, 100%, $E$12) + CHOOSE(CONTROL!$C$27, 0, 0)</f>
        <v>92.519666248823995</v>
      </c>
    </row>
    <row r="127" spans="1:5" ht="15">
      <c r="A127" s="13">
        <v>45748</v>
      </c>
      <c r="B127" s="4">
        <f>16.9124 * CHOOSE(CONTROL!$C$8, $C$12, 100%, $E$12) + CHOOSE(CONTROL!$C$27, 0.0003, 0)</f>
        <v>16.912700000000001</v>
      </c>
      <c r="C127" s="4">
        <f>16.5999 * CHOOSE(CONTROL!$C$8, $C$12, 100%, $E$12) + CHOOSE(CONTROL!$C$27, 0.0003, 0)</f>
        <v>16.600200000000001</v>
      </c>
      <c r="D127" s="4">
        <f>23.5013 * CHOOSE(CONTROL!$C$8, $C$12, 100%, $E$12) + CHOOSE(CONTROL!$C$27, 0, 0)</f>
        <v>23.501300000000001</v>
      </c>
      <c r="E127" s="4">
        <f>96.2935982285685 * CHOOSE(CONTROL!$C$8, $C$12, 100%, $E$12) + CHOOSE(CONTROL!$C$27, 0, 0)</f>
        <v>96.293598228568499</v>
      </c>
    </row>
    <row r="128" spans="1:5" ht="15">
      <c r="A128" s="13">
        <v>45778</v>
      </c>
      <c r="B128" s="4">
        <f>17.2725 * CHOOSE(CONTROL!$C$8, $C$12, 100%, $E$12) + CHOOSE(CONTROL!$C$27, 0.0166, 0)</f>
        <v>17.289100000000001</v>
      </c>
      <c r="C128" s="4">
        <f>16.96 * CHOOSE(CONTROL!$C$8, $C$12, 100%, $E$12) + CHOOSE(CONTROL!$C$27, 0.0166, 0)</f>
        <v>16.976600000000001</v>
      </c>
      <c r="D128" s="4">
        <f>23.2571 * CHOOSE(CONTROL!$C$8, $C$12, 100%, $E$12) + CHOOSE(CONTROL!$C$27, 0, 0)</f>
        <v>23.257100000000001</v>
      </c>
      <c r="E128" s="4">
        <f>98.5993802196663 * CHOOSE(CONTROL!$C$8, $C$12, 100%, $E$12) + CHOOSE(CONTROL!$C$27, 0, 0)</f>
        <v>98.599380219666301</v>
      </c>
    </row>
    <row r="129" spans="1:5" ht="15">
      <c r="A129" s="13">
        <v>45809</v>
      </c>
      <c r="B129" s="4">
        <f>17.3212 * CHOOSE(CONTROL!$C$8, $C$12, 100%, $E$12) + CHOOSE(CONTROL!$C$27, 0.0166, 0)</f>
        <v>17.337800000000001</v>
      </c>
      <c r="C129" s="4">
        <f>17.0087 * CHOOSE(CONTROL!$C$8, $C$12, 100%, $E$12) + CHOOSE(CONTROL!$C$27, 0.0166, 0)</f>
        <v>17.025300000000001</v>
      </c>
      <c r="D129" s="4">
        <f>23.456 * CHOOSE(CONTROL!$C$8, $C$12, 100%, $E$12) + CHOOSE(CONTROL!$C$27, 0, 0)</f>
        <v>23.456</v>
      </c>
      <c r="E129" s="4">
        <f>98.9113620922537 * CHOOSE(CONTROL!$C$8, $C$12, 100%, $E$12) + CHOOSE(CONTROL!$C$27, 0, 0)</f>
        <v>98.911362092253697</v>
      </c>
    </row>
    <row r="130" spans="1:5" ht="15">
      <c r="A130" s="13">
        <v>45839</v>
      </c>
      <c r="B130" s="4">
        <f>17.3163 * CHOOSE(CONTROL!$C$8, $C$12, 100%, $E$12) + CHOOSE(CONTROL!$C$27, 0.0166, 0)</f>
        <v>17.332899999999999</v>
      </c>
      <c r="C130" s="4">
        <f>17.0038 * CHOOSE(CONTROL!$C$8, $C$12, 100%, $E$12) + CHOOSE(CONTROL!$C$27, 0.0166, 0)</f>
        <v>17.020399999999999</v>
      </c>
      <c r="D130" s="4">
        <f>23.8149 * CHOOSE(CONTROL!$C$8, $C$12, 100%, $E$12) + CHOOSE(CONTROL!$C$27, 0, 0)</f>
        <v>23.814900000000002</v>
      </c>
      <c r="E130" s="4">
        <f>98.8799017353541 * CHOOSE(CONTROL!$C$8, $C$12, 100%, $E$12) + CHOOSE(CONTROL!$C$27, 0, 0)</f>
        <v>98.879901735354096</v>
      </c>
    </row>
    <row r="131" spans="1:5" ht="15">
      <c r="A131" s="13">
        <v>45870</v>
      </c>
      <c r="B131" s="4">
        <f>17.686 * CHOOSE(CONTROL!$C$8, $C$12, 100%, $E$12) + CHOOSE(CONTROL!$C$27, 0.0166, 0)</f>
        <v>17.7026</v>
      </c>
      <c r="C131" s="4">
        <f>17.3735 * CHOOSE(CONTROL!$C$8, $C$12, 100%, $E$12) + CHOOSE(CONTROL!$C$27, 0.0166, 0)</f>
        <v>17.3901</v>
      </c>
      <c r="D131" s="4">
        <f>23.5779 * CHOOSE(CONTROL!$C$8, $C$12, 100%, $E$12) + CHOOSE(CONTROL!$C$27, 0, 0)</f>
        <v>23.5779</v>
      </c>
      <c r="E131" s="4">
        <f>101.247293592047 * CHOOSE(CONTROL!$C$8, $C$12, 100%, $E$12) + CHOOSE(CONTROL!$C$27, 0, 0)</f>
        <v>101.247293592047</v>
      </c>
    </row>
    <row r="132" spans="1:5" ht="15">
      <c r="A132" s="13">
        <v>45901</v>
      </c>
      <c r="B132" s="4">
        <f>17.0559 * CHOOSE(CONTROL!$C$8, $C$12, 100%, $E$12) + CHOOSE(CONTROL!$C$27, 0.0166, 0)</f>
        <v>17.072500000000002</v>
      </c>
      <c r="C132" s="4">
        <f>16.7434 * CHOOSE(CONTROL!$C$8, $C$12, 100%, $E$12) + CHOOSE(CONTROL!$C$27, 0.0166, 0)</f>
        <v>16.760000000000002</v>
      </c>
      <c r="D132" s="4">
        <f>23.4659 * CHOOSE(CONTROL!$C$8, $C$12, 100%, $E$12) + CHOOSE(CONTROL!$C$27, 0, 0)</f>
        <v>23.465900000000001</v>
      </c>
      <c r="E132" s="4">
        <f>97.2125028196768 * CHOOSE(CONTROL!$C$8, $C$12, 100%, $E$12) + CHOOSE(CONTROL!$C$27, 0, 0)</f>
        <v>97.2125028196768</v>
      </c>
    </row>
    <row r="133" spans="1:5" ht="15">
      <c r="A133" s="13">
        <v>45931</v>
      </c>
      <c r="B133" s="4">
        <f>16.5515 * CHOOSE(CONTROL!$C$8, $C$12, 100%, $E$12) + CHOOSE(CONTROL!$C$27, 0.0003, 0)</f>
        <v>16.5518</v>
      </c>
      <c r="C133" s="4">
        <f>16.239 * CHOOSE(CONTROL!$C$8, $C$12, 100%, $E$12) + CHOOSE(CONTROL!$C$27, 0.0003, 0)</f>
        <v>16.2393</v>
      </c>
      <c r="D133" s="4">
        <f>23.166 * CHOOSE(CONTROL!$C$8, $C$12, 100%, $E$12) + CHOOSE(CONTROL!$C$27, 0, 0)</f>
        <v>23.166</v>
      </c>
      <c r="E133" s="4">
        <f>93.9825728446541 * CHOOSE(CONTROL!$C$8, $C$12, 100%, $E$12) + CHOOSE(CONTROL!$C$27, 0, 0)</f>
        <v>93.982572844654101</v>
      </c>
    </row>
    <row r="134" spans="1:5" ht="15">
      <c r="A134" s="13">
        <v>45962</v>
      </c>
      <c r="B134" s="4">
        <f>16.2267 * CHOOSE(CONTROL!$C$8, $C$12, 100%, $E$12) + CHOOSE(CONTROL!$C$27, 0.0003, 0)</f>
        <v>16.227</v>
      </c>
      <c r="C134" s="4">
        <f>15.9142 * CHOOSE(CONTROL!$C$8, $C$12, 100%, $E$12) + CHOOSE(CONTROL!$C$27, 0.0003, 0)</f>
        <v>15.914499999999999</v>
      </c>
      <c r="D134" s="4">
        <f>23.0629 * CHOOSE(CONTROL!$C$8, $C$12, 100%, $E$12) + CHOOSE(CONTROL!$C$27, 0, 0)</f>
        <v>23.062899999999999</v>
      </c>
      <c r="E134" s="4">
        <f>91.9022567446699 * CHOOSE(CONTROL!$C$8, $C$12, 100%, $E$12) + CHOOSE(CONTROL!$C$27, 0, 0)</f>
        <v>91.902256744669899</v>
      </c>
    </row>
    <row r="135" spans="1:5" ht="15">
      <c r="A135" s="13">
        <v>45992</v>
      </c>
      <c r="B135" s="4">
        <f>16.0019 * CHOOSE(CONTROL!$C$8, $C$12, 100%, $E$12) + CHOOSE(CONTROL!$C$27, 0.0003, 0)</f>
        <v>16.002199999999998</v>
      </c>
      <c r="C135" s="4">
        <f>15.6894 * CHOOSE(CONTROL!$C$8, $C$12, 100%, $E$12) + CHOOSE(CONTROL!$C$27, 0.0003, 0)</f>
        <v>15.689699999999998</v>
      </c>
      <c r="D135" s="4">
        <f>22.304 * CHOOSE(CONTROL!$C$8, $C$12, 100%, $E$12) + CHOOSE(CONTROL!$C$27, 0, 0)</f>
        <v>22.303999999999998</v>
      </c>
      <c r="E135" s="4">
        <f>90.4629454165145 * CHOOSE(CONTROL!$C$8, $C$12, 100%, $E$12) + CHOOSE(CONTROL!$C$27, 0, 0)</f>
        <v>90.462945416514501</v>
      </c>
    </row>
    <row r="136" spans="1:5" ht="15">
      <c r="A136" s="13">
        <v>46023</v>
      </c>
      <c r="B136" s="4">
        <f>15.5859 * CHOOSE(CONTROL!$C$8, $C$12, 100%, $E$12) + CHOOSE(CONTROL!$C$27, 0.0003, 0)</f>
        <v>15.5862</v>
      </c>
      <c r="C136" s="4">
        <f>15.2734 * CHOOSE(CONTROL!$C$8, $C$12, 100%, $E$12) + CHOOSE(CONTROL!$C$27, 0.0003, 0)</f>
        <v>15.2737</v>
      </c>
      <c r="D136" s="4">
        <f>21.7146 * CHOOSE(CONTROL!$C$8, $C$12, 100%, $E$12) + CHOOSE(CONTROL!$C$27, 0, 0)</f>
        <v>21.714600000000001</v>
      </c>
      <c r="E136" s="4">
        <f>88.1231952849309 * CHOOSE(CONTROL!$C$8, $C$12, 100%, $E$12) + CHOOSE(CONTROL!$C$27, 0, 0)</f>
        <v>88.123195284930901</v>
      </c>
    </row>
    <row r="137" spans="1:5" ht="15">
      <c r="A137" s="13">
        <v>46054</v>
      </c>
      <c r="B137" s="4">
        <f>15.9115 * CHOOSE(CONTROL!$C$8, $C$12, 100%, $E$12) + CHOOSE(CONTROL!$C$27, 0.0003, 0)</f>
        <v>15.911799999999999</v>
      </c>
      <c r="C137" s="4">
        <f>15.599 * CHOOSE(CONTROL!$C$8, $C$12, 100%, $E$12) + CHOOSE(CONTROL!$C$27, 0.0003, 0)</f>
        <v>15.599299999999999</v>
      </c>
      <c r="D137" s="4">
        <f>22.4209 * CHOOSE(CONTROL!$C$8, $C$12, 100%, $E$12) + CHOOSE(CONTROL!$C$27, 0, 0)</f>
        <v>22.4209</v>
      </c>
      <c r="E137" s="4">
        <f>90.2155872265274 * CHOOSE(CONTROL!$C$8, $C$12, 100%, $E$12) + CHOOSE(CONTROL!$C$27, 0, 0)</f>
        <v>90.215587226527404</v>
      </c>
    </row>
    <row r="138" spans="1:5" ht="15">
      <c r="A138" s="13">
        <v>46082</v>
      </c>
      <c r="B138" s="4">
        <f>16.7664 * CHOOSE(CONTROL!$C$8, $C$12, 100%, $E$12) + CHOOSE(CONTROL!$C$27, 0.0003, 0)</f>
        <v>16.7667</v>
      </c>
      <c r="C138" s="4">
        <f>16.4539 * CHOOSE(CONTROL!$C$8, $C$12, 100%, $E$12) + CHOOSE(CONTROL!$C$27, 0.0003, 0)</f>
        <v>16.4542</v>
      </c>
      <c r="D138" s="4">
        <f>23.5264 * CHOOSE(CONTROL!$C$8, $C$12, 100%, $E$12) + CHOOSE(CONTROL!$C$27, 0, 0)</f>
        <v>23.526399999999999</v>
      </c>
      <c r="E138" s="4">
        <f>95.7103196616207 * CHOOSE(CONTROL!$C$8, $C$12, 100%, $E$12) + CHOOSE(CONTROL!$C$27, 0, 0)</f>
        <v>95.710319661620701</v>
      </c>
    </row>
    <row r="139" spans="1:5" ht="15">
      <c r="A139" s="13">
        <v>46113</v>
      </c>
      <c r="B139" s="4">
        <f>17.3738 * CHOOSE(CONTROL!$C$8, $C$12, 100%, $E$12) + CHOOSE(CONTROL!$C$27, 0.0003, 0)</f>
        <v>17.374099999999999</v>
      </c>
      <c r="C139" s="4">
        <f>17.0613 * CHOOSE(CONTROL!$C$8, $C$12, 100%, $E$12) + CHOOSE(CONTROL!$C$27, 0.0003, 0)</f>
        <v>17.061599999999999</v>
      </c>
      <c r="D139" s="4">
        <f>24.1633 * CHOOSE(CONTROL!$C$8, $C$12, 100%, $E$12) + CHOOSE(CONTROL!$C$27, 0, 0)</f>
        <v>24.1633</v>
      </c>
      <c r="E139" s="4">
        <f>99.6144002836922 * CHOOSE(CONTROL!$C$8, $C$12, 100%, $E$12) + CHOOSE(CONTROL!$C$27, 0, 0)</f>
        <v>99.614400283692206</v>
      </c>
    </row>
    <row r="140" spans="1:5" ht="15">
      <c r="A140" s="13">
        <v>46143</v>
      </c>
      <c r="B140" s="4">
        <f>17.745 * CHOOSE(CONTROL!$C$8, $C$12, 100%, $E$12) + CHOOSE(CONTROL!$C$27, 0.0166, 0)</f>
        <v>17.761600000000001</v>
      </c>
      <c r="C140" s="4">
        <f>17.4325 * CHOOSE(CONTROL!$C$8, $C$12, 100%, $E$12) + CHOOSE(CONTROL!$C$27, 0.0166, 0)</f>
        <v>17.449100000000001</v>
      </c>
      <c r="D140" s="4">
        <f>23.9116 * CHOOSE(CONTROL!$C$8, $C$12, 100%, $E$12) + CHOOSE(CONTROL!$C$27, 0, 0)</f>
        <v>23.9116</v>
      </c>
      <c r="E140" s="4">
        <f>101.999699976024 * CHOOSE(CONTROL!$C$8, $C$12, 100%, $E$12) + CHOOSE(CONTROL!$C$27, 0, 0)</f>
        <v>101.999699976024</v>
      </c>
    </row>
    <row r="141" spans="1:5" ht="15">
      <c r="A141" s="13">
        <v>46174</v>
      </c>
      <c r="B141" s="4">
        <f>17.7952 * CHOOSE(CONTROL!$C$8, $C$12, 100%, $E$12) + CHOOSE(CONTROL!$C$27, 0.0166, 0)</f>
        <v>17.811800000000002</v>
      </c>
      <c r="C141" s="4">
        <f>17.4827 * CHOOSE(CONTROL!$C$8, $C$12, 100%, $E$12) + CHOOSE(CONTROL!$C$27, 0.0166, 0)</f>
        <v>17.499300000000002</v>
      </c>
      <c r="D141" s="4">
        <f>24.1166 * CHOOSE(CONTROL!$C$8, $C$12, 100%, $E$12) + CHOOSE(CONTROL!$C$27, 0, 0)</f>
        <v>24.116599999999998</v>
      </c>
      <c r="E141" s="4">
        <f>102.322440923594 * CHOOSE(CONTROL!$C$8, $C$12, 100%, $E$12) + CHOOSE(CONTROL!$C$27, 0, 0)</f>
        <v>102.322440923594</v>
      </c>
    </row>
    <row r="142" spans="1:5" ht="15">
      <c r="A142" s="13">
        <v>46204</v>
      </c>
      <c r="B142" s="4">
        <f>17.7901 * CHOOSE(CONTROL!$C$8, $C$12, 100%, $E$12) + CHOOSE(CONTROL!$C$27, 0.0166, 0)</f>
        <v>17.806699999999999</v>
      </c>
      <c r="C142" s="4">
        <f>17.4776 * CHOOSE(CONTROL!$C$8, $C$12, 100%, $E$12) + CHOOSE(CONTROL!$C$27, 0.0166, 0)</f>
        <v>17.494199999999999</v>
      </c>
      <c r="D142" s="4">
        <f>24.4864 * CHOOSE(CONTROL!$C$8, $C$12, 100%, $E$12) + CHOOSE(CONTROL!$C$27, 0, 0)</f>
        <v>24.4864</v>
      </c>
      <c r="E142" s="4">
        <f>102.289895617957 * CHOOSE(CONTROL!$C$8, $C$12, 100%, $E$12) + CHOOSE(CONTROL!$C$27, 0, 0)</f>
        <v>102.289895617957</v>
      </c>
    </row>
    <row r="143" spans="1:5" ht="15">
      <c r="A143" s="13">
        <v>46235</v>
      </c>
      <c r="B143" s="4">
        <f>18.1712 * CHOOSE(CONTROL!$C$8, $C$12, 100%, $E$12) + CHOOSE(CONTROL!$C$27, 0.0166, 0)</f>
        <v>18.187799999999999</v>
      </c>
      <c r="C143" s="4">
        <f>17.8587 * CHOOSE(CONTROL!$C$8, $C$12, 100%, $E$12) + CHOOSE(CONTROL!$C$27, 0.0166, 0)</f>
        <v>17.875299999999999</v>
      </c>
      <c r="D143" s="4">
        <f>24.2421 * CHOOSE(CONTROL!$C$8, $C$12, 100%, $E$12) + CHOOSE(CONTROL!$C$27, 0, 0)</f>
        <v>24.242100000000001</v>
      </c>
      <c r="E143" s="4">
        <f>104.738929867162 * CHOOSE(CONTROL!$C$8, $C$12, 100%, $E$12) + CHOOSE(CONTROL!$C$27, 0, 0)</f>
        <v>104.738929867162</v>
      </c>
    </row>
    <row r="144" spans="1:5" ht="15">
      <c r="A144" s="13">
        <v>46266</v>
      </c>
      <c r="B144" s="4">
        <f>17.5217 * CHOOSE(CONTROL!$C$8, $C$12, 100%, $E$12) + CHOOSE(CONTROL!$C$27, 0.0166, 0)</f>
        <v>17.5383</v>
      </c>
      <c r="C144" s="4">
        <f>17.2092 * CHOOSE(CONTROL!$C$8, $C$12, 100%, $E$12) + CHOOSE(CONTROL!$C$27, 0.0166, 0)</f>
        <v>17.2258</v>
      </c>
      <c r="D144" s="4">
        <f>24.1267 * CHOOSE(CONTROL!$C$8, $C$12, 100%, $E$12) + CHOOSE(CONTROL!$C$27, 0, 0)</f>
        <v>24.1267</v>
      </c>
      <c r="E144" s="4">
        <f>100.564994419181 * CHOOSE(CONTROL!$C$8, $C$12, 100%, $E$12) + CHOOSE(CONTROL!$C$27, 0, 0)</f>
        <v>100.56499441918101</v>
      </c>
    </row>
    <row r="145" spans="1:5" ht="15">
      <c r="A145" s="13">
        <v>46296</v>
      </c>
      <c r="B145" s="4">
        <f>17.0019 * CHOOSE(CONTROL!$C$8, $C$12, 100%, $E$12) + CHOOSE(CONTROL!$C$27, 0.0003, 0)</f>
        <v>17.002199999999998</v>
      </c>
      <c r="C145" s="4">
        <f>16.6894 * CHOOSE(CONTROL!$C$8, $C$12, 100%, $E$12) + CHOOSE(CONTROL!$C$27, 0.0003, 0)</f>
        <v>16.689699999999998</v>
      </c>
      <c r="D145" s="4">
        <f>23.8178 * CHOOSE(CONTROL!$C$8, $C$12, 100%, $E$12) + CHOOSE(CONTROL!$C$27, 0, 0)</f>
        <v>23.817799999999998</v>
      </c>
      <c r="E145" s="4">
        <f>97.223676373754 * CHOOSE(CONTROL!$C$8, $C$12, 100%, $E$12) + CHOOSE(CONTROL!$C$27, 0, 0)</f>
        <v>97.223676373754003</v>
      </c>
    </row>
    <row r="146" spans="1:5" ht="15">
      <c r="A146" s="13">
        <v>46327</v>
      </c>
      <c r="B146" s="4">
        <f>16.667 * CHOOSE(CONTROL!$C$8, $C$12, 100%, $E$12) + CHOOSE(CONTROL!$C$27, 0.0003, 0)</f>
        <v>16.667300000000001</v>
      </c>
      <c r="C146" s="4">
        <f>16.3545 * CHOOSE(CONTROL!$C$8, $C$12, 100%, $E$12) + CHOOSE(CONTROL!$C$27, 0.0003, 0)</f>
        <v>16.354800000000001</v>
      </c>
      <c r="D146" s="4">
        <f>23.7116 * CHOOSE(CONTROL!$C$8, $C$12, 100%, $E$12) + CHOOSE(CONTROL!$C$27, 0, 0)</f>
        <v>23.711600000000001</v>
      </c>
      <c r="E146" s="4">
        <f>95.0716180384892 * CHOOSE(CONTROL!$C$8, $C$12, 100%, $E$12) + CHOOSE(CONTROL!$C$27, 0, 0)</f>
        <v>95.071618038489206</v>
      </c>
    </row>
    <row r="147" spans="1:5" ht="15">
      <c r="A147" s="13">
        <v>46357</v>
      </c>
      <c r="B147" s="4">
        <f>16.4354 * CHOOSE(CONTROL!$C$8, $C$12, 100%, $E$12) + CHOOSE(CONTROL!$C$27, 0.0003, 0)</f>
        <v>16.435700000000001</v>
      </c>
      <c r="C147" s="4">
        <f>16.1229 * CHOOSE(CONTROL!$C$8, $C$12, 100%, $E$12) + CHOOSE(CONTROL!$C$27, 0.0003, 0)</f>
        <v>16.123200000000001</v>
      </c>
      <c r="D147" s="4">
        <f>22.9296 * CHOOSE(CONTROL!$C$8, $C$12, 100%, $E$12) + CHOOSE(CONTROL!$C$27, 0, 0)</f>
        <v>22.929600000000001</v>
      </c>
      <c r="E147" s="4">
        <f>93.5826703055839 * CHOOSE(CONTROL!$C$8, $C$12, 100%, $E$12) + CHOOSE(CONTROL!$C$27, 0, 0)</f>
        <v>93.582670305583903</v>
      </c>
    </row>
    <row r="148" spans="1:5" ht="15">
      <c r="A148" s="13">
        <v>46388</v>
      </c>
      <c r="B148" s="4">
        <f>15.9494 * CHOOSE(CONTROL!$C$8, $C$12, 100%, $E$12) + CHOOSE(CONTROL!$C$27, 0.0003, 0)</f>
        <v>15.9497</v>
      </c>
      <c r="C148" s="4">
        <f>15.6369 * CHOOSE(CONTROL!$C$8, $C$12, 100%, $E$12) + CHOOSE(CONTROL!$C$27, 0.0003, 0)</f>
        <v>15.6372</v>
      </c>
      <c r="D148" s="4">
        <f>22.207 * CHOOSE(CONTROL!$C$8, $C$12, 100%, $E$12) + CHOOSE(CONTROL!$C$27, 0, 0)</f>
        <v>22.207000000000001</v>
      </c>
      <c r="E148" s="4">
        <f>90.5081217650008 * CHOOSE(CONTROL!$C$8, $C$12, 100%, $E$12) + CHOOSE(CONTROL!$C$27, 0, 0)</f>
        <v>90.508121765000794</v>
      </c>
    </row>
    <row r="149" spans="1:5" ht="15">
      <c r="A149" s="13">
        <v>46419</v>
      </c>
      <c r="B149" s="4">
        <f>16.2836 * CHOOSE(CONTROL!$C$8, $C$12, 100%, $E$12) + CHOOSE(CONTROL!$C$27, 0.0003, 0)</f>
        <v>16.283899999999999</v>
      </c>
      <c r="C149" s="4">
        <f>15.9711 * CHOOSE(CONTROL!$C$8, $C$12, 100%, $E$12) + CHOOSE(CONTROL!$C$27, 0.0003, 0)</f>
        <v>15.971399999999999</v>
      </c>
      <c r="D149" s="4">
        <f>22.9306 * CHOOSE(CONTROL!$C$8, $C$12, 100%, $E$12) + CHOOSE(CONTROL!$C$27, 0, 0)</f>
        <v>22.930599999999998</v>
      </c>
      <c r="E149" s="4">
        <f>92.6571412600134 * CHOOSE(CONTROL!$C$8, $C$12, 100%, $E$12) + CHOOSE(CONTROL!$C$27, 0, 0)</f>
        <v>92.657141260013404</v>
      </c>
    </row>
    <row r="150" spans="1:5" ht="15">
      <c r="A150" s="13">
        <v>46447</v>
      </c>
      <c r="B150" s="4">
        <f>17.1612 * CHOOSE(CONTROL!$C$8, $C$12, 100%, $E$12) + CHOOSE(CONTROL!$C$27, 0.0003, 0)</f>
        <v>17.1615</v>
      </c>
      <c r="C150" s="4">
        <f>16.8487 * CHOOSE(CONTROL!$C$8, $C$12, 100%, $E$12) + CHOOSE(CONTROL!$C$27, 0.0003, 0)</f>
        <v>16.849</v>
      </c>
      <c r="D150" s="4">
        <f>24.0634 * CHOOSE(CONTROL!$C$8, $C$12, 100%, $E$12) + CHOOSE(CONTROL!$C$27, 0, 0)</f>
        <v>24.063400000000001</v>
      </c>
      <c r="E150" s="4">
        <f>98.3005806597485 * CHOOSE(CONTROL!$C$8, $C$12, 100%, $E$12) + CHOOSE(CONTROL!$C$27, 0, 0)</f>
        <v>98.300580659748505</v>
      </c>
    </row>
    <row r="151" spans="1:5" ht="15">
      <c r="A151" s="13">
        <v>46478</v>
      </c>
      <c r="B151" s="4">
        <f>17.7847 * CHOOSE(CONTROL!$C$8, $C$12, 100%, $E$12) + CHOOSE(CONTROL!$C$27, 0.0003, 0)</f>
        <v>17.785</v>
      </c>
      <c r="C151" s="4">
        <f>17.4722 * CHOOSE(CONTROL!$C$8, $C$12, 100%, $E$12) + CHOOSE(CONTROL!$C$27, 0.0003, 0)</f>
        <v>17.4725</v>
      </c>
      <c r="D151" s="4">
        <f>24.7159 * CHOOSE(CONTROL!$C$8, $C$12, 100%, $E$12) + CHOOSE(CONTROL!$C$27, 0, 0)</f>
        <v>24.715900000000001</v>
      </c>
      <c r="E151" s="4">
        <f>102.310319561979 * CHOOSE(CONTROL!$C$8, $C$12, 100%, $E$12) + CHOOSE(CONTROL!$C$27, 0, 0)</f>
        <v>102.310319561979</v>
      </c>
    </row>
    <row r="152" spans="1:5" ht="15">
      <c r="A152" s="13">
        <v>46508</v>
      </c>
      <c r="B152" s="4">
        <f>18.1657 * CHOOSE(CONTROL!$C$8, $C$12, 100%, $E$12) + CHOOSE(CONTROL!$C$27, 0.0166, 0)</f>
        <v>18.182300000000001</v>
      </c>
      <c r="C152" s="4">
        <f>17.8532 * CHOOSE(CONTROL!$C$8, $C$12, 100%, $E$12) + CHOOSE(CONTROL!$C$27, 0.0166, 0)</f>
        <v>17.869800000000001</v>
      </c>
      <c r="D152" s="4">
        <f>24.4581 * CHOOSE(CONTROL!$C$8, $C$12, 100%, $E$12) + CHOOSE(CONTROL!$C$27, 0, 0)</f>
        <v>24.458100000000002</v>
      </c>
      <c r="E152" s="4">
        <f>104.760173931212 * CHOOSE(CONTROL!$C$8, $C$12, 100%, $E$12) + CHOOSE(CONTROL!$C$27, 0, 0)</f>
        <v>104.76017393121199</v>
      </c>
    </row>
    <row r="153" spans="1:5" ht="15">
      <c r="A153" s="13">
        <v>46539</v>
      </c>
      <c r="B153" s="4">
        <f>18.2172 * CHOOSE(CONTROL!$C$8, $C$12, 100%, $E$12) + CHOOSE(CONTROL!$C$27, 0.0166, 0)</f>
        <v>18.233799999999999</v>
      </c>
      <c r="C153" s="4">
        <f>17.9047 * CHOOSE(CONTROL!$C$8, $C$12, 100%, $E$12) + CHOOSE(CONTROL!$C$27, 0.0166, 0)</f>
        <v>17.921299999999999</v>
      </c>
      <c r="D153" s="4">
        <f>24.668 * CHOOSE(CONTROL!$C$8, $C$12, 100%, $E$12) + CHOOSE(CONTROL!$C$27, 0, 0)</f>
        <v>24.667999999999999</v>
      </c>
      <c r="E153" s="4">
        <f>105.091649394474 * CHOOSE(CONTROL!$C$8, $C$12, 100%, $E$12) + CHOOSE(CONTROL!$C$27, 0, 0)</f>
        <v>105.091649394474</v>
      </c>
    </row>
    <row r="154" spans="1:5" ht="15">
      <c r="A154" s="13">
        <v>46569</v>
      </c>
      <c r="B154" s="4">
        <f>18.212 * CHOOSE(CONTROL!$C$8, $C$12, 100%, $E$12) + CHOOSE(CONTROL!$C$27, 0.0166, 0)</f>
        <v>18.2286</v>
      </c>
      <c r="C154" s="4">
        <f>17.8995 * CHOOSE(CONTROL!$C$8, $C$12, 100%, $E$12) + CHOOSE(CONTROL!$C$27, 0.0166, 0)</f>
        <v>17.9161</v>
      </c>
      <c r="D154" s="4">
        <f>25.0469 * CHOOSE(CONTROL!$C$8, $C$12, 100%, $E$12) + CHOOSE(CONTROL!$C$27, 0, 0)</f>
        <v>25.046900000000001</v>
      </c>
      <c r="E154" s="4">
        <f>105.058223297338 * CHOOSE(CONTROL!$C$8, $C$12, 100%, $E$12) + CHOOSE(CONTROL!$C$27, 0, 0)</f>
        <v>105.058223297338</v>
      </c>
    </row>
    <row r="155" spans="1:5" ht="15">
      <c r="A155" s="13">
        <v>46600</v>
      </c>
      <c r="B155" s="4">
        <f>18.6031 * CHOOSE(CONTROL!$C$8, $C$12, 100%, $E$12) + CHOOSE(CONTROL!$C$27, 0.0166, 0)</f>
        <v>18.619700000000002</v>
      </c>
      <c r="C155" s="4">
        <f>18.2906 * CHOOSE(CONTROL!$C$8, $C$12, 100%, $E$12) + CHOOSE(CONTROL!$C$27, 0.0166, 0)</f>
        <v>18.307200000000002</v>
      </c>
      <c r="D155" s="4">
        <f>24.7967 * CHOOSE(CONTROL!$C$8, $C$12, 100%, $E$12) + CHOOSE(CONTROL!$C$27, 0, 0)</f>
        <v>24.796700000000001</v>
      </c>
      <c r="E155" s="4">
        <f>107.573537106796 * CHOOSE(CONTROL!$C$8, $C$12, 100%, $E$12) + CHOOSE(CONTROL!$C$27, 0, 0)</f>
        <v>107.573537106796</v>
      </c>
    </row>
    <row r="156" spans="1:5" ht="15">
      <c r="A156" s="13">
        <v>46631</v>
      </c>
      <c r="B156" s="4">
        <f>17.9365 * CHOOSE(CONTROL!$C$8, $C$12, 100%, $E$12) + CHOOSE(CONTROL!$C$27, 0.0166, 0)</f>
        <v>17.953099999999999</v>
      </c>
      <c r="C156" s="4">
        <f>17.624 * CHOOSE(CONTROL!$C$8, $C$12, 100%, $E$12) + CHOOSE(CONTROL!$C$27, 0.0166, 0)</f>
        <v>17.640599999999999</v>
      </c>
      <c r="D156" s="4">
        <f>24.6785 * CHOOSE(CONTROL!$C$8, $C$12, 100%, $E$12) + CHOOSE(CONTROL!$C$27, 0, 0)</f>
        <v>24.6785</v>
      </c>
      <c r="E156" s="4">
        <f>103.286640149149 * CHOOSE(CONTROL!$C$8, $C$12, 100%, $E$12) + CHOOSE(CONTROL!$C$27, 0, 0)</f>
        <v>103.28664014914899</v>
      </c>
    </row>
    <row r="157" spans="1:5" ht="15">
      <c r="A157" s="13">
        <v>46661</v>
      </c>
      <c r="B157" s="4">
        <f>17.4029 * CHOOSE(CONTROL!$C$8, $C$12, 100%, $E$12) + CHOOSE(CONTROL!$C$27, 0.0003, 0)</f>
        <v>17.403199999999998</v>
      </c>
      <c r="C157" s="4">
        <f>17.0904 * CHOOSE(CONTROL!$C$8, $C$12, 100%, $E$12) + CHOOSE(CONTROL!$C$27, 0.0003, 0)</f>
        <v>17.090699999999998</v>
      </c>
      <c r="D157" s="4">
        <f>24.3619 * CHOOSE(CONTROL!$C$8, $C$12, 100%, $E$12) + CHOOSE(CONTROL!$C$27, 0, 0)</f>
        <v>24.361899999999999</v>
      </c>
      <c r="E157" s="4">
        <f>99.8548941765561 * CHOOSE(CONTROL!$C$8, $C$12, 100%, $E$12) + CHOOSE(CONTROL!$C$27, 0, 0)</f>
        <v>99.854894176556101</v>
      </c>
    </row>
    <row r="158" spans="1:5" ht="15">
      <c r="A158" s="13">
        <v>46692</v>
      </c>
      <c r="B158" s="4">
        <f>17.0592 * CHOOSE(CONTROL!$C$8, $C$12, 100%, $E$12) + CHOOSE(CONTROL!$C$27, 0.0003, 0)</f>
        <v>17.0595</v>
      </c>
      <c r="C158" s="4">
        <f>16.7467 * CHOOSE(CONTROL!$C$8, $C$12, 100%, $E$12) + CHOOSE(CONTROL!$C$27, 0.0003, 0)</f>
        <v>16.747</v>
      </c>
      <c r="D158" s="4">
        <f>24.2531 * CHOOSE(CONTROL!$C$8, $C$12, 100%, $E$12) + CHOOSE(CONTROL!$C$27, 0, 0)</f>
        <v>24.2531</v>
      </c>
      <c r="E158" s="4">
        <f>97.6445935034614 * CHOOSE(CONTROL!$C$8, $C$12, 100%, $E$12) + CHOOSE(CONTROL!$C$27, 0, 0)</f>
        <v>97.644593503461394</v>
      </c>
    </row>
    <row r="159" spans="1:5" ht="15">
      <c r="A159" s="13">
        <v>46722</v>
      </c>
      <c r="B159" s="4">
        <f>16.8213 * CHOOSE(CONTROL!$C$8, $C$12, 100%, $E$12) + CHOOSE(CONTROL!$C$27, 0.0003, 0)</f>
        <v>16.8216</v>
      </c>
      <c r="C159" s="4">
        <f>16.5088 * CHOOSE(CONTROL!$C$8, $C$12, 100%, $E$12) + CHOOSE(CONTROL!$C$27, 0.0003, 0)</f>
        <v>16.5091</v>
      </c>
      <c r="D159" s="4">
        <f>23.4519 * CHOOSE(CONTROL!$C$8, $C$12, 100%, $E$12) + CHOOSE(CONTROL!$C$27, 0, 0)</f>
        <v>23.451899999999998</v>
      </c>
      <c r="E159" s="4">
        <f>96.1153495595056 * CHOOSE(CONTROL!$C$8, $C$12, 100%, $E$12) + CHOOSE(CONTROL!$C$27, 0, 0)</f>
        <v>96.115349559505603</v>
      </c>
    </row>
    <row r="160" spans="1:5" ht="15">
      <c r="A160" s="13">
        <v>46753</v>
      </c>
      <c r="B160" s="4">
        <f>16.2913 * CHOOSE(CONTROL!$C$8, $C$12, 100%, $E$12) + CHOOSE(CONTROL!$C$27, 0.0003, 0)</f>
        <v>16.291599999999999</v>
      </c>
      <c r="C160" s="4">
        <f>15.9788 * CHOOSE(CONTROL!$C$8, $C$12, 100%, $E$12) + CHOOSE(CONTROL!$C$27, 0.0003, 0)</f>
        <v>15.979099999999999</v>
      </c>
      <c r="D160" s="4">
        <f>22.6293 * CHOOSE(CONTROL!$C$8, $C$12, 100%, $E$12) + CHOOSE(CONTROL!$C$27, 0, 0)</f>
        <v>22.629300000000001</v>
      </c>
      <c r="E160" s="4">
        <f>92.804755896246 * CHOOSE(CONTROL!$C$8, $C$12, 100%, $E$12) + CHOOSE(CONTROL!$C$27, 0, 0)</f>
        <v>92.804755896245993</v>
      </c>
    </row>
    <row r="161" spans="1:5" ht="15">
      <c r="A161" s="13">
        <v>46784</v>
      </c>
      <c r="B161" s="4">
        <f>16.6336 * CHOOSE(CONTROL!$C$8, $C$12, 100%, $E$12) + CHOOSE(CONTROL!$C$27, 0.0003, 0)</f>
        <v>16.633900000000001</v>
      </c>
      <c r="C161" s="4">
        <f>16.3211 * CHOOSE(CONTROL!$C$8, $C$12, 100%, $E$12) + CHOOSE(CONTROL!$C$27, 0.0003, 0)</f>
        <v>16.321400000000001</v>
      </c>
      <c r="D161" s="4">
        <f>23.3679 * CHOOSE(CONTROL!$C$8, $C$12, 100%, $E$12) + CHOOSE(CONTROL!$C$27, 0, 0)</f>
        <v>23.367899999999999</v>
      </c>
      <c r="E161" s="4">
        <f>95.0083065363615 * CHOOSE(CONTROL!$C$8, $C$12, 100%, $E$12) + CHOOSE(CONTROL!$C$27, 0, 0)</f>
        <v>95.008306536361502</v>
      </c>
    </row>
    <row r="162" spans="1:5" ht="15">
      <c r="A162" s="13">
        <v>46813</v>
      </c>
      <c r="B162" s="4">
        <f>17.5325 * CHOOSE(CONTROL!$C$8, $C$12, 100%, $E$12) + CHOOSE(CONTROL!$C$27, 0.0003, 0)</f>
        <v>17.532799999999998</v>
      </c>
      <c r="C162" s="4">
        <f>17.22 * CHOOSE(CONTROL!$C$8, $C$12, 100%, $E$12) + CHOOSE(CONTROL!$C$27, 0.0003, 0)</f>
        <v>17.220299999999998</v>
      </c>
      <c r="D162" s="4">
        <f>24.5239 * CHOOSE(CONTROL!$C$8, $C$12, 100%, $E$12) + CHOOSE(CONTROL!$C$27, 0, 0)</f>
        <v>24.523900000000001</v>
      </c>
      <c r="E162" s="4">
        <f>100.794947621098 * CHOOSE(CONTROL!$C$8, $C$12, 100%, $E$12) + CHOOSE(CONTROL!$C$27, 0, 0)</f>
        <v>100.794947621098</v>
      </c>
    </row>
    <row r="163" spans="1:5" ht="15">
      <c r="A163" s="13">
        <v>46844</v>
      </c>
      <c r="B163" s="4">
        <f>18.1712 * CHOOSE(CONTROL!$C$8, $C$12, 100%, $E$12) + CHOOSE(CONTROL!$C$27, 0.0003, 0)</f>
        <v>18.171499999999998</v>
      </c>
      <c r="C163" s="4">
        <f>17.8587 * CHOOSE(CONTROL!$C$8, $C$12, 100%, $E$12) + CHOOSE(CONTROL!$C$27, 0.0003, 0)</f>
        <v>17.858999999999998</v>
      </c>
      <c r="D163" s="4">
        <f>25.1899 * CHOOSE(CONTROL!$C$8, $C$12, 100%, $E$12) + CHOOSE(CONTROL!$C$27, 0, 0)</f>
        <v>25.189900000000002</v>
      </c>
      <c r="E163" s="4">
        <f>104.906433228935 * CHOOSE(CONTROL!$C$8, $C$12, 100%, $E$12) + CHOOSE(CONTROL!$C$27, 0, 0)</f>
        <v>104.906433228935</v>
      </c>
    </row>
    <row r="164" spans="1:5" ht="15">
      <c r="A164" s="13">
        <v>46874</v>
      </c>
      <c r="B164" s="4">
        <f>18.5614 * CHOOSE(CONTROL!$C$8, $C$12, 100%, $E$12) + CHOOSE(CONTROL!$C$27, 0.0166, 0)</f>
        <v>18.577999999999999</v>
      </c>
      <c r="C164" s="4">
        <f>18.2489 * CHOOSE(CONTROL!$C$8, $C$12, 100%, $E$12) + CHOOSE(CONTROL!$C$27, 0.0166, 0)</f>
        <v>18.265499999999999</v>
      </c>
      <c r="D164" s="4">
        <f>24.9267 * CHOOSE(CONTROL!$C$8, $C$12, 100%, $E$12) + CHOOSE(CONTROL!$C$27, 0, 0)</f>
        <v>24.9267</v>
      </c>
      <c r="E164" s="4">
        <f>107.418452396766 * CHOOSE(CONTROL!$C$8, $C$12, 100%, $E$12) + CHOOSE(CONTROL!$C$27, 0, 0)</f>
        <v>107.418452396766</v>
      </c>
    </row>
    <row r="165" spans="1:5" ht="15">
      <c r="A165" s="13">
        <v>46905</v>
      </c>
      <c r="B165" s="4">
        <f>18.6142 * CHOOSE(CONTROL!$C$8, $C$12, 100%, $E$12) + CHOOSE(CONTROL!$C$27, 0.0166, 0)</f>
        <v>18.630800000000001</v>
      </c>
      <c r="C165" s="4">
        <f>18.3017 * CHOOSE(CONTROL!$C$8, $C$12, 100%, $E$12) + CHOOSE(CONTROL!$C$27, 0.0166, 0)</f>
        <v>18.318300000000001</v>
      </c>
      <c r="D165" s="4">
        <f>25.1411 * CHOOSE(CONTROL!$C$8, $C$12, 100%, $E$12) + CHOOSE(CONTROL!$C$27, 0, 0)</f>
        <v>25.141100000000002</v>
      </c>
      <c r="E165" s="4">
        <f>107.758339015267 * CHOOSE(CONTROL!$C$8, $C$12, 100%, $E$12) + CHOOSE(CONTROL!$C$27, 0, 0)</f>
        <v>107.758339015267</v>
      </c>
    </row>
    <row r="166" spans="1:5" ht="15">
      <c r="A166" s="13">
        <v>46935</v>
      </c>
      <c r="B166" s="4">
        <f>18.6089 * CHOOSE(CONTROL!$C$8, $C$12, 100%, $E$12) + CHOOSE(CONTROL!$C$27, 0.0166, 0)</f>
        <v>18.625499999999999</v>
      </c>
      <c r="C166" s="4">
        <f>18.2964 * CHOOSE(CONTROL!$C$8, $C$12, 100%, $E$12) + CHOOSE(CONTROL!$C$27, 0.0166, 0)</f>
        <v>18.312999999999999</v>
      </c>
      <c r="D166" s="4">
        <f>25.5278 * CHOOSE(CONTROL!$C$8, $C$12, 100%, $E$12) + CHOOSE(CONTROL!$C$27, 0, 0)</f>
        <v>25.527799999999999</v>
      </c>
      <c r="E166" s="4">
        <f>107.72406473441 * CHOOSE(CONTROL!$C$8, $C$12, 100%, $E$12) + CHOOSE(CONTROL!$C$27, 0, 0)</f>
        <v>107.72406473441001</v>
      </c>
    </row>
    <row r="167" spans="1:5" ht="15">
      <c r="A167" s="13">
        <v>46966</v>
      </c>
      <c r="B167" s="4">
        <f>19.0095 * CHOOSE(CONTROL!$C$8, $C$12, 100%, $E$12) + CHOOSE(CONTROL!$C$27, 0.0166, 0)</f>
        <v>19.0261</v>
      </c>
      <c r="C167" s="4">
        <f>18.697 * CHOOSE(CONTROL!$C$8, $C$12, 100%, $E$12) + CHOOSE(CONTROL!$C$27, 0.0166, 0)</f>
        <v>18.7136</v>
      </c>
      <c r="D167" s="4">
        <f>25.2724 * CHOOSE(CONTROL!$C$8, $C$12, 100%, $E$12) + CHOOSE(CONTROL!$C$27, 0, 0)</f>
        <v>25.272400000000001</v>
      </c>
      <c r="E167" s="4">
        <f>110.30320436892 * CHOOSE(CONTROL!$C$8, $C$12, 100%, $E$12) + CHOOSE(CONTROL!$C$27, 0, 0)</f>
        <v>110.30320436892001</v>
      </c>
    </row>
    <row r="168" spans="1:5" ht="15">
      <c r="A168" s="13">
        <v>46997</v>
      </c>
      <c r="B168" s="4">
        <f>18.3267 * CHOOSE(CONTROL!$C$8, $C$12, 100%, $E$12) + CHOOSE(CONTROL!$C$27, 0.0166, 0)</f>
        <v>18.343299999999999</v>
      </c>
      <c r="C168" s="4">
        <f>18.0142 * CHOOSE(CONTROL!$C$8, $C$12, 100%, $E$12) + CHOOSE(CONTROL!$C$27, 0.0166, 0)</f>
        <v>18.030799999999999</v>
      </c>
      <c r="D168" s="4">
        <f>25.1517 * CHOOSE(CONTROL!$C$8, $C$12, 100%, $E$12) + CHOOSE(CONTROL!$C$27, 0, 0)</f>
        <v>25.151700000000002</v>
      </c>
      <c r="E168" s="4">
        <f>105.907527848974 * CHOOSE(CONTROL!$C$8, $C$12, 100%, $E$12) + CHOOSE(CONTROL!$C$27, 0, 0)</f>
        <v>105.907527848974</v>
      </c>
    </row>
    <row r="169" spans="1:5" ht="15">
      <c r="A169" s="13">
        <v>47027</v>
      </c>
      <c r="B169" s="4">
        <f>17.7801 * CHOOSE(CONTROL!$C$8, $C$12, 100%, $E$12) + CHOOSE(CONTROL!$C$27, 0.0003, 0)</f>
        <v>17.7804</v>
      </c>
      <c r="C169" s="4">
        <f>17.4676 * CHOOSE(CONTROL!$C$8, $C$12, 100%, $E$12) + CHOOSE(CONTROL!$C$27, 0.0003, 0)</f>
        <v>17.4679</v>
      </c>
      <c r="D169" s="4">
        <f>24.8286 * CHOOSE(CONTROL!$C$8, $C$12, 100%, $E$12) + CHOOSE(CONTROL!$C$27, 0, 0)</f>
        <v>24.828600000000002</v>
      </c>
      <c r="E169" s="4">
        <f>102.388701680961 * CHOOSE(CONTROL!$C$8, $C$12, 100%, $E$12) + CHOOSE(CONTROL!$C$27, 0, 0)</f>
        <v>102.38870168096101</v>
      </c>
    </row>
    <row r="170" spans="1:5" ht="15">
      <c r="A170" s="13">
        <v>47058</v>
      </c>
      <c r="B170" s="4">
        <f>17.428 * CHOOSE(CONTROL!$C$8, $C$12, 100%, $E$12) + CHOOSE(CONTROL!$C$27, 0.0003, 0)</f>
        <v>17.4283</v>
      </c>
      <c r="C170" s="4">
        <f>17.1155 * CHOOSE(CONTROL!$C$8, $C$12, 100%, $E$12) + CHOOSE(CONTROL!$C$27, 0.0003, 0)</f>
        <v>17.1158</v>
      </c>
      <c r="D170" s="4">
        <f>24.7176 * CHOOSE(CONTROL!$C$8, $C$12, 100%, $E$12) + CHOOSE(CONTROL!$C$27, 0, 0)</f>
        <v>24.717600000000001</v>
      </c>
      <c r="E170" s="4">
        <f>100.122314859274 * CHOOSE(CONTROL!$C$8, $C$12, 100%, $E$12) + CHOOSE(CONTROL!$C$27, 0, 0)</f>
        <v>100.122314859274</v>
      </c>
    </row>
    <row r="171" spans="1:5" ht="15">
      <c r="A171" s="13">
        <v>47088</v>
      </c>
      <c r="B171" s="4">
        <f>17.1844 * CHOOSE(CONTROL!$C$8, $C$12, 100%, $E$12) + CHOOSE(CONTROL!$C$27, 0.0003, 0)</f>
        <v>17.184699999999999</v>
      </c>
      <c r="C171" s="4">
        <f>16.8719 * CHOOSE(CONTROL!$C$8, $C$12, 100%, $E$12) + CHOOSE(CONTROL!$C$27, 0.0003, 0)</f>
        <v>16.872199999999999</v>
      </c>
      <c r="D171" s="4">
        <f>23.8998 * CHOOSE(CONTROL!$C$8, $C$12, 100%, $E$12) + CHOOSE(CONTROL!$C$27, 0, 0)</f>
        <v>23.899799999999999</v>
      </c>
      <c r="E171" s="4">
        <f>98.5542665100536 * CHOOSE(CONTROL!$C$8, $C$12, 100%, $E$12) + CHOOSE(CONTROL!$C$27, 0, 0)</f>
        <v>98.554266510053594</v>
      </c>
    </row>
    <row r="172" spans="1:5" ht="15">
      <c r="A172" s="13">
        <v>47119</v>
      </c>
      <c r="B172" s="4">
        <f>16.6936 * CHOOSE(CONTROL!$C$8, $C$12, 100%, $E$12) + CHOOSE(CONTROL!$C$27, 0.0003, 0)</f>
        <v>16.693899999999999</v>
      </c>
      <c r="C172" s="4">
        <f>16.3811 * CHOOSE(CONTROL!$C$8, $C$12, 100%, $E$12) + CHOOSE(CONTROL!$C$27, 0.0003, 0)</f>
        <v>16.381399999999999</v>
      </c>
      <c r="D172" s="4">
        <f>23.0569 * CHOOSE(CONTROL!$C$8, $C$12, 100%, $E$12) + CHOOSE(CONTROL!$C$27, 0, 0)</f>
        <v>23.056899999999999</v>
      </c>
      <c r="E172" s="4">
        <f>95.3972244926834 * CHOOSE(CONTROL!$C$8, $C$12, 100%, $E$12) + CHOOSE(CONTROL!$C$27, 0, 0)</f>
        <v>95.397224492683407</v>
      </c>
    </row>
    <row r="173" spans="1:5" ht="15">
      <c r="A173" s="13">
        <v>47150</v>
      </c>
      <c r="B173" s="4">
        <f>17.0454 * CHOOSE(CONTROL!$C$8, $C$12, 100%, $E$12) + CHOOSE(CONTROL!$C$27, 0.0003, 0)</f>
        <v>17.0457</v>
      </c>
      <c r="C173" s="4">
        <f>16.7329 * CHOOSE(CONTROL!$C$8, $C$12, 100%, $E$12) + CHOOSE(CONTROL!$C$27, 0.0003, 0)</f>
        <v>16.7332</v>
      </c>
      <c r="D173" s="4">
        <f>23.8105 * CHOOSE(CONTROL!$C$8, $C$12, 100%, $E$12) + CHOOSE(CONTROL!$C$27, 0, 0)</f>
        <v>23.810500000000001</v>
      </c>
      <c r="E173" s="4">
        <f>97.6623305539623 * CHOOSE(CONTROL!$C$8, $C$12, 100%, $E$12) + CHOOSE(CONTROL!$C$27, 0, 0)</f>
        <v>97.662330553962306</v>
      </c>
    </row>
    <row r="174" spans="1:5" ht="15">
      <c r="A174" s="13">
        <v>47178</v>
      </c>
      <c r="B174" s="4">
        <f>17.9694 * CHOOSE(CONTROL!$C$8, $C$12, 100%, $E$12) + CHOOSE(CONTROL!$C$27, 0.0003, 0)</f>
        <v>17.9697</v>
      </c>
      <c r="C174" s="4">
        <f>17.6569 * CHOOSE(CONTROL!$C$8, $C$12, 100%, $E$12) + CHOOSE(CONTROL!$C$27, 0.0003, 0)</f>
        <v>17.6572</v>
      </c>
      <c r="D174" s="4">
        <f>24.9902 * CHOOSE(CONTROL!$C$8, $C$12, 100%, $E$12) + CHOOSE(CONTROL!$C$27, 0, 0)</f>
        <v>24.990200000000002</v>
      </c>
      <c r="E174" s="4">
        <f>103.610619445927 * CHOOSE(CONTROL!$C$8, $C$12, 100%, $E$12) + CHOOSE(CONTROL!$C$27, 0, 0)</f>
        <v>103.610619445927</v>
      </c>
    </row>
    <row r="175" spans="1:5" ht="15">
      <c r="A175" s="13">
        <v>47209</v>
      </c>
      <c r="B175" s="4">
        <f>18.6259 * CHOOSE(CONTROL!$C$8, $C$12, 100%, $E$12) + CHOOSE(CONTROL!$C$27, 0.0003, 0)</f>
        <v>18.626200000000001</v>
      </c>
      <c r="C175" s="4">
        <f>18.3134 * CHOOSE(CONTROL!$C$8, $C$12, 100%, $E$12) + CHOOSE(CONTROL!$C$27, 0.0003, 0)</f>
        <v>18.313700000000001</v>
      </c>
      <c r="D175" s="4">
        <f>25.6697 * CHOOSE(CONTROL!$C$8, $C$12, 100%, $E$12) + CHOOSE(CONTROL!$C$27, 0, 0)</f>
        <v>25.669699999999999</v>
      </c>
      <c r="E175" s="4">
        <f>107.836957975041 * CHOOSE(CONTROL!$C$8, $C$12, 100%, $E$12) + CHOOSE(CONTROL!$C$27, 0, 0)</f>
        <v>107.836957975041</v>
      </c>
    </row>
    <row r="176" spans="1:5" ht="15">
      <c r="A176" s="13">
        <v>47239</v>
      </c>
      <c r="B176" s="4">
        <f>19.027 * CHOOSE(CONTROL!$C$8, $C$12, 100%, $E$12) + CHOOSE(CONTROL!$C$27, 0.0166, 0)</f>
        <v>19.043600000000001</v>
      </c>
      <c r="C176" s="4">
        <f>18.7145 * CHOOSE(CONTROL!$C$8, $C$12, 100%, $E$12) + CHOOSE(CONTROL!$C$27, 0.0166, 0)</f>
        <v>18.731100000000001</v>
      </c>
      <c r="D176" s="4">
        <f>25.4012 * CHOOSE(CONTROL!$C$8, $C$12, 100%, $E$12) + CHOOSE(CONTROL!$C$27, 0, 0)</f>
        <v>25.401199999999999</v>
      </c>
      <c r="E176" s="4">
        <f>110.419149525131 * CHOOSE(CONTROL!$C$8, $C$12, 100%, $E$12) + CHOOSE(CONTROL!$C$27, 0, 0)</f>
        <v>110.419149525131</v>
      </c>
    </row>
    <row r="177" spans="1:5" ht="15">
      <c r="A177" s="13">
        <v>47270</v>
      </c>
      <c r="B177" s="4">
        <f>19.0813 * CHOOSE(CONTROL!$C$8, $C$12, 100%, $E$12) + CHOOSE(CONTROL!$C$27, 0.0166, 0)</f>
        <v>19.097899999999999</v>
      </c>
      <c r="C177" s="4">
        <f>18.7688 * CHOOSE(CONTROL!$C$8, $C$12, 100%, $E$12) + CHOOSE(CONTROL!$C$27, 0.0166, 0)</f>
        <v>18.785399999999999</v>
      </c>
      <c r="D177" s="4">
        <f>25.6199 * CHOOSE(CONTROL!$C$8, $C$12, 100%, $E$12) + CHOOSE(CONTROL!$C$27, 0, 0)</f>
        <v>25.619900000000001</v>
      </c>
      <c r="E177" s="4">
        <f>110.768530758174 * CHOOSE(CONTROL!$C$8, $C$12, 100%, $E$12) + CHOOSE(CONTROL!$C$27, 0, 0)</f>
        <v>110.76853075817399</v>
      </c>
    </row>
    <row r="178" spans="1:5" ht="15">
      <c r="A178" s="13">
        <v>47300</v>
      </c>
      <c r="B178" s="4">
        <f>19.0758 * CHOOSE(CONTROL!$C$8, $C$12, 100%, $E$12) + CHOOSE(CONTROL!$C$27, 0.0166, 0)</f>
        <v>19.092400000000001</v>
      </c>
      <c r="C178" s="4">
        <f>18.7633 * CHOOSE(CONTROL!$C$8, $C$12, 100%, $E$12) + CHOOSE(CONTROL!$C$27, 0.0166, 0)</f>
        <v>18.779900000000001</v>
      </c>
      <c r="D178" s="4">
        <f>26.0145 * CHOOSE(CONTROL!$C$8, $C$12, 100%, $E$12) + CHOOSE(CONTROL!$C$27, 0, 0)</f>
        <v>26.014500000000002</v>
      </c>
      <c r="E178" s="4">
        <f>110.733299037195 * CHOOSE(CONTROL!$C$8, $C$12, 100%, $E$12) + CHOOSE(CONTROL!$C$27, 0, 0)</f>
        <v>110.733299037195</v>
      </c>
    </row>
    <row r="179" spans="1:5" ht="15">
      <c r="A179" s="13">
        <v>47331</v>
      </c>
      <c r="B179" s="4">
        <f>19.4876 * CHOOSE(CONTROL!$C$8, $C$12, 100%, $E$12) + CHOOSE(CONTROL!$C$27, 0.0166, 0)</f>
        <v>19.504200000000001</v>
      </c>
      <c r="C179" s="4">
        <f>19.1751 * CHOOSE(CONTROL!$C$8, $C$12, 100%, $E$12) + CHOOSE(CONTROL!$C$27, 0.0166, 0)</f>
        <v>19.191700000000001</v>
      </c>
      <c r="D179" s="4">
        <f>25.7539 * CHOOSE(CONTROL!$C$8, $C$12, 100%, $E$12) + CHOOSE(CONTROL!$C$27, 0, 0)</f>
        <v>25.753900000000002</v>
      </c>
      <c r="E179" s="4">
        <f>113.384486040869 * CHOOSE(CONTROL!$C$8, $C$12, 100%, $E$12) + CHOOSE(CONTROL!$C$27, 0, 0)</f>
        <v>113.38448604086901</v>
      </c>
    </row>
    <row r="180" spans="1:5" ht="15">
      <c r="A180" s="13">
        <v>47362</v>
      </c>
      <c r="B180" s="4">
        <f>18.7857 * CHOOSE(CONTROL!$C$8, $C$12, 100%, $E$12) + CHOOSE(CONTROL!$C$27, 0.0166, 0)</f>
        <v>18.802299999999999</v>
      </c>
      <c r="C180" s="4">
        <f>18.4732 * CHOOSE(CONTROL!$C$8, $C$12, 100%, $E$12) + CHOOSE(CONTROL!$C$27, 0.0166, 0)</f>
        <v>18.489799999999999</v>
      </c>
      <c r="D180" s="4">
        <f>25.6308 * CHOOSE(CONTROL!$C$8, $C$12, 100%, $E$12) + CHOOSE(CONTROL!$C$27, 0, 0)</f>
        <v>25.630800000000001</v>
      </c>
      <c r="E180" s="4">
        <f>108.866017825304 * CHOOSE(CONTROL!$C$8, $C$12, 100%, $E$12) + CHOOSE(CONTROL!$C$27, 0, 0)</f>
        <v>108.866017825304</v>
      </c>
    </row>
    <row r="181" spans="1:5" ht="15">
      <c r="A181" s="13">
        <v>47392</v>
      </c>
      <c r="B181" s="4">
        <f>18.2239 * CHOOSE(CONTROL!$C$8, $C$12, 100%, $E$12) + CHOOSE(CONTROL!$C$27, 0.0003, 0)</f>
        <v>18.2242</v>
      </c>
      <c r="C181" s="4">
        <f>17.9114 * CHOOSE(CONTROL!$C$8, $C$12, 100%, $E$12) + CHOOSE(CONTROL!$C$27, 0.0003, 0)</f>
        <v>17.9117</v>
      </c>
      <c r="D181" s="4">
        <f>25.3011 * CHOOSE(CONTROL!$C$8, $C$12, 100%, $E$12) + CHOOSE(CONTROL!$C$27, 0, 0)</f>
        <v>25.301100000000002</v>
      </c>
      <c r="E181" s="4">
        <f>105.248894471454 * CHOOSE(CONTROL!$C$8, $C$12, 100%, $E$12) + CHOOSE(CONTROL!$C$27, 0, 0)</f>
        <v>105.24889447145399</v>
      </c>
    </row>
    <row r="182" spans="1:5" ht="15">
      <c r="A182" s="13">
        <v>47423</v>
      </c>
      <c r="B182" s="4">
        <f>17.862 * CHOOSE(CONTROL!$C$8, $C$12, 100%, $E$12) + CHOOSE(CONTROL!$C$27, 0.0003, 0)</f>
        <v>17.862299999999998</v>
      </c>
      <c r="C182" s="4">
        <f>17.5495 * CHOOSE(CONTROL!$C$8, $C$12, 100%, $E$12) + CHOOSE(CONTROL!$C$27, 0.0003, 0)</f>
        <v>17.549799999999998</v>
      </c>
      <c r="D182" s="4">
        <f>25.1878 * CHOOSE(CONTROL!$C$8, $C$12, 100%, $E$12) + CHOOSE(CONTROL!$C$27, 0, 0)</f>
        <v>25.187799999999999</v>
      </c>
      <c r="E182" s="4">
        <f>102.919196921713 * CHOOSE(CONTROL!$C$8, $C$12, 100%, $E$12) + CHOOSE(CONTROL!$C$27, 0, 0)</f>
        <v>102.919196921713</v>
      </c>
    </row>
    <row r="183" spans="1:5" ht="15">
      <c r="A183" s="13">
        <v>47453</v>
      </c>
      <c r="B183" s="4">
        <f>17.6116 * CHOOSE(CONTROL!$C$8, $C$12, 100%, $E$12) + CHOOSE(CONTROL!$C$27, 0.0003, 0)</f>
        <v>17.611899999999999</v>
      </c>
      <c r="C183" s="4">
        <f>17.2991 * CHOOSE(CONTROL!$C$8, $C$12, 100%, $E$12) + CHOOSE(CONTROL!$C$27, 0.0003, 0)</f>
        <v>17.299399999999999</v>
      </c>
      <c r="D183" s="4">
        <f>24.3533 * CHOOSE(CONTROL!$C$8, $C$12, 100%, $E$12) + CHOOSE(CONTROL!$C$27, 0, 0)</f>
        <v>24.353300000000001</v>
      </c>
      <c r="E183" s="4">
        <f>101.307345686921 * CHOOSE(CONTROL!$C$8, $C$12, 100%, $E$12) + CHOOSE(CONTROL!$C$27, 0, 0)</f>
        <v>101.307345686921</v>
      </c>
    </row>
    <row r="184" spans="1:5" ht="15">
      <c r="A184" s="13">
        <v>47484</v>
      </c>
      <c r="B184" s="4">
        <f>17.0969 * CHOOSE(CONTROL!$C$8, $C$12, 100%, $E$12) + CHOOSE(CONTROL!$C$27, 0.0003, 0)</f>
        <v>17.097200000000001</v>
      </c>
      <c r="C184" s="4">
        <f>16.7844 * CHOOSE(CONTROL!$C$8, $C$12, 100%, $E$12) + CHOOSE(CONTROL!$C$27, 0.0003, 0)</f>
        <v>16.784700000000001</v>
      </c>
      <c r="D184" s="4">
        <f>23.4927 * CHOOSE(CONTROL!$C$8, $C$12, 100%, $E$12) + CHOOSE(CONTROL!$C$27, 0, 0)</f>
        <v>23.492699999999999</v>
      </c>
      <c r="E184" s="4">
        <f>98.0092110701324 * CHOOSE(CONTROL!$C$8, $C$12, 100%, $E$12) + CHOOSE(CONTROL!$C$27, 0, 0)</f>
        <v>98.009211070132395</v>
      </c>
    </row>
    <row r="185" spans="1:5" ht="15">
      <c r="A185" s="13">
        <v>47515</v>
      </c>
      <c r="B185" s="4">
        <f>17.4583 * CHOOSE(CONTROL!$C$8, $C$12, 100%, $E$12) + CHOOSE(CONTROL!$C$27, 0.0003, 0)</f>
        <v>17.458600000000001</v>
      </c>
      <c r="C185" s="4">
        <f>17.1458 * CHOOSE(CONTROL!$C$8, $C$12, 100%, $E$12) + CHOOSE(CONTROL!$C$27, 0.0003, 0)</f>
        <v>17.146100000000001</v>
      </c>
      <c r="D185" s="4">
        <f>24.2617 * CHOOSE(CONTROL!$C$8, $C$12, 100%, $E$12) + CHOOSE(CONTROL!$C$27, 0, 0)</f>
        <v>24.261700000000001</v>
      </c>
      <c r="E185" s="4">
        <f>100.336335986363 * CHOOSE(CONTROL!$C$8, $C$12, 100%, $E$12) + CHOOSE(CONTROL!$C$27, 0, 0)</f>
        <v>100.336335986363</v>
      </c>
    </row>
    <row r="186" spans="1:5" ht="15">
      <c r="A186" s="13">
        <v>47543</v>
      </c>
      <c r="B186" s="4">
        <f>18.4075 * CHOOSE(CONTROL!$C$8, $C$12, 100%, $E$12) + CHOOSE(CONTROL!$C$27, 0.0003, 0)</f>
        <v>18.407799999999998</v>
      </c>
      <c r="C186" s="4">
        <f>18.095 * CHOOSE(CONTROL!$C$8, $C$12, 100%, $E$12) + CHOOSE(CONTROL!$C$27, 0.0003, 0)</f>
        <v>18.095299999999998</v>
      </c>
      <c r="D186" s="4">
        <f>25.4655 * CHOOSE(CONTROL!$C$8, $C$12, 100%, $E$12) + CHOOSE(CONTROL!$C$27, 0, 0)</f>
        <v>25.465499999999999</v>
      </c>
      <c r="E186" s="4">
        <f>106.447489687312 * CHOOSE(CONTROL!$C$8, $C$12, 100%, $E$12) + CHOOSE(CONTROL!$C$27, 0, 0)</f>
        <v>106.447489687312</v>
      </c>
    </row>
    <row r="187" spans="1:5" ht="15">
      <c r="A187" s="13">
        <v>47574</v>
      </c>
      <c r="B187" s="4">
        <f>19.0818 * CHOOSE(CONTROL!$C$8, $C$12, 100%, $E$12) + CHOOSE(CONTROL!$C$27, 0.0003, 0)</f>
        <v>19.082100000000001</v>
      </c>
      <c r="C187" s="4">
        <f>18.7693 * CHOOSE(CONTROL!$C$8, $C$12, 100%, $E$12) + CHOOSE(CONTROL!$C$27, 0.0003, 0)</f>
        <v>18.769600000000001</v>
      </c>
      <c r="D187" s="4">
        <f>26.1589 * CHOOSE(CONTROL!$C$8, $C$12, 100%, $E$12) + CHOOSE(CONTROL!$C$27, 0, 0)</f>
        <v>26.158899999999999</v>
      </c>
      <c r="E187" s="4">
        <f>110.789545833667 * CHOOSE(CONTROL!$C$8, $C$12, 100%, $E$12) + CHOOSE(CONTROL!$C$27, 0, 0)</f>
        <v>110.78954583366701</v>
      </c>
    </row>
    <row r="188" spans="1:5" ht="15">
      <c r="A188" s="13">
        <v>47604</v>
      </c>
      <c r="B188" s="4">
        <f>19.4939 * CHOOSE(CONTROL!$C$8, $C$12, 100%, $E$12) + CHOOSE(CONTROL!$C$27, 0.0166, 0)</f>
        <v>19.5105</v>
      </c>
      <c r="C188" s="4">
        <f>19.1814 * CHOOSE(CONTROL!$C$8, $C$12, 100%, $E$12) + CHOOSE(CONTROL!$C$27, 0.0166, 0)</f>
        <v>19.198</v>
      </c>
      <c r="D188" s="4">
        <f>25.8849 * CHOOSE(CONTROL!$C$8, $C$12, 100%, $E$12) + CHOOSE(CONTROL!$C$27, 0, 0)</f>
        <v>25.884899999999998</v>
      </c>
      <c r="E188" s="4">
        <f>113.442438074528 * CHOOSE(CONTROL!$C$8, $C$12, 100%, $E$12) + CHOOSE(CONTROL!$C$27, 0, 0)</f>
        <v>113.442438074528</v>
      </c>
    </row>
    <row r="189" spans="1:5" ht="15">
      <c r="A189" s="13">
        <v>47635</v>
      </c>
      <c r="B189" s="4">
        <f>19.5496 * CHOOSE(CONTROL!$C$8, $C$12, 100%, $E$12) + CHOOSE(CONTROL!$C$27, 0.0166, 0)</f>
        <v>19.566200000000002</v>
      </c>
      <c r="C189" s="4">
        <f>19.2371 * CHOOSE(CONTROL!$C$8, $C$12, 100%, $E$12) + CHOOSE(CONTROL!$C$27, 0.0166, 0)</f>
        <v>19.253700000000002</v>
      </c>
      <c r="D189" s="4">
        <f>26.1081 * CHOOSE(CONTROL!$C$8, $C$12, 100%, $E$12) + CHOOSE(CONTROL!$C$27, 0, 0)</f>
        <v>26.1081</v>
      </c>
      <c r="E189" s="4">
        <f>113.801385404446 * CHOOSE(CONTROL!$C$8, $C$12, 100%, $E$12) + CHOOSE(CONTROL!$C$27, 0, 0)</f>
        <v>113.80138540444599</v>
      </c>
    </row>
    <row r="190" spans="1:5" ht="15">
      <c r="A190" s="13">
        <v>47665</v>
      </c>
      <c r="B190" s="4">
        <f>19.544 * CHOOSE(CONTROL!$C$8, $C$12, 100%, $E$12) + CHOOSE(CONTROL!$C$27, 0.0166, 0)</f>
        <v>19.560600000000001</v>
      </c>
      <c r="C190" s="4">
        <f>19.2315 * CHOOSE(CONTROL!$C$8, $C$12, 100%, $E$12) + CHOOSE(CONTROL!$C$27, 0.0166, 0)</f>
        <v>19.248100000000001</v>
      </c>
      <c r="D190" s="4">
        <f>26.5107 * CHOOSE(CONTROL!$C$8, $C$12, 100%, $E$12) + CHOOSE(CONTROL!$C$27, 0, 0)</f>
        <v>26.5107</v>
      </c>
      <c r="E190" s="4">
        <f>113.765189035042 * CHOOSE(CONTROL!$C$8, $C$12, 100%, $E$12) + CHOOSE(CONTROL!$C$27, 0, 0)</f>
        <v>113.765189035042</v>
      </c>
    </row>
    <row r="191" spans="1:5" ht="15">
      <c r="A191" s="13">
        <v>47696</v>
      </c>
      <c r="B191" s="4">
        <f>19.967 * CHOOSE(CONTROL!$C$8, $C$12, 100%, $E$12) + CHOOSE(CONTROL!$C$27, 0.0166, 0)</f>
        <v>19.983599999999999</v>
      </c>
      <c r="C191" s="4">
        <f>19.6545 * CHOOSE(CONTROL!$C$8, $C$12, 100%, $E$12) + CHOOSE(CONTROL!$C$27, 0.0166, 0)</f>
        <v>19.671099999999999</v>
      </c>
      <c r="D191" s="4">
        <f>26.2448 * CHOOSE(CONTROL!$C$8, $C$12, 100%, $E$12) + CHOOSE(CONTROL!$C$27, 0, 0)</f>
        <v>26.244800000000001</v>
      </c>
      <c r="E191" s="4">
        <f>116.488965832652 * CHOOSE(CONTROL!$C$8, $C$12, 100%, $E$12) + CHOOSE(CONTROL!$C$27, 0, 0)</f>
        <v>116.488965832652</v>
      </c>
    </row>
    <row r="192" spans="1:5" ht="15">
      <c r="A192" s="13">
        <v>47727</v>
      </c>
      <c r="B192" s="4">
        <f>19.246 * CHOOSE(CONTROL!$C$8, $C$12, 100%, $E$12) + CHOOSE(CONTROL!$C$27, 0.0166, 0)</f>
        <v>19.262599999999999</v>
      </c>
      <c r="C192" s="4">
        <f>18.9335 * CHOOSE(CONTROL!$C$8, $C$12, 100%, $E$12) + CHOOSE(CONTROL!$C$27, 0.0166, 0)</f>
        <v>18.950099999999999</v>
      </c>
      <c r="D192" s="4">
        <f>26.1192 * CHOOSE(CONTROL!$C$8, $C$12, 100%, $E$12) + CHOOSE(CONTROL!$C$27, 0, 0)</f>
        <v>26.119199999999999</v>
      </c>
      <c r="E192" s="4">
        <f>111.84678145666 * CHOOSE(CONTROL!$C$8, $C$12, 100%, $E$12) + CHOOSE(CONTROL!$C$27, 0, 0)</f>
        <v>111.84678145666</v>
      </c>
    </row>
    <row r="193" spans="1:5" ht="15">
      <c r="A193" s="13">
        <v>47757</v>
      </c>
      <c r="B193" s="4">
        <f>18.6689 * CHOOSE(CONTROL!$C$8, $C$12, 100%, $E$12) + CHOOSE(CONTROL!$C$27, 0.0003, 0)</f>
        <v>18.6692</v>
      </c>
      <c r="C193" s="4">
        <f>18.3564 * CHOOSE(CONTROL!$C$8, $C$12, 100%, $E$12) + CHOOSE(CONTROL!$C$27, 0.0003, 0)</f>
        <v>18.3567</v>
      </c>
      <c r="D193" s="4">
        <f>25.7828 * CHOOSE(CONTROL!$C$8, $C$12, 100%, $E$12) + CHOOSE(CONTROL!$C$27, 0, 0)</f>
        <v>25.782800000000002</v>
      </c>
      <c r="E193" s="4">
        <f>108.130620864572 * CHOOSE(CONTROL!$C$8, $C$12, 100%, $E$12) + CHOOSE(CONTROL!$C$27, 0, 0)</f>
        <v>108.13062086457199</v>
      </c>
    </row>
    <row r="194" spans="1:5" ht="15">
      <c r="A194" s="13">
        <v>47788</v>
      </c>
      <c r="B194" s="4">
        <f>18.2971 * CHOOSE(CONTROL!$C$8, $C$12, 100%, $E$12) + CHOOSE(CONTROL!$C$27, 0.0003, 0)</f>
        <v>18.2974</v>
      </c>
      <c r="C194" s="4">
        <f>17.9846 * CHOOSE(CONTROL!$C$8, $C$12, 100%, $E$12) + CHOOSE(CONTROL!$C$27, 0.0003, 0)</f>
        <v>17.9849</v>
      </c>
      <c r="D194" s="4">
        <f>25.6671 * CHOOSE(CONTROL!$C$8, $C$12, 100%, $E$12) + CHOOSE(CONTROL!$C$27, 0, 0)</f>
        <v>25.667100000000001</v>
      </c>
      <c r="E194" s="4">
        <f>105.737135937769 * CHOOSE(CONTROL!$C$8, $C$12, 100%, $E$12) + CHOOSE(CONTROL!$C$27, 0, 0)</f>
        <v>105.737135937769</v>
      </c>
    </row>
    <row r="195" spans="1:5" ht="15">
      <c r="A195" s="13">
        <v>47818</v>
      </c>
      <c r="B195" s="4">
        <f>18.04 * CHOOSE(CONTROL!$C$8, $C$12, 100%, $E$12) + CHOOSE(CONTROL!$C$27, 0.0003, 0)</f>
        <v>18.040299999999998</v>
      </c>
      <c r="C195" s="4">
        <f>17.7275 * CHOOSE(CONTROL!$C$8, $C$12, 100%, $E$12) + CHOOSE(CONTROL!$C$27, 0.0003, 0)</f>
        <v>17.727799999999998</v>
      </c>
      <c r="D195" s="4">
        <f>24.8156 * CHOOSE(CONTROL!$C$8, $C$12, 100%, $E$12) + CHOOSE(CONTROL!$C$27, 0, 0)</f>
        <v>24.8156</v>
      </c>
      <c r="E195" s="4">
        <f>104.081152037561 * CHOOSE(CONTROL!$C$8, $C$12, 100%, $E$12) + CHOOSE(CONTROL!$C$27, 0, 0)</f>
        <v>104.081152037561</v>
      </c>
    </row>
    <row r="196" spans="1:5" ht="15">
      <c r="A196" s="13">
        <v>47849</v>
      </c>
      <c r="B196" s="4">
        <f>17.3992 * CHOOSE(CONTROL!$C$8, $C$12, 100%, $E$12) + CHOOSE(CONTROL!$C$27, 0.0003, 0)</f>
        <v>17.3995</v>
      </c>
      <c r="C196" s="4">
        <f>17.0867 * CHOOSE(CONTROL!$C$8, $C$12, 100%, $E$12) + CHOOSE(CONTROL!$C$27, 0.0003, 0)</f>
        <v>17.087</v>
      </c>
      <c r="D196" s="4">
        <f>23.8282 * CHOOSE(CONTROL!$C$8, $C$12, 100%, $E$12) + CHOOSE(CONTROL!$C$27, 0, 0)</f>
        <v>23.828199999999999</v>
      </c>
      <c r="E196" s="4">
        <f>100.014666401381 * CHOOSE(CONTROL!$C$8, $C$12, 100%, $E$12) + CHOOSE(CONTROL!$C$27, 0, 0)</f>
        <v>100.01466640138101</v>
      </c>
    </row>
    <row r="197" spans="1:5" ht="15">
      <c r="A197" s="13">
        <v>47880</v>
      </c>
      <c r="B197" s="4">
        <f>17.7678 * CHOOSE(CONTROL!$C$8, $C$12, 100%, $E$12) + CHOOSE(CONTROL!$C$27, 0.0003, 0)</f>
        <v>17.7681</v>
      </c>
      <c r="C197" s="4">
        <f>17.4553 * CHOOSE(CONTROL!$C$8, $C$12, 100%, $E$12) + CHOOSE(CONTROL!$C$27, 0.0003, 0)</f>
        <v>17.4556</v>
      </c>
      <c r="D197" s="4">
        <f>24.609 * CHOOSE(CONTROL!$C$8, $C$12, 100%, $E$12) + CHOOSE(CONTROL!$C$27, 0, 0)</f>
        <v>24.609000000000002</v>
      </c>
      <c r="E197" s="4">
        <f>102.389408730493 * CHOOSE(CONTROL!$C$8, $C$12, 100%, $E$12) + CHOOSE(CONTROL!$C$27, 0, 0)</f>
        <v>102.389408730493</v>
      </c>
    </row>
    <row r="198" spans="1:5" ht="15">
      <c r="A198" s="13">
        <v>47908</v>
      </c>
      <c r="B198" s="4">
        <f>18.7358 * CHOOSE(CONTROL!$C$8, $C$12, 100%, $E$12) + CHOOSE(CONTROL!$C$27, 0.0003, 0)</f>
        <v>18.7361</v>
      </c>
      <c r="C198" s="4">
        <f>18.4233 * CHOOSE(CONTROL!$C$8, $C$12, 100%, $E$12) + CHOOSE(CONTROL!$C$27, 0.0003, 0)</f>
        <v>18.4236</v>
      </c>
      <c r="D198" s="4">
        <f>25.8313 * CHOOSE(CONTROL!$C$8, $C$12, 100%, $E$12) + CHOOSE(CONTROL!$C$27, 0, 0)</f>
        <v>25.831299999999999</v>
      </c>
      <c r="E198" s="4">
        <f>108.625608288212 * CHOOSE(CONTROL!$C$8, $C$12, 100%, $E$12) + CHOOSE(CONTROL!$C$27, 0, 0)</f>
        <v>108.62560828821201</v>
      </c>
    </row>
    <row r="199" spans="1:5" ht="15">
      <c r="A199" s="13">
        <v>47939</v>
      </c>
      <c r="B199" s="4">
        <f>19.4235 * CHOOSE(CONTROL!$C$8, $C$12, 100%, $E$12) + CHOOSE(CONTROL!$C$27, 0.0003, 0)</f>
        <v>19.4238</v>
      </c>
      <c r="C199" s="4">
        <f>19.111 * CHOOSE(CONTROL!$C$8, $C$12, 100%, $E$12) + CHOOSE(CONTROL!$C$27, 0.0003, 0)</f>
        <v>19.1113</v>
      </c>
      <c r="D199" s="4">
        <f>26.5354 * CHOOSE(CONTROL!$C$8, $C$12, 100%, $E$12) + CHOOSE(CONTROL!$C$27, 0, 0)</f>
        <v>26.535399999999999</v>
      </c>
      <c r="E199" s="4">
        <f>113.056511182258 * CHOOSE(CONTROL!$C$8, $C$12, 100%, $E$12) + CHOOSE(CONTROL!$C$27, 0, 0)</f>
        <v>113.05651118225801</v>
      </c>
    </row>
    <row r="200" spans="1:5" ht="15">
      <c r="A200" s="13">
        <v>47969</v>
      </c>
      <c r="B200" s="4">
        <f>19.8437 * CHOOSE(CONTROL!$C$8, $C$12, 100%, $E$12) + CHOOSE(CONTROL!$C$27, 0.0166, 0)</f>
        <v>19.860299999999999</v>
      </c>
      <c r="C200" s="4">
        <f>19.5312 * CHOOSE(CONTROL!$C$8, $C$12, 100%, $E$12) + CHOOSE(CONTROL!$C$27, 0.0166, 0)</f>
        <v>19.547799999999999</v>
      </c>
      <c r="D200" s="4">
        <f>26.2572 * CHOOSE(CONTROL!$C$8, $C$12, 100%, $E$12) + CHOOSE(CONTROL!$C$27, 0, 0)</f>
        <v>26.257200000000001</v>
      </c>
      <c r="E200" s="4">
        <f>115.763686656599 * CHOOSE(CONTROL!$C$8, $C$12, 100%, $E$12) + CHOOSE(CONTROL!$C$27, 0, 0)</f>
        <v>115.76368665659901</v>
      </c>
    </row>
    <row r="201" spans="1:5" ht="15">
      <c r="A201" s="13">
        <v>48000</v>
      </c>
      <c r="B201" s="4">
        <f>19.9006 * CHOOSE(CONTROL!$C$8, $C$12, 100%, $E$12) + CHOOSE(CONTROL!$C$27, 0.0166, 0)</f>
        <v>19.917200000000001</v>
      </c>
      <c r="C201" s="4">
        <f>19.5881 * CHOOSE(CONTROL!$C$8, $C$12, 100%, $E$12) + CHOOSE(CONTROL!$C$27, 0.0166, 0)</f>
        <v>19.604700000000001</v>
      </c>
      <c r="D201" s="4">
        <f>26.4838 * CHOOSE(CONTROL!$C$8, $C$12, 100%, $E$12) + CHOOSE(CONTROL!$C$27, 0, 0)</f>
        <v>26.483799999999999</v>
      </c>
      <c r="E201" s="4">
        <f>116.129978733286 * CHOOSE(CONTROL!$C$8, $C$12, 100%, $E$12) + CHOOSE(CONTROL!$C$27, 0, 0)</f>
        <v>116.12997873328599</v>
      </c>
    </row>
    <row r="202" spans="1:5" ht="15">
      <c r="A202" s="13">
        <v>48030</v>
      </c>
      <c r="B202" s="4">
        <f>19.8949 * CHOOSE(CONTROL!$C$8, $C$12, 100%, $E$12) + CHOOSE(CONTROL!$C$27, 0.0166, 0)</f>
        <v>19.9115</v>
      </c>
      <c r="C202" s="4">
        <f>19.5824 * CHOOSE(CONTROL!$C$8, $C$12, 100%, $E$12) + CHOOSE(CONTROL!$C$27, 0.0166, 0)</f>
        <v>19.599</v>
      </c>
      <c r="D202" s="4">
        <f>26.8927 * CHOOSE(CONTROL!$C$8, $C$12, 100%, $E$12) + CHOOSE(CONTROL!$C$27, 0, 0)</f>
        <v>26.892700000000001</v>
      </c>
      <c r="E202" s="4">
        <f>116.093041717149 * CHOOSE(CONTROL!$C$8, $C$12, 100%, $E$12) + CHOOSE(CONTROL!$C$27, 0, 0)</f>
        <v>116.09304171714901</v>
      </c>
    </row>
    <row r="203" spans="1:5" ht="15">
      <c r="A203" s="13">
        <v>48061</v>
      </c>
      <c r="B203" s="4">
        <f>20.3263 * CHOOSE(CONTROL!$C$8, $C$12, 100%, $E$12) + CHOOSE(CONTROL!$C$27, 0.0166, 0)</f>
        <v>20.3429</v>
      </c>
      <c r="C203" s="4">
        <f>20.0138 * CHOOSE(CONTROL!$C$8, $C$12, 100%, $E$12) + CHOOSE(CONTROL!$C$27, 0.0166, 0)</f>
        <v>20.0304</v>
      </c>
      <c r="D203" s="4">
        <f>26.6227 * CHOOSE(CONTROL!$C$8, $C$12, 100%, $E$12) + CHOOSE(CONTROL!$C$27, 0, 0)</f>
        <v>26.622699999999998</v>
      </c>
      <c r="E203" s="4">
        <f>118.872552181424 * CHOOSE(CONTROL!$C$8, $C$12, 100%, $E$12) + CHOOSE(CONTROL!$C$27, 0, 0)</f>
        <v>118.872552181424</v>
      </c>
    </row>
    <row r="204" spans="1:5" ht="15">
      <c r="A204" s="13">
        <v>48092</v>
      </c>
      <c r="B204" s="4">
        <f>19.591 * CHOOSE(CONTROL!$C$8, $C$12, 100%, $E$12) + CHOOSE(CONTROL!$C$27, 0.0166, 0)</f>
        <v>19.607600000000001</v>
      </c>
      <c r="C204" s="4">
        <f>19.2785 * CHOOSE(CONTROL!$C$8, $C$12, 100%, $E$12) + CHOOSE(CONTROL!$C$27, 0.0166, 0)</f>
        <v>19.295100000000001</v>
      </c>
      <c r="D204" s="4">
        <f>26.4951 * CHOOSE(CONTROL!$C$8, $C$12, 100%, $E$12) + CHOOSE(CONTROL!$C$27, 0, 0)</f>
        <v>26.495100000000001</v>
      </c>
      <c r="E204" s="4">
        <f>114.135379861913 * CHOOSE(CONTROL!$C$8, $C$12, 100%, $E$12) + CHOOSE(CONTROL!$C$27, 0, 0)</f>
        <v>114.13537986191299</v>
      </c>
    </row>
    <row r="205" spans="1:5" ht="15">
      <c r="A205" s="13">
        <v>48122</v>
      </c>
      <c r="B205" s="4">
        <f>19.0024 * CHOOSE(CONTROL!$C$8, $C$12, 100%, $E$12) + CHOOSE(CONTROL!$C$27, 0.0003, 0)</f>
        <v>19.002700000000001</v>
      </c>
      <c r="C205" s="4">
        <f>18.6899 * CHOOSE(CONTROL!$C$8, $C$12, 100%, $E$12) + CHOOSE(CONTROL!$C$27, 0.0003, 0)</f>
        <v>18.690200000000001</v>
      </c>
      <c r="D205" s="4">
        <f>26.1535 * CHOOSE(CONTROL!$C$8, $C$12, 100%, $E$12) + CHOOSE(CONTROL!$C$27, 0, 0)</f>
        <v>26.153500000000001</v>
      </c>
      <c r="E205" s="4">
        <f>110.343179538561 * CHOOSE(CONTROL!$C$8, $C$12, 100%, $E$12) + CHOOSE(CONTROL!$C$27, 0, 0)</f>
        <v>110.343179538561</v>
      </c>
    </row>
    <row r="206" spans="1:5" ht="15">
      <c r="A206" s="13">
        <v>48153</v>
      </c>
      <c r="B206" s="4">
        <f>18.6233 * CHOOSE(CONTROL!$C$8, $C$12, 100%, $E$12) + CHOOSE(CONTROL!$C$27, 0.0003, 0)</f>
        <v>18.6236</v>
      </c>
      <c r="C206" s="4">
        <f>18.3108 * CHOOSE(CONTROL!$C$8, $C$12, 100%, $E$12) + CHOOSE(CONTROL!$C$27, 0.0003, 0)</f>
        <v>18.3111</v>
      </c>
      <c r="D206" s="4">
        <f>26.0361 * CHOOSE(CONTROL!$C$8, $C$12, 100%, $E$12) + CHOOSE(CONTROL!$C$27, 0, 0)</f>
        <v>26.036100000000001</v>
      </c>
      <c r="E206" s="4">
        <f>107.900719346532 * CHOOSE(CONTROL!$C$8, $C$12, 100%, $E$12) + CHOOSE(CONTROL!$C$27, 0, 0)</f>
        <v>107.900719346532</v>
      </c>
    </row>
    <row r="207" spans="1:5" ht="15">
      <c r="A207" s="13">
        <v>48183</v>
      </c>
      <c r="B207" s="4">
        <f>18.361 * CHOOSE(CONTROL!$C$8, $C$12, 100%, $E$12) + CHOOSE(CONTROL!$C$27, 0.0003, 0)</f>
        <v>18.3613</v>
      </c>
      <c r="C207" s="4">
        <f>18.0485 * CHOOSE(CONTROL!$C$8, $C$12, 100%, $E$12) + CHOOSE(CONTROL!$C$27, 0.0003, 0)</f>
        <v>18.0488</v>
      </c>
      <c r="D207" s="4">
        <f>25.1715 * CHOOSE(CONTROL!$C$8, $C$12, 100%, $E$12) + CHOOSE(CONTROL!$C$27, 0, 0)</f>
        <v>25.171500000000002</v>
      </c>
      <c r="E207" s="4">
        <f>106.210850858286 * CHOOSE(CONTROL!$C$8, $C$12, 100%, $E$12) + CHOOSE(CONTROL!$C$27, 0, 0)</f>
        <v>106.21085085828599</v>
      </c>
    </row>
    <row r="208" spans="1:5" ht="15">
      <c r="A208" s="13">
        <v>48214</v>
      </c>
      <c r="B208" s="4">
        <f>17.7188 * CHOOSE(CONTROL!$C$8, $C$12, 100%, $E$12) + CHOOSE(CONTROL!$C$27, 0.0003, 0)</f>
        <v>17.719100000000001</v>
      </c>
      <c r="C208" s="4">
        <f>17.4063 * CHOOSE(CONTROL!$C$8, $C$12, 100%, $E$12) + CHOOSE(CONTROL!$C$27, 0.0003, 0)</f>
        <v>17.406600000000001</v>
      </c>
      <c r="D208" s="4">
        <f>24.1672 * CHOOSE(CONTROL!$C$8, $C$12, 100%, $E$12) + CHOOSE(CONTROL!$C$27, 0, 0)</f>
        <v>24.167200000000001</v>
      </c>
      <c r="E208" s="4">
        <f>102.029350418076 * CHOOSE(CONTROL!$C$8, $C$12, 100%, $E$12) + CHOOSE(CONTROL!$C$27, 0, 0)</f>
        <v>102.02935041807601</v>
      </c>
    </row>
    <row r="209" spans="1:5" ht="15">
      <c r="A209" s="13">
        <v>48245</v>
      </c>
      <c r="B209" s="4">
        <f>18.095 * CHOOSE(CONTROL!$C$8, $C$12, 100%, $E$12) + CHOOSE(CONTROL!$C$27, 0.0003, 0)</f>
        <v>18.095299999999998</v>
      </c>
      <c r="C209" s="4">
        <f>17.7825 * CHOOSE(CONTROL!$C$8, $C$12, 100%, $E$12) + CHOOSE(CONTROL!$C$27, 0.0003, 0)</f>
        <v>17.782799999999998</v>
      </c>
      <c r="D209" s="4">
        <f>24.96 * CHOOSE(CONTROL!$C$8, $C$12, 100%, $E$12) + CHOOSE(CONTROL!$C$27, 0, 0)</f>
        <v>24.96</v>
      </c>
      <c r="E209" s="4">
        <f>104.451929285431 * CHOOSE(CONTROL!$C$8, $C$12, 100%, $E$12) + CHOOSE(CONTROL!$C$27, 0, 0)</f>
        <v>104.45192928543101</v>
      </c>
    </row>
    <row r="210" spans="1:5" ht="15">
      <c r="A210" s="13">
        <v>48274</v>
      </c>
      <c r="B210" s="4">
        <f>19.0829 * CHOOSE(CONTROL!$C$8, $C$12, 100%, $E$12) + CHOOSE(CONTROL!$C$27, 0.0003, 0)</f>
        <v>19.083199999999998</v>
      </c>
      <c r="C210" s="4">
        <f>18.7704 * CHOOSE(CONTROL!$C$8, $C$12, 100%, $E$12) + CHOOSE(CONTROL!$C$27, 0.0003, 0)</f>
        <v>18.770699999999998</v>
      </c>
      <c r="D210" s="4">
        <f>26.2011 * CHOOSE(CONTROL!$C$8, $C$12, 100%, $E$12) + CHOOSE(CONTROL!$C$27, 0, 0)</f>
        <v>26.2011</v>
      </c>
      <c r="E210" s="4">
        <f>110.813750134766 * CHOOSE(CONTROL!$C$8, $C$12, 100%, $E$12) + CHOOSE(CONTROL!$C$27, 0, 0)</f>
        <v>110.813750134766</v>
      </c>
    </row>
    <row r="211" spans="1:5" ht="15">
      <c r="A211" s="13">
        <v>48305</v>
      </c>
      <c r="B211" s="4">
        <f>19.7848 * CHOOSE(CONTROL!$C$8, $C$12, 100%, $E$12) + CHOOSE(CONTROL!$C$27, 0.0003, 0)</f>
        <v>19.7851</v>
      </c>
      <c r="C211" s="4">
        <f>19.4723 * CHOOSE(CONTROL!$C$8, $C$12, 100%, $E$12) + CHOOSE(CONTROL!$C$27, 0.0003, 0)</f>
        <v>19.4726</v>
      </c>
      <c r="D211" s="4">
        <f>26.916 * CHOOSE(CONTROL!$C$8, $C$12, 100%, $E$12) + CHOOSE(CONTROL!$C$27, 0, 0)</f>
        <v>26.916</v>
      </c>
      <c r="E211" s="4">
        <f>115.333908630629 * CHOOSE(CONTROL!$C$8, $C$12, 100%, $E$12) + CHOOSE(CONTROL!$C$27, 0, 0)</f>
        <v>115.333908630629</v>
      </c>
    </row>
    <row r="212" spans="1:5" ht="15">
      <c r="A212" s="13">
        <v>48335</v>
      </c>
      <c r="B212" s="4">
        <f>20.2137 * CHOOSE(CONTROL!$C$8, $C$12, 100%, $E$12) + CHOOSE(CONTROL!$C$27, 0.0166, 0)</f>
        <v>20.2303</v>
      </c>
      <c r="C212" s="4">
        <f>19.9012 * CHOOSE(CONTROL!$C$8, $C$12, 100%, $E$12) + CHOOSE(CONTROL!$C$27, 0.0166, 0)</f>
        <v>19.9178</v>
      </c>
      <c r="D212" s="4">
        <f>26.6335 * CHOOSE(CONTROL!$C$8, $C$12, 100%, $E$12) + CHOOSE(CONTROL!$C$27, 0, 0)</f>
        <v>26.633500000000002</v>
      </c>
      <c r="E212" s="4">
        <f>118.095617138522 * CHOOSE(CONTROL!$C$8, $C$12, 100%, $E$12) + CHOOSE(CONTROL!$C$27, 0, 0)</f>
        <v>118.095617138522</v>
      </c>
    </row>
    <row r="213" spans="1:5" ht="15">
      <c r="A213" s="13">
        <v>48366</v>
      </c>
      <c r="B213" s="4">
        <f>20.2717 * CHOOSE(CONTROL!$C$8, $C$12, 100%, $E$12) + CHOOSE(CONTROL!$C$27, 0.0166, 0)</f>
        <v>20.2883</v>
      </c>
      <c r="C213" s="4">
        <f>19.9592 * CHOOSE(CONTROL!$C$8, $C$12, 100%, $E$12) + CHOOSE(CONTROL!$C$27, 0.0166, 0)</f>
        <v>19.9758</v>
      </c>
      <c r="D213" s="4">
        <f>26.8636 * CHOOSE(CONTROL!$C$8, $C$12, 100%, $E$12) + CHOOSE(CONTROL!$C$27, 0, 0)</f>
        <v>26.863600000000002</v>
      </c>
      <c r="E213" s="4">
        <f>118.469287760965 * CHOOSE(CONTROL!$C$8, $C$12, 100%, $E$12) + CHOOSE(CONTROL!$C$27, 0, 0)</f>
        <v>118.469287760965</v>
      </c>
    </row>
    <row r="214" spans="1:5" ht="15">
      <c r="A214" s="13">
        <v>48396</v>
      </c>
      <c r="B214" s="4">
        <f>20.2659 * CHOOSE(CONTROL!$C$8, $C$12, 100%, $E$12) + CHOOSE(CONTROL!$C$27, 0.0166, 0)</f>
        <v>20.282499999999999</v>
      </c>
      <c r="C214" s="4">
        <f>19.9534 * CHOOSE(CONTROL!$C$8, $C$12, 100%, $E$12) + CHOOSE(CONTROL!$C$27, 0.0166, 0)</f>
        <v>19.97</v>
      </c>
      <c r="D214" s="4">
        <f>27.2787 * CHOOSE(CONTROL!$C$8, $C$12, 100%, $E$12) + CHOOSE(CONTROL!$C$27, 0, 0)</f>
        <v>27.278700000000001</v>
      </c>
      <c r="E214" s="4">
        <f>118.431606689795 * CHOOSE(CONTROL!$C$8, $C$12, 100%, $E$12) + CHOOSE(CONTROL!$C$27, 0, 0)</f>
        <v>118.431606689795</v>
      </c>
    </row>
    <row r="215" spans="1:5" ht="15">
      <c r="A215" s="13">
        <v>48427</v>
      </c>
      <c r="B215" s="4">
        <f>20.7062 * CHOOSE(CONTROL!$C$8, $C$12, 100%, $E$12) + CHOOSE(CONTROL!$C$27, 0.0166, 0)</f>
        <v>20.722799999999999</v>
      </c>
      <c r="C215" s="4">
        <f>20.3937 * CHOOSE(CONTROL!$C$8, $C$12, 100%, $E$12) + CHOOSE(CONTROL!$C$27, 0.0166, 0)</f>
        <v>20.410299999999999</v>
      </c>
      <c r="D215" s="4">
        <f>27.0045 * CHOOSE(CONTROL!$C$8, $C$12, 100%, $E$12) + CHOOSE(CONTROL!$C$27, 0, 0)</f>
        <v>27.0045</v>
      </c>
      <c r="E215" s="4">
        <f>121.267107295396 * CHOOSE(CONTROL!$C$8, $C$12, 100%, $E$12) + CHOOSE(CONTROL!$C$27, 0, 0)</f>
        <v>121.267107295396</v>
      </c>
    </row>
    <row r="216" spans="1:5" ht="15">
      <c r="A216" s="13">
        <v>48458</v>
      </c>
      <c r="B216" s="4">
        <f>19.9557 * CHOOSE(CONTROL!$C$8, $C$12, 100%, $E$12) + CHOOSE(CONTROL!$C$27, 0.0166, 0)</f>
        <v>19.972300000000001</v>
      </c>
      <c r="C216" s="4">
        <f>19.6432 * CHOOSE(CONTROL!$C$8, $C$12, 100%, $E$12) + CHOOSE(CONTROL!$C$27, 0.0166, 0)</f>
        <v>19.659800000000001</v>
      </c>
      <c r="D216" s="4">
        <f>26.875 * CHOOSE(CONTROL!$C$8, $C$12, 100%, $E$12) + CHOOSE(CONTROL!$C$27, 0, 0)</f>
        <v>26.875</v>
      </c>
      <c r="E216" s="4">
        <f>116.434509917743 * CHOOSE(CONTROL!$C$8, $C$12, 100%, $E$12) + CHOOSE(CONTROL!$C$27, 0, 0)</f>
        <v>116.434509917743</v>
      </c>
    </row>
    <row r="217" spans="1:5" ht="15">
      <c r="A217" s="13">
        <v>48488</v>
      </c>
      <c r="B217" s="4">
        <f>19.355 * CHOOSE(CONTROL!$C$8, $C$12, 100%, $E$12) + CHOOSE(CONTROL!$C$27, 0.0003, 0)</f>
        <v>19.3553</v>
      </c>
      <c r="C217" s="4">
        <f>19.0425 * CHOOSE(CONTROL!$C$8, $C$12, 100%, $E$12) + CHOOSE(CONTROL!$C$27, 0.0003, 0)</f>
        <v>19.0428</v>
      </c>
      <c r="D217" s="4">
        <f>26.5282 * CHOOSE(CONTROL!$C$8, $C$12, 100%, $E$12) + CHOOSE(CONTROL!$C$27, 0, 0)</f>
        <v>26.528199999999998</v>
      </c>
      <c r="E217" s="4">
        <f>112.565919944208 * CHOOSE(CONTROL!$C$8, $C$12, 100%, $E$12) + CHOOSE(CONTROL!$C$27, 0, 0)</f>
        <v>112.56591994420801</v>
      </c>
    </row>
    <row r="218" spans="1:5" ht="15">
      <c r="A218" s="13">
        <v>48519</v>
      </c>
      <c r="B218" s="4">
        <f>18.9681 * CHOOSE(CONTROL!$C$8, $C$12, 100%, $E$12) + CHOOSE(CONTROL!$C$27, 0.0003, 0)</f>
        <v>18.968399999999999</v>
      </c>
      <c r="C218" s="4">
        <f>18.6556 * CHOOSE(CONTROL!$C$8, $C$12, 100%, $E$12) + CHOOSE(CONTROL!$C$27, 0.0003, 0)</f>
        <v>18.655899999999999</v>
      </c>
      <c r="D218" s="4">
        <f>26.4089 * CHOOSE(CONTROL!$C$8, $C$12, 100%, $E$12) + CHOOSE(CONTROL!$C$27, 0, 0)</f>
        <v>26.408899999999999</v>
      </c>
      <c r="E218" s="4">
        <f>110.07425911304 * CHOOSE(CONTROL!$C$8, $C$12, 100%, $E$12) + CHOOSE(CONTROL!$C$27, 0, 0)</f>
        <v>110.07425911304</v>
      </c>
    </row>
    <row r="219" spans="1:5" ht="15">
      <c r="A219" s="13">
        <v>48549</v>
      </c>
      <c r="B219" s="4">
        <f>18.7004 * CHOOSE(CONTROL!$C$8, $C$12, 100%, $E$12) + CHOOSE(CONTROL!$C$27, 0.0003, 0)</f>
        <v>18.700699999999998</v>
      </c>
      <c r="C219" s="4">
        <f>18.3879 * CHOOSE(CONTROL!$C$8, $C$12, 100%, $E$12) + CHOOSE(CONTROL!$C$27, 0.0003, 0)</f>
        <v>18.388199999999998</v>
      </c>
      <c r="D219" s="4">
        <f>25.5311 * CHOOSE(CONTROL!$C$8, $C$12, 100%, $E$12) + CHOOSE(CONTROL!$C$27, 0, 0)</f>
        <v>25.531099999999999</v>
      </c>
      <c r="E219" s="4">
        <f>108.350350106976 * CHOOSE(CONTROL!$C$8, $C$12, 100%, $E$12) + CHOOSE(CONTROL!$C$27, 0, 0)</f>
        <v>108.35035010697599</v>
      </c>
    </row>
    <row r="220" spans="1:5" ht="15">
      <c r="A220" s="13">
        <v>48580</v>
      </c>
      <c r="B220" s="4">
        <f>18.0346 * CHOOSE(CONTROL!$C$8, $C$12, 100%, $E$12) + CHOOSE(CONTROL!$C$27, 0.0003, 0)</f>
        <v>18.0349</v>
      </c>
      <c r="C220" s="4">
        <f>17.7221 * CHOOSE(CONTROL!$C$8, $C$12, 100%, $E$12) + CHOOSE(CONTROL!$C$27, 0.0003, 0)</f>
        <v>17.7224</v>
      </c>
      <c r="D220" s="4">
        <f>24.5021 * CHOOSE(CONTROL!$C$8, $C$12, 100%, $E$12) + CHOOSE(CONTROL!$C$27, 0, 0)</f>
        <v>24.502099999999999</v>
      </c>
      <c r="E220" s="4">
        <f>104.029991681319 * CHOOSE(CONTROL!$C$8, $C$12, 100%, $E$12) + CHOOSE(CONTROL!$C$27, 0, 0)</f>
        <v>104.029991681319</v>
      </c>
    </row>
    <row r="221" spans="1:5" ht="15">
      <c r="A221" s="13">
        <v>48611</v>
      </c>
      <c r="B221" s="4">
        <f>18.4183 * CHOOSE(CONTROL!$C$8, $C$12, 100%, $E$12) + CHOOSE(CONTROL!$C$27, 0.0003, 0)</f>
        <v>18.418599999999998</v>
      </c>
      <c r="C221" s="4">
        <f>18.1058 * CHOOSE(CONTROL!$C$8, $C$12, 100%, $E$12) + CHOOSE(CONTROL!$C$27, 0.0003, 0)</f>
        <v>18.106099999999998</v>
      </c>
      <c r="D221" s="4">
        <f>25.3067 * CHOOSE(CONTROL!$C$8, $C$12, 100%, $E$12) + CHOOSE(CONTROL!$C$27, 0, 0)</f>
        <v>25.306699999999999</v>
      </c>
      <c r="E221" s="4">
        <f>106.50007365661 * CHOOSE(CONTROL!$C$8, $C$12, 100%, $E$12) + CHOOSE(CONTROL!$C$27, 0, 0)</f>
        <v>106.50007365661</v>
      </c>
    </row>
    <row r="222" spans="1:5" ht="15">
      <c r="A222" s="13">
        <v>48639</v>
      </c>
      <c r="B222" s="4">
        <f>19.4259 * CHOOSE(CONTROL!$C$8, $C$12, 100%, $E$12) + CHOOSE(CONTROL!$C$27, 0.0003, 0)</f>
        <v>19.426199999999998</v>
      </c>
      <c r="C222" s="4">
        <f>19.1134 * CHOOSE(CONTROL!$C$8, $C$12, 100%, $E$12) + CHOOSE(CONTROL!$C$27, 0.0003, 0)</f>
        <v>19.113699999999998</v>
      </c>
      <c r="D222" s="4">
        <f>26.5663 * CHOOSE(CONTROL!$C$8, $C$12, 100%, $E$12) + CHOOSE(CONTROL!$C$27, 0, 0)</f>
        <v>26.566299999999998</v>
      </c>
      <c r="E222" s="4">
        <f>112.986640191852 * CHOOSE(CONTROL!$C$8, $C$12, 100%, $E$12) + CHOOSE(CONTROL!$C$27, 0, 0)</f>
        <v>112.986640191852</v>
      </c>
    </row>
    <row r="223" spans="1:5" ht="15">
      <c r="A223" s="13">
        <v>48670</v>
      </c>
      <c r="B223" s="4">
        <f>20.1419 * CHOOSE(CONTROL!$C$8, $C$12, 100%, $E$12) + CHOOSE(CONTROL!$C$27, 0.0003, 0)</f>
        <v>20.142199999999999</v>
      </c>
      <c r="C223" s="4">
        <f>19.8294 * CHOOSE(CONTROL!$C$8, $C$12, 100%, $E$12) + CHOOSE(CONTROL!$C$27, 0.0003, 0)</f>
        <v>19.829699999999999</v>
      </c>
      <c r="D223" s="4">
        <f>27.2918 * CHOOSE(CONTROL!$C$8, $C$12, 100%, $E$12) + CHOOSE(CONTROL!$C$27, 0, 0)</f>
        <v>27.291799999999999</v>
      </c>
      <c r="E223" s="4">
        <f>117.595432160006 * CHOOSE(CONTROL!$C$8, $C$12, 100%, $E$12) + CHOOSE(CONTROL!$C$27, 0, 0)</f>
        <v>117.595432160006</v>
      </c>
    </row>
    <row r="224" spans="1:5" ht="15">
      <c r="A224" s="13">
        <v>48700</v>
      </c>
      <c r="B224" s="4">
        <f>20.5793 * CHOOSE(CONTROL!$C$8, $C$12, 100%, $E$12) + CHOOSE(CONTROL!$C$27, 0.0166, 0)</f>
        <v>20.5959</v>
      </c>
      <c r="C224" s="4">
        <f>20.2668 * CHOOSE(CONTROL!$C$8, $C$12, 100%, $E$12) + CHOOSE(CONTROL!$C$27, 0.0166, 0)</f>
        <v>20.2834</v>
      </c>
      <c r="D224" s="4">
        <f>27.0051 * CHOOSE(CONTROL!$C$8, $C$12, 100%, $E$12) + CHOOSE(CONTROL!$C$27, 0, 0)</f>
        <v>27.005099999999999</v>
      </c>
      <c r="E224" s="4">
        <f>120.411293595221 * CHOOSE(CONTROL!$C$8, $C$12, 100%, $E$12) + CHOOSE(CONTROL!$C$27, 0, 0)</f>
        <v>120.411293595221</v>
      </c>
    </row>
    <row r="225" spans="1:5" ht="15">
      <c r="A225" s="13">
        <v>48731</v>
      </c>
      <c r="B225" s="4">
        <f>20.6384 * CHOOSE(CONTROL!$C$8, $C$12, 100%, $E$12) + CHOOSE(CONTROL!$C$27, 0.0166, 0)</f>
        <v>20.655000000000001</v>
      </c>
      <c r="C225" s="4">
        <f>20.3259 * CHOOSE(CONTROL!$C$8, $C$12, 100%, $E$12) + CHOOSE(CONTROL!$C$27, 0.0166, 0)</f>
        <v>20.342500000000001</v>
      </c>
      <c r="D225" s="4">
        <f>27.2386 * CHOOSE(CONTROL!$C$8, $C$12, 100%, $E$12) + CHOOSE(CONTROL!$C$27, 0, 0)</f>
        <v>27.238600000000002</v>
      </c>
      <c r="E225" s="4">
        <f>120.792291333471 * CHOOSE(CONTROL!$C$8, $C$12, 100%, $E$12) + CHOOSE(CONTROL!$C$27, 0, 0)</f>
        <v>120.792291333471</v>
      </c>
    </row>
    <row r="226" spans="1:5" ht="15">
      <c r="A226" s="13">
        <v>48761</v>
      </c>
      <c r="B226" s="4">
        <f>20.6325 * CHOOSE(CONTROL!$C$8, $C$12, 100%, $E$12) + CHOOSE(CONTROL!$C$27, 0.0166, 0)</f>
        <v>20.649100000000001</v>
      </c>
      <c r="C226" s="4">
        <f>20.32 * CHOOSE(CONTROL!$C$8, $C$12, 100%, $E$12) + CHOOSE(CONTROL!$C$27, 0.0166, 0)</f>
        <v>20.336600000000001</v>
      </c>
      <c r="D226" s="4">
        <f>27.6599 * CHOOSE(CONTROL!$C$8, $C$12, 100%, $E$12) + CHOOSE(CONTROL!$C$27, 0, 0)</f>
        <v>27.6599</v>
      </c>
      <c r="E226" s="4">
        <f>120.753871393479 * CHOOSE(CONTROL!$C$8, $C$12, 100%, $E$12) + CHOOSE(CONTROL!$C$27, 0, 0)</f>
        <v>120.753871393479</v>
      </c>
    </row>
    <row r="227" spans="1:5" ht="15">
      <c r="A227" s="13">
        <v>48792</v>
      </c>
      <c r="B227" s="4">
        <f>21.0816 * CHOOSE(CONTROL!$C$8, $C$12, 100%, $E$12) + CHOOSE(CONTROL!$C$27, 0.0166, 0)</f>
        <v>21.098200000000002</v>
      </c>
      <c r="C227" s="4">
        <f>20.7691 * CHOOSE(CONTROL!$C$8, $C$12, 100%, $E$12) + CHOOSE(CONTROL!$C$27, 0.0166, 0)</f>
        <v>20.785700000000002</v>
      </c>
      <c r="D227" s="4">
        <f>27.3817 * CHOOSE(CONTROL!$C$8, $C$12, 100%, $E$12) + CHOOSE(CONTROL!$C$27, 0, 0)</f>
        <v>27.381699999999999</v>
      </c>
      <c r="E227" s="4">
        <f>123.644971877844 * CHOOSE(CONTROL!$C$8, $C$12, 100%, $E$12) + CHOOSE(CONTROL!$C$27, 0, 0)</f>
        <v>123.644971877844</v>
      </c>
    </row>
    <row r="228" spans="1:5" ht="15">
      <c r="A228" s="13">
        <v>48823</v>
      </c>
      <c r="B228" s="4">
        <f>20.3162 * CHOOSE(CONTROL!$C$8, $C$12, 100%, $E$12) + CHOOSE(CONTROL!$C$27, 0.0166, 0)</f>
        <v>20.332799999999999</v>
      </c>
      <c r="C228" s="4">
        <f>20.0037 * CHOOSE(CONTROL!$C$8, $C$12, 100%, $E$12) + CHOOSE(CONTROL!$C$27, 0.0166, 0)</f>
        <v>20.020299999999999</v>
      </c>
      <c r="D228" s="4">
        <f>27.2502 * CHOOSE(CONTROL!$C$8, $C$12, 100%, $E$12) + CHOOSE(CONTROL!$C$27, 0, 0)</f>
        <v>27.2502</v>
      </c>
      <c r="E228" s="4">
        <f>118.717614573927 * CHOOSE(CONTROL!$C$8, $C$12, 100%, $E$12) + CHOOSE(CONTROL!$C$27, 0, 0)</f>
        <v>118.71761457392699</v>
      </c>
    </row>
    <row r="229" spans="1:5" ht="15">
      <c r="A229" s="13">
        <v>48853</v>
      </c>
      <c r="B229" s="4">
        <f>19.7035 * CHOOSE(CONTROL!$C$8, $C$12, 100%, $E$12) + CHOOSE(CONTROL!$C$27, 0.0003, 0)</f>
        <v>19.703799999999998</v>
      </c>
      <c r="C229" s="4">
        <f>19.391 * CHOOSE(CONTROL!$C$8, $C$12, 100%, $E$12) + CHOOSE(CONTROL!$C$27, 0.0003, 0)</f>
        <v>19.391299999999998</v>
      </c>
      <c r="D229" s="4">
        <f>26.8982 * CHOOSE(CONTROL!$C$8, $C$12, 100%, $E$12) + CHOOSE(CONTROL!$C$27, 0, 0)</f>
        <v>26.898199999999999</v>
      </c>
      <c r="E229" s="4">
        <f>114.773167401459 * CHOOSE(CONTROL!$C$8, $C$12, 100%, $E$12) + CHOOSE(CONTROL!$C$27, 0, 0)</f>
        <v>114.77316740145901</v>
      </c>
    </row>
    <row r="230" spans="1:5" ht="15">
      <c r="A230" s="13">
        <v>48884</v>
      </c>
      <c r="B230" s="4">
        <f>19.3088 * CHOOSE(CONTROL!$C$8, $C$12, 100%, $E$12) + CHOOSE(CONTROL!$C$27, 0.0003, 0)</f>
        <v>19.309100000000001</v>
      </c>
      <c r="C230" s="4">
        <f>18.9963 * CHOOSE(CONTROL!$C$8, $C$12, 100%, $E$12) + CHOOSE(CONTROL!$C$27, 0.0003, 0)</f>
        <v>18.996600000000001</v>
      </c>
      <c r="D230" s="4">
        <f>26.7772 * CHOOSE(CONTROL!$C$8, $C$12, 100%, $E$12) + CHOOSE(CONTROL!$C$27, 0, 0)</f>
        <v>26.777200000000001</v>
      </c>
      <c r="E230" s="4">
        <f>112.232648869517 * CHOOSE(CONTROL!$C$8, $C$12, 100%, $E$12) + CHOOSE(CONTROL!$C$27, 0, 0)</f>
        <v>112.23264886951701</v>
      </c>
    </row>
    <row r="231" spans="1:5" ht="15">
      <c r="A231" s="13">
        <v>48914</v>
      </c>
      <c r="B231" s="4">
        <f>19.0358 * CHOOSE(CONTROL!$C$8, $C$12, 100%, $E$12) + CHOOSE(CONTROL!$C$27, 0.0003, 0)</f>
        <v>19.036099999999998</v>
      </c>
      <c r="C231" s="4">
        <f>18.7233 * CHOOSE(CONTROL!$C$8, $C$12, 100%, $E$12) + CHOOSE(CONTROL!$C$27, 0.0003, 0)</f>
        <v>18.723599999999998</v>
      </c>
      <c r="D231" s="4">
        <f>25.8863 * CHOOSE(CONTROL!$C$8, $C$12, 100%, $E$12) + CHOOSE(CONTROL!$C$27, 0, 0)</f>
        <v>25.886299999999999</v>
      </c>
      <c r="E231" s="4">
        <f>110.474936614903 * CHOOSE(CONTROL!$C$8, $C$12, 100%, $E$12) + CHOOSE(CONTROL!$C$27, 0, 0)</f>
        <v>110.474936614903</v>
      </c>
    </row>
    <row r="232" spans="1:5" ht="15">
      <c r="A232" s="13">
        <v>48945</v>
      </c>
      <c r="B232" s="4">
        <f>18.3558 * CHOOSE(CONTROL!$C$8, $C$12, 100%, $E$12) + CHOOSE(CONTROL!$C$27, 0.0003, 0)</f>
        <v>18.356099999999998</v>
      </c>
      <c r="C232" s="4">
        <f>18.0433 * CHOOSE(CONTROL!$C$8, $C$12, 100%, $E$12) + CHOOSE(CONTROL!$C$27, 0.0003, 0)</f>
        <v>18.043599999999998</v>
      </c>
      <c r="D232" s="4">
        <f>24.8429 * CHOOSE(CONTROL!$C$8, $C$12, 100%, $E$12) + CHOOSE(CONTROL!$C$27, 0, 0)</f>
        <v>24.8429</v>
      </c>
      <c r="E232" s="4">
        <f>106.069441632989 * CHOOSE(CONTROL!$C$8, $C$12, 100%, $E$12) + CHOOSE(CONTROL!$C$27, 0, 0)</f>
        <v>106.069441632989</v>
      </c>
    </row>
    <row r="233" spans="1:5" ht="15">
      <c r="A233" s="13">
        <v>48976</v>
      </c>
      <c r="B233" s="4">
        <f>18.7471 * CHOOSE(CONTROL!$C$8, $C$12, 100%, $E$12) + CHOOSE(CONTROL!$C$27, 0.0003, 0)</f>
        <v>18.747399999999999</v>
      </c>
      <c r="C233" s="4">
        <f>18.4346 * CHOOSE(CONTROL!$C$8, $C$12, 100%, $E$12) + CHOOSE(CONTROL!$C$27, 0.0003, 0)</f>
        <v>18.434899999999999</v>
      </c>
      <c r="D233" s="4">
        <f>25.6595 * CHOOSE(CONTROL!$C$8, $C$12, 100%, $E$12) + CHOOSE(CONTROL!$C$27, 0, 0)</f>
        <v>25.659500000000001</v>
      </c>
      <c r="E233" s="4">
        <f>108.58794818742 * CHOOSE(CONTROL!$C$8, $C$12, 100%, $E$12) + CHOOSE(CONTROL!$C$27, 0, 0)</f>
        <v>108.58794818742</v>
      </c>
    </row>
    <row r="234" spans="1:5" ht="15">
      <c r="A234" s="13">
        <v>49004</v>
      </c>
      <c r="B234" s="4">
        <f>19.7748 * CHOOSE(CONTROL!$C$8, $C$12, 100%, $E$12) + CHOOSE(CONTROL!$C$27, 0.0003, 0)</f>
        <v>19.775099999999998</v>
      </c>
      <c r="C234" s="4">
        <f>19.4623 * CHOOSE(CONTROL!$C$8, $C$12, 100%, $E$12) + CHOOSE(CONTROL!$C$27, 0.0003, 0)</f>
        <v>19.462599999999998</v>
      </c>
      <c r="D234" s="4">
        <f>26.9379 * CHOOSE(CONTROL!$C$8, $C$12, 100%, $E$12) + CHOOSE(CONTROL!$C$27, 0, 0)</f>
        <v>26.937899999999999</v>
      </c>
      <c r="E234" s="4">
        <f>115.201680240922 * CHOOSE(CONTROL!$C$8, $C$12, 100%, $E$12) + CHOOSE(CONTROL!$C$27, 0, 0)</f>
        <v>115.201680240922</v>
      </c>
    </row>
    <row r="235" spans="1:5" ht="15">
      <c r="A235" s="13">
        <v>49035</v>
      </c>
      <c r="B235" s="4">
        <f>20.5049 * CHOOSE(CONTROL!$C$8, $C$12, 100%, $E$12) + CHOOSE(CONTROL!$C$27, 0.0003, 0)</f>
        <v>20.505199999999999</v>
      </c>
      <c r="C235" s="4">
        <f>20.1924 * CHOOSE(CONTROL!$C$8, $C$12, 100%, $E$12) + CHOOSE(CONTROL!$C$27, 0.0003, 0)</f>
        <v>20.192699999999999</v>
      </c>
      <c r="D235" s="4">
        <f>27.6743 * CHOOSE(CONTROL!$C$8, $C$12, 100%, $E$12) + CHOOSE(CONTROL!$C$27, 0, 0)</f>
        <v>27.674299999999999</v>
      </c>
      <c r="E235" s="4">
        <f>119.900825004504 * CHOOSE(CONTROL!$C$8, $C$12, 100%, $E$12) + CHOOSE(CONTROL!$C$27, 0, 0)</f>
        <v>119.900825004504</v>
      </c>
    </row>
    <row r="236" spans="1:5" ht="15">
      <c r="A236" s="13">
        <v>49065</v>
      </c>
      <c r="B236" s="4">
        <f>20.951 * CHOOSE(CONTROL!$C$8, $C$12, 100%, $E$12) + CHOOSE(CONTROL!$C$27, 0.0166, 0)</f>
        <v>20.967600000000001</v>
      </c>
      <c r="C236" s="4">
        <f>20.6385 * CHOOSE(CONTROL!$C$8, $C$12, 100%, $E$12) + CHOOSE(CONTROL!$C$27, 0.0166, 0)</f>
        <v>20.655100000000001</v>
      </c>
      <c r="D236" s="4">
        <f>27.3833 * CHOOSE(CONTROL!$C$8, $C$12, 100%, $E$12) + CHOOSE(CONTROL!$C$27, 0, 0)</f>
        <v>27.383299999999998</v>
      </c>
      <c r="E236" s="4">
        <f>122.771889832271 * CHOOSE(CONTROL!$C$8, $C$12, 100%, $E$12) + CHOOSE(CONTROL!$C$27, 0, 0)</f>
        <v>122.771889832271</v>
      </c>
    </row>
    <row r="237" spans="1:5" ht="15">
      <c r="A237" s="13">
        <v>49096</v>
      </c>
      <c r="B237" s="4">
        <f>21.0114 * CHOOSE(CONTROL!$C$8, $C$12, 100%, $E$12) + CHOOSE(CONTROL!$C$27, 0.0166, 0)</f>
        <v>21.027999999999999</v>
      </c>
      <c r="C237" s="4">
        <f>20.6989 * CHOOSE(CONTROL!$C$8, $C$12, 100%, $E$12) + CHOOSE(CONTROL!$C$27, 0.0166, 0)</f>
        <v>20.715499999999999</v>
      </c>
      <c r="D237" s="4">
        <f>27.6203 * CHOOSE(CONTROL!$C$8, $C$12, 100%, $E$12) + CHOOSE(CONTROL!$C$27, 0, 0)</f>
        <v>27.6203</v>
      </c>
      <c r="E237" s="4">
        <f>123.160356818632 * CHOOSE(CONTROL!$C$8, $C$12, 100%, $E$12) + CHOOSE(CONTROL!$C$27, 0, 0)</f>
        <v>123.160356818632</v>
      </c>
    </row>
    <row r="238" spans="1:5" ht="15">
      <c r="A238" s="13">
        <v>49126</v>
      </c>
      <c r="B238" s="4">
        <f>21.0053 * CHOOSE(CONTROL!$C$8, $C$12, 100%, $E$12) + CHOOSE(CONTROL!$C$27, 0.0166, 0)</f>
        <v>21.021899999999999</v>
      </c>
      <c r="C238" s="4">
        <f>20.6928 * CHOOSE(CONTROL!$C$8, $C$12, 100%, $E$12) + CHOOSE(CONTROL!$C$27, 0.0166, 0)</f>
        <v>20.709399999999999</v>
      </c>
      <c r="D238" s="4">
        <f>28.0479 * CHOOSE(CONTROL!$C$8, $C$12, 100%, $E$12) + CHOOSE(CONTROL!$C$27, 0, 0)</f>
        <v>28.047899999999998</v>
      </c>
      <c r="E238" s="4">
        <f>123.12118367715 * CHOOSE(CONTROL!$C$8, $C$12, 100%, $E$12) + CHOOSE(CONTROL!$C$27, 0, 0)</f>
        <v>123.12118367715</v>
      </c>
    </row>
    <row r="239" spans="1:5" ht="15">
      <c r="A239" s="13">
        <v>49157</v>
      </c>
      <c r="B239" s="4">
        <f>21.4633 * CHOOSE(CONTROL!$C$8, $C$12, 100%, $E$12) + CHOOSE(CONTROL!$C$27, 0.0166, 0)</f>
        <v>21.479900000000001</v>
      </c>
      <c r="C239" s="4">
        <f>21.1508 * CHOOSE(CONTROL!$C$8, $C$12, 100%, $E$12) + CHOOSE(CONTROL!$C$27, 0.0166, 0)</f>
        <v>21.167400000000001</v>
      </c>
      <c r="D239" s="4">
        <f>27.7655 * CHOOSE(CONTROL!$C$8, $C$12, 100%, $E$12) + CHOOSE(CONTROL!$C$27, 0, 0)</f>
        <v>27.765499999999999</v>
      </c>
      <c r="E239" s="4">
        <f>126.068962573652 * CHOOSE(CONTROL!$C$8, $C$12, 100%, $E$12) + CHOOSE(CONTROL!$C$27, 0, 0)</f>
        <v>126.068962573652</v>
      </c>
    </row>
    <row r="240" spans="1:5" ht="15">
      <c r="A240" s="13">
        <v>49188</v>
      </c>
      <c r="B240" s="4">
        <f>20.6827 * CHOOSE(CONTROL!$C$8, $C$12, 100%, $E$12) + CHOOSE(CONTROL!$C$27, 0.0166, 0)</f>
        <v>20.699300000000001</v>
      </c>
      <c r="C240" s="4">
        <f>20.3702 * CHOOSE(CONTROL!$C$8, $C$12, 100%, $E$12) + CHOOSE(CONTROL!$C$27, 0.0166, 0)</f>
        <v>20.386800000000001</v>
      </c>
      <c r="D240" s="4">
        <f>27.6321 * CHOOSE(CONTROL!$C$8, $C$12, 100%, $E$12) + CHOOSE(CONTROL!$C$27, 0, 0)</f>
        <v>27.632100000000001</v>
      </c>
      <c r="E240" s="4">
        <f>121.045007178617 * CHOOSE(CONTROL!$C$8, $C$12, 100%, $E$12) + CHOOSE(CONTROL!$C$27, 0, 0)</f>
        <v>121.045007178617</v>
      </c>
    </row>
    <row r="241" spans="1:5" ht="15">
      <c r="A241" s="13">
        <v>49218</v>
      </c>
      <c r="B241" s="4">
        <f>20.0578 * CHOOSE(CONTROL!$C$8, $C$12, 100%, $E$12) + CHOOSE(CONTROL!$C$27, 0.0003, 0)</f>
        <v>20.0581</v>
      </c>
      <c r="C241" s="4">
        <f>19.7453 * CHOOSE(CONTROL!$C$8, $C$12, 100%, $E$12) + CHOOSE(CONTROL!$C$27, 0.0003, 0)</f>
        <v>19.7456</v>
      </c>
      <c r="D241" s="4">
        <f>27.2748 * CHOOSE(CONTROL!$C$8, $C$12, 100%, $E$12) + CHOOSE(CONTROL!$C$27, 0, 0)</f>
        <v>27.274799999999999</v>
      </c>
      <c r="E241" s="4">
        <f>117.023231319824 * CHOOSE(CONTROL!$C$8, $C$12, 100%, $E$12) + CHOOSE(CONTROL!$C$27, 0, 0)</f>
        <v>117.02323131982401</v>
      </c>
    </row>
    <row r="242" spans="1:5" ht="15">
      <c r="A242" s="13">
        <v>49249</v>
      </c>
      <c r="B242" s="4">
        <f>19.6553 * CHOOSE(CONTROL!$C$8, $C$12, 100%, $E$12) + CHOOSE(CONTROL!$C$27, 0.0003, 0)</f>
        <v>19.6556</v>
      </c>
      <c r="C242" s="4">
        <f>19.3428 * CHOOSE(CONTROL!$C$8, $C$12, 100%, $E$12) + CHOOSE(CONTROL!$C$27, 0.0003, 0)</f>
        <v>19.3431</v>
      </c>
      <c r="D242" s="4">
        <f>27.152 * CHOOSE(CONTROL!$C$8, $C$12, 100%, $E$12) + CHOOSE(CONTROL!$C$27, 0, 0)</f>
        <v>27.152000000000001</v>
      </c>
      <c r="E242" s="4">
        <f>114.432907339343 * CHOOSE(CONTROL!$C$8, $C$12, 100%, $E$12) + CHOOSE(CONTROL!$C$27, 0, 0)</f>
        <v>114.432907339343</v>
      </c>
    </row>
    <row r="243" spans="1:5" ht="15">
      <c r="A243" s="13">
        <v>49279</v>
      </c>
      <c r="B243" s="4">
        <f>19.3769 * CHOOSE(CONTROL!$C$8, $C$12, 100%, $E$12) + CHOOSE(CONTROL!$C$27, 0.0003, 0)</f>
        <v>19.377199999999998</v>
      </c>
      <c r="C243" s="4">
        <f>19.0644 * CHOOSE(CONTROL!$C$8, $C$12, 100%, $E$12) + CHOOSE(CONTROL!$C$27, 0.0003, 0)</f>
        <v>19.064699999999998</v>
      </c>
      <c r="D243" s="4">
        <f>26.2478 * CHOOSE(CONTROL!$C$8, $C$12, 100%, $E$12) + CHOOSE(CONTROL!$C$27, 0, 0)</f>
        <v>26.247800000000002</v>
      </c>
      <c r="E243" s="4">
        <f>112.640736116553 * CHOOSE(CONTROL!$C$8, $C$12, 100%, $E$12) + CHOOSE(CONTROL!$C$27, 0, 0)</f>
        <v>112.640736116553</v>
      </c>
    </row>
    <row r="244" spans="1:5" ht="15">
      <c r="A244" s="13">
        <v>49310</v>
      </c>
      <c r="B244" s="4">
        <f>18.6841 * CHOOSE(CONTROL!$C$8, $C$12, 100%, $E$12) + CHOOSE(CONTROL!$C$27, 0.0003, 0)</f>
        <v>18.6844</v>
      </c>
      <c r="C244" s="4">
        <f>18.3716 * CHOOSE(CONTROL!$C$8, $C$12, 100%, $E$12) + CHOOSE(CONTROL!$C$27, 0.0003, 0)</f>
        <v>18.3719</v>
      </c>
      <c r="D244" s="4">
        <f>25.2166 * CHOOSE(CONTROL!$C$8, $C$12, 100%, $E$12) + CHOOSE(CONTROL!$C$27, 0, 0)</f>
        <v>25.2166</v>
      </c>
      <c r="E244" s="4">
        <f>108.150937200069 * CHOOSE(CONTROL!$C$8, $C$12, 100%, $E$12) + CHOOSE(CONTROL!$C$27, 0, 0)</f>
        <v>108.150937200069</v>
      </c>
    </row>
    <row r="245" spans="1:5" ht="15">
      <c r="A245" s="13">
        <v>49341</v>
      </c>
      <c r="B245" s="4">
        <f>19.0832 * CHOOSE(CONTROL!$C$8, $C$12, 100%, $E$12) + CHOOSE(CONTROL!$C$27, 0.0003, 0)</f>
        <v>19.083500000000001</v>
      </c>
      <c r="C245" s="4">
        <f>18.7707 * CHOOSE(CONTROL!$C$8, $C$12, 100%, $E$12) + CHOOSE(CONTROL!$C$27, 0.0003, 0)</f>
        <v>18.771000000000001</v>
      </c>
      <c r="D245" s="4">
        <f>26.0464 * CHOOSE(CONTROL!$C$8, $C$12, 100%, $E$12) + CHOOSE(CONTROL!$C$27, 0, 0)</f>
        <v>26.046399999999998</v>
      </c>
      <c r="E245" s="4">
        <f>110.718866662249 * CHOOSE(CONTROL!$C$8, $C$12, 100%, $E$12) + CHOOSE(CONTROL!$C$27, 0, 0)</f>
        <v>110.718866662249</v>
      </c>
    </row>
    <row r="246" spans="1:5" ht="15">
      <c r="A246" s="13">
        <v>49369</v>
      </c>
      <c r="B246" s="4">
        <f>20.1313 * CHOOSE(CONTROL!$C$8, $C$12, 100%, $E$12) + CHOOSE(CONTROL!$C$27, 0.0003, 0)</f>
        <v>20.131599999999999</v>
      </c>
      <c r="C246" s="4">
        <f>19.8188 * CHOOSE(CONTROL!$C$8, $C$12, 100%, $E$12) + CHOOSE(CONTROL!$C$27, 0.0003, 0)</f>
        <v>19.819099999999999</v>
      </c>
      <c r="D246" s="4">
        <f>27.3455 * CHOOSE(CONTROL!$C$8, $C$12, 100%, $E$12) + CHOOSE(CONTROL!$C$27, 0, 0)</f>
        <v>27.345500000000001</v>
      </c>
      <c r="E246" s="4">
        <f>117.46238589799 * CHOOSE(CONTROL!$C$8, $C$12, 100%, $E$12) + CHOOSE(CONTROL!$C$27, 0, 0)</f>
        <v>117.46238589799</v>
      </c>
    </row>
    <row r="247" spans="1:5" ht="15">
      <c r="A247" s="13">
        <v>49400</v>
      </c>
      <c r="B247" s="4">
        <f>20.876 * CHOOSE(CONTROL!$C$8, $C$12, 100%, $E$12) + CHOOSE(CONTROL!$C$27, 0.0003, 0)</f>
        <v>20.876300000000001</v>
      </c>
      <c r="C247" s="4">
        <f>20.5635 * CHOOSE(CONTROL!$C$8, $C$12, 100%, $E$12) + CHOOSE(CONTROL!$C$27, 0.0003, 0)</f>
        <v>20.563800000000001</v>
      </c>
      <c r="D247" s="4">
        <f>28.0938 * CHOOSE(CONTROL!$C$8, $C$12, 100%, $E$12) + CHOOSE(CONTROL!$C$27, 0, 0)</f>
        <v>28.093800000000002</v>
      </c>
      <c r="E247" s="4">
        <f>122.253746184195 * CHOOSE(CONTROL!$C$8, $C$12, 100%, $E$12) + CHOOSE(CONTROL!$C$27, 0, 0)</f>
        <v>122.25374618419499</v>
      </c>
    </row>
    <row r="248" spans="1:5" ht="15">
      <c r="A248" s="13">
        <v>49430</v>
      </c>
      <c r="B248" s="4">
        <f>21.3309 * CHOOSE(CONTROL!$C$8, $C$12, 100%, $E$12) + CHOOSE(CONTROL!$C$27, 0.0166, 0)</f>
        <v>21.3475</v>
      </c>
      <c r="C248" s="4">
        <f>21.0184 * CHOOSE(CONTROL!$C$8, $C$12, 100%, $E$12) + CHOOSE(CONTROL!$C$27, 0.0166, 0)</f>
        <v>21.035</v>
      </c>
      <c r="D248" s="4">
        <f>27.7981 * CHOOSE(CONTROL!$C$8, $C$12, 100%, $E$12) + CHOOSE(CONTROL!$C$27, 0, 0)</f>
        <v>27.798100000000002</v>
      </c>
      <c r="E248" s="4">
        <f>125.181152486186 * CHOOSE(CONTROL!$C$8, $C$12, 100%, $E$12) + CHOOSE(CONTROL!$C$27, 0, 0)</f>
        <v>125.18115248618599</v>
      </c>
    </row>
    <row r="249" spans="1:5" ht="15">
      <c r="A249" s="14">
        <v>49461</v>
      </c>
      <c r="B249" s="4">
        <f>21.3925 * CHOOSE(CONTROL!$C$8, $C$12, 100%, $E$12) + CHOOSE(CONTROL!$C$27, 0.0166, 0)</f>
        <v>21.409099999999999</v>
      </c>
      <c r="C249" s="4">
        <f>21.08 * CHOOSE(CONTROL!$C$8, $C$12, 100%, $E$12) + CHOOSE(CONTROL!$C$27, 0.0166, 0)</f>
        <v>21.096599999999999</v>
      </c>
      <c r="D249" s="4">
        <f>28.0389 * CHOOSE(CONTROL!$C$8, $C$12, 100%, $E$12) + CHOOSE(CONTROL!$C$27, 0, 0)</f>
        <v>28.038900000000002</v>
      </c>
      <c r="E249" s="4">
        <f>125.577242707832 * CHOOSE(CONTROL!$C$8, $C$12, 100%, $E$12) + CHOOSE(CONTROL!$C$27, 0, 0)</f>
        <v>125.577242707832</v>
      </c>
    </row>
    <row r="250" spans="1:5" ht="15">
      <c r="A250" s="14">
        <v>49491</v>
      </c>
      <c r="B250" s="4">
        <f>21.3863 * CHOOSE(CONTROL!$C$8, $C$12, 100%, $E$12) + CHOOSE(CONTROL!$C$27, 0.0166, 0)</f>
        <v>21.402899999999999</v>
      </c>
      <c r="C250" s="4">
        <f>21.0738 * CHOOSE(CONTROL!$C$8, $C$12, 100%, $E$12) + CHOOSE(CONTROL!$C$27, 0.0166, 0)</f>
        <v>21.090399999999999</v>
      </c>
      <c r="D250" s="4">
        <f>28.4734 * CHOOSE(CONTROL!$C$8, $C$12, 100%, $E$12) + CHOOSE(CONTROL!$C$27, 0, 0)</f>
        <v>28.473400000000002</v>
      </c>
      <c r="E250" s="4">
        <f>125.537300836741 * CHOOSE(CONTROL!$C$8, $C$12, 100%, $E$12) + CHOOSE(CONTROL!$C$27, 0, 0)</f>
        <v>125.537300836741</v>
      </c>
    </row>
    <row r="251" spans="1:5" ht="15">
      <c r="A251" s="14">
        <v>49522</v>
      </c>
      <c r="B251" s="4">
        <f>21.8534 * CHOOSE(CONTROL!$C$8, $C$12, 100%, $E$12) + CHOOSE(CONTROL!$C$27, 0.0166, 0)</f>
        <v>21.87</v>
      </c>
      <c r="C251" s="4">
        <f>21.5409 * CHOOSE(CONTROL!$C$8, $C$12, 100%, $E$12) + CHOOSE(CONTROL!$C$27, 0.0166, 0)</f>
        <v>21.557500000000001</v>
      </c>
      <c r="D251" s="4">
        <f>28.1865 * CHOOSE(CONTROL!$C$8, $C$12, 100%, $E$12) + CHOOSE(CONTROL!$C$27, 0, 0)</f>
        <v>28.186499999999999</v>
      </c>
      <c r="E251" s="4">
        <f>128.542926636285 * CHOOSE(CONTROL!$C$8, $C$12, 100%, $E$12) + CHOOSE(CONTROL!$C$27, 0, 0)</f>
        <v>128.54292663628499</v>
      </c>
    </row>
    <row r="252" spans="1:5" ht="15">
      <c r="A252" s="14">
        <v>49553</v>
      </c>
      <c r="B252" s="4">
        <f>21.0573 * CHOOSE(CONTROL!$C$8, $C$12, 100%, $E$12) + CHOOSE(CONTROL!$C$27, 0.0166, 0)</f>
        <v>21.073900000000002</v>
      </c>
      <c r="C252" s="4">
        <f>20.7448 * CHOOSE(CONTROL!$C$8, $C$12, 100%, $E$12) + CHOOSE(CONTROL!$C$27, 0.0166, 0)</f>
        <v>20.761400000000002</v>
      </c>
      <c r="D252" s="4">
        <f>28.0509 * CHOOSE(CONTROL!$C$8, $C$12, 100%, $E$12) + CHOOSE(CONTROL!$C$27, 0, 0)</f>
        <v>28.050899999999999</v>
      </c>
      <c r="E252" s="4">
        <f>123.420381668957 * CHOOSE(CONTROL!$C$8, $C$12, 100%, $E$12) + CHOOSE(CONTROL!$C$27, 0, 0)</f>
        <v>123.42038166895701</v>
      </c>
    </row>
    <row r="253" spans="1:5" ht="15">
      <c r="A253" s="14">
        <v>49583</v>
      </c>
      <c r="B253" s="4">
        <f>20.4199 * CHOOSE(CONTROL!$C$8, $C$12, 100%, $E$12) + CHOOSE(CONTROL!$C$27, 0.0003, 0)</f>
        <v>20.420199999999998</v>
      </c>
      <c r="C253" s="4">
        <f>20.1074 * CHOOSE(CONTROL!$C$8, $C$12, 100%, $E$12) + CHOOSE(CONTROL!$C$27, 0.0003, 0)</f>
        <v>20.107699999999998</v>
      </c>
      <c r="D253" s="4">
        <f>27.6879 * CHOOSE(CONTROL!$C$8, $C$12, 100%, $E$12) + CHOOSE(CONTROL!$C$27, 0, 0)</f>
        <v>27.687899999999999</v>
      </c>
      <c r="E253" s="4">
        <f>119.319682903688 * CHOOSE(CONTROL!$C$8, $C$12, 100%, $E$12) + CHOOSE(CONTROL!$C$27, 0, 0)</f>
        <v>119.319682903688</v>
      </c>
    </row>
    <row r="254" spans="1:5" ht="15">
      <c r="A254" s="14">
        <v>49614</v>
      </c>
      <c r="B254" s="4">
        <f>20.0094 * CHOOSE(CONTROL!$C$8, $C$12, 100%, $E$12) + CHOOSE(CONTROL!$C$27, 0.0003, 0)</f>
        <v>20.009699999999999</v>
      </c>
      <c r="C254" s="4">
        <f>19.6969 * CHOOSE(CONTROL!$C$8, $C$12, 100%, $E$12) + CHOOSE(CONTROL!$C$27, 0.0003, 0)</f>
        <v>19.697199999999999</v>
      </c>
      <c r="D254" s="4">
        <f>27.5631 * CHOOSE(CONTROL!$C$8, $C$12, 100%, $E$12) + CHOOSE(CONTROL!$C$27, 0, 0)</f>
        <v>27.563099999999999</v>
      </c>
      <c r="E254" s="4">
        <f>116.678526677844 * CHOOSE(CONTROL!$C$8, $C$12, 100%, $E$12) + CHOOSE(CONTROL!$C$27, 0, 0)</f>
        <v>116.678526677844</v>
      </c>
    </row>
    <row r="255" spans="1:5" ht="15">
      <c r="A255" s="14">
        <v>49644</v>
      </c>
      <c r="B255" s="4">
        <f>19.7254 * CHOOSE(CONTROL!$C$8, $C$12, 100%, $E$12) + CHOOSE(CONTROL!$C$27, 0.0003, 0)</f>
        <v>19.7257</v>
      </c>
      <c r="C255" s="4">
        <f>19.4129 * CHOOSE(CONTROL!$C$8, $C$12, 100%, $E$12) + CHOOSE(CONTROL!$C$27, 0.0003, 0)</f>
        <v>19.4132</v>
      </c>
      <c r="D255" s="4">
        <f>26.6442 * CHOOSE(CONTROL!$C$8, $C$12, 100%, $E$12) + CHOOSE(CONTROL!$C$27, 0, 0)</f>
        <v>26.644200000000001</v>
      </c>
      <c r="E255" s="4">
        <f>114.851186075464 * CHOOSE(CONTROL!$C$8, $C$12, 100%, $E$12) + CHOOSE(CONTROL!$C$27, 0, 0)</f>
        <v>114.851186075464</v>
      </c>
    </row>
    <row r="256" spans="1:5" ht="15">
      <c r="A256" s="14">
        <v>49675</v>
      </c>
      <c r="B256" s="4">
        <f>19.264 * CHOOSE(CONTROL!$C$8, $C$12, 100%, $E$12) + CHOOSE(CONTROL!$C$27, 0.0003, 0)</f>
        <v>19.264299999999999</v>
      </c>
      <c r="C256" s="4">
        <f>18.9515 * CHOOSE(CONTROL!$C$8, $C$12, 100%, $E$12) + CHOOSE(CONTROL!$C$27, 0.0003, 0)</f>
        <v>18.951799999999999</v>
      </c>
      <c r="D256" s="4">
        <f>25.7997 * CHOOSE(CONTROL!$C$8, $C$12, 100%, $E$12) + CHOOSE(CONTROL!$C$27, 0, 0)</f>
        <v>25.799700000000001</v>
      </c>
      <c r="E256" s="4">
        <f>111.557691721872 * CHOOSE(CONTROL!$C$8, $C$12, 100%, $E$12) + CHOOSE(CONTROL!$C$27, 0, 0)</f>
        <v>111.557691721872</v>
      </c>
    </row>
    <row r="257" spans="1:5" ht="15">
      <c r="A257" s="14">
        <v>49706</v>
      </c>
      <c r="B257" s="4">
        <f>19.6769 * CHOOSE(CONTROL!$C$8, $C$12, 100%, $E$12) + CHOOSE(CONTROL!$C$27, 0.0003, 0)</f>
        <v>19.677199999999999</v>
      </c>
      <c r="C257" s="4">
        <f>19.3644 * CHOOSE(CONTROL!$C$8, $C$12, 100%, $E$12) + CHOOSE(CONTROL!$C$27, 0.0003, 0)</f>
        <v>19.364699999999999</v>
      </c>
      <c r="D257" s="4">
        <f>26.6501 * CHOOSE(CONTROL!$C$8, $C$12, 100%, $E$12) + CHOOSE(CONTROL!$C$27, 0, 0)</f>
        <v>26.650099999999998</v>
      </c>
      <c r="E257" s="4">
        <f>114.206510962109 * CHOOSE(CONTROL!$C$8, $C$12, 100%, $E$12) + CHOOSE(CONTROL!$C$27, 0, 0)</f>
        <v>114.20651096210899</v>
      </c>
    </row>
    <row r="258" spans="1:5" ht="15">
      <c r="A258" s="14">
        <v>49735</v>
      </c>
      <c r="B258" s="4">
        <f>20.7611 * CHOOSE(CONTROL!$C$8, $C$12, 100%, $E$12) + CHOOSE(CONTROL!$C$27, 0.0003, 0)</f>
        <v>20.761399999999998</v>
      </c>
      <c r="C258" s="4">
        <f>20.4486 * CHOOSE(CONTROL!$C$8, $C$12, 100%, $E$12) + CHOOSE(CONTROL!$C$27, 0.0003, 0)</f>
        <v>20.448899999999998</v>
      </c>
      <c r="D258" s="4">
        <f>27.9814 * CHOOSE(CONTROL!$C$8, $C$12, 100%, $E$12) + CHOOSE(CONTROL!$C$27, 0, 0)</f>
        <v>27.981400000000001</v>
      </c>
      <c r="E258" s="4">
        <f>121.162451053777 * CHOOSE(CONTROL!$C$8, $C$12, 100%, $E$12) + CHOOSE(CONTROL!$C$27, 0, 0)</f>
        <v>121.162451053777</v>
      </c>
    </row>
    <row r="259" spans="1:5" ht="15">
      <c r="A259" s="14">
        <v>49766</v>
      </c>
      <c r="B259" s="4">
        <f>21.5315 * CHOOSE(CONTROL!$C$8, $C$12, 100%, $E$12) + CHOOSE(CONTROL!$C$27, 0.0003, 0)</f>
        <v>21.5318</v>
      </c>
      <c r="C259" s="4">
        <f>21.219 * CHOOSE(CONTROL!$C$8, $C$12, 100%, $E$12) + CHOOSE(CONTROL!$C$27, 0.0003, 0)</f>
        <v>21.2193</v>
      </c>
      <c r="D259" s="4">
        <f>28.7482 * CHOOSE(CONTROL!$C$8, $C$12, 100%, $E$12) + CHOOSE(CONTROL!$C$27, 0, 0)</f>
        <v>28.748200000000001</v>
      </c>
      <c r="E259" s="4">
        <f>126.104739188997 * CHOOSE(CONTROL!$C$8, $C$12, 100%, $E$12) + CHOOSE(CONTROL!$C$27, 0, 0)</f>
        <v>126.104739188997</v>
      </c>
    </row>
    <row r="260" spans="1:5" ht="15">
      <c r="A260" s="14">
        <v>49796</v>
      </c>
      <c r="B260" s="4">
        <f>22.0022 * CHOOSE(CONTROL!$C$8, $C$12, 100%, $E$12) + CHOOSE(CONTROL!$C$27, 0.0166, 0)</f>
        <v>22.018799999999999</v>
      </c>
      <c r="C260" s="4">
        <f>21.6897 * CHOOSE(CONTROL!$C$8, $C$12, 100%, $E$12) + CHOOSE(CONTROL!$C$27, 0.0166, 0)</f>
        <v>21.706299999999999</v>
      </c>
      <c r="D260" s="4">
        <f>28.4452 * CHOOSE(CONTROL!$C$8, $C$12, 100%, $E$12) + CHOOSE(CONTROL!$C$27, 0, 0)</f>
        <v>28.4452</v>
      </c>
      <c r="E260" s="4">
        <f>129.124358789501 * CHOOSE(CONTROL!$C$8, $C$12, 100%, $E$12) + CHOOSE(CONTROL!$C$27, 0, 0)</f>
        <v>129.124358789501</v>
      </c>
    </row>
    <row r="261" spans="1:5" ht="15">
      <c r="A261" s="14">
        <v>49827</v>
      </c>
      <c r="B261" s="4">
        <f>22.0659 * CHOOSE(CONTROL!$C$8, $C$12, 100%, $E$12) + CHOOSE(CONTROL!$C$27, 0.0166, 0)</f>
        <v>22.0825</v>
      </c>
      <c r="C261" s="4">
        <f>21.7534 * CHOOSE(CONTROL!$C$8, $C$12, 100%, $E$12) + CHOOSE(CONTROL!$C$27, 0.0166, 0)</f>
        <v>21.77</v>
      </c>
      <c r="D261" s="4">
        <f>28.692 * CHOOSE(CONTROL!$C$8, $C$12, 100%, $E$12) + CHOOSE(CONTROL!$C$27, 0, 0)</f>
        <v>28.692</v>
      </c>
      <c r="E261" s="4">
        <f>129.532925853128 * CHOOSE(CONTROL!$C$8, $C$12, 100%, $E$12) + CHOOSE(CONTROL!$C$27, 0, 0)</f>
        <v>129.53292585312801</v>
      </c>
    </row>
    <row r="262" spans="1:5" ht="15">
      <c r="A262" s="14">
        <v>49857</v>
      </c>
      <c r="B262" s="4">
        <f>22.0594 * CHOOSE(CONTROL!$C$8, $C$12, 100%, $E$12) + CHOOSE(CONTROL!$C$27, 0.0166, 0)</f>
        <v>22.076000000000001</v>
      </c>
      <c r="C262" s="4">
        <f>21.7469 * CHOOSE(CONTROL!$C$8, $C$12, 100%, $E$12) + CHOOSE(CONTROL!$C$27, 0.0166, 0)</f>
        <v>21.763500000000001</v>
      </c>
      <c r="D262" s="4">
        <f>29.1373 * CHOOSE(CONTROL!$C$8, $C$12, 100%, $E$12) + CHOOSE(CONTROL!$C$27, 0, 0)</f>
        <v>29.1373</v>
      </c>
      <c r="E262" s="4">
        <f>129.491725813099 * CHOOSE(CONTROL!$C$8, $C$12, 100%, $E$12) + CHOOSE(CONTROL!$C$27, 0, 0)</f>
        <v>129.49172581309901</v>
      </c>
    </row>
    <row r="263" spans="1:5" ht="15">
      <c r="A263" s="14">
        <v>49888</v>
      </c>
      <c r="B263" s="4">
        <f>22.5427 * CHOOSE(CONTROL!$C$8, $C$12, 100%, $E$12) + CHOOSE(CONTROL!$C$27, 0.0166, 0)</f>
        <v>22.5593</v>
      </c>
      <c r="C263" s="4">
        <f>22.2302 * CHOOSE(CONTROL!$C$8, $C$12, 100%, $E$12) + CHOOSE(CONTROL!$C$27, 0.0166, 0)</f>
        <v>22.2468</v>
      </c>
      <c r="D263" s="4">
        <f>28.8432 * CHOOSE(CONTROL!$C$8, $C$12, 100%, $E$12) + CHOOSE(CONTROL!$C$27, 0, 0)</f>
        <v>28.8432</v>
      </c>
      <c r="E263" s="4">
        <f>132.592028825328 * CHOOSE(CONTROL!$C$8, $C$12, 100%, $E$12) + CHOOSE(CONTROL!$C$27, 0, 0)</f>
        <v>132.59202882532799</v>
      </c>
    </row>
    <row r="264" spans="1:5" ht="15">
      <c r="A264" s="14">
        <v>49919</v>
      </c>
      <c r="B264" s="4">
        <f>21.7191 * CHOOSE(CONTROL!$C$8, $C$12, 100%, $E$12) + CHOOSE(CONTROL!$C$27, 0.0166, 0)</f>
        <v>21.735700000000001</v>
      </c>
      <c r="C264" s="4">
        <f>21.4066 * CHOOSE(CONTROL!$C$8, $C$12, 100%, $E$12) + CHOOSE(CONTROL!$C$27, 0.0166, 0)</f>
        <v>21.423200000000001</v>
      </c>
      <c r="D264" s="4">
        <f>28.7043 * CHOOSE(CONTROL!$C$8, $C$12, 100%, $E$12) + CHOOSE(CONTROL!$C$27, 0, 0)</f>
        <v>28.7043</v>
      </c>
      <c r="E264" s="4">
        <f>127.308123691529 * CHOOSE(CONTROL!$C$8, $C$12, 100%, $E$12) + CHOOSE(CONTROL!$C$27, 0, 0)</f>
        <v>127.308123691529</v>
      </c>
    </row>
    <row r="265" spans="1:5" ht="15">
      <c r="A265" s="14">
        <v>49949</v>
      </c>
      <c r="B265" s="4">
        <f>21.0597 * CHOOSE(CONTROL!$C$8, $C$12, 100%, $E$12) + CHOOSE(CONTROL!$C$27, 0.0003, 0)</f>
        <v>21.06</v>
      </c>
      <c r="C265" s="4">
        <f>20.7472 * CHOOSE(CONTROL!$C$8, $C$12, 100%, $E$12) + CHOOSE(CONTROL!$C$27, 0.0003, 0)</f>
        <v>20.747499999999999</v>
      </c>
      <c r="D265" s="4">
        <f>28.3322 * CHOOSE(CONTROL!$C$8, $C$12, 100%, $E$12) + CHOOSE(CONTROL!$C$27, 0, 0)</f>
        <v>28.3322</v>
      </c>
      <c r="E265" s="4">
        <f>123.078252915154 * CHOOSE(CONTROL!$C$8, $C$12, 100%, $E$12) + CHOOSE(CONTROL!$C$27, 0, 0)</f>
        <v>123.078252915154</v>
      </c>
    </row>
    <row r="266" spans="1:5" ht="15">
      <c r="A266" s="14">
        <v>49980</v>
      </c>
      <c r="B266" s="4">
        <f>20.6351 * CHOOSE(CONTROL!$C$8, $C$12, 100%, $E$12) + CHOOSE(CONTROL!$C$27, 0.0003, 0)</f>
        <v>20.635400000000001</v>
      </c>
      <c r="C266" s="4">
        <f>20.3226 * CHOOSE(CONTROL!$C$8, $C$12, 100%, $E$12) + CHOOSE(CONTROL!$C$27, 0.0003, 0)</f>
        <v>20.322900000000001</v>
      </c>
      <c r="D266" s="4">
        <f>28.2043 * CHOOSE(CONTROL!$C$8, $C$12, 100%, $E$12) + CHOOSE(CONTROL!$C$27, 0, 0)</f>
        <v>28.2043</v>
      </c>
      <c r="E266" s="4">
        <f>120.353900268196 * CHOOSE(CONTROL!$C$8, $C$12, 100%, $E$12) + CHOOSE(CONTROL!$C$27, 0, 0)</f>
        <v>120.353900268196</v>
      </c>
    </row>
    <row r="267" spans="1:5" ht="15">
      <c r="A267" s="14">
        <v>50010</v>
      </c>
      <c r="B267" s="4">
        <f>20.3413 * CHOOSE(CONTROL!$C$8, $C$12, 100%, $E$12) + CHOOSE(CONTROL!$C$27, 0.0003, 0)</f>
        <v>20.3416</v>
      </c>
      <c r="C267" s="4">
        <f>20.0288 * CHOOSE(CONTROL!$C$8, $C$12, 100%, $E$12) + CHOOSE(CONTROL!$C$27, 0.0003, 0)</f>
        <v>20.0291</v>
      </c>
      <c r="D267" s="4">
        <f>27.2627 * CHOOSE(CONTROL!$C$8, $C$12, 100%, $E$12) + CHOOSE(CONTROL!$C$27, 0, 0)</f>
        <v>27.262699999999999</v>
      </c>
      <c r="E267" s="4">
        <f>118.468998436841 * CHOOSE(CONTROL!$C$8, $C$12, 100%, $E$12) + CHOOSE(CONTROL!$C$27, 0, 0)</f>
        <v>118.46899843684101</v>
      </c>
    </row>
    <row r="268" spans="1:5" ht="15">
      <c r="A268" s="14">
        <v>50041</v>
      </c>
      <c r="B268" s="4">
        <f>19.8639 * CHOOSE(CONTROL!$C$8, $C$12, 100%, $E$12) + CHOOSE(CONTROL!$C$27, 0.0003, 0)</f>
        <v>19.8642</v>
      </c>
      <c r="C268" s="4">
        <f>19.5514 * CHOOSE(CONTROL!$C$8, $C$12, 100%, $E$12) + CHOOSE(CONTROL!$C$27, 0.0003, 0)</f>
        <v>19.5517</v>
      </c>
      <c r="D268" s="4">
        <f>26.3973 * CHOOSE(CONTROL!$C$8, $C$12, 100%, $E$12) + CHOOSE(CONTROL!$C$27, 0, 0)</f>
        <v>26.397300000000001</v>
      </c>
      <c r="E268" s="4">
        <f>115.071759011111 * CHOOSE(CONTROL!$C$8, $C$12, 100%, $E$12) + CHOOSE(CONTROL!$C$27, 0, 0)</f>
        <v>115.071759011111</v>
      </c>
    </row>
    <row r="269" spans="1:5" ht="15">
      <c r="A269" s="14">
        <v>50072</v>
      </c>
      <c r="B269" s="4">
        <f>20.291 * CHOOSE(CONTROL!$C$8, $C$12, 100%, $E$12) + CHOOSE(CONTROL!$C$27, 0.0003, 0)</f>
        <v>20.2913</v>
      </c>
      <c r="C269" s="4">
        <f>19.9785 * CHOOSE(CONTROL!$C$8, $C$12, 100%, $E$12) + CHOOSE(CONTROL!$C$27, 0.0003, 0)</f>
        <v>19.9788</v>
      </c>
      <c r="D269" s="4">
        <f>27.2688 * CHOOSE(CONTROL!$C$8, $C$12, 100%, $E$12) + CHOOSE(CONTROL!$C$27, 0, 0)</f>
        <v>27.268799999999999</v>
      </c>
      <c r="E269" s="4">
        <f>117.804016057416 * CHOOSE(CONTROL!$C$8, $C$12, 100%, $E$12) + CHOOSE(CONTROL!$C$27, 0, 0)</f>
        <v>117.80401605741601</v>
      </c>
    </row>
    <row r="270" spans="1:5" ht="15">
      <c r="A270" s="14">
        <v>50100</v>
      </c>
      <c r="B270" s="4">
        <f>21.4127 * CHOOSE(CONTROL!$C$8, $C$12, 100%, $E$12) + CHOOSE(CONTROL!$C$27, 0.0003, 0)</f>
        <v>21.413</v>
      </c>
      <c r="C270" s="4">
        <f>21.1002 * CHOOSE(CONTROL!$C$8, $C$12, 100%, $E$12) + CHOOSE(CONTROL!$C$27, 0.0003, 0)</f>
        <v>21.1005</v>
      </c>
      <c r="D270" s="4">
        <f>28.6331 * CHOOSE(CONTROL!$C$8, $C$12, 100%, $E$12) + CHOOSE(CONTROL!$C$27, 0, 0)</f>
        <v>28.633099999999999</v>
      </c>
      <c r="E270" s="4">
        <f>124.979068261971 * CHOOSE(CONTROL!$C$8, $C$12, 100%, $E$12) + CHOOSE(CONTROL!$C$27, 0, 0)</f>
        <v>124.97906826197099</v>
      </c>
    </row>
    <row r="271" spans="1:5" ht="15">
      <c r="A271" s="14">
        <v>50131</v>
      </c>
      <c r="B271" s="4">
        <f>22.2096 * CHOOSE(CONTROL!$C$8, $C$12, 100%, $E$12) + CHOOSE(CONTROL!$C$27, 0.0003, 0)</f>
        <v>22.209899999999998</v>
      </c>
      <c r="C271" s="4">
        <f>21.8971 * CHOOSE(CONTROL!$C$8, $C$12, 100%, $E$12) + CHOOSE(CONTROL!$C$27, 0.0003, 0)</f>
        <v>21.897399999999998</v>
      </c>
      <c r="D271" s="4">
        <f>29.4189 * CHOOSE(CONTROL!$C$8, $C$12, 100%, $E$12) + CHOOSE(CONTROL!$C$27, 0, 0)</f>
        <v>29.418900000000001</v>
      </c>
      <c r="E271" s="4">
        <f>130.07703847345 * CHOOSE(CONTROL!$C$8, $C$12, 100%, $E$12) + CHOOSE(CONTROL!$C$27, 0, 0)</f>
        <v>130.07703847344999</v>
      </c>
    </row>
    <row r="272" spans="1:5" ht="15">
      <c r="A272" s="14">
        <v>50161</v>
      </c>
      <c r="B272" s="4">
        <f>22.6966 * CHOOSE(CONTROL!$C$8, $C$12, 100%, $E$12) + CHOOSE(CONTROL!$C$27, 0.0166, 0)</f>
        <v>22.713200000000001</v>
      </c>
      <c r="C272" s="4">
        <f>22.3841 * CHOOSE(CONTROL!$C$8, $C$12, 100%, $E$12) + CHOOSE(CONTROL!$C$27, 0.0166, 0)</f>
        <v>22.400700000000001</v>
      </c>
      <c r="D272" s="4">
        <f>29.1084 * CHOOSE(CONTROL!$C$8, $C$12, 100%, $E$12) + CHOOSE(CONTROL!$C$27, 0, 0)</f>
        <v>29.1084</v>
      </c>
      <c r="E272" s="4">
        <f>133.191776091371 * CHOOSE(CONTROL!$C$8, $C$12, 100%, $E$12) + CHOOSE(CONTROL!$C$27, 0, 0)</f>
        <v>133.191776091371</v>
      </c>
    </row>
    <row r="273" spans="1:5" ht="15">
      <c r="A273" s="14">
        <v>50192</v>
      </c>
      <c r="B273" s="4">
        <f>22.7624 * CHOOSE(CONTROL!$C$8, $C$12, 100%, $E$12) + CHOOSE(CONTROL!$C$27, 0.0166, 0)</f>
        <v>22.779</v>
      </c>
      <c r="C273" s="4">
        <f>22.4499 * CHOOSE(CONTROL!$C$8, $C$12, 100%, $E$12) + CHOOSE(CONTROL!$C$27, 0.0166, 0)</f>
        <v>22.4665</v>
      </c>
      <c r="D273" s="4">
        <f>29.3613 * CHOOSE(CONTROL!$C$8, $C$12, 100%, $E$12) + CHOOSE(CONTROL!$C$27, 0, 0)</f>
        <v>29.3613</v>
      </c>
      <c r="E273" s="4">
        <f>133.613213017502 * CHOOSE(CONTROL!$C$8, $C$12, 100%, $E$12) + CHOOSE(CONTROL!$C$27, 0, 0)</f>
        <v>133.61321301750201</v>
      </c>
    </row>
    <row r="274" spans="1:5" ht="15">
      <c r="A274" s="14">
        <v>50222</v>
      </c>
      <c r="B274" s="4">
        <f>22.7558 * CHOOSE(CONTROL!$C$8, $C$12, 100%, $E$12) + CHOOSE(CONTROL!$C$27, 0.0166, 0)</f>
        <v>22.772400000000001</v>
      </c>
      <c r="C274" s="4">
        <f>22.4433 * CHOOSE(CONTROL!$C$8, $C$12, 100%, $E$12) + CHOOSE(CONTROL!$C$27, 0.0166, 0)</f>
        <v>22.459900000000001</v>
      </c>
      <c r="D274" s="4">
        <f>29.8176 * CHOOSE(CONTROL!$C$8, $C$12, 100%, $E$12) + CHOOSE(CONTROL!$C$27, 0, 0)</f>
        <v>29.817599999999999</v>
      </c>
      <c r="E274" s="4">
        <f>133.570715176211 * CHOOSE(CONTROL!$C$8, $C$12, 100%, $E$12) + CHOOSE(CONTROL!$C$27, 0, 0)</f>
        <v>133.570715176211</v>
      </c>
    </row>
    <row r="275" spans="1:5" ht="15">
      <c r="A275" s="14">
        <v>50253</v>
      </c>
      <c r="B275" s="4">
        <f>23.2557 * CHOOSE(CONTROL!$C$8, $C$12, 100%, $E$12) + CHOOSE(CONTROL!$C$27, 0.0166, 0)</f>
        <v>23.272300000000001</v>
      </c>
      <c r="C275" s="4">
        <f>22.9432 * CHOOSE(CONTROL!$C$8, $C$12, 100%, $E$12) + CHOOSE(CONTROL!$C$27, 0.0166, 0)</f>
        <v>22.959800000000001</v>
      </c>
      <c r="D275" s="4">
        <f>29.5163 * CHOOSE(CONTROL!$C$8, $C$12, 100%, $E$12) + CHOOSE(CONTROL!$C$27, 0, 0)</f>
        <v>29.516300000000001</v>
      </c>
      <c r="E275" s="4">
        <f>136.768677733326 * CHOOSE(CONTROL!$C$8, $C$12, 100%, $E$12) + CHOOSE(CONTROL!$C$27, 0, 0)</f>
        <v>136.768677733326</v>
      </c>
    </row>
    <row r="276" spans="1:5" ht="15">
      <c r="A276" s="14">
        <v>50284</v>
      </c>
      <c r="B276" s="4">
        <f>22.4037 * CHOOSE(CONTROL!$C$8, $C$12, 100%, $E$12) + CHOOSE(CONTROL!$C$27, 0.0166, 0)</f>
        <v>22.420300000000001</v>
      </c>
      <c r="C276" s="4">
        <f>22.0912 * CHOOSE(CONTROL!$C$8, $C$12, 100%, $E$12) + CHOOSE(CONTROL!$C$27, 0.0166, 0)</f>
        <v>22.107800000000001</v>
      </c>
      <c r="D276" s="4">
        <f>29.3739 * CHOOSE(CONTROL!$C$8, $C$12, 100%, $E$12) + CHOOSE(CONTROL!$C$27, 0, 0)</f>
        <v>29.373899999999999</v>
      </c>
      <c r="E276" s="4">
        <f>131.318329587812 * CHOOSE(CONTROL!$C$8, $C$12, 100%, $E$12) + CHOOSE(CONTROL!$C$27, 0, 0)</f>
        <v>131.318329587812</v>
      </c>
    </row>
    <row r="277" spans="1:5" ht="15">
      <c r="A277" s="14">
        <v>50314</v>
      </c>
      <c r="B277" s="4">
        <f>21.7216 * CHOOSE(CONTROL!$C$8, $C$12, 100%, $E$12) + CHOOSE(CONTROL!$C$27, 0.0003, 0)</f>
        <v>21.721899999999998</v>
      </c>
      <c r="C277" s="4">
        <f>21.4091 * CHOOSE(CONTROL!$C$8, $C$12, 100%, $E$12) + CHOOSE(CONTROL!$C$27, 0.0003, 0)</f>
        <v>21.409399999999998</v>
      </c>
      <c r="D277" s="4">
        <f>28.9926 * CHOOSE(CONTROL!$C$8, $C$12, 100%, $E$12) + CHOOSE(CONTROL!$C$27, 0, 0)</f>
        <v>28.992599999999999</v>
      </c>
      <c r="E277" s="4">
        <f>126.955217881982 * CHOOSE(CONTROL!$C$8, $C$12, 100%, $E$12) + CHOOSE(CONTROL!$C$27, 0, 0)</f>
        <v>126.95521788198199</v>
      </c>
    </row>
    <row r="278" spans="1:5" ht="15">
      <c r="A278" s="14">
        <v>50345</v>
      </c>
      <c r="B278" s="4">
        <f>21.2823 * CHOOSE(CONTROL!$C$8, $C$12, 100%, $E$12) + CHOOSE(CONTROL!$C$27, 0.0003, 0)</f>
        <v>21.282599999999999</v>
      </c>
      <c r="C278" s="4">
        <f>20.9698 * CHOOSE(CONTROL!$C$8, $C$12, 100%, $E$12) + CHOOSE(CONTROL!$C$27, 0.0003, 0)</f>
        <v>20.970099999999999</v>
      </c>
      <c r="D278" s="4">
        <f>28.8615 * CHOOSE(CONTROL!$C$8, $C$12, 100%, $E$12) + CHOOSE(CONTROL!$C$27, 0, 0)</f>
        <v>28.861499999999999</v>
      </c>
      <c r="E278" s="4">
        <f>124.145048126644 * CHOOSE(CONTROL!$C$8, $C$12, 100%, $E$12) + CHOOSE(CONTROL!$C$27, 0, 0)</f>
        <v>124.145048126644</v>
      </c>
    </row>
    <row r="279" spans="1:5" ht="15">
      <c r="A279" s="14">
        <v>50375</v>
      </c>
      <c r="B279" s="4">
        <f>20.9784 * CHOOSE(CONTROL!$C$8, $C$12, 100%, $E$12) + CHOOSE(CONTROL!$C$27, 0.0003, 0)</f>
        <v>20.9787</v>
      </c>
      <c r="C279" s="4">
        <f>20.6659 * CHOOSE(CONTROL!$C$8, $C$12, 100%, $E$12) + CHOOSE(CONTROL!$C$27, 0.0003, 0)</f>
        <v>20.6662</v>
      </c>
      <c r="D279" s="4">
        <f>27.8966 * CHOOSE(CONTROL!$C$8, $C$12, 100%, $E$12) + CHOOSE(CONTROL!$C$27, 0, 0)</f>
        <v>27.896599999999999</v>
      </c>
      <c r="E279" s="4">
        <f>122.200771887601 * CHOOSE(CONTROL!$C$8, $C$12, 100%, $E$12) + CHOOSE(CONTROL!$C$27, 0, 0)</f>
        <v>122.20077188760099</v>
      </c>
    </row>
    <row r="280" spans="1:5" ht="15">
      <c r="A280" s="13">
        <v>50436</v>
      </c>
      <c r="B280" s="4">
        <f>20.4845 * CHOOSE(CONTROL!$C$8, $C$12, 100%, $E$12) + CHOOSE(CONTROL!$C$27, 0.0003, 0)</f>
        <v>20.4848</v>
      </c>
      <c r="C280" s="4">
        <f>20.172 * CHOOSE(CONTROL!$C$8, $C$12, 100%, $E$12) + CHOOSE(CONTROL!$C$27, 0.0003, 0)</f>
        <v>20.1723</v>
      </c>
      <c r="D280" s="4">
        <f>27.0097 * CHOOSE(CONTROL!$C$8, $C$12, 100%, $E$12) + CHOOSE(CONTROL!$C$27, 0, 0)</f>
        <v>27.009699999999999</v>
      </c>
      <c r="E280" s="4">
        <f>118.696519419961 * CHOOSE(CONTROL!$C$8, $C$12, 100%, $E$12) + CHOOSE(CONTROL!$C$27, 0, 0)</f>
        <v>118.69651941996101</v>
      </c>
    </row>
    <row r="281" spans="1:5" ht="15">
      <c r="A281" s="13">
        <v>50464</v>
      </c>
      <c r="B281" s="4">
        <f>20.9264 * CHOOSE(CONTROL!$C$8, $C$12, 100%, $E$12) + CHOOSE(CONTROL!$C$27, 0.0003, 0)</f>
        <v>20.9267</v>
      </c>
      <c r="C281" s="4">
        <f>20.6139 * CHOOSE(CONTROL!$C$8, $C$12, 100%, $E$12) + CHOOSE(CONTROL!$C$27, 0.0003, 0)</f>
        <v>20.6142</v>
      </c>
      <c r="D281" s="4">
        <f>27.9028 * CHOOSE(CONTROL!$C$8, $C$12, 100%, $E$12) + CHOOSE(CONTROL!$C$27, 0, 0)</f>
        <v>27.902799999999999</v>
      </c>
      <c r="E281" s="4">
        <f>121.514842563225 * CHOOSE(CONTROL!$C$8, $C$12, 100%, $E$12) + CHOOSE(CONTROL!$C$27, 0, 0)</f>
        <v>121.514842563225</v>
      </c>
    </row>
    <row r="282" spans="1:5" ht="15">
      <c r="A282" s="13">
        <v>50495</v>
      </c>
      <c r="B282" s="4">
        <f>22.0867 * CHOOSE(CONTROL!$C$8, $C$12, 100%, $E$12) + CHOOSE(CONTROL!$C$27, 0.0003, 0)</f>
        <v>22.087</v>
      </c>
      <c r="C282" s="4">
        <f>21.7742 * CHOOSE(CONTROL!$C$8, $C$12, 100%, $E$12) + CHOOSE(CONTROL!$C$27, 0.0003, 0)</f>
        <v>21.7745</v>
      </c>
      <c r="D282" s="4">
        <f>29.3009 * CHOOSE(CONTROL!$C$8, $C$12, 100%, $E$12) + CHOOSE(CONTROL!$C$27, 0, 0)</f>
        <v>29.300899999999999</v>
      </c>
      <c r="E282" s="4">
        <f>128.915908912223 * CHOOSE(CONTROL!$C$8, $C$12, 100%, $E$12) + CHOOSE(CONTROL!$C$27, 0, 0)</f>
        <v>128.91590891222299</v>
      </c>
    </row>
    <row r="283" spans="1:5" ht="15">
      <c r="A283" s="13">
        <v>50525</v>
      </c>
      <c r="B283" s="4">
        <f>22.9112 * CHOOSE(CONTROL!$C$8, $C$12, 100%, $E$12) + CHOOSE(CONTROL!$C$27, 0.0003, 0)</f>
        <v>22.9115</v>
      </c>
      <c r="C283" s="4">
        <f>22.5987 * CHOOSE(CONTROL!$C$8, $C$12, 100%, $E$12) + CHOOSE(CONTROL!$C$27, 0.0003, 0)</f>
        <v>22.599</v>
      </c>
      <c r="D283" s="4">
        <f>30.1062 * CHOOSE(CONTROL!$C$8, $C$12, 100%, $E$12) + CHOOSE(CONTROL!$C$27, 0, 0)</f>
        <v>30.106200000000001</v>
      </c>
      <c r="E283" s="4">
        <f>134.174465185364 * CHOOSE(CONTROL!$C$8, $C$12, 100%, $E$12) + CHOOSE(CONTROL!$C$27, 0, 0)</f>
        <v>134.174465185364</v>
      </c>
    </row>
    <row r="284" spans="1:5" ht="15">
      <c r="A284" s="13">
        <v>50556</v>
      </c>
      <c r="B284" s="4">
        <f>23.4149 * CHOOSE(CONTROL!$C$8, $C$12, 100%, $E$12) + CHOOSE(CONTROL!$C$27, 0.0166, 0)</f>
        <v>23.4315</v>
      </c>
      <c r="C284" s="4">
        <f>23.1024 * CHOOSE(CONTROL!$C$8, $C$12, 100%, $E$12) + CHOOSE(CONTROL!$C$27, 0.0166, 0)</f>
        <v>23.119</v>
      </c>
      <c r="D284" s="4">
        <f>29.788 * CHOOSE(CONTROL!$C$8, $C$12, 100%, $E$12) + CHOOSE(CONTROL!$C$27, 0, 0)</f>
        <v>29.788</v>
      </c>
      <c r="E284" s="4">
        <f>137.387317038249 * CHOOSE(CONTROL!$C$8, $C$12, 100%, $E$12) + CHOOSE(CONTROL!$C$27, 0, 0)</f>
        <v>137.38731703824899</v>
      </c>
    </row>
    <row r="285" spans="1:5" ht="15">
      <c r="A285" s="13">
        <v>50586</v>
      </c>
      <c r="B285" s="4">
        <f>23.4831 * CHOOSE(CONTROL!$C$8, $C$12, 100%, $E$12) + CHOOSE(CONTROL!$C$27, 0.0166, 0)</f>
        <v>23.499700000000001</v>
      </c>
      <c r="C285" s="4">
        <f>23.1706 * CHOOSE(CONTROL!$C$8, $C$12, 100%, $E$12) + CHOOSE(CONTROL!$C$27, 0.0166, 0)</f>
        <v>23.187200000000001</v>
      </c>
      <c r="D285" s="4">
        <f>30.0472 * CHOOSE(CONTROL!$C$8, $C$12, 100%, $E$12) + CHOOSE(CONTROL!$C$27, 0, 0)</f>
        <v>30.0472</v>
      </c>
      <c r="E285" s="4">
        <f>137.822029227553 * CHOOSE(CONTROL!$C$8, $C$12, 100%, $E$12) + CHOOSE(CONTROL!$C$27, 0, 0)</f>
        <v>137.822029227553</v>
      </c>
    </row>
    <row r="286" spans="1:5" ht="15">
      <c r="A286" s="13">
        <v>50617</v>
      </c>
      <c r="B286" s="4">
        <f>23.4762 * CHOOSE(CONTROL!$C$8, $C$12, 100%, $E$12) + CHOOSE(CONTROL!$C$27, 0.0166, 0)</f>
        <v>23.492799999999999</v>
      </c>
      <c r="C286" s="4">
        <f>23.1637 * CHOOSE(CONTROL!$C$8, $C$12, 100%, $E$12) + CHOOSE(CONTROL!$C$27, 0.0166, 0)</f>
        <v>23.180299999999999</v>
      </c>
      <c r="D286" s="4">
        <f>30.5148 * CHOOSE(CONTROL!$C$8, $C$12, 100%, $E$12) + CHOOSE(CONTROL!$C$27, 0, 0)</f>
        <v>30.514800000000001</v>
      </c>
      <c r="E286" s="4">
        <f>137.778192704262 * CHOOSE(CONTROL!$C$8, $C$12, 100%, $E$12) + CHOOSE(CONTROL!$C$27, 0, 0)</f>
        <v>137.77819270426201</v>
      </c>
    </row>
    <row r="287" spans="1:5" ht="15">
      <c r="A287" s="13">
        <v>50648</v>
      </c>
      <c r="B287" s="4">
        <f>23.9934 * CHOOSE(CONTROL!$C$8, $C$12, 100%, $E$12) + CHOOSE(CONTROL!$C$27, 0.0166, 0)</f>
        <v>24.01</v>
      </c>
      <c r="C287" s="4">
        <f>23.6809 * CHOOSE(CONTROL!$C$8, $C$12, 100%, $E$12) + CHOOSE(CONTROL!$C$27, 0.0166, 0)</f>
        <v>23.697500000000002</v>
      </c>
      <c r="D287" s="4">
        <f>30.206 * CHOOSE(CONTROL!$C$8, $C$12, 100%, $E$12) + CHOOSE(CONTROL!$C$27, 0, 0)</f>
        <v>30.206</v>
      </c>
      <c r="E287" s="4">
        <f>141.076891081925 * CHOOSE(CONTROL!$C$8, $C$12, 100%, $E$12) + CHOOSE(CONTROL!$C$27, 0, 0)</f>
        <v>141.076891081925</v>
      </c>
    </row>
    <row r="288" spans="1:5" ht="15">
      <c r="A288" s="13">
        <v>50678</v>
      </c>
      <c r="B288" s="4">
        <f>23.1119 * CHOOSE(CONTROL!$C$8, $C$12, 100%, $E$12) + CHOOSE(CONTROL!$C$27, 0.0166, 0)</f>
        <v>23.128499999999999</v>
      </c>
      <c r="C288" s="4">
        <f>22.7994 * CHOOSE(CONTROL!$C$8, $C$12, 100%, $E$12) + CHOOSE(CONTROL!$C$27, 0.0166, 0)</f>
        <v>22.815999999999999</v>
      </c>
      <c r="D288" s="4">
        <f>30.0601 * CHOOSE(CONTROL!$C$8, $C$12, 100%, $E$12) + CHOOSE(CONTROL!$C$27, 0, 0)</f>
        <v>30.060099999999998</v>
      </c>
      <c r="E288" s="4">
        <f>135.454856969828 * CHOOSE(CONTROL!$C$8, $C$12, 100%, $E$12) + CHOOSE(CONTROL!$C$27, 0, 0)</f>
        <v>135.454856969828</v>
      </c>
    </row>
    <row r="289" spans="1:5" ht="15">
      <c r="A289" s="13">
        <v>50709</v>
      </c>
      <c r="B289" s="4">
        <f>22.4063 * CHOOSE(CONTROL!$C$8, $C$12, 100%, $E$12) + CHOOSE(CONTROL!$C$27, 0.0003, 0)</f>
        <v>22.406600000000001</v>
      </c>
      <c r="C289" s="4">
        <f>22.0938 * CHOOSE(CONTROL!$C$8, $C$12, 100%, $E$12) + CHOOSE(CONTROL!$C$27, 0.0003, 0)</f>
        <v>22.094100000000001</v>
      </c>
      <c r="D289" s="4">
        <f>29.6694 * CHOOSE(CONTROL!$C$8, $C$12, 100%, $E$12) + CHOOSE(CONTROL!$C$27, 0, 0)</f>
        <v>29.6694</v>
      </c>
      <c r="E289" s="4">
        <f>130.954307245264 * CHOOSE(CONTROL!$C$8, $C$12, 100%, $E$12) + CHOOSE(CONTROL!$C$27, 0, 0)</f>
        <v>130.954307245264</v>
      </c>
    </row>
    <row r="290" spans="1:5" ht="15">
      <c r="A290" s="13">
        <v>50739</v>
      </c>
      <c r="B290" s="4">
        <f>21.9519 * CHOOSE(CONTROL!$C$8, $C$12, 100%, $E$12) + CHOOSE(CONTROL!$C$27, 0.0003, 0)</f>
        <v>21.952199999999998</v>
      </c>
      <c r="C290" s="4">
        <f>21.6394 * CHOOSE(CONTROL!$C$8, $C$12, 100%, $E$12) + CHOOSE(CONTROL!$C$27, 0.0003, 0)</f>
        <v>21.639699999999998</v>
      </c>
      <c r="D290" s="4">
        <f>29.535 * CHOOSE(CONTROL!$C$8, $C$12, 100%, $E$12) + CHOOSE(CONTROL!$C$27, 0, 0)</f>
        <v>29.535</v>
      </c>
      <c r="E290" s="4">
        <f>128.055617142633 * CHOOSE(CONTROL!$C$8, $C$12, 100%, $E$12) + CHOOSE(CONTROL!$C$27, 0, 0)</f>
        <v>128.055617142633</v>
      </c>
    </row>
    <row r="291" spans="1:5" ht="15">
      <c r="A291" s="13">
        <v>50770</v>
      </c>
      <c r="B291" s="4">
        <f>21.6374 * CHOOSE(CONTROL!$C$8, $C$12, 100%, $E$12) + CHOOSE(CONTROL!$C$27, 0.0003, 0)</f>
        <v>21.637699999999999</v>
      </c>
      <c r="C291" s="4">
        <f>21.3249 * CHOOSE(CONTROL!$C$8, $C$12, 100%, $E$12) + CHOOSE(CONTROL!$C$27, 0.0003, 0)</f>
        <v>21.325199999999999</v>
      </c>
      <c r="D291" s="4">
        <f>28.5461 * CHOOSE(CONTROL!$C$8, $C$12, 100%, $E$12) + CHOOSE(CONTROL!$C$27, 0, 0)</f>
        <v>28.546099999999999</v>
      </c>
      <c r="E291" s="4">
        <f>126.050096202061 * CHOOSE(CONTROL!$C$8, $C$12, 100%, $E$12) + CHOOSE(CONTROL!$C$27, 0, 0)</f>
        <v>126.050096202061</v>
      </c>
    </row>
    <row r="292" spans="1:5" ht="15">
      <c r="A292" s="13">
        <v>50801</v>
      </c>
      <c r="B292" s="4">
        <f>21.1265 * CHOOSE(CONTROL!$C$8, $C$12, 100%, $E$12) + CHOOSE(CONTROL!$C$27, 0.0003, 0)</f>
        <v>21.126799999999999</v>
      </c>
      <c r="C292" s="4">
        <f>20.814 * CHOOSE(CONTROL!$C$8, $C$12, 100%, $E$12) + CHOOSE(CONTROL!$C$27, 0.0003, 0)</f>
        <v>20.814299999999999</v>
      </c>
      <c r="D292" s="4">
        <f>27.6372 * CHOOSE(CONTROL!$C$8, $C$12, 100%, $E$12) + CHOOSE(CONTROL!$C$27, 0, 0)</f>
        <v>27.6372</v>
      </c>
      <c r="E292" s="4">
        <f>122.435459781689 * CHOOSE(CONTROL!$C$8, $C$12, 100%, $E$12) + CHOOSE(CONTROL!$C$27, 0, 0)</f>
        <v>122.435459781689</v>
      </c>
    </row>
    <row r="293" spans="1:5" ht="15">
      <c r="A293" s="13">
        <v>50829</v>
      </c>
      <c r="B293" s="4">
        <f>21.5837 * CHOOSE(CONTROL!$C$8, $C$12, 100%, $E$12) + CHOOSE(CONTROL!$C$27, 0.0003, 0)</f>
        <v>21.584</v>
      </c>
      <c r="C293" s="4">
        <f>21.2712 * CHOOSE(CONTROL!$C$8, $C$12, 100%, $E$12) + CHOOSE(CONTROL!$C$27, 0.0003, 0)</f>
        <v>21.2715</v>
      </c>
      <c r="D293" s="4">
        <f>28.5525 * CHOOSE(CONTROL!$C$8, $C$12, 100%, $E$12) + CHOOSE(CONTROL!$C$27, 0, 0)</f>
        <v>28.552499999999998</v>
      </c>
      <c r="E293" s="4">
        <f>125.342560103966 * CHOOSE(CONTROL!$C$8, $C$12, 100%, $E$12) + CHOOSE(CONTROL!$C$27, 0, 0)</f>
        <v>125.34256010396599</v>
      </c>
    </row>
    <row r="294" spans="1:5" ht="15">
      <c r="A294" s="13">
        <v>50860</v>
      </c>
      <c r="B294" s="4">
        <f>22.784 * CHOOSE(CONTROL!$C$8, $C$12, 100%, $E$12) + CHOOSE(CONTROL!$C$27, 0.0003, 0)</f>
        <v>22.784299999999998</v>
      </c>
      <c r="C294" s="4">
        <f>22.4715 * CHOOSE(CONTROL!$C$8, $C$12, 100%, $E$12) + CHOOSE(CONTROL!$C$27, 0.0003, 0)</f>
        <v>22.471799999999998</v>
      </c>
      <c r="D294" s="4">
        <f>29.9853 * CHOOSE(CONTROL!$C$8, $C$12, 100%, $E$12) + CHOOSE(CONTROL!$C$27, 0, 0)</f>
        <v>29.985299999999999</v>
      </c>
      <c r="E294" s="4">
        <f>132.976760042958 * CHOOSE(CONTROL!$C$8, $C$12, 100%, $E$12) + CHOOSE(CONTROL!$C$27, 0, 0)</f>
        <v>132.97676004295801</v>
      </c>
    </row>
    <row r="295" spans="1:5" ht="15">
      <c r="A295" s="13">
        <v>50890</v>
      </c>
      <c r="B295" s="4">
        <f>23.6369 * CHOOSE(CONTROL!$C$8, $C$12, 100%, $E$12) + CHOOSE(CONTROL!$C$27, 0.0003, 0)</f>
        <v>23.6372</v>
      </c>
      <c r="C295" s="4">
        <f>23.3244 * CHOOSE(CONTROL!$C$8, $C$12, 100%, $E$12) + CHOOSE(CONTROL!$C$27, 0.0003, 0)</f>
        <v>23.3247</v>
      </c>
      <c r="D295" s="4">
        <f>30.8106 * CHOOSE(CONTROL!$C$8, $C$12, 100%, $E$12) + CHOOSE(CONTROL!$C$27, 0, 0)</f>
        <v>30.810600000000001</v>
      </c>
      <c r="E295" s="4">
        <f>138.400960838703 * CHOOSE(CONTROL!$C$8, $C$12, 100%, $E$12) + CHOOSE(CONTROL!$C$27, 0, 0)</f>
        <v>138.40096083870301</v>
      </c>
    </row>
    <row r="296" spans="1:5" ht="15">
      <c r="A296" s="13">
        <v>50921</v>
      </c>
      <c r="B296" s="4">
        <f>24.158 * CHOOSE(CONTROL!$C$8, $C$12, 100%, $E$12) + CHOOSE(CONTROL!$C$27, 0.0166, 0)</f>
        <v>24.174600000000002</v>
      </c>
      <c r="C296" s="4">
        <f>23.8455 * CHOOSE(CONTROL!$C$8, $C$12, 100%, $E$12) + CHOOSE(CONTROL!$C$27, 0.0166, 0)</f>
        <v>23.862100000000002</v>
      </c>
      <c r="D296" s="4">
        <f>30.4845 * CHOOSE(CONTROL!$C$8, $C$12, 100%, $E$12) + CHOOSE(CONTROL!$C$27, 0, 0)</f>
        <v>30.484500000000001</v>
      </c>
      <c r="E296" s="4">
        <f>141.715017524954 * CHOOSE(CONTROL!$C$8, $C$12, 100%, $E$12) + CHOOSE(CONTROL!$C$27, 0, 0)</f>
        <v>141.71501752495399</v>
      </c>
    </row>
    <row r="297" spans="1:5" ht="15">
      <c r="A297" s="13">
        <v>50951</v>
      </c>
      <c r="B297" s="4">
        <f>24.2285 * CHOOSE(CONTROL!$C$8, $C$12, 100%, $E$12) + CHOOSE(CONTROL!$C$27, 0.0166, 0)</f>
        <v>24.245100000000001</v>
      </c>
      <c r="C297" s="4">
        <f>23.916 * CHOOSE(CONTROL!$C$8, $C$12, 100%, $E$12) + CHOOSE(CONTROL!$C$27, 0.0166, 0)</f>
        <v>23.932600000000001</v>
      </c>
      <c r="D297" s="4">
        <f>30.7501 * CHOOSE(CONTROL!$C$8, $C$12, 100%, $E$12) + CHOOSE(CONTROL!$C$27, 0, 0)</f>
        <v>30.7501</v>
      </c>
      <c r="E297" s="4">
        <f>142.163423148221 * CHOOSE(CONTROL!$C$8, $C$12, 100%, $E$12) + CHOOSE(CONTROL!$C$27, 0, 0)</f>
        <v>142.163423148221</v>
      </c>
    </row>
    <row r="298" spans="1:5" ht="15">
      <c r="A298" s="13">
        <v>50982</v>
      </c>
      <c r="B298" s="4">
        <f>24.2214 * CHOOSE(CONTROL!$C$8, $C$12, 100%, $E$12) + CHOOSE(CONTROL!$C$27, 0.0166, 0)</f>
        <v>24.238</v>
      </c>
      <c r="C298" s="4">
        <f>23.9089 * CHOOSE(CONTROL!$C$8, $C$12, 100%, $E$12) + CHOOSE(CONTROL!$C$27, 0.0166, 0)</f>
        <v>23.9255</v>
      </c>
      <c r="D298" s="4">
        <f>31.2293 * CHOOSE(CONTROL!$C$8, $C$12, 100%, $E$12) + CHOOSE(CONTROL!$C$27, 0, 0)</f>
        <v>31.229299999999999</v>
      </c>
      <c r="E298" s="4">
        <f>142.118205774446 * CHOOSE(CONTROL!$C$8, $C$12, 100%, $E$12) + CHOOSE(CONTROL!$C$27, 0, 0)</f>
        <v>142.11820577444601</v>
      </c>
    </row>
    <row r="299" spans="1:5" ht="15">
      <c r="A299" s="13">
        <v>51013</v>
      </c>
      <c r="B299" s="4">
        <f>24.7564 * CHOOSE(CONTROL!$C$8, $C$12, 100%, $E$12) + CHOOSE(CONTROL!$C$27, 0.0166, 0)</f>
        <v>24.773</v>
      </c>
      <c r="C299" s="4">
        <f>24.4439 * CHOOSE(CONTROL!$C$8, $C$12, 100%, $E$12) + CHOOSE(CONTROL!$C$27, 0.0166, 0)</f>
        <v>24.4605</v>
      </c>
      <c r="D299" s="4">
        <f>30.9128 * CHOOSE(CONTROL!$C$8, $C$12, 100%, $E$12) + CHOOSE(CONTROL!$C$27, 0, 0)</f>
        <v>30.912800000000001</v>
      </c>
      <c r="E299" s="4">
        <f>145.520813151006 * CHOOSE(CONTROL!$C$8, $C$12, 100%, $E$12) + CHOOSE(CONTROL!$C$27, 0, 0)</f>
        <v>145.520813151006</v>
      </c>
    </row>
    <row r="300" spans="1:5" ht="15">
      <c r="A300" s="13">
        <v>51043</v>
      </c>
      <c r="B300" s="4">
        <f>23.8446 * CHOOSE(CONTROL!$C$8, $C$12, 100%, $E$12) + CHOOSE(CONTROL!$C$27, 0.0166, 0)</f>
        <v>23.8612</v>
      </c>
      <c r="C300" s="4">
        <f>23.5321 * CHOOSE(CONTROL!$C$8, $C$12, 100%, $E$12) + CHOOSE(CONTROL!$C$27, 0.0166, 0)</f>
        <v>23.5487</v>
      </c>
      <c r="D300" s="4">
        <f>30.7633 * CHOOSE(CONTROL!$C$8, $C$12, 100%, $E$12) + CHOOSE(CONTROL!$C$27, 0, 0)</f>
        <v>30.763300000000001</v>
      </c>
      <c r="E300" s="4">
        <f>139.721684964378 * CHOOSE(CONTROL!$C$8, $C$12, 100%, $E$12) + CHOOSE(CONTROL!$C$27, 0, 0)</f>
        <v>139.721684964378</v>
      </c>
    </row>
    <row r="301" spans="1:5" ht="15">
      <c r="A301" s="13">
        <v>51074</v>
      </c>
      <c r="B301" s="4">
        <f>23.1147 * CHOOSE(CONTROL!$C$8, $C$12, 100%, $E$12) + CHOOSE(CONTROL!$C$27, 0.0003, 0)</f>
        <v>23.114999999999998</v>
      </c>
      <c r="C301" s="4">
        <f>22.8022 * CHOOSE(CONTROL!$C$8, $C$12, 100%, $E$12) + CHOOSE(CONTROL!$C$27, 0.0003, 0)</f>
        <v>22.802499999999998</v>
      </c>
      <c r="D301" s="4">
        <f>30.3629 * CHOOSE(CONTROL!$C$8, $C$12, 100%, $E$12) + CHOOSE(CONTROL!$C$27, 0, 0)</f>
        <v>30.3629</v>
      </c>
      <c r="E301" s="4">
        <f>135.07936792349 * CHOOSE(CONTROL!$C$8, $C$12, 100%, $E$12) + CHOOSE(CONTROL!$C$27, 0, 0)</f>
        <v>135.07936792349</v>
      </c>
    </row>
    <row r="302" spans="1:5" ht="15">
      <c r="A302" s="13">
        <v>51104</v>
      </c>
      <c r="B302" s="4">
        <f>22.6445 * CHOOSE(CONTROL!$C$8, $C$12, 100%, $E$12) + CHOOSE(CONTROL!$C$27, 0.0003, 0)</f>
        <v>22.6448</v>
      </c>
      <c r="C302" s="4">
        <f>22.332 * CHOOSE(CONTROL!$C$8, $C$12, 100%, $E$12) + CHOOSE(CONTROL!$C$27, 0.0003, 0)</f>
        <v>22.3323</v>
      </c>
      <c r="D302" s="4">
        <f>30.2252 * CHOOSE(CONTROL!$C$8, $C$12, 100%, $E$12) + CHOOSE(CONTROL!$C$27, 0, 0)</f>
        <v>30.225200000000001</v>
      </c>
      <c r="E302" s="4">
        <f>132.089369082626 * CHOOSE(CONTROL!$C$8, $C$12, 100%, $E$12) + CHOOSE(CONTROL!$C$27, 0, 0)</f>
        <v>132.08936908262601</v>
      </c>
    </row>
    <row r="303" spans="1:5" ht="15">
      <c r="A303" s="13">
        <v>51135</v>
      </c>
      <c r="B303" s="4">
        <f>22.3192 * CHOOSE(CONTROL!$C$8, $C$12, 100%, $E$12) + CHOOSE(CONTROL!$C$27, 0.0003, 0)</f>
        <v>22.319499999999998</v>
      </c>
      <c r="C303" s="4">
        <f>22.0067 * CHOOSE(CONTROL!$C$8, $C$12, 100%, $E$12) + CHOOSE(CONTROL!$C$27, 0.0003, 0)</f>
        <v>22.006999999999998</v>
      </c>
      <c r="D303" s="4">
        <f>29.2118 * CHOOSE(CONTROL!$C$8, $C$12, 100%, $E$12) + CHOOSE(CONTROL!$C$27, 0, 0)</f>
        <v>29.2118</v>
      </c>
      <c r="E303" s="4">
        <f>130.020674232426 * CHOOSE(CONTROL!$C$8, $C$12, 100%, $E$12) + CHOOSE(CONTROL!$C$27, 0, 0)</f>
        <v>130.02067423242599</v>
      </c>
    </row>
    <row r="304" spans="1:5" ht="15">
      <c r="A304" s="13">
        <v>51166</v>
      </c>
      <c r="B304" s="4">
        <f>21.7907 * CHOOSE(CONTROL!$C$8, $C$12, 100%, $E$12) + CHOOSE(CONTROL!$C$27, 0.0003, 0)</f>
        <v>21.791</v>
      </c>
      <c r="C304" s="4">
        <f>21.4782 * CHOOSE(CONTROL!$C$8, $C$12, 100%, $E$12) + CHOOSE(CONTROL!$C$27, 0.0003, 0)</f>
        <v>21.4785</v>
      </c>
      <c r="D304" s="4">
        <f>28.2804 * CHOOSE(CONTROL!$C$8, $C$12, 100%, $E$12) + CHOOSE(CONTROL!$C$27, 0, 0)</f>
        <v>28.2804</v>
      </c>
      <c r="E304" s="4">
        <f>126.292176764813 * CHOOSE(CONTROL!$C$8, $C$12, 100%, $E$12) + CHOOSE(CONTROL!$C$27, 0, 0)</f>
        <v>126.29217676481299</v>
      </c>
    </row>
    <row r="305" spans="1:5" ht="15">
      <c r="A305" s="13">
        <v>51194</v>
      </c>
      <c r="B305" s="4">
        <f>22.2636 * CHOOSE(CONTROL!$C$8, $C$12, 100%, $E$12) + CHOOSE(CONTROL!$C$27, 0.0003, 0)</f>
        <v>22.2639</v>
      </c>
      <c r="C305" s="4">
        <f>21.9511 * CHOOSE(CONTROL!$C$8, $C$12, 100%, $E$12) + CHOOSE(CONTROL!$C$27, 0.0003, 0)</f>
        <v>21.9514</v>
      </c>
      <c r="D305" s="4">
        <f>29.2183 * CHOOSE(CONTROL!$C$8, $C$12, 100%, $E$12) + CHOOSE(CONTROL!$C$27, 0, 0)</f>
        <v>29.218299999999999</v>
      </c>
      <c r="E305" s="4">
        <f>129.290850747241 * CHOOSE(CONTROL!$C$8, $C$12, 100%, $E$12) + CHOOSE(CONTROL!$C$27, 0, 0)</f>
        <v>129.290850747241</v>
      </c>
    </row>
    <row r="306" spans="1:5" ht="15">
      <c r="A306" s="13">
        <v>51226</v>
      </c>
      <c r="B306" s="4">
        <f>23.5054 * CHOOSE(CONTROL!$C$8, $C$12, 100%, $E$12) + CHOOSE(CONTROL!$C$27, 0.0003, 0)</f>
        <v>23.505700000000001</v>
      </c>
      <c r="C306" s="4">
        <f>23.1929 * CHOOSE(CONTROL!$C$8, $C$12, 100%, $E$12) + CHOOSE(CONTROL!$C$27, 0.0003, 0)</f>
        <v>23.193200000000001</v>
      </c>
      <c r="D306" s="4">
        <f>30.6866 * CHOOSE(CONTROL!$C$8, $C$12, 100%, $E$12) + CHOOSE(CONTROL!$C$27, 0, 0)</f>
        <v>30.686599999999999</v>
      </c>
      <c r="E306" s="4">
        <f>137.165527984311 * CHOOSE(CONTROL!$C$8, $C$12, 100%, $E$12) + CHOOSE(CONTROL!$C$27, 0, 0)</f>
        <v>137.16552798431101</v>
      </c>
    </row>
    <row r="307" spans="1:5" ht="15">
      <c r="A307" s="13">
        <v>51256</v>
      </c>
      <c r="B307" s="4">
        <f>24.3877 * CHOOSE(CONTROL!$C$8, $C$12, 100%, $E$12) + CHOOSE(CONTROL!$C$27, 0.0003, 0)</f>
        <v>24.387999999999998</v>
      </c>
      <c r="C307" s="4">
        <f>24.0752 * CHOOSE(CONTROL!$C$8, $C$12, 100%, $E$12) + CHOOSE(CONTROL!$C$27, 0.0003, 0)</f>
        <v>24.075499999999998</v>
      </c>
      <c r="D307" s="4">
        <f>31.5324 * CHOOSE(CONTROL!$C$8, $C$12, 100%, $E$12) + CHOOSE(CONTROL!$C$27, 0, 0)</f>
        <v>31.532399999999999</v>
      </c>
      <c r="E307" s="4">
        <f>142.760591105122 * CHOOSE(CONTROL!$C$8, $C$12, 100%, $E$12) + CHOOSE(CONTROL!$C$27, 0, 0)</f>
        <v>142.76059110512199</v>
      </c>
    </row>
    <row r="308" spans="1:5" ht="15">
      <c r="A308" s="13">
        <v>51287</v>
      </c>
      <c r="B308" s="4">
        <f>24.9268 * CHOOSE(CONTROL!$C$8, $C$12, 100%, $E$12) + CHOOSE(CONTROL!$C$27, 0.0166, 0)</f>
        <v>24.9434</v>
      </c>
      <c r="C308" s="4">
        <f>24.6143 * CHOOSE(CONTROL!$C$8, $C$12, 100%, $E$12) + CHOOSE(CONTROL!$C$27, 0.0166, 0)</f>
        <v>24.6309</v>
      </c>
      <c r="D308" s="4">
        <f>31.1982 * CHOOSE(CONTROL!$C$8, $C$12, 100%, $E$12) + CHOOSE(CONTROL!$C$27, 0, 0)</f>
        <v>31.1982</v>
      </c>
      <c r="E308" s="4">
        <f>146.17904057699 * CHOOSE(CONTROL!$C$8, $C$12, 100%, $E$12) + CHOOSE(CONTROL!$C$27, 0, 0)</f>
        <v>146.17904057698999</v>
      </c>
    </row>
    <row r="309" spans="1:5" ht="15">
      <c r="A309" s="13">
        <v>51317</v>
      </c>
      <c r="B309" s="4">
        <f>24.9997 * CHOOSE(CONTROL!$C$8, $C$12, 100%, $E$12) + CHOOSE(CONTROL!$C$27, 0.0166, 0)</f>
        <v>25.016300000000001</v>
      </c>
      <c r="C309" s="4">
        <f>24.6872 * CHOOSE(CONTROL!$C$8, $C$12, 100%, $E$12) + CHOOSE(CONTROL!$C$27, 0.0166, 0)</f>
        <v>24.703800000000001</v>
      </c>
      <c r="D309" s="4">
        <f>31.4704 * CHOOSE(CONTROL!$C$8, $C$12, 100%, $E$12) + CHOOSE(CONTROL!$C$27, 0, 0)</f>
        <v>31.470400000000001</v>
      </c>
      <c r="E309" s="4">
        <f>146.64157097739 * CHOOSE(CONTROL!$C$8, $C$12, 100%, $E$12) + CHOOSE(CONTROL!$C$27, 0, 0)</f>
        <v>146.64157097738999</v>
      </c>
    </row>
    <row r="310" spans="1:5" ht="15">
      <c r="A310" s="13">
        <v>51348</v>
      </c>
      <c r="B310" s="4">
        <f>24.9924 * CHOOSE(CONTROL!$C$8, $C$12, 100%, $E$12) + CHOOSE(CONTROL!$C$27, 0.0166, 0)</f>
        <v>25.009</v>
      </c>
      <c r="C310" s="4">
        <f>24.6799 * CHOOSE(CONTROL!$C$8, $C$12, 100%, $E$12) + CHOOSE(CONTROL!$C$27, 0.0166, 0)</f>
        <v>24.6965</v>
      </c>
      <c r="D310" s="4">
        <f>31.9615 * CHOOSE(CONTROL!$C$8, $C$12, 100%, $E$12) + CHOOSE(CONTROL!$C$27, 0, 0)</f>
        <v>31.961500000000001</v>
      </c>
      <c r="E310" s="4">
        <f>146.594929256341 * CHOOSE(CONTROL!$C$8, $C$12, 100%, $E$12) + CHOOSE(CONTROL!$C$27, 0, 0)</f>
        <v>146.594929256341</v>
      </c>
    </row>
    <row r="311" spans="1:5" ht="15">
      <c r="A311" s="13">
        <v>51379</v>
      </c>
      <c r="B311" s="4">
        <f>25.5459 * CHOOSE(CONTROL!$C$8, $C$12, 100%, $E$12) + CHOOSE(CONTROL!$C$27, 0.0166, 0)</f>
        <v>25.5625</v>
      </c>
      <c r="C311" s="4">
        <f>25.2334 * CHOOSE(CONTROL!$C$8, $C$12, 100%, $E$12) + CHOOSE(CONTROL!$C$27, 0.0166, 0)</f>
        <v>25.25</v>
      </c>
      <c r="D311" s="4">
        <f>31.6372 * CHOOSE(CONTROL!$C$8, $C$12, 100%, $E$12) + CHOOSE(CONTROL!$C$27, 0, 0)</f>
        <v>31.6372</v>
      </c>
      <c r="E311" s="4">
        <f>150.104718765263 * CHOOSE(CONTROL!$C$8, $C$12, 100%, $E$12) + CHOOSE(CONTROL!$C$27, 0, 0)</f>
        <v>150.10471876526299</v>
      </c>
    </row>
    <row r="312" spans="1:5" ht="15">
      <c r="A312" s="13">
        <v>51409</v>
      </c>
      <c r="B312" s="4">
        <f>24.6026 * CHOOSE(CONTROL!$C$8, $C$12, 100%, $E$12) + CHOOSE(CONTROL!$C$27, 0.0166, 0)</f>
        <v>24.619199999999999</v>
      </c>
      <c r="C312" s="4">
        <f>24.2901 * CHOOSE(CONTROL!$C$8, $C$12, 100%, $E$12) + CHOOSE(CONTROL!$C$27, 0.0166, 0)</f>
        <v>24.306699999999999</v>
      </c>
      <c r="D312" s="4">
        <f>31.4839 * CHOOSE(CONTROL!$C$8, $C$12, 100%, $E$12) + CHOOSE(CONTROL!$C$27, 0, 0)</f>
        <v>31.483899999999998</v>
      </c>
      <c r="E312" s="4">
        <f>144.122918040756 * CHOOSE(CONTROL!$C$8, $C$12, 100%, $E$12) + CHOOSE(CONTROL!$C$27, 0, 0)</f>
        <v>144.12291804075599</v>
      </c>
    </row>
    <row r="313" spans="1:5" ht="15">
      <c r="A313" s="13">
        <v>51440</v>
      </c>
      <c r="B313" s="4">
        <f>23.8474 * CHOOSE(CONTROL!$C$8, $C$12, 100%, $E$12) + CHOOSE(CONTROL!$C$27, 0.0003, 0)</f>
        <v>23.8477</v>
      </c>
      <c r="C313" s="4">
        <f>23.5349 * CHOOSE(CONTROL!$C$8, $C$12, 100%, $E$12) + CHOOSE(CONTROL!$C$27, 0.0003, 0)</f>
        <v>23.5352</v>
      </c>
      <c r="D313" s="4">
        <f>31.0736 * CHOOSE(CONTROL!$C$8, $C$12, 100%, $E$12) + CHOOSE(CONTROL!$C$27, 0, 0)</f>
        <v>31.073599999999999</v>
      </c>
      <c r="E313" s="4">
        <f>139.33436801308 * CHOOSE(CONTROL!$C$8, $C$12, 100%, $E$12) + CHOOSE(CONTROL!$C$27, 0, 0)</f>
        <v>139.33436801308</v>
      </c>
    </row>
    <row r="314" spans="1:5" ht="15">
      <c r="A314" s="13">
        <v>51470</v>
      </c>
      <c r="B314" s="4">
        <f>23.3611 * CHOOSE(CONTROL!$C$8, $C$12, 100%, $E$12) + CHOOSE(CONTROL!$C$27, 0.0003, 0)</f>
        <v>23.3614</v>
      </c>
      <c r="C314" s="4">
        <f>23.0486 * CHOOSE(CONTROL!$C$8, $C$12, 100%, $E$12) + CHOOSE(CONTROL!$C$27, 0.0003, 0)</f>
        <v>23.0489</v>
      </c>
      <c r="D314" s="4">
        <f>30.9325 * CHOOSE(CONTROL!$C$8, $C$12, 100%, $E$12) + CHOOSE(CONTROL!$C$27, 0, 0)</f>
        <v>30.932500000000001</v>
      </c>
      <c r="E314" s="4">
        <f>136.250184208729 * CHOOSE(CONTROL!$C$8, $C$12, 100%, $E$12) + CHOOSE(CONTROL!$C$27, 0, 0)</f>
        <v>136.250184208729</v>
      </c>
    </row>
    <row r="315" spans="1:5" ht="15">
      <c r="A315" s="13">
        <v>51501</v>
      </c>
      <c r="B315" s="4">
        <f>23.0246 * CHOOSE(CONTROL!$C$8, $C$12, 100%, $E$12) + CHOOSE(CONTROL!$C$27, 0.0003, 0)</f>
        <v>23.024899999999999</v>
      </c>
      <c r="C315" s="4">
        <f>22.7121 * CHOOSE(CONTROL!$C$8, $C$12, 100%, $E$12) + CHOOSE(CONTROL!$C$27, 0.0003, 0)</f>
        <v>22.712399999999999</v>
      </c>
      <c r="D315" s="4">
        <f>29.894 * CHOOSE(CONTROL!$C$8, $C$12, 100%, $E$12) + CHOOSE(CONTROL!$C$27, 0, 0)</f>
        <v>29.893999999999998</v>
      </c>
      <c r="E315" s="4">
        <f>134.116325470747 * CHOOSE(CONTROL!$C$8, $C$12, 100%, $E$12) + CHOOSE(CONTROL!$C$27, 0, 0)</f>
        <v>134.116325470747</v>
      </c>
    </row>
    <row r="316" spans="1:5" ht="15">
      <c r="A316" s="13">
        <v>51532</v>
      </c>
      <c r="B316" s="4">
        <f>22.4778 * CHOOSE(CONTROL!$C$8, $C$12, 100%, $E$12) + CHOOSE(CONTROL!$C$27, 0.0003, 0)</f>
        <v>22.478099999999998</v>
      </c>
      <c r="C316" s="4">
        <f>22.1653 * CHOOSE(CONTROL!$C$8, $C$12, 100%, $E$12) + CHOOSE(CONTROL!$C$27, 0.0003, 0)</f>
        <v>22.165599999999998</v>
      </c>
      <c r="D316" s="4">
        <f>28.9394 * CHOOSE(CONTROL!$C$8, $C$12, 100%, $E$12) + CHOOSE(CONTROL!$C$27, 0, 0)</f>
        <v>28.939399999999999</v>
      </c>
      <c r="E316" s="4">
        <f>130.270380332904 * CHOOSE(CONTROL!$C$8, $C$12, 100%, $E$12) + CHOOSE(CONTROL!$C$27, 0, 0)</f>
        <v>130.27038033290401</v>
      </c>
    </row>
    <row r="317" spans="1:5" ht="15">
      <c r="A317" s="13">
        <v>51560</v>
      </c>
      <c r="B317" s="4">
        <f>22.967 * CHOOSE(CONTROL!$C$8, $C$12, 100%, $E$12) + CHOOSE(CONTROL!$C$27, 0.0003, 0)</f>
        <v>22.967299999999998</v>
      </c>
      <c r="C317" s="4">
        <f>22.6545 * CHOOSE(CONTROL!$C$8, $C$12, 100%, $E$12) + CHOOSE(CONTROL!$C$27, 0.0003, 0)</f>
        <v>22.654799999999998</v>
      </c>
      <c r="D317" s="4">
        <f>29.9007 * CHOOSE(CONTROL!$C$8, $C$12, 100%, $E$12) + CHOOSE(CONTROL!$C$27, 0, 0)</f>
        <v>29.900700000000001</v>
      </c>
      <c r="E317" s="4">
        <f>133.363512545779 * CHOOSE(CONTROL!$C$8, $C$12, 100%, $E$12) + CHOOSE(CONTROL!$C$27, 0, 0)</f>
        <v>133.363512545779</v>
      </c>
    </row>
    <row r="318" spans="1:5" ht="15">
      <c r="A318" s="13">
        <v>51591</v>
      </c>
      <c r="B318" s="4">
        <f>24.2517 * CHOOSE(CONTROL!$C$8, $C$12, 100%, $E$12) + CHOOSE(CONTROL!$C$27, 0.0003, 0)</f>
        <v>24.251999999999999</v>
      </c>
      <c r="C318" s="4">
        <f>23.9392 * CHOOSE(CONTROL!$C$8, $C$12, 100%, $E$12) + CHOOSE(CONTROL!$C$27, 0.0003, 0)</f>
        <v>23.939499999999999</v>
      </c>
      <c r="D318" s="4">
        <f>31.4054 * CHOOSE(CONTROL!$C$8, $C$12, 100%, $E$12) + CHOOSE(CONTROL!$C$27, 0, 0)</f>
        <v>31.4054</v>
      </c>
      <c r="E318" s="4">
        <f>141.486242115817 * CHOOSE(CONTROL!$C$8, $C$12, 100%, $E$12) + CHOOSE(CONTROL!$C$27, 0, 0)</f>
        <v>141.48624211581699</v>
      </c>
    </row>
    <row r="319" spans="1:5" ht="15">
      <c r="A319" s="13">
        <v>51621</v>
      </c>
      <c r="B319" s="4">
        <f>25.1644 * CHOOSE(CONTROL!$C$8, $C$12, 100%, $E$12) + CHOOSE(CONTROL!$C$27, 0.0003, 0)</f>
        <v>25.1647</v>
      </c>
      <c r="C319" s="4">
        <f>24.8519 * CHOOSE(CONTROL!$C$8, $C$12, 100%, $E$12) + CHOOSE(CONTROL!$C$27, 0.0003, 0)</f>
        <v>24.8522</v>
      </c>
      <c r="D319" s="4">
        <f>32.2722 * CHOOSE(CONTROL!$C$8, $C$12, 100%, $E$12) + CHOOSE(CONTROL!$C$27, 0, 0)</f>
        <v>32.272199999999998</v>
      </c>
      <c r="E319" s="4">
        <f>147.257549724934 * CHOOSE(CONTROL!$C$8, $C$12, 100%, $E$12) + CHOOSE(CONTROL!$C$27, 0, 0)</f>
        <v>147.25754972493399</v>
      </c>
    </row>
    <row r="320" spans="1:5" ht="15">
      <c r="A320" s="13">
        <v>51652</v>
      </c>
      <c r="B320" s="4">
        <f>25.7221 * CHOOSE(CONTROL!$C$8, $C$12, 100%, $E$12) + CHOOSE(CONTROL!$C$27, 0.0166, 0)</f>
        <v>25.738700000000001</v>
      </c>
      <c r="C320" s="4">
        <f>25.4096 * CHOOSE(CONTROL!$C$8, $C$12, 100%, $E$12) + CHOOSE(CONTROL!$C$27, 0.0166, 0)</f>
        <v>25.426200000000001</v>
      </c>
      <c r="D320" s="4">
        <f>31.9297 * CHOOSE(CONTROL!$C$8, $C$12, 100%, $E$12) + CHOOSE(CONTROL!$C$27, 0, 0)</f>
        <v>31.9297</v>
      </c>
      <c r="E320" s="4">
        <f>150.783680355165 * CHOOSE(CONTROL!$C$8, $C$12, 100%, $E$12) + CHOOSE(CONTROL!$C$27, 0, 0)</f>
        <v>150.78368035516499</v>
      </c>
    </row>
    <row r="321" spans="1:5" ht="15">
      <c r="A321" s="13">
        <v>51682</v>
      </c>
      <c r="B321" s="4">
        <f>25.7975 * CHOOSE(CONTROL!$C$8, $C$12, 100%, $E$12) + CHOOSE(CONTROL!$C$27, 0.0166, 0)</f>
        <v>25.8141</v>
      </c>
      <c r="C321" s="4">
        <f>25.485 * CHOOSE(CONTROL!$C$8, $C$12, 100%, $E$12) + CHOOSE(CONTROL!$C$27, 0.0166, 0)</f>
        <v>25.5016</v>
      </c>
      <c r="D321" s="4">
        <f>32.2086 * CHOOSE(CONTROL!$C$8, $C$12, 100%, $E$12) + CHOOSE(CONTROL!$C$27, 0, 0)</f>
        <v>32.208599999999997</v>
      </c>
      <c r="E321" s="4">
        <f>151.260780463178 * CHOOSE(CONTROL!$C$8, $C$12, 100%, $E$12) + CHOOSE(CONTROL!$C$27, 0, 0)</f>
        <v>151.26078046317801</v>
      </c>
    </row>
    <row r="322" spans="1:5" ht="15">
      <c r="A322" s="13">
        <v>51713</v>
      </c>
      <c r="B322" s="4">
        <f>25.7899 * CHOOSE(CONTROL!$C$8, $C$12, 100%, $E$12) + CHOOSE(CONTROL!$C$27, 0.0166, 0)</f>
        <v>25.8065</v>
      </c>
      <c r="C322" s="4">
        <f>25.4774 * CHOOSE(CONTROL!$C$8, $C$12, 100%, $E$12) + CHOOSE(CONTROL!$C$27, 0.0166, 0)</f>
        <v>25.494</v>
      </c>
      <c r="D322" s="4">
        <f>32.7119 * CHOOSE(CONTROL!$C$8, $C$12, 100%, $E$12) + CHOOSE(CONTROL!$C$27, 0, 0)</f>
        <v>32.7119</v>
      </c>
      <c r="E322" s="4">
        <f>151.212669527916 * CHOOSE(CONTROL!$C$8, $C$12, 100%, $E$12) + CHOOSE(CONTROL!$C$27, 0, 0)</f>
        <v>151.21266952791601</v>
      </c>
    </row>
    <row r="323" spans="1:5" ht="15">
      <c r="A323" s="13">
        <v>51744</v>
      </c>
      <c r="B323" s="4">
        <f>26.3625 * CHOOSE(CONTROL!$C$8, $C$12, 100%, $E$12) + CHOOSE(CONTROL!$C$27, 0.0166, 0)</f>
        <v>26.379100000000001</v>
      </c>
      <c r="C323" s="4">
        <f>26.05 * CHOOSE(CONTROL!$C$8, $C$12, 100%, $E$12) + CHOOSE(CONTROL!$C$27, 0.0166, 0)</f>
        <v>26.066600000000001</v>
      </c>
      <c r="D323" s="4">
        <f>32.3795 * CHOOSE(CONTROL!$C$8, $C$12, 100%, $E$12) + CHOOSE(CONTROL!$C$27, 0, 0)</f>
        <v>32.3795</v>
      </c>
      <c r="E323" s="4">
        <f>154.833017406369 * CHOOSE(CONTROL!$C$8, $C$12, 100%, $E$12) + CHOOSE(CONTROL!$C$27, 0, 0)</f>
        <v>154.83301740636901</v>
      </c>
    </row>
    <row r="324" spans="1:5" ht="15">
      <c r="A324" s="13">
        <v>51774</v>
      </c>
      <c r="B324" s="4">
        <f>25.3867 * CHOOSE(CONTROL!$C$8, $C$12, 100%, $E$12) + CHOOSE(CONTROL!$C$27, 0.0166, 0)</f>
        <v>25.403300000000002</v>
      </c>
      <c r="C324" s="4">
        <f>25.0742 * CHOOSE(CONTROL!$C$8, $C$12, 100%, $E$12) + CHOOSE(CONTROL!$C$27, 0.0166, 0)</f>
        <v>25.090800000000002</v>
      </c>
      <c r="D324" s="4">
        <f>32.2225 * CHOOSE(CONTROL!$C$8, $C$12, 100%, $E$12) + CHOOSE(CONTROL!$C$27, 0, 0)</f>
        <v>32.222499999999997</v>
      </c>
      <c r="E324" s="4">
        <f>148.66278995904 * CHOOSE(CONTROL!$C$8, $C$12, 100%, $E$12) + CHOOSE(CONTROL!$C$27, 0, 0)</f>
        <v>148.66278995904</v>
      </c>
    </row>
    <row r="325" spans="1:5" ht="15">
      <c r="A325" s="13">
        <v>51805</v>
      </c>
      <c r="B325" s="4">
        <f>24.6055 * CHOOSE(CONTROL!$C$8, $C$12, 100%, $E$12) + CHOOSE(CONTROL!$C$27, 0.0003, 0)</f>
        <v>24.605799999999999</v>
      </c>
      <c r="C325" s="4">
        <f>24.293 * CHOOSE(CONTROL!$C$8, $C$12, 100%, $E$12) + CHOOSE(CONTROL!$C$27, 0.0003, 0)</f>
        <v>24.293299999999999</v>
      </c>
      <c r="D325" s="4">
        <f>31.802 * CHOOSE(CONTROL!$C$8, $C$12, 100%, $E$12) + CHOOSE(CONTROL!$C$27, 0, 0)</f>
        <v>31.802</v>
      </c>
      <c r="E325" s="4">
        <f>143.723400605492 * CHOOSE(CONTROL!$C$8, $C$12, 100%, $E$12) + CHOOSE(CONTROL!$C$27, 0, 0)</f>
        <v>143.723400605492</v>
      </c>
    </row>
    <row r="326" spans="1:5" ht="15">
      <c r="A326" s="13">
        <v>51835</v>
      </c>
      <c r="B326" s="4">
        <f>24.1023 * CHOOSE(CONTROL!$C$8, $C$12, 100%, $E$12) + CHOOSE(CONTROL!$C$27, 0.0003, 0)</f>
        <v>24.102599999999999</v>
      </c>
      <c r="C326" s="4">
        <f>23.7898 * CHOOSE(CONTROL!$C$8, $C$12, 100%, $E$12) + CHOOSE(CONTROL!$C$27, 0.0003, 0)</f>
        <v>23.790099999999999</v>
      </c>
      <c r="D326" s="4">
        <f>31.6574 * CHOOSE(CONTROL!$C$8, $C$12, 100%, $E$12) + CHOOSE(CONTROL!$C$27, 0, 0)</f>
        <v>31.657399999999999</v>
      </c>
      <c r="E326" s="4">
        <f>140.542065011304 * CHOOSE(CONTROL!$C$8, $C$12, 100%, $E$12) + CHOOSE(CONTROL!$C$27, 0, 0)</f>
        <v>140.542065011304</v>
      </c>
    </row>
    <row r="327" spans="1:5" ht="15">
      <c r="A327" s="13">
        <v>51866</v>
      </c>
      <c r="B327" s="4">
        <f>23.7542 * CHOOSE(CONTROL!$C$8, $C$12, 100%, $E$12) + CHOOSE(CONTROL!$C$27, 0.0003, 0)</f>
        <v>23.7545</v>
      </c>
      <c r="C327" s="4">
        <f>23.4417 * CHOOSE(CONTROL!$C$8, $C$12, 100%, $E$12) + CHOOSE(CONTROL!$C$27, 0.0003, 0)</f>
        <v>23.442</v>
      </c>
      <c r="D327" s="4">
        <f>30.5931 * CHOOSE(CONTROL!$C$8, $C$12, 100%, $E$12) + CHOOSE(CONTROL!$C$27, 0, 0)</f>
        <v>30.5931</v>
      </c>
      <c r="E327" s="4">
        <f>138.340989723075 * CHOOSE(CONTROL!$C$8, $C$12, 100%, $E$12) + CHOOSE(CONTROL!$C$27, 0, 0)</f>
        <v>138.34098972307501</v>
      </c>
    </row>
    <row r="328" spans="1:5" ht="15">
      <c r="A328" s="13">
        <v>51897</v>
      </c>
      <c r="B328" s="4">
        <f>23.1886 * CHOOSE(CONTROL!$C$8, $C$12, 100%, $E$12) + CHOOSE(CONTROL!$C$27, 0.0003, 0)</f>
        <v>23.1889</v>
      </c>
      <c r="C328" s="4">
        <f>22.8761 * CHOOSE(CONTROL!$C$8, $C$12, 100%, $E$12) + CHOOSE(CONTROL!$C$27, 0.0003, 0)</f>
        <v>22.8764</v>
      </c>
      <c r="D328" s="4">
        <f>29.6149 * CHOOSE(CONTROL!$C$8, $C$12, 100%, $E$12) + CHOOSE(CONTROL!$C$27, 0, 0)</f>
        <v>29.614899999999999</v>
      </c>
      <c r="E328" s="4">
        <f>134.373897313391 * CHOOSE(CONTROL!$C$8, $C$12, 100%, $E$12) + CHOOSE(CONTROL!$C$27, 0, 0)</f>
        <v>134.37389731339101</v>
      </c>
    </row>
    <row r="329" spans="1:5" ht="15">
      <c r="A329" s="13">
        <v>51925</v>
      </c>
      <c r="B329" s="4">
        <f>23.6947 * CHOOSE(CONTROL!$C$8, $C$12, 100%, $E$12) + CHOOSE(CONTROL!$C$27, 0.0003, 0)</f>
        <v>23.695</v>
      </c>
      <c r="C329" s="4">
        <f>23.3822 * CHOOSE(CONTROL!$C$8, $C$12, 100%, $E$12) + CHOOSE(CONTROL!$C$27, 0.0003, 0)</f>
        <v>23.3825</v>
      </c>
      <c r="D329" s="4">
        <f>30.5999 * CHOOSE(CONTROL!$C$8, $C$12, 100%, $E$12) + CHOOSE(CONTROL!$C$27, 0, 0)</f>
        <v>30.599900000000002</v>
      </c>
      <c r="E329" s="4">
        <f>137.564463190971 * CHOOSE(CONTROL!$C$8, $C$12, 100%, $E$12) + CHOOSE(CONTROL!$C$27, 0, 0)</f>
        <v>137.564463190971</v>
      </c>
    </row>
    <row r="330" spans="1:5" ht="15">
      <c r="A330" s="13">
        <v>51956</v>
      </c>
      <c r="B330" s="4">
        <f>25.0236 * CHOOSE(CONTROL!$C$8, $C$12, 100%, $E$12) + CHOOSE(CONTROL!$C$27, 0.0003, 0)</f>
        <v>25.023899999999998</v>
      </c>
      <c r="C330" s="4">
        <f>24.7111 * CHOOSE(CONTROL!$C$8, $C$12, 100%, $E$12) + CHOOSE(CONTROL!$C$27, 0.0003, 0)</f>
        <v>24.711399999999998</v>
      </c>
      <c r="D330" s="4">
        <f>32.142 * CHOOSE(CONTROL!$C$8, $C$12, 100%, $E$12) + CHOOSE(CONTROL!$C$27, 0, 0)</f>
        <v>32.142000000000003</v>
      </c>
      <c r="E330" s="4">
        <f>145.943058742466 * CHOOSE(CONTROL!$C$8, $C$12, 100%, $E$12) + CHOOSE(CONTROL!$C$27, 0, 0)</f>
        <v>145.94305874246601</v>
      </c>
    </row>
    <row r="331" spans="1:5" ht="15">
      <c r="A331" s="13">
        <v>51986</v>
      </c>
      <c r="B331" s="4">
        <f>25.9679 * CHOOSE(CONTROL!$C$8, $C$12, 100%, $E$12) + CHOOSE(CONTROL!$C$27, 0.0003, 0)</f>
        <v>25.9682</v>
      </c>
      <c r="C331" s="4">
        <f>25.6554 * CHOOSE(CONTROL!$C$8, $C$12, 100%, $E$12) + CHOOSE(CONTROL!$C$27, 0.0003, 0)</f>
        <v>25.6557</v>
      </c>
      <c r="D331" s="4">
        <f>33.0302 * CHOOSE(CONTROL!$C$8, $C$12, 100%, $E$12) + CHOOSE(CONTROL!$C$27, 0, 0)</f>
        <v>33.030200000000001</v>
      </c>
      <c r="E331" s="4">
        <f>151.896162541269 * CHOOSE(CONTROL!$C$8, $C$12, 100%, $E$12) + CHOOSE(CONTROL!$C$27, 0, 0)</f>
        <v>151.89616254126901</v>
      </c>
    </row>
    <row r="332" spans="1:5" ht="15">
      <c r="A332" s="13">
        <v>52017</v>
      </c>
      <c r="B332" s="4">
        <f>26.5448 * CHOOSE(CONTROL!$C$8, $C$12, 100%, $E$12) + CHOOSE(CONTROL!$C$27, 0.0166, 0)</f>
        <v>26.561399999999999</v>
      </c>
      <c r="C332" s="4">
        <f>26.2323 * CHOOSE(CONTROL!$C$8, $C$12, 100%, $E$12) + CHOOSE(CONTROL!$C$27, 0.0166, 0)</f>
        <v>26.248899999999999</v>
      </c>
      <c r="D332" s="4">
        <f>32.6792 * CHOOSE(CONTROL!$C$8, $C$12, 100%, $E$12) + CHOOSE(CONTROL!$C$27, 0, 0)</f>
        <v>32.679200000000002</v>
      </c>
      <c r="E332" s="4">
        <f>155.533366286353 * CHOOSE(CONTROL!$C$8, $C$12, 100%, $E$12) + CHOOSE(CONTROL!$C$27, 0, 0)</f>
        <v>155.53336628635299</v>
      </c>
    </row>
    <row r="333" spans="1:5" ht="15">
      <c r="A333" s="13">
        <v>52047</v>
      </c>
      <c r="B333" s="4">
        <f>26.6229 * CHOOSE(CONTROL!$C$8, $C$12, 100%, $E$12) + CHOOSE(CONTROL!$C$27, 0.0166, 0)</f>
        <v>26.639500000000002</v>
      </c>
      <c r="C333" s="4">
        <f>26.3104 * CHOOSE(CONTROL!$C$8, $C$12, 100%, $E$12) + CHOOSE(CONTROL!$C$27, 0.0166, 0)</f>
        <v>26.327000000000002</v>
      </c>
      <c r="D333" s="4">
        <f>32.9651 * CHOOSE(CONTROL!$C$8, $C$12, 100%, $E$12) + CHOOSE(CONTROL!$C$27, 0, 0)</f>
        <v>32.9651</v>
      </c>
      <c r="E333" s="4">
        <f>156.025495047768 * CHOOSE(CONTROL!$C$8, $C$12, 100%, $E$12) + CHOOSE(CONTROL!$C$27, 0, 0)</f>
        <v>156.025495047768</v>
      </c>
    </row>
    <row r="334" spans="1:5" ht="15">
      <c r="A334" s="13">
        <v>52078</v>
      </c>
      <c r="B334" s="4">
        <f>26.615 * CHOOSE(CONTROL!$C$8, $C$12, 100%, $E$12) + CHOOSE(CONTROL!$C$27, 0.0166, 0)</f>
        <v>26.631599999999999</v>
      </c>
      <c r="C334" s="4">
        <f>26.3025 * CHOOSE(CONTROL!$C$8, $C$12, 100%, $E$12) + CHOOSE(CONTROL!$C$27, 0.0166, 0)</f>
        <v>26.319099999999999</v>
      </c>
      <c r="D334" s="4">
        <f>33.4809 * CHOOSE(CONTROL!$C$8, $C$12, 100%, $E$12) + CHOOSE(CONTROL!$C$27, 0, 0)</f>
        <v>33.480899999999998</v>
      </c>
      <c r="E334" s="4">
        <f>155.975868618046 * CHOOSE(CONTROL!$C$8, $C$12, 100%, $E$12) + CHOOSE(CONTROL!$C$27, 0, 0)</f>
        <v>155.97586861804601</v>
      </c>
    </row>
    <row r="335" spans="1:5" ht="15">
      <c r="A335" s="13">
        <v>52109</v>
      </c>
      <c r="B335" s="4">
        <f>27.2073 * CHOOSE(CONTROL!$C$8, $C$12, 100%, $E$12) + CHOOSE(CONTROL!$C$27, 0.0166, 0)</f>
        <v>27.2239</v>
      </c>
      <c r="C335" s="4">
        <f>26.8948 * CHOOSE(CONTROL!$C$8, $C$12, 100%, $E$12) + CHOOSE(CONTROL!$C$27, 0.0166, 0)</f>
        <v>26.9114</v>
      </c>
      <c r="D335" s="4">
        <f>33.1403 * CHOOSE(CONTROL!$C$8, $C$12, 100%, $E$12) + CHOOSE(CONTROL!$C$27, 0, 0)</f>
        <v>33.140300000000003</v>
      </c>
      <c r="E335" s="4">
        <f>159.710257454669 * CHOOSE(CONTROL!$C$8, $C$12, 100%, $E$12) + CHOOSE(CONTROL!$C$27, 0, 0)</f>
        <v>159.71025745466901</v>
      </c>
    </row>
    <row r="336" spans="1:5" ht="15">
      <c r="A336" s="13">
        <v>52139</v>
      </c>
      <c r="B336" s="4">
        <f>26.1978 * CHOOSE(CONTROL!$C$8, $C$12, 100%, $E$12) + CHOOSE(CONTROL!$C$27, 0.0166, 0)</f>
        <v>26.214400000000001</v>
      </c>
      <c r="C336" s="4">
        <f>25.8853 * CHOOSE(CONTROL!$C$8, $C$12, 100%, $E$12) + CHOOSE(CONTROL!$C$27, 0.0166, 0)</f>
        <v>25.901900000000001</v>
      </c>
      <c r="D336" s="4">
        <f>32.9793 * CHOOSE(CONTROL!$C$8, $C$12, 100%, $E$12) + CHOOSE(CONTROL!$C$27, 0, 0)</f>
        <v>32.979300000000002</v>
      </c>
      <c r="E336" s="4">
        <f>153.345667842749 * CHOOSE(CONTROL!$C$8, $C$12, 100%, $E$12) + CHOOSE(CONTROL!$C$27, 0, 0)</f>
        <v>153.34566784274901</v>
      </c>
    </row>
    <row r="337" spans="1:5" ht="15">
      <c r="A337" s="13">
        <v>52170</v>
      </c>
      <c r="B337" s="4">
        <f>25.3897 * CHOOSE(CONTROL!$C$8, $C$12, 100%, $E$12) + CHOOSE(CONTROL!$C$27, 0.0003, 0)</f>
        <v>25.39</v>
      </c>
      <c r="C337" s="4">
        <f>25.0772 * CHOOSE(CONTROL!$C$8, $C$12, 100%, $E$12) + CHOOSE(CONTROL!$C$27, 0.0003, 0)</f>
        <v>25.077500000000001</v>
      </c>
      <c r="D337" s="4">
        <f>32.5484 * CHOOSE(CONTROL!$C$8, $C$12, 100%, $E$12) + CHOOSE(CONTROL!$C$27, 0, 0)</f>
        <v>32.548400000000001</v>
      </c>
      <c r="E337" s="4">
        <f>148.250687724565 * CHOOSE(CONTROL!$C$8, $C$12, 100%, $E$12) + CHOOSE(CONTROL!$C$27, 0, 0)</f>
        <v>148.25068772456501</v>
      </c>
    </row>
    <row r="338" spans="1:5" ht="15">
      <c r="A338" s="13">
        <v>52200</v>
      </c>
      <c r="B338" s="4">
        <f>24.8692 * CHOOSE(CONTROL!$C$8, $C$12, 100%, $E$12) + CHOOSE(CONTROL!$C$27, 0.0003, 0)</f>
        <v>24.869499999999999</v>
      </c>
      <c r="C338" s="4">
        <f>24.5567 * CHOOSE(CONTROL!$C$8, $C$12, 100%, $E$12) + CHOOSE(CONTROL!$C$27, 0.0003, 0)</f>
        <v>24.556999999999999</v>
      </c>
      <c r="D338" s="4">
        <f>32.4002 * CHOOSE(CONTROL!$C$8, $C$12, 100%, $E$12) + CHOOSE(CONTROL!$C$27, 0, 0)</f>
        <v>32.400199999999998</v>
      </c>
      <c r="E338" s="4">
        <f>144.96914005916 * CHOOSE(CONTROL!$C$8, $C$12, 100%, $E$12) + CHOOSE(CONTROL!$C$27, 0, 0)</f>
        <v>144.96914005916</v>
      </c>
    </row>
    <row r="339" spans="1:5" ht="15">
      <c r="A339" s="13">
        <v>52231</v>
      </c>
      <c r="B339" s="4">
        <f>24.5091 * CHOOSE(CONTROL!$C$8, $C$12, 100%, $E$12) + CHOOSE(CONTROL!$C$27, 0.0003, 0)</f>
        <v>24.509399999999999</v>
      </c>
      <c r="C339" s="4">
        <f>24.1966 * CHOOSE(CONTROL!$C$8, $C$12, 100%, $E$12) + CHOOSE(CONTROL!$C$27, 0.0003, 0)</f>
        <v>24.196899999999999</v>
      </c>
      <c r="D339" s="4">
        <f>31.3095 * CHOOSE(CONTROL!$C$8, $C$12, 100%, $E$12) + CHOOSE(CONTROL!$C$27, 0, 0)</f>
        <v>31.3095</v>
      </c>
      <c r="E339" s="4">
        <f>142.698730899352 * CHOOSE(CONTROL!$C$8, $C$12, 100%, $E$12) + CHOOSE(CONTROL!$C$27, 0, 0)</f>
        <v>142.698730899352</v>
      </c>
    </row>
    <row r="340" spans="1:5" ht="15">
      <c r="A340" s="13">
        <v>52262</v>
      </c>
      <c r="B340" s="4">
        <f>23.9239 * CHOOSE(CONTROL!$C$8, $C$12, 100%, $E$12) + CHOOSE(CONTROL!$C$27, 0.0003, 0)</f>
        <v>23.924199999999999</v>
      </c>
      <c r="C340" s="4">
        <f>23.6114 * CHOOSE(CONTROL!$C$8, $C$12, 100%, $E$12) + CHOOSE(CONTROL!$C$27, 0.0003, 0)</f>
        <v>23.611699999999999</v>
      </c>
      <c r="D340" s="4">
        <f>30.307 * CHOOSE(CONTROL!$C$8, $C$12, 100%, $E$12) + CHOOSE(CONTROL!$C$27, 0, 0)</f>
        <v>30.306999999999999</v>
      </c>
      <c r="E340" s="4">
        <f>138.606675078763 * CHOOSE(CONTROL!$C$8, $C$12, 100%, $E$12) + CHOOSE(CONTROL!$C$27, 0, 0)</f>
        <v>138.606675078763</v>
      </c>
    </row>
    <row r="341" spans="1:5" ht="15">
      <c r="A341" s="13">
        <v>52290</v>
      </c>
      <c r="B341" s="4">
        <f>24.4475 * CHOOSE(CONTROL!$C$8, $C$12, 100%, $E$12) + CHOOSE(CONTROL!$C$27, 0.0003, 0)</f>
        <v>24.447800000000001</v>
      </c>
      <c r="C341" s="4">
        <f>24.135 * CHOOSE(CONTROL!$C$8, $C$12, 100%, $E$12) + CHOOSE(CONTROL!$C$27, 0.0003, 0)</f>
        <v>24.135300000000001</v>
      </c>
      <c r="D341" s="4">
        <f>31.3165 * CHOOSE(CONTROL!$C$8, $C$12, 100%, $E$12) + CHOOSE(CONTROL!$C$27, 0, 0)</f>
        <v>31.316500000000001</v>
      </c>
      <c r="E341" s="4">
        <f>141.897743781487 * CHOOSE(CONTROL!$C$8, $C$12, 100%, $E$12) + CHOOSE(CONTROL!$C$27, 0, 0)</f>
        <v>141.89774378148701</v>
      </c>
    </row>
    <row r="342" spans="1:5" ht="15">
      <c r="A342" s="13">
        <v>52321</v>
      </c>
      <c r="B342" s="4">
        <f>25.8223 * CHOOSE(CONTROL!$C$8, $C$12, 100%, $E$12) + CHOOSE(CONTROL!$C$27, 0.0003, 0)</f>
        <v>25.822599999999998</v>
      </c>
      <c r="C342" s="4">
        <f>25.5098 * CHOOSE(CONTROL!$C$8, $C$12, 100%, $E$12) + CHOOSE(CONTROL!$C$27, 0.0003, 0)</f>
        <v>25.510099999999998</v>
      </c>
      <c r="D342" s="4">
        <f>32.8968 * CHOOSE(CONTROL!$C$8, $C$12, 100%, $E$12) + CHOOSE(CONTROL!$C$27, 0, 0)</f>
        <v>32.896799999999999</v>
      </c>
      <c r="E342" s="4">
        <f>150.540265092853 * CHOOSE(CONTROL!$C$8, $C$12, 100%, $E$12) + CHOOSE(CONTROL!$C$27, 0, 0)</f>
        <v>150.54026509285299</v>
      </c>
    </row>
    <row r="343" spans="1:5" ht="15">
      <c r="A343" s="13">
        <v>52351</v>
      </c>
      <c r="B343" s="4">
        <f>26.7991 * CHOOSE(CONTROL!$C$8, $C$12, 100%, $E$12) + CHOOSE(CONTROL!$C$27, 0.0003, 0)</f>
        <v>26.799399999999999</v>
      </c>
      <c r="C343" s="4">
        <f>26.4866 * CHOOSE(CONTROL!$C$8, $C$12, 100%, $E$12) + CHOOSE(CONTROL!$C$27, 0.0003, 0)</f>
        <v>26.486899999999999</v>
      </c>
      <c r="D343" s="4">
        <f>33.8071 * CHOOSE(CONTROL!$C$8, $C$12, 100%, $E$12) + CHOOSE(CONTROL!$C$27, 0, 0)</f>
        <v>33.807099999999998</v>
      </c>
      <c r="E343" s="4">
        <f>156.680891661319 * CHOOSE(CONTROL!$C$8, $C$12, 100%, $E$12) + CHOOSE(CONTROL!$C$27, 0, 0)</f>
        <v>156.68089166131901</v>
      </c>
    </row>
    <row r="344" spans="1:5" ht="15">
      <c r="A344" s="13">
        <v>52382</v>
      </c>
      <c r="B344" s="4">
        <f>27.3959 * CHOOSE(CONTROL!$C$8, $C$12, 100%, $E$12) + CHOOSE(CONTROL!$C$27, 0.0166, 0)</f>
        <v>27.412500000000001</v>
      </c>
      <c r="C344" s="4">
        <f>27.0834 * CHOOSE(CONTROL!$C$8, $C$12, 100%, $E$12) + CHOOSE(CONTROL!$C$27, 0.0166, 0)</f>
        <v>27.1</v>
      </c>
      <c r="D344" s="4">
        <f>33.4474 * CHOOSE(CONTROL!$C$8, $C$12, 100%, $E$12) + CHOOSE(CONTROL!$C$27, 0, 0)</f>
        <v>33.447400000000002</v>
      </c>
      <c r="E344" s="4">
        <f>160.432667324373 * CHOOSE(CONTROL!$C$8, $C$12, 100%, $E$12) + CHOOSE(CONTROL!$C$27, 0, 0)</f>
        <v>160.432667324373</v>
      </c>
    </row>
    <row r="345" spans="1:5" ht="15">
      <c r="A345" s="13">
        <v>52412</v>
      </c>
      <c r="B345" s="4">
        <f>27.4767 * CHOOSE(CONTROL!$C$8, $C$12, 100%, $E$12) + CHOOSE(CONTROL!$C$27, 0.0166, 0)</f>
        <v>27.493300000000001</v>
      </c>
      <c r="C345" s="4">
        <f>27.1642 * CHOOSE(CONTROL!$C$8, $C$12, 100%, $E$12) + CHOOSE(CONTROL!$C$27, 0.0166, 0)</f>
        <v>27.180800000000001</v>
      </c>
      <c r="D345" s="4">
        <f>33.7404 * CHOOSE(CONTROL!$C$8, $C$12, 100%, $E$12) + CHOOSE(CONTROL!$C$27, 0, 0)</f>
        <v>33.740400000000001</v>
      </c>
      <c r="E345" s="4">
        <f>160.940298141773 * CHOOSE(CONTROL!$C$8, $C$12, 100%, $E$12) + CHOOSE(CONTROL!$C$27, 0, 0)</f>
        <v>160.94029814177301</v>
      </c>
    </row>
    <row r="346" spans="1:5" ht="15">
      <c r="A346" s="13">
        <v>52443</v>
      </c>
      <c r="B346" s="4">
        <f>27.4685 * CHOOSE(CONTROL!$C$8, $C$12, 100%, $E$12) + CHOOSE(CONTROL!$C$27, 0.0166, 0)</f>
        <v>27.485099999999999</v>
      </c>
      <c r="C346" s="4">
        <f>27.156 * CHOOSE(CONTROL!$C$8, $C$12, 100%, $E$12) + CHOOSE(CONTROL!$C$27, 0.0166, 0)</f>
        <v>27.172599999999999</v>
      </c>
      <c r="D346" s="4">
        <f>34.269 * CHOOSE(CONTROL!$C$8, $C$12, 100%, $E$12) + CHOOSE(CONTROL!$C$27, 0, 0)</f>
        <v>34.268999999999998</v>
      </c>
      <c r="E346" s="4">
        <f>160.889108479514 * CHOOSE(CONTROL!$C$8, $C$12, 100%, $E$12) + CHOOSE(CONTROL!$C$27, 0, 0)</f>
        <v>160.88910847951399</v>
      </c>
    </row>
    <row r="347" spans="1:5" ht="15">
      <c r="A347" s="13">
        <v>52474</v>
      </c>
      <c r="B347" s="4">
        <f>28.0813 * CHOOSE(CONTROL!$C$8, $C$12, 100%, $E$12) + CHOOSE(CONTROL!$C$27, 0.0166, 0)</f>
        <v>28.097899999999999</v>
      </c>
      <c r="C347" s="4">
        <f>27.7688 * CHOOSE(CONTROL!$C$8, $C$12, 100%, $E$12) + CHOOSE(CONTROL!$C$27, 0.0166, 0)</f>
        <v>27.785399999999999</v>
      </c>
      <c r="D347" s="4">
        <f>33.9199 * CHOOSE(CONTROL!$C$8, $C$12, 100%, $E$12) + CHOOSE(CONTROL!$C$27, 0, 0)</f>
        <v>33.919899999999998</v>
      </c>
      <c r="E347" s="4">
        <f>164.741130564491 * CHOOSE(CONTROL!$C$8, $C$12, 100%, $E$12) + CHOOSE(CONTROL!$C$27, 0, 0)</f>
        <v>164.74113056449099</v>
      </c>
    </row>
    <row r="348" spans="1:5" ht="15">
      <c r="A348" s="13">
        <v>52504</v>
      </c>
      <c r="B348" s="4">
        <f>27.0369 * CHOOSE(CONTROL!$C$8, $C$12, 100%, $E$12) + CHOOSE(CONTROL!$C$27, 0.0166, 0)</f>
        <v>27.0535</v>
      </c>
      <c r="C348" s="4">
        <f>26.7244 * CHOOSE(CONTROL!$C$8, $C$12, 100%, $E$12) + CHOOSE(CONTROL!$C$27, 0.0166, 0)</f>
        <v>26.741</v>
      </c>
      <c r="D348" s="4">
        <f>33.7549 * CHOOSE(CONTROL!$C$8, $C$12, 100%, $E$12) + CHOOSE(CONTROL!$C$27, 0, 0)</f>
        <v>33.754899999999999</v>
      </c>
      <c r="E348" s="4">
        <f>158.176056379796 * CHOOSE(CONTROL!$C$8, $C$12, 100%, $E$12) + CHOOSE(CONTROL!$C$27, 0, 0)</f>
        <v>158.17605637979599</v>
      </c>
    </row>
    <row r="349" spans="1:5" ht="15">
      <c r="A349" s="13">
        <v>52535</v>
      </c>
      <c r="B349" s="4">
        <f>26.2009 * CHOOSE(CONTROL!$C$8, $C$12, 100%, $E$12) + CHOOSE(CONTROL!$C$27, 0.0003, 0)</f>
        <v>26.2012</v>
      </c>
      <c r="C349" s="4">
        <f>25.8884 * CHOOSE(CONTROL!$C$8, $C$12, 100%, $E$12) + CHOOSE(CONTROL!$C$27, 0.0003, 0)</f>
        <v>25.8887</v>
      </c>
      <c r="D349" s="4">
        <f>33.3133 * CHOOSE(CONTROL!$C$8, $C$12, 100%, $E$12) + CHOOSE(CONTROL!$C$27, 0, 0)</f>
        <v>33.313299999999998</v>
      </c>
      <c r="E349" s="4">
        <f>152.920584387889 * CHOOSE(CONTROL!$C$8, $C$12, 100%, $E$12) + CHOOSE(CONTROL!$C$27, 0, 0)</f>
        <v>152.92058438788899</v>
      </c>
    </row>
    <row r="350" spans="1:5" ht="15">
      <c r="A350" s="13">
        <v>52565</v>
      </c>
      <c r="B350" s="4">
        <f>25.6625 * CHOOSE(CONTROL!$C$8, $C$12, 100%, $E$12) + CHOOSE(CONTROL!$C$27, 0.0003, 0)</f>
        <v>25.662800000000001</v>
      </c>
      <c r="C350" s="4">
        <f>25.35 * CHOOSE(CONTROL!$C$8, $C$12, 100%, $E$12) + CHOOSE(CONTROL!$C$27, 0.0003, 0)</f>
        <v>25.350300000000001</v>
      </c>
      <c r="D350" s="4">
        <f>33.1615 * CHOOSE(CONTROL!$C$8, $C$12, 100%, $E$12) + CHOOSE(CONTROL!$C$27, 0, 0)</f>
        <v>33.161499999999997</v>
      </c>
      <c r="E350" s="4">
        <f>149.535667971024 * CHOOSE(CONTROL!$C$8, $C$12, 100%, $E$12) + CHOOSE(CONTROL!$C$27, 0, 0)</f>
        <v>149.535667971024</v>
      </c>
    </row>
    <row r="351" spans="1:5" ht="15">
      <c r="A351" s="13">
        <v>52596</v>
      </c>
      <c r="B351" s="4">
        <f>25.2899 * CHOOSE(CONTROL!$C$8, $C$12, 100%, $E$12) + CHOOSE(CONTROL!$C$27, 0.0003, 0)</f>
        <v>25.290199999999999</v>
      </c>
      <c r="C351" s="4">
        <f>24.9774 * CHOOSE(CONTROL!$C$8, $C$12, 100%, $E$12) + CHOOSE(CONTROL!$C$27, 0.0003, 0)</f>
        <v>24.977699999999999</v>
      </c>
      <c r="D351" s="4">
        <f>32.0437 * CHOOSE(CONTROL!$C$8, $C$12, 100%, $E$12) + CHOOSE(CONTROL!$C$27, 0, 0)</f>
        <v>32.043700000000001</v>
      </c>
      <c r="E351" s="4">
        <f>147.193740922682 * CHOOSE(CONTROL!$C$8, $C$12, 100%, $E$12) + CHOOSE(CONTROL!$C$27, 0, 0)</f>
        <v>147.193740922682</v>
      </c>
    </row>
    <row r="352" spans="1:5" ht="15">
      <c r="A352" s="13">
        <v>52627</v>
      </c>
      <c r="B352" s="4">
        <f>24.6846 * CHOOSE(CONTROL!$C$8, $C$12, 100%, $E$12) + CHOOSE(CONTROL!$C$27, 0.0003, 0)</f>
        <v>24.684899999999999</v>
      </c>
      <c r="C352" s="4">
        <f>24.3721 * CHOOSE(CONTROL!$C$8, $C$12, 100%, $E$12) + CHOOSE(CONTROL!$C$27, 0.0003, 0)</f>
        <v>24.372399999999999</v>
      </c>
      <c r="D352" s="4">
        <f>31.0164 * CHOOSE(CONTROL!$C$8, $C$12, 100%, $E$12) + CHOOSE(CONTROL!$C$27, 0, 0)</f>
        <v>31.016400000000001</v>
      </c>
      <c r="E352" s="4">
        <f>142.972785343744 * CHOOSE(CONTROL!$C$8, $C$12, 100%, $E$12) + CHOOSE(CONTROL!$C$27, 0, 0)</f>
        <v>142.97278534374399</v>
      </c>
    </row>
    <row r="353" spans="1:5" ht="15">
      <c r="A353" s="13">
        <v>52655</v>
      </c>
      <c r="B353" s="4">
        <f>25.2262 * CHOOSE(CONTROL!$C$8, $C$12, 100%, $E$12) + CHOOSE(CONTROL!$C$27, 0.0003, 0)</f>
        <v>25.226499999999998</v>
      </c>
      <c r="C353" s="4">
        <f>24.9137 * CHOOSE(CONTROL!$C$8, $C$12, 100%, $E$12) + CHOOSE(CONTROL!$C$27, 0.0003, 0)</f>
        <v>24.913999999999998</v>
      </c>
      <c r="D353" s="4">
        <f>32.0509 * CHOOSE(CONTROL!$C$8, $C$12, 100%, $E$12) + CHOOSE(CONTROL!$C$27, 0, 0)</f>
        <v>32.050899999999999</v>
      </c>
      <c r="E353" s="4">
        <f>146.367522710604 * CHOOSE(CONTROL!$C$8, $C$12, 100%, $E$12) + CHOOSE(CONTROL!$C$27, 0, 0)</f>
        <v>146.36752271060399</v>
      </c>
    </row>
    <row r="354" spans="1:5" ht="15">
      <c r="A354" s="13">
        <v>52687</v>
      </c>
      <c r="B354" s="4">
        <f>26.6485 * CHOOSE(CONTROL!$C$8, $C$12, 100%, $E$12) + CHOOSE(CONTROL!$C$27, 0.0003, 0)</f>
        <v>26.648799999999998</v>
      </c>
      <c r="C354" s="4">
        <f>26.336 * CHOOSE(CONTROL!$C$8, $C$12, 100%, $E$12) + CHOOSE(CONTROL!$C$27, 0.0003, 0)</f>
        <v>26.336299999999998</v>
      </c>
      <c r="D354" s="4">
        <f>33.6704 * CHOOSE(CONTROL!$C$8, $C$12, 100%, $E$12) + CHOOSE(CONTROL!$C$27, 0, 0)</f>
        <v>33.670400000000001</v>
      </c>
      <c r="E354" s="4">
        <f>155.282283443278 * CHOOSE(CONTROL!$C$8, $C$12, 100%, $E$12) + CHOOSE(CONTROL!$C$27, 0, 0)</f>
        <v>155.282283443278</v>
      </c>
    </row>
    <row r="355" spans="1:5" ht="15">
      <c r="A355" s="13">
        <v>52717</v>
      </c>
      <c r="B355" s="4">
        <f>27.659 * CHOOSE(CONTROL!$C$8, $C$12, 100%, $E$12) + CHOOSE(CONTROL!$C$27, 0.0003, 0)</f>
        <v>27.659299999999998</v>
      </c>
      <c r="C355" s="4">
        <f>27.3465 * CHOOSE(CONTROL!$C$8, $C$12, 100%, $E$12) + CHOOSE(CONTROL!$C$27, 0.0003, 0)</f>
        <v>27.346799999999998</v>
      </c>
      <c r="D355" s="4">
        <f>34.6033 * CHOOSE(CONTROL!$C$8, $C$12, 100%, $E$12) + CHOOSE(CONTROL!$C$27, 0, 0)</f>
        <v>34.603299999999997</v>
      </c>
      <c r="E355" s="4">
        <f>161.616339748651 * CHOOSE(CONTROL!$C$8, $C$12, 100%, $E$12) + CHOOSE(CONTROL!$C$27, 0, 0)</f>
        <v>161.616339748651</v>
      </c>
    </row>
    <row r="356" spans="1:5" ht="15">
      <c r="A356" s="13">
        <v>52748</v>
      </c>
      <c r="B356" s="4">
        <f>28.2764 * CHOOSE(CONTROL!$C$8, $C$12, 100%, $E$12) + CHOOSE(CONTROL!$C$27, 0.0166, 0)</f>
        <v>28.292999999999999</v>
      </c>
      <c r="C356" s="4">
        <f>27.9639 * CHOOSE(CONTROL!$C$8, $C$12, 100%, $E$12) + CHOOSE(CONTROL!$C$27, 0.0166, 0)</f>
        <v>27.980499999999999</v>
      </c>
      <c r="D356" s="4">
        <f>34.2346 * CHOOSE(CONTROL!$C$8, $C$12, 100%, $E$12) + CHOOSE(CONTROL!$C$27, 0, 0)</f>
        <v>34.2346</v>
      </c>
      <c r="E356" s="4">
        <f>165.486296345091 * CHOOSE(CONTROL!$C$8, $C$12, 100%, $E$12) + CHOOSE(CONTROL!$C$27, 0, 0)</f>
        <v>165.48629634509101</v>
      </c>
    </row>
    <row r="357" spans="1:5" ht="15">
      <c r="A357" s="13">
        <v>52778</v>
      </c>
      <c r="B357" s="4">
        <f>28.3599 * CHOOSE(CONTROL!$C$8, $C$12, 100%, $E$12) + CHOOSE(CONTROL!$C$27, 0.0166, 0)</f>
        <v>28.3765</v>
      </c>
      <c r="C357" s="4">
        <f>28.0474 * CHOOSE(CONTROL!$C$8, $C$12, 100%, $E$12) + CHOOSE(CONTROL!$C$27, 0.0166, 0)</f>
        <v>28.064</v>
      </c>
      <c r="D357" s="4">
        <f>34.5349 * CHOOSE(CONTROL!$C$8, $C$12, 100%, $E$12) + CHOOSE(CONTROL!$C$27, 0, 0)</f>
        <v>34.5349</v>
      </c>
      <c r="E357" s="4">
        <f>166.009917533239 * CHOOSE(CONTROL!$C$8, $C$12, 100%, $E$12) + CHOOSE(CONTROL!$C$27, 0, 0)</f>
        <v>166.00991753323899</v>
      </c>
    </row>
    <row r="358" spans="1:5" ht="15">
      <c r="A358" s="13">
        <v>52809</v>
      </c>
      <c r="B358" s="4">
        <f>28.3515 * CHOOSE(CONTROL!$C$8, $C$12, 100%, $E$12) + CHOOSE(CONTROL!$C$27, 0.0166, 0)</f>
        <v>28.368100000000002</v>
      </c>
      <c r="C358" s="4">
        <f>28.039 * CHOOSE(CONTROL!$C$8, $C$12, 100%, $E$12) + CHOOSE(CONTROL!$C$27, 0.0166, 0)</f>
        <v>28.055600000000002</v>
      </c>
      <c r="D358" s="4">
        <f>35.0766 * CHOOSE(CONTROL!$C$8, $C$12, 100%, $E$12) + CHOOSE(CONTROL!$C$27, 0, 0)</f>
        <v>35.076599999999999</v>
      </c>
      <c r="E358" s="4">
        <f>165.957115396619 * CHOOSE(CONTROL!$C$8, $C$12, 100%, $E$12) + CHOOSE(CONTROL!$C$27, 0, 0)</f>
        <v>165.957115396619</v>
      </c>
    </row>
    <row r="359" spans="1:5" ht="15">
      <c r="A359" s="13">
        <v>52840</v>
      </c>
      <c r="B359" s="4">
        <f>28.9854 * CHOOSE(CONTROL!$C$8, $C$12, 100%, $E$12) + CHOOSE(CONTROL!$C$27, 0.0166, 0)</f>
        <v>29.001999999999999</v>
      </c>
      <c r="C359" s="4">
        <f>28.6729 * CHOOSE(CONTROL!$C$8, $C$12, 100%, $E$12) + CHOOSE(CONTROL!$C$27, 0.0166, 0)</f>
        <v>28.689499999999999</v>
      </c>
      <c r="D359" s="4">
        <f>34.7188 * CHOOSE(CONTROL!$C$8, $C$12, 100%, $E$12) + CHOOSE(CONTROL!$C$27, 0, 0)</f>
        <v>34.718800000000002</v>
      </c>
      <c r="E359" s="4">
        <f>169.930476177273 * CHOOSE(CONTROL!$C$8, $C$12, 100%, $E$12) + CHOOSE(CONTROL!$C$27, 0, 0)</f>
        <v>169.93047617727299</v>
      </c>
    </row>
    <row r="360" spans="1:5" ht="15">
      <c r="A360" s="13">
        <v>52870</v>
      </c>
      <c r="B360" s="4">
        <f>27.905 * CHOOSE(CONTROL!$C$8, $C$12, 100%, $E$12) + CHOOSE(CONTROL!$C$27, 0.0166, 0)</f>
        <v>27.921600000000002</v>
      </c>
      <c r="C360" s="4">
        <f>27.5925 * CHOOSE(CONTROL!$C$8, $C$12, 100%, $E$12) + CHOOSE(CONTROL!$C$27, 0.0166, 0)</f>
        <v>27.609100000000002</v>
      </c>
      <c r="D360" s="4">
        <f>34.5498 * CHOOSE(CONTROL!$C$8, $C$12, 100%, $E$12) + CHOOSE(CONTROL!$C$27, 0, 0)</f>
        <v>34.549799999999998</v>
      </c>
      <c r="E360" s="4">
        <f>163.15860215576 * CHOOSE(CONTROL!$C$8, $C$12, 100%, $E$12) + CHOOSE(CONTROL!$C$27, 0, 0)</f>
        <v>163.15860215576001</v>
      </c>
    </row>
    <row r="361" spans="1:5" ht="15">
      <c r="A361" s="13">
        <v>52901</v>
      </c>
      <c r="B361" s="4">
        <f>27.0402 * CHOOSE(CONTROL!$C$8, $C$12, 100%, $E$12) + CHOOSE(CONTROL!$C$27, 0.0003, 0)</f>
        <v>27.040499999999998</v>
      </c>
      <c r="C361" s="4">
        <f>26.7277 * CHOOSE(CONTROL!$C$8, $C$12, 100%, $E$12) + CHOOSE(CONTROL!$C$27, 0.0003, 0)</f>
        <v>26.727999999999998</v>
      </c>
      <c r="D361" s="4">
        <f>34.0972 * CHOOSE(CONTROL!$C$8, $C$12, 100%, $E$12) + CHOOSE(CONTROL!$C$27, 0, 0)</f>
        <v>34.097200000000001</v>
      </c>
      <c r="E361" s="4">
        <f>157.737582796107 * CHOOSE(CONTROL!$C$8, $C$12, 100%, $E$12) + CHOOSE(CONTROL!$C$27, 0, 0)</f>
        <v>157.73758279610701</v>
      </c>
    </row>
    <row r="362" spans="1:5" ht="15">
      <c r="A362" s="13">
        <v>52931</v>
      </c>
      <c r="B362" s="4">
        <f>26.4831 * CHOOSE(CONTROL!$C$8, $C$12, 100%, $E$12) + CHOOSE(CONTROL!$C$27, 0.0003, 0)</f>
        <v>26.4834</v>
      </c>
      <c r="C362" s="4">
        <f>26.1706 * CHOOSE(CONTROL!$C$8, $C$12, 100%, $E$12) + CHOOSE(CONTROL!$C$27, 0.0003, 0)</f>
        <v>26.1709</v>
      </c>
      <c r="D362" s="4">
        <f>33.9416 * CHOOSE(CONTROL!$C$8, $C$12, 100%, $E$12) + CHOOSE(CONTROL!$C$27, 0, 0)</f>
        <v>33.941600000000001</v>
      </c>
      <c r="E362" s="4">
        <f>154.246041512111 * CHOOSE(CONTROL!$C$8, $C$12, 100%, $E$12) + CHOOSE(CONTROL!$C$27, 0, 0)</f>
        <v>154.24604151211099</v>
      </c>
    </row>
    <row r="363" spans="1:5" ht="15">
      <c r="A363" s="13">
        <v>52962</v>
      </c>
      <c r="B363" s="4">
        <f>26.0977 * CHOOSE(CONTROL!$C$8, $C$12, 100%, $E$12) + CHOOSE(CONTROL!$C$27, 0.0003, 0)</f>
        <v>26.097999999999999</v>
      </c>
      <c r="C363" s="4">
        <f>25.7852 * CHOOSE(CONTROL!$C$8, $C$12, 100%, $E$12) + CHOOSE(CONTROL!$C$27, 0.0003, 0)</f>
        <v>25.785499999999999</v>
      </c>
      <c r="D363" s="4">
        <f>32.7961 * CHOOSE(CONTROL!$C$8, $C$12, 100%, $E$12) + CHOOSE(CONTROL!$C$27, 0, 0)</f>
        <v>32.796100000000003</v>
      </c>
      <c r="E363" s="4">
        <f>151.830343761746 * CHOOSE(CONTROL!$C$8, $C$12, 100%, $E$12) + CHOOSE(CONTROL!$C$27, 0, 0)</f>
        <v>151.83034376174601</v>
      </c>
    </row>
    <row r="364" spans="1:5" ht="15">
      <c r="A364" s="13">
        <v>52993</v>
      </c>
      <c r="B364" s="4">
        <f>25.4716 * CHOOSE(CONTROL!$C$8, $C$12, 100%, $E$12) + CHOOSE(CONTROL!$C$27, 0.0003, 0)</f>
        <v>25.471899999999998</v>
      </c>
      <c r="C364" s="4">
        <f>25.1591 * CHOOSE(CONTROL!$C$8, $C$12, 100%, $E$12) + CHOOSE(CONTROL!$C$27, 0.0003, 0)</f>
        <v>25.159399999999998</v>
      </c>
      <c r="D364" s="4">
        <f>31.7433 * CHOOSE(CONTROL!$C$8, $C$12, 100%, $E$12) + CHOOSE(CONTROL!$C$27, 0, 0)</f>
        <v>31.743300000000001</v>
      </c>
      <c r="E364" s="4">
        <f>147.476428082072 * CHOOSE(CONTROL!$C$8, $C$12, 100%, $E$12) + CHOOSE(CONTROL!$C$27, 0, 0)</f>
        <v>147.476428082072</v>
      </c>
    </row>
    <row r="365" spans="1:5" ht="15">
      <c r="A365" s="13">
        <v>53021</v>
      </c>
      <c r="B365" s="4">
        <f>26.0318 * CHOOSE(CONTROL!$C$8, $C$12, 100%, $E$12) + CHOOSE(CONTROL!$C$27, 0.0003, 0)</f>
        <v>26.0321</v>
      </c>
      <c r="C365" s="4">
        <f>25.7193 * CHOOSE(CONTROL!$C$8, $C$12, 100%, $E$12) + CHOOSE(CONTROL!$C$27, 0.0003, 0)</f>
        <v>25.7196</v>
      </c>
      <c r="D365" s="4">
        <f>32.8035 * CHOOSE(CONTROL!$C$8, $C$12, 100%, $E$12) + CHOOSE(CONTROL!$C$27, 0, 0)</f>
        <v>32.8035</v>
      </c>
      <c r="E365" s="4">
        <f>150.978099675988 * CHOOSE(CONTROL!$C$8, $C$12, 100%, $E$12) + CHOOSE(CONTROL!$C$27, 0, 0)</f>
        <v>150.97809967598801</v>
      </c>
    </row>
    <row r="366" spans="1:5" ht="15">
      <c r="A366" s="13">
        <v>53052</v>
      </c>
      <c r="B366" s="4">
        <f>27.5031 * CHOOSE(CONTROL!$C$8, $C$12, 100%, $E$12) + CHOOSE(CONTROL!$C$27, 0.0003, 0)</f>
        <v>27.503399999999999</v>
      </c>
      <c r="C366" s="4">
        <f>27.1906 * CHOOSE(CONTROL!$C$8, $C$12, 100%, $E$12) + CHOOSE(CONTROL!$C$27, 0.0003, 0)</f>
        <v>27.190899999999999</v>
      </c>
      <c r="D366" s="4">
        <f>34.4631 * CHOOSE(CONTROL!$C$8, $C$12, 100%, $E$12) + CHOOSE(CONTROL!$C$27, 0, 0)</f>
        <v>34.463099999999997</v>
      </c>
      <c r="E366" s="4">
        <f>160.173675371741 * CHOOSE(CONTROL!$C$8, $C$12, 100%, $E$12) + CHOOSE(CONTROL!$C$27, 0, 0)</f>
        <v>160.17367537174101</v>
      </c>
    </row>
    <row r="367" spans="1:5" ht="15">
      <c r="A367" s="13">
        <v>53082</v>
      </c>
      <c r="B367" s="4">
        <f>28.5485 * CHOOSE(CONTROL!$C$8, $C$12, 100%, $E$12) + CHOOSE(CONTROL!$C$27, 0.0003, 0)</f>
        <v>28.5488</v>
      </c>
      <c r="C367" s="4">
        <f>28.236 * CHOOSE(CONTROL!$C$8, $C$12, 100%, $E$12) + CHOOSE(CONTROL!$C$27, 0.0003, 0)</f>
        <v>28.2363</v>
      </c>
      <c r="D367" s="4">
        <f>35.4192 * CHOOSE(CONTROL!$C$8, $C$12, 100%, $E$12) + CHOOSE(CONTROL!$C$27, 0, 0)</f>
        <v>35.419199999999996</v>
      </c>
      <c r="E367" s="4">
        <f>166.707254450733 * CHOOSE(CONTROL!$C$8, $C$12, 100%, $E$12) + CHOOSE(CONTROL!$C$27, 0, 0)</f>
        <v>166.70725445073299</v>
      </c>
    </row>
    <row r="368" spans="1:5" ht="15">
      <c r="A368" s="13">
        <v>53113</v>
      </c>
      <c r="B368" s="4">
        <f>29.1872 * CHOOSE(CONTROL!$C$8, $C$12, 100%, $E$12) + CHOOSE(CONTROL!$C$27, 0.0166, 0)</f>
        <v>29.203800000000001</v>
      </c>
      <c r="C368" s="4">
        <f>28.8747 * CHOOSE(CONTROL!$C$8, $C$12, 100%, $E$12) + CHOOSE(CONTROL!$C$27, 0.0166, 0)</f>
        <v>28.891300000000001</v>
      </c>
      <c r="D368" s="4">
        <f>35.0414 * CHOOSE(CONTROL!$C$8, $C$12, 100%, $E$12) + CHOOSE(CONTROL!$C$27, 0, 0)</f>
        <v>35.041400000000003</v>
      </c>
      <c r="E368" s="4">
        <f>170.699114679961 * CHOOSE(CONTROL!$C$8, $C$12, 100%, $E$12) + CHOOSE(CONTROL!$C$27, 0, 0)</f>
        <v>170.69911467996101</v>
      </c>
    </row>
    <row r="369" spans="1:5" ht="15">
      <c r="A369" s="13">
        <v>53143</v>
      </c>
      <c r="B369" s="4">
        <f>29.2737 * CHOOSE(CONTROL!$C$8, $C$12, 100%, $E$12) + CHOOSE(CONTROL!$C$27, 0.0166, 0)</f>
        <v>29.290300000000002</v>
      </c>
      <c r="C369" s="4">
        <f>28.9612 * CHOOSE(CONTROL!$C$8, $C$12, 100%, $E$12) + CHOOSE(CONTROL!$C$27, 0.0166, 0)</f>
        <v>28.977800000000002</v>
      </c>
      <c r="D369" s="4">
        <f>35.349 * CHOOSE(CONTROL!$C$8, $C$12, 100%, $E$12) + CHOOSE(CONTROL!$C$27, 0, 0)</f>
        <v>35.348999999999997</v>
      </c>
      <c r="E369" s="4">
        <f>171.239229935536 * CHOOSE(CONTROL!$C$8, $C$12, 100%, $E$12) + CHOOSE(CONTROL!$C$27, 0, 0)</f>
        <v>171.239229935536</v>
      </c>
    </row>
    <row r="370" spans="1:5" ht="15">
      <c r="A370" s="13">
        <v>53174</v>
      </c>
      <c r="B370" s="4">
        <f>29.2649 * CHOOSE(CONTROL!$C$8, $C$12, 100%, $E$12) + CHOOSE(CONTROL!$C$27, 0.0166, 0)</f>
        <v>29.281500000000001</v>
      </c>
      <c r="C370" s="4">
        <f>28.9524 * CHOOSE(CONTROL!$C$8, $C$12, 100%, $E$12) + CHOOSE(CONTROL!$C$27, 0.0166, 0)</f>
        <v>28.969000000000001</v>
      </c>
      <c r="D370" s="4">
        <f>35.9042 * CHOOSE(CONTROL!$C$8, $C$12, 100%, $E$12) + CHOOSE(CONTROL!$C$27, 0, 0)</f>
        <v>35.904200000000003</v>
      </c>
      <c r="E370" s="4">
        <f>171.184764531612 * CHOOSE(CONTROL!$C$8, $C$12, 100%, $E$12) + CHOOSE(CONTROL!$C$27, 0, 0)</f>
        <v>171.18476453161199</v>
      </c>
    </row>
    <row r="371" spans="1:5" ht="15">
      <c r="A371" s="13">
        <v>53205</v>
      </c>
      <c r="B371" s="4">
        <f>29.9207 * CHOOSE(CONTROL!$C$8, $C$12, 100%, $E$12) + CHOOSE(CONTROL!$C$27, 0.0166, 0)</f>
        <v>29.9373</v>
      </c>
      <c r="C371" s="4">
        <f>29.6082 * CHOOSE(CONTROL!$C$8, $C$12, 100%, $E$12) + CHOOSE(CONTROL!$C$27, 0.0166, 0)</f>
        <v>29.6248</v>
      </c>
      <c r="D371" s="4">
        <f>35.5376 * CHOOSE(CONTROL!$C$8, $C$12, 100%, $E$12) + CHOOSE(CONTROL!$C$27, 0, 0)</f>
        <v>35.537599999999998</v>
      </c>
      <c r="E371" s="4">
        <f>175.283286176857 * CHOOSE(CONTROL!$C$8, $C$12, 100%, $E$12) + CHOOSE(CONTROL!$C$27, 0, 0)</f>
        <v>175.28328617685699</v>
      </c>
    </row>
    <row r="372" spans="1:5" ht="15">
      <c r="A372" s="13">
        <v>53235</v>
      </c>
      <c r="B372" s="4">
        <f>28.8031 * CHOOSE(CONTROL!$C$8, $C$12, 100%, $E$12) + CHOOSE(CONTROL!$C$27, 0.0166, 0)</f>
        <v>28.819700000000001</v>
      </c>
      <c r="C372" s="4">
        <f>28.4906 * CHOOSE(CONTROL!$C$8, $C$12, 100%, $E$12) + CHOOSE(CONTROL!$C$27, 0.0166, 0)</f>
        <v>28.507200000000001</v>
      </c>
      <c r="D372" s="4">
        <f>35.3644 * CHOOSE(CONTROL!$C$8, $C$12, 100%, $E$12) + CHOOSE(CONTROL!$C$27, 0, 0)</f>
        <v>35.364400000000003</v>
      </c>
      <c r="E372" s="4">
        <f>168.298098123666 * CHOOSE(CONTROL!$C$8, $C$12, 100%, $E$12) + CHOOSE(CONTROL!$C$27, 0, 0)</f>
        <v>168.29809812366599</v>
      </c>
    </row>
    <row r="373" spans="1:5" ht="15">
      <c r="A373" s="13">
        <v>53266</v>
      </c>
      <c r="B373" s="4">
        <f>27.9084 * CHOOSE(CONTROL!$C$8, $C$12, 100%, $E$12) + CHOOSE(CONTROL!$C$27, 0.0003, 0)</f>
        <v>27.9087</v>
      </c>
      <c r="C373" s="4">
        <f>27.5959 * CHOOSE(CONTROL!$C$8, $C$12, 100%, $E$12) + CHOOSE(CONTROL!$C$27, 0.0003, 0)</f>
        <v>27.5962</v>
      </c>
      <c r="D373" s="4">
        <f>34.9006 * CHOOSE(CONTROL!$C$8, $C$12, 100%, $E$12) + CHOOSE(CONTROL!$C$27, 0, 0)</f>
        <v>34.900599999999997</v>
      </c>
      <c r="E373" s="4">
        <f>162.706316654185 * CHOOSE(CONTROL!$C$8, $C$12, 100%, $E$12) + CHOOSE(CONTROL!$C$27, 0, 0)</f>
        <v>162.706316654185</v>
      </c>
    </row>
    <row r="374" spans="1:5" ht="15">
      <c r="A374" s="13">
        <v>53296</v>
      </c>
      <c r="B374" s="4">
        <f>27.3321 * CHOOSE(CONTROL!$C$8, $C$12, 100%, $E$12) + CHOOSE(CONTROL!$C$27, 0.0003, 0)</f>
        <v>27.3324</v>
      </c>
      <c r="C374" s="4">
        <f>27.0196 * CHOOSE(CONTROL!$C$8, $C$12, 100%, $E$12) + CHOOSE(CONTROL!$C$27, 0.0003, 0)</f>
        <v>27.0199</v>
      </c>
      <c r="D374" s="4">
        <f>34.7411 * CHOOSE(CONTROL!$C$8, $C$12, 100%, $E$12) + CHOOSE(CONTROL!$C$27, 0, 0)</f>
        <v>34.741100000000003</v>
      </c>
      <c r="E374" s="4">
        <f>159.104791819742 * CHOOSE(CONTROL!$C$8, $C$12, 100%, $E$12) + CHOOSE(CONTROL!$C$27, 0, 0)</f>
        <v>159.10479181974199</v>
      </c>
    </row>
    <row r="375" spans="1:5" ht="15">
      <c r="A375" s="13">
        <v>53327</v>
      </c>
      <c r="B375" s="4">
        <f>26.9334 * CHOOSE(CONTROL!$C$8, $C$12, 100%, $E$12) + CHOOSE(CONTROL!$C$27, 0.0003, 0)</f>
        <v>26.933699999999998</v>
      </c>
      <c r="C375" s="4">
        <f>26.6209 * CHOOSE(CONTROL!$C$8, $C$12, 100%, $E$12) + CHOOSE(CONTROL!$C$27, 0.0003, 0)</f>
        <v>26.621199999999998</v>
      </c>
      <c r="D375" s="4">
        <f>33.5672 * CHOOSE(CONTROL!$C$8, $C$12, 100%, $E$12) + CHOOSE(CONTROL!$C$27, 0, 0)</f>
        <v>33.5672</v>
      </c>
      <c r="E375" s="4">
        <f>156.612999590241 * CHOOSE(CONTROL!$C$8, $C$12, 100%, $E$12) + CHOOSE(CONTROL!$C$27, 0, 0)</f>
        <v>156.612999590241</v>
      </c>
    </row>
    <row r="376" spans="1:5" ht="15">
      <c r="A376" s="13">
        <v>53358</v>
      </c>
      <c r="B376" s="4">
        <f>26.2856 * CHOOSE(CONTROL!$C$8, $C$12, 100%, $E$12) + CHOOSE(CONTROL!$C$27, 0.0003, 0)</f>
        <v>26.285899999999998</v>
      </c>
      <c r="C376" s="4">
        <f>25.9731 * CHOOSE(CONTROL!$C$8, $C$12, 100%, $E$12) + CHOOSE(CONTROL!$C$27, 0.0003, 0)</f>
        <v>25.973399999999998</v>
      </c>
      <c r="D376" s="4">
        <f>32.4883 * CHOOSE(CONTROL!$C$8, $C$12, 100%, $E$12) + CHOOSE(CONTROL!$C$27, 0, 0)</f>
        <v>32.488300000000002</v>
      </c>
      <c r="E376" s="4">
        <f>152.121935566657 * CHOOSE(CONTROL!$C$8, $C$12, 100%, $E$12) + CHOOSE(CONTROL!$C$27, 0, 0)</f>
        <v>152.12193556665699</v>
      </c>
    </row>
    <row r="377" spans="1:5" ht="15">
      <c r="A377" s="13">
        <v>53386</v>
      </c>
      <c r="B377" s="4">
        <f>26.8652 * CHOOSE(CONTROL!$C$8, $C$12, 100%, $E$12) + CHOOSE(CONTROL!$C$27, 0.0003, 0)</f>
        <v>26.865500000000001</v>
      </c>
      <c r="C377" s="4">
        <f>26.5527 * CHOOSE(CONTROL!$C$8, $C$12, 100%, $E$12) + CHOOSE(CONTROL!$C$27, 0.0003, 0)</f>
        <v>26.553000000000001</v>
      </c>
      <c r="D377" s="4">
        <f>33.5748 * CHOOSE(CONTROL!$C$8, $C$12, 100%, $E$12) + CHOOSE(CONTROL!$C$27, 0, 0)</f>
        <v>33.574800000000003</v>
      </c>
      <c r="E377" s="4">
        <f>155.733909815781 * CHOOSE(CONTROL!$C$8, $C$12, 100%, $E$12) + CHOOSE(CONTROL!$C$27, 0, 0)</f>
        <v>155.733909815781</v>
      </c>
    </row>
    <row r="378" spans="1:5" ht="15">
      <c r="A378" s="13">
        <v>53417</v>
      </c>
      <c r="B378" s="4">
        <f>28.3873 * CHOOSE(CONTROL!$C$8, $C$12, 100%, $E$12) + CHOOSE(CONTROL!$C$27, 0.0003, 0)</f>
        <v>28.387599999999999</v>
      </c>
      <c r="C378" s="4">
        <f>28.0748 * CHOOSE(CONTROL!$C$8, $C$12, 100%, $E$12) + CHOOSE(CONTROL!$C$27, 0.0003, 0)</f>
        <v>28.075099999999999</v>
      </c>
      <c r="D378" s="4">
        <f>35.2756 * CHOOSE(CONTROL!$C$8, $C$12, 100%, $E$12) + CHOOSE(CONTROL!$C$27, 0, 0)</f>
        <v>35.275599999999997</v>
      </c>
      <c r="E378" s="4">
        <f>165.219146145951 * CHOOSE(CONTROL!$C$8, $C$12, 100%, $E$12) + CHOOSE(CONTROL!$C$27, 0, 0)</f>
        <v>165.21914614595099</v>
      </c>
    </row>
    <row r="379" spans="1:5" ht="15">
      <c r="A379" s="13">
        <v>53447</v>
      </c>
      <c r="B379" s="4">
        <f>29.4688 * CHOOSE(CONTROL!$C$8, $C$12, 100%, $E$12) + CHOOSE(CONTROL!$C$27, 0.0003, 0)</f>
        <v>29.469100000000001</v>
      </c>
      <c r="C379" s="4">
        <f>29.1563 * CHOOSE(CONTROL!$C$8, $C$12, 100%, $E$12) + CHOOSE(CONTROL!$C$27, 0.0003, 0)</f>
        <v>29.156600000000001</v>
      </c>
      <c r="D379" s="4">
        <f>36.2553 * CHOOSE(CONTROL!$C$8, $C$12, 100%, $E$12) + CHOOSE(CONTROL!$C$27, 0, 0)</f>
        <v>36.255299999999998</v>
      </c>
      <c r="E379" s="4">
        <f>171.958532965931 * CHOOSE(CONTROL!$C$8, $C$12, 100%, $E$12) + CHOOSE(CONTROL!$C$27, 0, 0)</f>
        <v>171.958532965931</v>
      </c>
    </row>
    <row r="380" spans="1:5" ht="15">
      <c r="A380" s="13">
        <v>53478</v>
      </c>
      <c r="B380" s="4">
        <f>30.1295 * CHOOSE(CONTROL!$C$8, $C$12, 100%, $E$12) + CHOOSE(CONTROL!$C$27, 0.0166, 0)</f>
        <v>30.146100000000001</v>
      </c>
      <c r="C380" s="4">
        <f>29.817 * CHOOSE(CONTROL!$C$8, $C$12, 100%, $E$12) + CHOOSE(CONTROL!$C$27, 0.0166, 0)</f>
        <v>29.833600000000001</v>
      </c>
      <c r="D380" s="4">
        <f>35.8681 * CHOOSE(CONTROL!$C$8, $C$12, 100%, $E$12) + CHOOSE(CONTROL!$C$27, 0, 0)</f>
        <v>35.868099999999998</v>
      </c>
      <c r="E380" s="4">
        <f>176.07613679238 * CHOOSE(CONTROL!$C$8, $C$12, 100%, $E$12) + CHOOSE(CONTROL!$C$27, 0, 0)</f>
        <v>176.07613679238</v>
      </c>
    </row>
    <row r="381" spans="1:5" ht="15">
      <c r="A381" s="13">
        <v>53508</v>
      </c>
      <c r="B381" s="4">
        <f>30.2189 * CHOOSE(CONTROL!$C$8, $C$12, 100%, $E$12) + CHOOSE(CONTROL!$C$27, 0.0166, 0)</f>
        <v>30.235500000000002</v>
      </c>
      <c r="C381" s="4">
        <f>29.9064 * CHOOSE(CONTROL!$C$8, $C$12, 100%, $E$12) + CHOOSE(CONTROL!$C$27, 0.0166, 0)</f>
        <v>29.923000000000002</v>
      </c>
      <c r="D381" s="4">
        <f>36.1834 * CHOOSE(CONTROL!$C$8, $C$12, 100%, $E$12) + CHOOSE(CONTROL!$C$27, 0, 0)</f>
        <v>36.183399999999999</v>
      </c>
      <c r="E381" s="4">
        <f>176.633265678505 * CHOOSE(CONTROL!$C$8, $C$12, 100%, $E$12) + CHOOSE(CONTROL!$C$27, 0, 0)</f>
        <v>176.63326567850501</v>
      </c>
    </row>
    <row r="382" spans="1:5" ht="15">
      <c r="A382" s="13">
        <v>53539</v>
      </c>
      <c r="B382" s="4">
        <f>30.2099 * CHOOSE(CONTROL!$C$8, $C$12, 100%, $E$12) + CHOOSE(CONTROL!$C$27, 0.0166, 0)</f>
        <v>30.226500000000001</v>
      </c>
      <c r="C382" s="4">
        <f>29.8974 * CHOOSE(CONTROL!$C$8, $C$12, 100%, $E$12) + CHOOSE(CONTROL!$C$27, 0.0166, 0)</f>
        <v>29.914000000000001</v>
      </c>
      <c r="D382" s="4">
        <f>36.7523 * CHOOSE(CONTROL!$C$8, $C$12, 100%, $E$12) + CHOOSE(CONTROL!$C$27, 0, 0)</f>
        <v>36.752299999999998</v>
      </c>
      <c r="E382" s="4">
        <f>176.577084614358 * CHOOSE(CONTROL!$C$8, $C$12, 100%, $E$12) + CHOOSE(CONTROL!$C$27, 0, 0)</f>
        <v>176.577084614358</v>
      </c>
    </row>
    <row r="383" spans="1:5" ht="15">
      <c r="A383" s="13">
        <v>53570</v>
      </c>
      <c r="B383" s="4">
        <f>30.8883 * CHOOSE(CONTROL!$C$8, $C$12, 100%, $E$12) + CHOOSE(CONTROL!$C$27, 0.0166, 0)</f>
        <v>30.904900000000001</v>
      </c>
      <c r="C383" s="4">
        <f>30.5758 * CHOOSE(CONTROL!$C$8, $C$12, 100%, $E$12) + CHOOSE(CONTROL!$C$27, 0.0166, 0)</f>
        <v>30.592400000000001</v>
      </c>
      <c r="D383" s="4">
        <f>36.3766 * CHOOSE(CONTROL!$C$8, $C$12, 100%, $E$12) + CHOOSE(CONTROL!$C$27, 0, 0)</f>
        <v>36.376600000000003</v>
      </c>
      <c r="E383" s="4">
        <f>180.804709691428 * CHOOSE(CONTROL!$C$8, $C$12, 100%, $E$12) + CHOOSE(CONTROL!$C$27, 0, 0)</f>
        <v>180.804709691428</v>
      </c>
    </row>
    <row r="384" spans="1:5" ht="15">
      <c r="A384" s="13">
        <v>53600</v>
      </c>
      <c r="B384" s="4">
        <f>29.7321 * CHOOSE(CONTROL!$C$8, $C$12, 100%, $E$12) + CHOOSE(CONTROL!$C$27, 0.0166, 0)</f>
        <v>29.748699999999999</v>
      </c>
      <c r="C384" s="4">
        <f>29.4196 * CHOOSE(CONTROL!$C$8, $C$12, 100%, $E$12) + CHOOSE(CONTROL!$C$27, 0.0166, 0)</f>
        <v>29.436199999999999</v>
      </c>
      <c r="D384" s="4">
        <f>36.1991 * CHOOSE(CONTROL!$C$8, $C$12, 100%, $E$12) + CHOOSE(CONTROL!$C$27, 0, 0)</f>
        <v>36.199100000000001</v>
      </c>
      <c r="E384" s="4">
        <f>173.599488214561 * CHOOSE(CONTROL!$C$8, $C$12, 100%, $E$12) + CHOOSE(CONTROL!$C$27, 0, 0)</f>
        <v>173.59948821456101</v>
      </c>
    </row>
    <row r="385" spans="1:5" ht="15">
      <c r="A385" s="13">
        <v>53631</v>
      </c>
      <c r="B385" s="4">
        <f>28.8065 * CHOOSE(CONTROL!$C$8, $C$12, 100%, $E$12) + CHOOSE(CONTROL!$C$27, 0.0003, 0)</f>
        <v>28.806799999999999</v>
      </c>
      <c r="C385" s="4">
        <f>28.494 * CHOOSE(CONTROL!$C$8, $C$12, 100%, $E$12) + CHOOSE(CONTROL!$C$27, 0.0003, 0)</f>
        <v>28.494299999999999</v>
      </c>
      <c r="D385" s="4">
        <f>35.7238 * CHOOSE(CONTROL!$C$8, $C$12, 100%, $E$12) + CHOOSE(CONTROL!$C$27, 0, 0)</f>
        <v>35.723799999999997</v>
      </c>
      <c r="E385" s="4">
        <f>167.831565628792 * CHOOSE(CONTROL!$C$8, $C$12, 100%, $E$12) + CHOOSE(CONTROL!$C$27, 0, 0)</f>
        <v>167.83156562879199</v>
      </c>
    </row>
    <row r="386" spans="1:5" ht="15">
      <c r="A386" s="13">
        <v>53661</v>
      </c>
      <c r="B386" s="4">
        <f>28.2104 * CHOOSE(CONTROL!$C$8, $C$12, 100%, $E$12) + CHOOSE(CONTROL!$C$27, 0.0003, 0)</f>
        <v>28.210699999999999</v>
      </c>
      <c r="C386" s="4">
        <f>27.8979 * CHOOSE(CONTROL!$C$8, $C$12, 100%, $E$12) + CHOOSE(CONTROL!$C$27, 0.0003, 0)</f>
        <v>27.898199999999999</v>
      </c>
      <c r="D386" s="4">
        <f>35.5604 * CHOOSE(CONTROL!$C$8, $C$12, 100%, $E$12) + CHOOSE(CONTROL!$C$27, 0, 0)</f>
        <v>35.560400000000001</v>
      </c>
      <c r="E386" s="4">
        <f>164.116592762064 * CHOOSE(CONTROL!$C$8, $C$12, 100%, $E$12) + CHOOSE(CONTROL!$C$27, 0, 0)</f>
        <v>164.11659276206399</v>
      </c>
    </row>
    <row r="387" spans="1:5" ht="15">
      <c r="A387" s="13">
        <v>53692</v>
      </c>
      <c r="B387" s="4">
        <f>27.7979 * CHOOSE(CONTROL!$C$8, $C$12, 100%, $E$12) + CHOOSE(CONTROL!$C$27, 0.0003, 0)</f>
        <v>27.798199999999998</v>
      </c>
      <c r="C387" s="4">
        <f>27.4854 * CHOOSE(CONTROL!$C$8, $C$12, 100%, $E$12) + CHOOSE(CONTROL!$C$27, 0.0003, 0)</f>
        <v>27.485699999999998</v>
      </c>
      <c r="D387" s="4">
        <f>34.3574 * CHOOSE(CONTROL!$C$8, $C$12, 100%, $E$12) + CHOOSE(CONTROL!$C$27, 0, 0)</f>
        <v>34.357399999999998</v>
      </c>
      <c r="E387" s="4">
        <f>161.546309077334 * CHOOSE(CONTROL!$C$8, $C$12, 100%, $E$12) + CHOOSE(CONTROL!$C$27, 0, 0)</f>
        <v>161.546309077334</v>
      </c>
    </row>
    <row r="388" spans="1:5" ht="15">
      <c r="A388" s="13">
        <v>53723</v>
      </c>
      <c r="B388" s="4">
        <f>27.1278 * CHOOSE(CONTROL!$C$8, $C$12, 100%, $E$12) + CHOOSE(CONTROL!$C$27, 0.0003, 0)</f>
        <v>27.1281</v>
      </c>
      <c r="C388" s="4">
        <f>26.8153 * CHOOSE(CONTROL!$C$8, $C$12, 100%, $E$12) + CHOOSE(CONTROL!$C$27, 0.0003, 0)</f>
        <v>26.8156</v>
      </c>
      <c r="D388" s="4">
        <f>33.2517 * CHOOSE(CONTROL!$C$8, $C$12, 100%, $E$12) + CHOOSE(CONTROL!$C$27, 0, 0)</f>
        <v>33.2517</v>
      </c>
      <c r="E388" s="4">
        <f>156.913776537007 * CHOOSE(CONTROL!$C$8, $C$12, 100%, $E$12) + CHOOSE(CONTROL!$C$27, 0, 0)</f>
        <v>156.91377653700701</v>
      </c>
    </row>
    <row r="389" spans="1:5" ht="15">
      <c r="A389" s="13">
        <v>53751</v>
      </c>
      <c r="B389" s="4">
        <f>27.7274 * CHOOSE(CONTROL!$C$8, $C$12, 100%, $E$12) + CHOOSE(CONTROL!$C$27, 0.0003, 0)</f>
        <v>27.727699999999999</v>
      </c>
      <c r="C389" s="4">
        <f>27.4149 * CHOOSE(CONTROL!$C$8, $C$12, 100%, $E$12) + CHOOSE(CONTROL!$C$27, 0.0003, 0)</f>
        <v>27.415199999999999</v>
      </c>
      <c r="D389" s="4">
        <f>34.3651 * CHOOSE(CONTROL!$C$8, $C$12, 100%, $E$12) + CHOOSE(CONTROL!$C$27, 0, 0)</f>
        <v>34.365099999999998</v>
      </c>
      <c r="E389" s="4">
        <f>160.639527974978 * CHOOSE(CONTROL!$C$8, $C$12, 100%, $E$12) + CHOOSE(CONTROL!$C$27, 0, 0)</f>
        <v>160.63952797497799</v>
      </c>
    </row>
    <row r="390" spans="1:5" ht="15">
      <c r="A390" s="13">
        <v>53782</v>
      </c>
      <c r="B390" s="4">
        <f>29.302 * CHOOSE(CONTROL!$C$8, $C$12, 100%, $E$12) + CHOOSE(CONTROL!$C$27, 0.0003, 0)</f>
        <v>29.302299999999999</v>
      </c>
      <c r="C390" s="4">
        <f>28.9895 * CHOOSE(CONTROL!$C$8, $C$12, 100%, $E$12) + CHOOSE(CONTROL!$C$27, 0.0003, 0)</f>
        <v>28.989799999999999</v>
      </c>
      <c r="D390" s="4">
        <f>36.1081 * CHOOSE(CONTROL!$C$8, $C$12, 100%, $E$12) + CHOOSE(CONTROL!$C$27, 0, 0)</f>
        <v>36.1081</v>
      </c>
      <c r="E390" s="4">
        <f>170.423549249549 * CHOOSE(CONTROL!$C$8, $C$12, 100%, $E$12) + CHOOSE(CONTROL!$C$27, 0, 0)</f>
        <v>170.42354924954901</v>
      </c>
    </row>
    <row r="391" spans="1:5" ht="15">
      <c r="A391" s="13">
        <v>53812</v>
      </c>
      <c r="B391" s="4">
        <f>30.4208 * CHOOSE(CONTROL!$C$8, $C$12, 100%, $E$12) + CHOOSE(CONTROL!$C$27, 0.0003, 0)</f>
        <v>30.421099999999999</v>
      </c>
      <c r="C391" s="4">
        <f>30.1083 * CHOOSE(CONTROL!$C$8, $C$12, 100%, $E$12) + CHOOSE(CONTROL!$C$27, 0.0003, 0)</f>
        <v>30.108599999999999</v>
      </c>
      <c r="D391" s="4">
        <f>37.1121 * CHOOSE(CONTROL!$C$8, $C$12, 100%, $E$12) + CHOOSE(CONTROL!$C$27, 0, 0)</f>
        <v>37.112099999999998</v>
      </c>
      <c r="E391" s="4">
        <f>177.375226754358 * CHOOSE(CONTROL!$C$8, $C$12, 100%, $E$12) + CHOOSE(CONTROL!$C$27, 0, 0)</f>
        <v>177.37522675435801</v>
      </c>
    </row>
    <row r="392" spans="1:5" ht="15">
      <c r="A392" s="13">
        <v>53843</v>
      </c>
      <c r="B392" s="4">
        <f>31.1043 * CHOOSE(CONTROL!$C$8, $C$12, 100%, $E$12) + CHOOSE(CONTROL!$C$27, 0.0166, 0)</f>
        <v>31.120899999999999</v>
      </c>
      <c r="C392" s="4">
        <f>30.7918 * CHOOSE(CONTROL!$C$8, $C$12, 100%, $E$12) + CHOOSE(CONTROL!$C$27, 0.0166, 0)</f>
        <v>30.808399999999999</v>
      </c>
      <c r="D392" s="4">
        <f>36.7154 * CHOOSE(CONTROL!$C$8, $C$12, 100%, $E$12) + CHOOSE(CONTROL!$C$27, 0, 0)</f>
        <v>36.715400000000002</v>
      </c>
      <c r="E392" s="4">
        <f>181.62253510134 * CHOOSE(CONTROL!$C$8, $C$12, 100%, $E$12) + CHOOSE(CONTROL!$C$27, 0, 0)</f>
        <v>181.62253510133999</v>
      </c>
    </row>
    <row r="393" spans="1:5" ht="15">
      <c r="A393" s="13">
        <v>53873</v>
      </c>
      <c r="B393" s="4">
        <f>31.1968 * CHOOSE(CONTROL!$C$8, $C$12, 100%, $E$12) + CHOOSE(CONTROL!$C$27, 0.0166, 0)</f>
        <v>31.2134</v>
      </c>
      <c r="C393" s="4">
        <f>30.8843 * CHOOSE(CONTROL!$C$8, $C$12, 100%, $E$12) + CHOOSE(CONTROL!$C$27, 0.0166, 0)</f>
        <v>30.9009</v>
      </c>
      <c r="D393" s="4">
        <f>37.0385 * CHOOSE(CONTROL!$C$8, $C$12, 100%, $E$12) + CHOOSE(CONTROL!$C$27, 0, 0)</f>
        <v>37.038499999999999</v>
      </c>
      <c r="E393" s="4">
        <f>182.197213547378 * CHOOSE(CONTROL!$C$8, $C$12, 100%, $E$12) + CHOOSE(CONTROL!$C$27, 0, 0)</f>
        <v>182.197213547378</v>
      </c>
    </row>
    <row r="394" spans="1:5" ht="15">
      <c r="A394" s="13">
        <v>53904</v>
      </c>
      <c r="B394" s="4">
        <f>31.1874 * CHOOSE(CONTROL!$C$8, $C$12, 100%, $E$12) + CHOOSE(CONTROL!$C$27, 0.0166, 0)</f>
        <v>31.204000000000001</v>
      </c>
      <c r="C394" s="4">
        <f>30.8749 * CHOOSE(CONTROL!$C$8, $C$12, 100%, $E$12) + CHOOSE(CONTROL!$C$27, 0.0166, 0)</f>
        <v>30.891500000000001</v>
      </c>
      <c r="D394" s="4">
        <f>37.6215 * CHOOSE(CONTROL!$C$8, $C$12, 100%, $E$12) + CHOOSE(CONTROL!$C$27, 0, 0)</f>
        <v>37.621499999999997</v>
      </c>
      <c r="E394" s="4">
        <f>182.13926277971 * CHOOSE(CONTROL!$C$8, $C$12, 100%, $E$12) + CHOOSE(CONTROL!$C$27, 0, 0)</f>
        <v>182.13926277971001</v>
      </c>
    </row>
    <row r="395" spans="1:5" ht="15">
      <c r="A395" s="13">
        <v>53935</v>
      </c>
      <c r="B395" s="4">
        <f>31.8893 * CHOOSE(CONTROL!$C$8, $C$12, 100%, $E$12) + CHOOSE(CONTROL!$C$27, 0.0166, 0)</f>
        <v>31.905899999999999</v>
      </c>
      <c r="C395" s="4">
        <f>31.5768 * CHOOSE(CONTROL!$C$8, $C$12, 100%, $E$12) + CHOOSE(CONTROL!$C$27, 0.0166, 0)</f>
        <v>31.593399999999999</v>
      </c>
      <c r="D395" s="4">
        <f>37.2365 * CHOOSE(CONTROL!$C$8, $C$12, 100%, $E$12) + CHOOSE(CONTROL!$C$27, 0, 0)</f>
        <v>37.236499999999999</v>
      </c>
      <c r="E395" s="4">
        <f>186.500058046708 * CHOOSE(CONTROL!$C$8, $C$12, 100%, $E$12) + CHOOSE(CONTROL!$C$27, 0, 0)</f>
        <v>186.50005804670801</v>
      </c>
    </row>
    <row r="396" spans="1:5" ht="15">
      <c r="A396" s="13">
        <v>53965</v>
      </c>
      <c r="B396" s="4">
        <f>30.6932 * CHOOSE(CONTROL!$C$8, $C$12, 100%, $E$12) + CHOOSE(CONTROL!$C$27, 0.0166, 0)</f>
        <v>30.709800000000001</v>
      </c>
      <c r="C396" s="4">
        <f>30.3807 * CHOOSE(CONTROL!$C$8, $C$12, 100%, $E$12) + CHOOSE(CONTROL!$C$27, 0.0166, 0)</f>
        <v>30.397300000000001</v>
      </c>
      <c r="D396" s="4">
        <f>37.0546 * CHOOSE(CONTROL!$C$8, $C$12, 100%, $E$12) + CHOOSE(CONTROL!$C$27, 0, 0)</f>
        <v>37.054600000000001</v>
      </c>
      <c r="E396" s="4">
        <f>179.06787209332 * CHOOSE(CONTROL!$C$8, $C$12, 100%, $E$12) + CHOOSE(CONTROL!$C$27, 0, 0)</f>
        <v>179.06787209332001</v>
      </c>
    </row>
    <row r="397" spans="1:5" ht="15">
      <c r="A397" s="13">
        <v>53996</v>
      </c>
      <c r="B397" s="4">
        <f>29.7357 * CHOOSE(CONTROL!$C$8, $C$12, 100%, $E$12) + CHOOSE(CONTROL!$C$27, 0.0003, 0)</f>
        <v>29.736000000000001</v>
      </c>
      <c r="C397" s="4">
        <f>29.4232 * CHOOSE(CONTROL!$C$8, $C$12, 100%, $E$12) + CHOOSE(CONTROL!$C$27, 0.0003, 0)</f>
        <v>29.423500000000001</v>
      </c>
      <c r="D397" s="4">
        <f>36.5675 * CHOOSE(CONTROL!$C$8, $C$12, 100%, $E$12) + CHOOSE(CONTROL!$C$27, 0, 0)</f>
        <v>36.567500000000003</v>
      </c>
      <c r="E397" s="4">
        <f>173.118259946099 * CHOOSE(CONTROL!$C$8, $C$12, 100%, $E$12) + CHOOSE(CONTROL!$C$27, 0, 0)</f>
        <v>173.11825994609899</v>
      </c>
    </row>
    <row r="398" spans="1:5" ht="15">
      <c r="A398" s="13">
        <v>54026</v>
      </c>
      <c r="B398" s="4">
        <f>29.119 * CHOOSE(CONTROL!$C$8, $C$12, 100%, $E$12) + CHOOSE(CONTROL!$C$27, 0.0003, 0)</f>
        <v>29.119299999999999</v>
      </c>
      <c r="C398" s="4">
        <f>28.8065 * CHOOSE(CONTROL!$C$8, $C$12, 100%, $E$12) + CHOOSE(CONTROL!$C$27, 0.0003, 0)</f>
        <v>28.806799999999999</v>
      </c>
      <c r="D398" s="4">
        <f>36.4 * CHOOSE(CONTROL!$C$8, $C$12, 100%, $E$12) + CHOOSE(CONTROL!$C$27, 0, 0)</f>
        <v>36.4</v>
      </c>
      <c r="E398" s="4">
        <f>169.286265434069 * CHOOSE(CONTROL!$C$8, $C$12, 100%, $E$12) + CHOOSE(CONTROL!$C$27, 0, 0)</f>
        <v>169.28626543406901</v>
      </c>
    </row>
    <row r="399" spans="1:5" ht="15">
      <c r="A399" s="13">
        <v>54057</v>
      </c>
      <c r="B399" s="4">
        <f>28.6923 * CHOOSE(CONTROL!$C$8, $C$12, 100%, $E$12) + CHOOSE(CONTROL!$C$27, 0.0003, 0)</f>
        <v>28.692599999999999</v>
      </c>
      <c r="C399" s="4">
        <f>28.3798 * CHOOSE(CONTROL!$C$8, $C$12, 100%, $E$12) + CHOOSE(CONTROL!$C$27, 0.0003, 0)</f>
        <v>28.380099999999999</v>
      </c>
      <c r="D399" s="4">
        <f>35.1672 * CHOOSE(CONTROL!$C$8, $C$12, 100%, $E$12) + CHOOSE(CONTROL!$C$27, 0, 0)</f>
        <v>35.167200000000001</v>
      </c>
      <c r="E399" s="4">
        <f>166.63501781327 * CHOOSE(CONTROL!$C$8, $C$12, 100%, $E$12) + CHOOSE(CONTROL!$C$27, 0, 0)</f>
        <v>166.63501781327</v>
      </c>
    </row>
    <row r="400" spans="1:5" ht="15">
      <c r="A400" s="13">
        <v>54088</v>
      </c>
      <c r="B400" s="4">
        <f>27.999 * CHOOSE(CONTROL!$C$8, $C$12, 100%, $E$12) + CHOOSE(CONTROL!$C$27, 0.0003, 0)</f>
        <v>27.999299999999998</v>
      </c>
      <c r="C400" s="4">
        <f>27.6865 * CHOOSE(CONTROL!$C$8, $C$12, 100%, $E$12) + CHOOSE(CONTROL!$C$27, 0.0003, 0)</f>
        <v>27.686799999999998</v>
      </c>
      <c r="D400" s="4">
        <f>34.0341 * CHOOSE(CONTROL!$C$8, $C$12, 100%, $E$12) + CHOOSE(CONTROL!$C$27, 0, 0)</f>
        <v>34.034100000000002</v>
      </c>
      <c r="E400" s="4">
        <f>161.856560497922 * CHOOSE(CONTROL!$C$8, $C$12, 100%, $E$12) + CHOOSE(CONTROL!$C$27, 0, 0)</f>
        <v>161.856560497922</v>
      </c>
    </row>
    <row r="401" spans="1:5" ht="15">
      <c r="A401" s="13">
        <v>54116</v>
      </c>
      <c r="B401" s="4">
        <f>28.6193 * CHOOSE(CONTROL!$C$8, $C$12, 100%, $E$12) + CHOOSE(CONTROL!$C$27, 0.0003, 0)</f>
        <v>28.619599999999998</v>
      </c>
      <c r="C401" s="4">
        <f>28.3068 * CHOOSE(CONTROL!$C$8, $C$12, 100%, $E$12) + CHOOSE(CONTROL!$C$27, 0.0003, 0)</f>
        <v>28.307099999999998</v>
      </c>
      <c r="D401" s="4">
        <f>35.1751 * CHOOSE(CONTROL!$C$8, $C$12, 100%, $E$12) + CHOOSE(CONTROL!$C$27, 0, 0)</f>
        <v>35.1751</v>
      </c>
      <c r="E401" s="4">
        <f>165.69967310619 * CHOOSE(CONTROL!$C$8, $C$12, 100%, $E$12) + CHOOSE(CONTROL!$C$27, 0, 0)</f>
        <v>165.69967310619001</v>
      </c>
    </row>
    <row r="402" spans="1:5" ht="15">
      <c r="A402" s="13">
        <v>54148</v>
      </c>
      <c r="B402" s="4">
        <f>30.2482 * CHOOSE(CONTROL!$C$8, $C$12, 100%, $E$12) + CHOOSE(CONTROL!$C$27, 0.0003, 0)</f>
        <v>30.2485</v>
      </c>
      <c r="C402" s="4">
        <f>29.9357 * CHOOSE(CONTROL!$C$8, $C$12, 100%, $E$12) + CHOOSE(CONTROL!$C$27, 0.0003, 0)</f>
        <v>29.936</v>
      </c>
      <c r="D402" s="4">
        <f>36.9613 * CHOOSE(CONTROL!$C$8, $C$12, 100%, $E$12) + CHOOSE(CONTROL!$C$27, 0, 0)</f>
        <v>36.961300000000001</v>
      </c>
      <c r="E402" s="4">
        <f>175.791891050909 * CHOOSE(CONTROL!$C$8, $C$12, 100%, $E$12) + CHOOSE(CONTROL!$C$27, 0, 0)</f>
        <v>175.79189105090899</v>
      </c>
    </row>
    <row r="403" spans="1:5" ht="15">
      <c r="A403" s="13">
        <v>54178</v>
      </c>
      <c r="B403" s="4">
        <f>31.4056 * CHOOSE(CONTROL!$C$8, $C$12, 100%, $E$12) + CHOOSE(CONTROL!$C$27, 0.0003, 0)</f>
        <v>31.405899999999999</v>
      </c>
      <c r="C403" s="4">
        <f>31.0931 * CHOOSE(CONTROL!$C$8, $C$12, 100%, $E$12) + CHOOSE(CONTROL!$C$27, 0.0003, 0)</f>
        <v>31.093399999999999</v>
      </c>
      <c r="D403" s="4">
        <f>37.9902 * CHOOSE(CONTROL!$C$8, $C$12, 100%, $E$12) + CHOOSE(CONTROL!$C$27, 0, 0)</f>
        <v>37.990200000000002</v>
      </c>
      <c r="E403" s="4">
        <f>182.96254639712 * CHOOSE(CONTROL!$C$8, $C$12, 100%, $E$12) + CHOOSE(CONTROL!$C$27, 0, 0)</f>
        <v>182.96254639712001</v>
      </c>
    </row>
    <row r="404" spans="1:5" ht="15">
      <c r="A404" s="13">
        <v>54209</v>
      </c>
      <c r="B404" s="4">
        <f>32.1127 * CHOOSE(CONTROL!$C$8, $C$12, 100%, $E$12) + CHOOSE(CONTROL!$C$27, 0.0166, 0)</f>
        <v>32.129299999999994</v>
      </c>
      <c r="C404" s="4">
        <f>31.8002 * CHOOSE(CONTROL!$C$8, $C$12, 100%, $E$12) + CHOOSE(CONTROL!$C$27, 0.0166, 0)</f>
        <v>31.816800000000001</v>
      </c>
      <c r="D404" s="4">
        <f>37.5837 * CHOOSE(CONTROL!$C$8, $C$12, 100%, $E$12) + CHOOSE(CONTROL!$C$27, 0, 0)</f>
        <v>37.5837</v>
      </c>
      <c r="E404" s="4">
        <f>187.343644957032 * CHOOSE(CONTROL!$C$8, $C$12, 100%, $E$12) + CHOOSE(CONTROL!$C$27, 0, 0)</f>
        <v>187.34364495703201</v>
      </c>
    </row>
    <row r="405" spans="1:5" ht="15">
      <c r="A405" s="13">
        <v>54239</v>
      </c>
      <c r="B405" s="4">
        <f>32.2084 * CHOOSE(CONTROL!$C$8, $C$12, 100%, $E$12) + CHOOSE(CONTROL!$C$27, 0.0166, 0)</f>
        <v>32.224999999999994</v>
      </c>
      <c r="C405" s="4">
        <f>31.8959 * CHOOSE(CONTROL!$C$8, $C$12, 100%, $E$12) + CHOOSE(CONTROL!$C$27, 0.0166, 0)</f>
        <v>31.912500000000001</v>
      </c>
      <c r="D405" s="4">
        <f>37.9148 * CHOOSE(CONTROL!$C$8, $C$12, 100%, $E$12) + CHOOSE(CONTROL!$C$27, 0, 0)</f>
        <v>37.9148</v>
      </c>
      <c r="E405" s="4">
        <f>187.93642577412 * CHOOSE(CONTROL!$C$8, $C$12, 100%, $E$12) + CHOOSE(CONTROL!$C$27, 0, 0)</f>
        <v>187.93642577412001</v>
      </c>
    </row>
    <row r="406" spans="1:5" ht="15">
      <c r="A406" s="13">
        <v>54270</v>
      </c>
      <c r="B406" s="4">
        <f>32.1987 * CHOOSE(CONTROL!$C$8, $C$12, 100%, $E$12) + CHOOSE(CONTROL!$C$27, 0.0166, 0)</f>
        <v>32.215299999999999</v>
      </c>
      <c r="C406" s="4">
        <f>31.8862 * CHOOSE(CONTROL!$C$8, $C$12, 100%, $E$12) + CHOOSE(CONTROL!$C$27, 0.0166, 0)</f>
        <v>31.902799999999999</v>
      </c>
      <c r="D406" s="4">
        <f>38.5123 * CHOOSE(CONTROL!$C$8, $C$12, 100%, $E$12) + CHOOSE(CONTROL!$C$27, 0, 0)</f>
        <v>38.512300000000003</v>
      </c>
      <c r="E406" s="4">
        <f>187.876649557271 * CHOOSE(CONTROL!$C$8, $C$12, 100%, $E$12) + CHOOSE(CONTROL!$C$27, 0, 0)</f>
        <v>187.87664955727101</v>
      </c>
    </row>
    <row r="407" spans="1:5" ht="15">
      <c r="A407" s="13">
        <v>54301</v>
      </c>
      <c r="B407" s="4">
        <f>32.9247 * CHOOSE(CONTROL!$C$8, $C$12, 100%, $E$12) + CHOOSE(CONTROL!$C$27, 0.0166, 0)</f>
        <v>32.941299999999998</v>
      </c>
      <c r="C407" s="4">
        <f>32.6122 * CHOOSE(CONTROL!$C$8, $C$12, 100%, $E$12) + CHOOSE(CONTROL!$C$27, 0.0166, 0)</f>
        <v>32.628799999999998</v>
      </c>
      <c r="D407" s="4">
        <f>38.1177 * CHOOSE(CONTROL!$C$8, $C$12, 100%, $E$12) + CHOOSE(CONTROL!$C$27, 0, 0)</f>
        <v>38.117699999999999</v>
      </c>
      <c r="E407" s="4">
        <f>192.374809875179 * CHOOSE(CONTROL!$C$8, $C$12, 100%, $E$12) + CHOOSE(CONTROL!$C$27, 0, 0)</f>
        <v>192.37480987517901</v>
      </c>
    </row>
    <row r="408" spans="1:5" ht="15">
      <c r="A408" s="13">
        <v>54331</v>
      </c>
      <c r="B408" s="4">
        <f>31.6874 * CHOOSE(CONTROL!$C$8, $C$12, 100%, $E$12) + CHOOSE(CONTROL!$C$27, 0.0166, 0)</f>
        <v>31.704000000000001</v>
      </c>
      <c r="C408" s="4">
        <f>31.3749 * CHOOSE(CONTROL!$C$8, $C$12, 100%, $E$12) + CHOOSE(CONTROL!$C$27, 0.0166, 0)</f>
        <v>31.391500000000001</v>
      </c>
      <c r="D408" s="4">
        <f>37.9313 * CHOOSE(CONTROL!$C$8, $C$12, 100%, $E$12) + CHOOSE(CONTROL!$C$27, 0, 0)</f>
        <v>37.9313</v>
      </c>
      <c r="E408" s="4">
        <f>184.70851006426 * CHOOSE(CONTROL!$C$8, $C$12, 100%, $E$12) + CHOOSE(CONTROL!$C$27, 0, 0)</f>
        <v>184.70851006426</v>
      </c>
    </row>
    <row r="409" spans="1:5" ht="15">
      <c r="A409" s="13">
        <v>54362</v>
      </c>
      <c r="B409" s="4">
        <f>30.6969 * CHOOSE(CONTROL!$C$8, $C$12, 100%, $E$12) + CHOOSE(CONTROL!$C$27, 0.0003, 0)</f>
        <v>30.697199999999999</v>
      </c>
      <c r="C409" s="4">
        <f>30.3844 * CHOOSE(CONTROL!$C$8, $C$12, 100%, $E$12) + CHOOSE(CONTROL!$C$27, 0.0003, 0)</f>
        <v>30.384699999999999</v>
      </c>
      <c r="D409" s="4">
        <f>37.4321 * CHOOSE(CONTROL!$C$8, $C$12, 100%, $E$12) + CHOOSE(CONTROL!$C$27, 0, 0)</f>
        <v>37.432099999999998</v>
      </c>
      <c r="E409" s="4">
        <f>178.571485134401 * CHOOSE(CONTROL!$C$8, $C$12, 100%, $E$12) + CHOOSE(CONTROL!$C$27, 0, 0)</f>
        <v>178.571485134401</v>
      </c>
    </row>
    <row r="410" spans="1:5" ht="15">
      <c r="A410" s="13">
        <v>54392</v>
      </c>
      <c r="B410" s="4">
        <f>30.0589 * CHOOSE(CONTROL!$C$8, $C$12, 100%, $E$12) + CHOOSE(CONTROL!$C$27, 0.0003, 0)</f>
        <v>30.059200000000001</v>
      </c>
      <c r="C410" s="4">
        <f>29.7464 * CHOOSE(CONTROL!$C$8, $C$12, 100%, $E$12) + CHOOSE(CONTROL!$C$27, 0.0003, 0)</f>
        <v>29.746700000000001</v>
      </c>
      <c r="D410" s="4">
        <f>37.2605 * CHOOSE(CONTROL!$C$8, $C$12, 100%, $E$12) + CHOOSE(CONTROL!$C$27, 0, 0)</f>
        <v>37.2605</v>
      </c>
      <c r="E410" s="4">
        <f>174.618782795242 * CHOOSE(CONTROL!$C$8, $C$12, 100%, $E$12) + CHOOSE(CONTROL!$C$27, 0, 0)</f>
        <v>174.618782795242</v>
      </c>
    </row>
    <row r="411" spans="1:5" ht="15">
      <c r="A411" s="13">
        <v>54423</v>
      </c>
      <c r="B411" s="4">
        <f>29.6175 * CHOOSE(CONTROL!$C$8, $C$12, 100%, $E$12) + CHOOSE(CONTROL!$C$27, 0.0003, 0)</f>
        <v>29.617799999999999</v>
      </c>
      <c r="C411" s="4">
        <f>29.305 * CHOOSE(CONTROL!$C$8, $C$12, 100%, $E$12) + CHOOSE(CONTROL!$C$27, 0.0003, 0)</f>
        <v>29.305299999999999</v>
      </c>
      <c r="D411" s="4">
        <f>35.9971 * CHOOSE(CONTROL!$C$8, $C$12, 100%, $E$12) + CHOOSE(CONTROL!$C$27, 0, 0)</f>
        <v>35.997100000000003</v>
      </c>
      <c r="E411" s="4">
        <f>171.884020874388 * CHOOSE(CONTROL!$C$8, $C$12, 100%, $E$12) + CHOOSE(CONTROL!$C$27, 0, 0)</f>
        <v>171.884020874388</v>
      </c>
    </row>
    <row r="412" spans="1:5" ht="15">
      <c r="A412" s="13">
        <v>54454</v>
      </c>
      <c r="B412" s="4">
        <f>28.9003 * CHOOSE(CONTROL!$C$8, $C$12, 100%, $E$12) + CHOOSE(CONTROL!$C$27, 0.0003, 0)</f>
        <v>28.900600000000001</v>
      </c>
      <c r="C412" s="4">
        <f>28.5878 * CHOOSE(CONTROL!$C$8, $C$12, 100%, $E$12) + CHOOSE(CONTROL!$C$27, 0.0003, 0)</f>
        <v>28.588100000000001</v>
      </c>
      <c r="D412" s="4">
        <f>34.8359 * CHOOSE(CONTROL!$C$8, $C$12, 100%, $E$12) + CHOOSE(CONTROL!$C$27, 0, 0)</f>
        <v>34.835900000000002</v>
      </c>
      <c r="E412" s="4">
        <f>166.955042153607 * CHOOSE(CONTROL!$C$8, $C$12, 100%, $E$12) + CHOOSE(CONTROL!$C$27, 0, 0)</f>
        <v>166.955042153607</v>
      </c>
    </row>
    <row r="413" spans="1:5" ht="15">
      <c r="A413" s="13">
        <v>54482</v>
      </c>
      <c r="B413" s="4">
        <f>29.542 * CHOOSE(CONTROL!$C$8, $C$12, 100%, $E$12) + CHOOSE(CONTROL!$C$27, 0.0003, 0)</f>
        <v>29.542300000000001</v>
      </c>
      <c r="C413" s="4">
        <f>29.2295 * CHOOSE(CONTROL!$C$8, $C$12, 100%, $E$12) + CHOOSE(CONTROL!$C$27, 0.0003, 0)</f>
        <v>29.229800000000001</v>
      </c>
      <c r="D413" s="4">
        <f>36.0052 * CHOOSE(CONTROL!$C$8, $C$12, 100%, $E$12) + CHOOSE(CONTROL!$C$27, 0, 0)</f>
        <v>36.005200000000002</v>
      </c>
      <c r="E413" s="4">
        <f>170.919212809035 * CHOOSE(CONTROL!$C$8, $C$12, 100%, $E$12) + CHOOSE(CONTROL!$C$27, 0, 0)</f>
        <v>170.919212809035</v>
      </c>
    </row>
    <row r="414" spans="1:5" ht="15">
      <c r="A414" s="13">
        <v>54513</v>
      </c>
      <c r="B414" s="4">
        <f>31.2271 * CHOOSE(CONTROL!$C$8, $C$12, 100%, $E$12) + CHOOSE(CONTROL!$C$27, 0.0003, 0)</f>
        <v>31.227399999999999</v>
      </c>
      <c r="C414" s="4">
        <f>30.9146 * CHOOSE(CONTROL!$C$8, $C$12, 100%, $E$12) + CHOOSE(CONTROL!$C$27, 0.0003, 0)</f>
        <v>30.914899999999999</v>
      </c>
      <c r="D414" s="4">
        <f>37.8357 * CHOOSE(CONTROL!$C$8, $C$12, 100%, $E$12) + CHOOSE(CONTROL!$C$27, 0, 0)</f>
        <v>37.835700000000003</v>
      </c>
      <c r="E414" s="4">
        <f>181.329335619013 * CHOOSE(CONTROL!$C$8, $C$12, 100%, $E$12) + CHOOSE(CONTROL!$C$27, 0, 0)</f>
        <v>181.32933561901299</v>
      </c>
    </row>
    <row r="415" spans="1:5" ht="15">
      <c r="A415" s="13">
        <v>54543</v>
      </c>
      <c r="B415" s="4">
        <f>32.4244 * CHOOSE(CONTROL!$C$8, $C$12, 100%, $E$12) + CHOOSE(CONTROL!$C$27, 0.0003, 0)</f>
        <v>32.424700000000001</v>
      </c>
      <c r="C415" s="4">
        <f>32.1119 * CHOOSE(CONTROL!$C$8, $C$12, 100%, $E$12) + CHOOSE(CONTROL!$C$27, 0.0003, 0)</f>
        <v>32.112200000000001</v>
      </c>
      <c r="D415" s="4">
        <f>38.8901 * CHOOSE(CONTROL!$C$8, $C$12, 100%, $E$12) + CHOOSE(CONTROL!$C$27, 0, 0)</f>
        <v>38.890099999999997</v>
      </c>
      <c r="E415" s="4">
        <f>188.72586660863 * CHOOSE(CONTROL!$C$8, $C$12, 100%, $E$12) + CHOOSE(CONTROL!$C$27, 0, 0)</f>
        <v>188.72586660863001</v>
      </c>
    </row>
    <row r="416" spans="1:5" ht="15">
      <c r="A416" s="13">
        <v>54574</v>
      </c>
      <c r="B416" s="4">
        <f>33.1559 * CHOOSE(CONTROL!$C$8, $C$12, 100%, $E$12) + CHOOSE(CONTROL!$C$27, 0.0166, 0)</f>
        <v>33.172499999999999</v>
      </c>
      <c r="C416" s="4">
        <f>32.8434 * CHOOSE(CONTROL!$C$8, $C$12, 100%, $E$12) + CHOOSE(CONTROL!$C$27, 0.0166, 0)</f>
        <v>32.86</v>
      </c>
      <c r="D416" s="4">
        <f>38.4735 * CHOOSE(CONTROL!$C$8, $C$12, 100%, $E$12) + CHOOSE(CONTROL!$C$27, 0, 0)</f>
        <v>38.473500000000001</v>
      </c>
      <c r="E416" s="4">
        <f>193.244969773178 * CHOOSE(CONTROL!$C$8, $C$12, 100%, $E$12) + CHOOSE(CONTROL!$C$27, 0, 0)</f>
        <v>193.24496977317801</v>
      </c>
    </row>
    <row r="417" spans="1:5" ht="15">
      <c r="A417" s="13">
        <v>54604</v>
      </c>
      <c r="B417" s="4">
        <f>33.2549 * CHOOSE(CONTROL!$C$8, $C$12, 100%, $E$12) + CHOOSE(CONTROL!$C$27, 0.0166, 0)</f>
        <v>33.271499999999996</v>
      </c>
      <c r="C417" s="4">
        <f>32.9424 * CHOOSE(CONTROL!$C$8, $C$12, 100%, $E$12) + CHOOSE(CONTROL!$C$27, 0.0166, 0)</f>
        <v>32.958999999999996</v>
      </c>
      <c r="D417" s="4">
        <f>38.8128 * CHOOSE(CONTROL!$C$8, $C$12, 100%, $E$12) + CHOOSE(CONTROL!$C$27, 0, 0)</f>
        <v>38.812800000000003</v>
      </c>
      <c r="E417" s="4">
        <f>193.856423186005 * CHOOSE(CONTROL!$C$8, $C$12, 100%, $E$12) + CHOOSE(CONTROL!$C$27, 0, 0)</f>
        <v>193.856423186005</v>
      </c>
    </row>
    <row r="418" spans="1:5" ht="15">
      <c r="A418" s="13">
        <v>54635</v>
      </c>
      <c r="B418" s="4">
        <f>33.2449 * CHOOSE(CONTROL!$C$8, $C$12, 100%, $E$12) + CHOOSE(CONTROL!$C$27, 0.0166, 0)</f>
        <v>33.261499999999998</v>
      </c>
      <c r="C418" s="4">
        <f>32.9324 * CHOOSE(CONTROL!$C$8, $C$12, 100%, $E$12) + CHOOSE(CONTROL!$C$27, 0.0166, 0)</f>
        <v>32.948999999999998</v>
      </c>
      <c r="D418" s="4">
        <f>39.4251 * CHOOSE(CONTROL!$C$8, $C$12, 100%, $E$12) + CHOOSE(CONTROL!$C$27, 0, 0)</f>
        <v>39.4251</v>
      </c>
      <c r="E418" s="4">
        <f>193.794764018325 * CHOOSE(CONTROL!$C$8, $C$12, 100%, $E$12) + CHOOSE(CONTROL!$C$27, 0, 0)</f>
        <v>193.794764018325</v>
      </c>
    </row>
    <row r="419" spans="1:5" ht="15">
      <c r="A419" s="13">
        <v>54666</v>
      </c>
      <c r="B419" s="4">
        <f>33.996 * CHOOSE(CONTROL!$C$8, $C$12, 100%, $E$12) + CHOOSE(CONTROL!$C$27, 0.0166, 0)</f>
        <v>34.012599999999999</v>
      </c>
      <c r="C419" s="4">
        <f>33.6835 * CHOOSE(CONTROL!$C$8, $C$12, 100%, $E$12) + CHOOSE(CONTROL!$C$27, 0.0166, 0)</f>
        <v>33.700099999999999</v>
      </c>
      <c r="D419" s="4">
        <f>39.0207 * CHOOSE(CONTROL!$C$8, $C$12, 100%, $E$12) + CHOOSE(CONTROL!$C$27, 0, 0)</f>
        <v>39.020699999999998</v>
      </c>
      <c r="E419" s="4">
        <f>198.434616386247 * CHOOSE(CONTROL!$C$8, $C$12, 100%, $E$12) + CHOOSE(CONTROL!$C$27, 0, 0)</f>
        <v>198.434616386247</v>
      </c>
    </row>
    <row r="420" spans="1:5" ht="15">
      <c r="A420" s="13">
        <v>54696</v>
      </c>
      <c r="B420" s="4">
        <f>32.7159 * CHOOSE(CONTROL!$C$8, $C$12, 100%, $E$12) + CHOOSE(CONTROL!$C$27, 0.0166, 0)</f>
        <v>32.732499999999995</v>
      </c>
      <c r="C420" s="4">
        <f>32.4034 * CHOOSE(CONTROL!$C$8, $C$12, 100%, $E$12) + CHOOSE(CONTROL!$C$27, 0.0166, 0)</f>
        <v>32.419999999999995</v>
      </c>
      <c r="D420" s="4">
        <f>38.8297 * CHOOSE(CONTROL!$C$8, $C$12, 100%, $E$12) + CHOOSE(CONTROL!$C$27, 0, 0)</f>
        <v>38.829700000000003</v>
      </c>
      <c r="E420" s="4">
        <f>190.526828131284 * CHOOSE(CONTROL!$C$8, $C$12, 100%, $E$12) + CHOOSE(CONTROL!$C$27, 0, 0)</f>
        <v>190.52682813128399</v>
      </c>
    </row>
    <row r="421" spans="1:5" ht="15">
      <c r="A421" s="13">
        <v>54727</v>
      </c>
      <c r="B421" s="4">
        <f>31.6912 * CHOOSE(CONTROL!$C$8, $C$12, 100%, $E$12) + CHOOSE(CONTROL!$C$27, 0.0003, 0)</f>
        <v>31.691499999999998</v>
      </c>
      <c r="C421" s="4">
        <f>31.3787 * CHOOSE(CONTROL!$C$8, $C$12, 100%, $E$12) + CHOOSE(CONTROL!$C$27, 0.0003, 0)</f>
        <v>31.378999999999998</v>
      </c>
      <c r="D421" s="4">
        <f>38.3181 * CHOOSE(CONTROL!$C$8, $C$12, 100%, $E$12) + CHOOSE(CONTROL!$C$27, 0, 0)</f>
        <v>38.318100000000001</v>
      </c>
      <c r="E421" s="4">
        <f>184.196486916134 * CHOOSE(CONTROL!$C$8, $C$12, 100%, $E$12) + CHOOSE(CONTROL!$C$27, 0, 0)</f>
        <v>184.19648691613401</v>
      </c>
    </row>
    <row r="422" spans="1:5" ht="15">
      <c r="A422" s="13">
        <v>54757</v>
      </c>
      <c r="B422" s="4">
        <f>31.0312 * CHOOSE(CONTROL!$C$8, $C$12, 100%, $E$12) + CHOOSE(CONTROL!$C$27, 0.0003, 0)</f>
        <v>31.031499999999998</v>
      </c>
      <c r="C422" s="4">
        <f>30.7187 * CHOOSE(CONTROL!$C$8, $C$12, 100%, $E$12) + CHOOSE(CONTROL!$C$27, 0.0003, 0)</f>
        <v>30.718999999999998</v>
      </c>
      <c r="D422" s="4">
        <f>38.1423 * CHOOSE(CONTROL!$C$8, $C$12, 100%, $E$12) + CHOOSE(CONTROL!$C$27, 0, 0)</f>
        <v>38.142299999999999</v>
      </c>
      <c r="E422" s="4">
        <f>180.119274453293 * CHOOSE(CONTROL!$C$8, $C$12, 100%, $E$12) + CHOOSE(CONTROL!$C$27, 0, 0)</f>
        <v>180.119274453293</v>
      </c>
    </row>
    <row r="423" spans="1:5" ht="15">
      <c r="A423" s="13">
        <v>54788</v>
      </c>
      <c r="B423" s="4">
        <f>30.5746 * CHOOSE(CONTROL!$C$8, $C$12, 100%, $E$12) + CHOOSE(CONTROL!$C$27, 0.0003, 0)</f>
        <v>30.5749</v>
      </c>
      <c r="C423" s="4">
        <f>30.2621 * CHOOSE(CONTROL!$C$8, $C$12, 100%, $E$12) + CHOOSE(CONTROL!$C$27, 0.0003, 0)</f>
        <v>30.2624</v>
      </c>
      <c r="D423" s="4">
        <f>36.8475 * CHOOSE(CONTROL!$C$8, $C$12, 100%, $E$12) + CHOOSE(CONTROL!$C$27, 0, 0)</f>
        <v>36.847499999999997</v>
      </c>
      <c r="E423" s="4">
        <f>177.298367531931 * CHOOSE(CONTROL!$C$8, $C$12, 100%, $E$12) + CHOOSE(CONTROL!$C$27, 0, 0)</f>
        <v>177.29836753193101</v>
      </c>
    </row>
    <row r="424" spans="1:5" ht="15">
      <c r="A424" s="13">
        <v>54819</v>
      </c>
      <c r="B424" s="4">
        <f>29.8327 * CHOOSE(CONTROL!$C$8, $C$12, 100%, $E$12) + CHOOSE(CONTROL!$C$27, 0.0003, 0)</f>
        <v>29.832999999999998</v>
      </c>
      <c r="C424" s="4">
        <f>29.5202 * CHOOSE(CONTROL!$C$8, $C$12, 100%, $E$12) + CHOOSE(CONTROL!$C$27, 0.0003, 0)</f>
        <v>29.520499999999998</v>
      </c>
      <c r="D424" s="4">
        <f>35.6575 * CHOOSE(CONTROL!$C$8, $C$12, 100%, $E$12) + CHOOSE(CONTROL!$C$27, 0, 0)</f>
        <v>35.657499999999999</v>
      </c>
      <c r="E424" s="4">
        <f>172.214125981445 * CHOOSE(CONTROL!$C$8, $C$12, 100%, $E$12) + CHOOSE(CONTROL!$C$27, 0, 0)</f>
        <v>172.21412598144499</v>
      </c>
    </row>
    <row r="425" spans="1:5" ht="15">
      <c r="A425" s="13">
        <v>54847</v>
      </c>
      <c r="B425" s="4">
        <f>30.4965 * CHOOSE(CONTROL!$C$8, $C$12, 100%, $E$12) + CHOOSE(CONTROL!$C$27, 0.0003, 0)</f>
        <v>30.4968</v>
      </c>
      <c r="C425" s="4">
        <f>30.184 * CHOOSE(CONTROL!$C$8, $C$12, 100%, $E$12) + CHOOSE(CONTROL!$C$27, 0.0003, 0)</f>
        <v>30.1843</v>
      </c>
      <c r="D425" s="4">
        <f>36.8559 * CHOOSE(CONTROL!$C$8, $C$12, 100%, $E$12) + CHOOSE(CONTROL!$C$27, 0, 0)</f>
        <v>36.855899999999998</v>
      </c>
      <c r="E425" s="4">
        <f>176.30316801252 * CHOOSE(CONTROL!$C$8, $C$12, 100%, $E$12) + CHOOSE(CONTROL!$C$27, 0, 0)</f>
        <v>176.30316801251999</v>
      </c>
    </row>
    <row r="426" spans="1:5" ht="15">
      <c r="A426" s="13">
        <v>54878</v>
      </c>
      <c r="B426" s="4">
        <f>32.2397 * CHOOSE(CONTROL!$C$8, $C$12, 100%, $E$12) + CHOOSE(CONTROL!$C$27, 0.0003, 0)</f>
        <v>32.24</v>
      </c>
      <c r="C426" s="4">
        <f>31.9272 * CHOOSE(CONTROL!$C$8, $C$12, 100%, $E$12) + CHOOSE(CONTROL!$C$27, 0.0003, 0)</f>
        <v>31.927499999999998</v>
      </c>
      <c r="D426" s="4">
        <f>38.7318 * CHOOSE(CONTROL!$C$8, $C$12, 100%, $E$12) + CHOOSE(CONTROL!$C$27, 0, 0)</f>
        <v>38.7318</v>
      </c>
      <c r="E426" s="4">
        <f>187.041209691012 * CHOOSE(CONTROL!$C$8, $C$12, 100%, $E$12) + CHOOSE(CONTROL!$C$27, 0, 0)</f>
        <v>187.041209691012</v>
      </c>
    </row>
    <row r="427" spans="1:5" ht="15">
      <c r="A427" s="13">
        <v>54908</v>
      </c>
      <c r="B427" s="4">
        <f>33.4783 * CHOOSE(CONTROL!$C$8, $C$12, 100%, $E$12) + CHOOSE(CONTROL!$C$27, 0.0003, 0)</f>
        <v>33.4786</v>
      </c>
      <c r="C427" s="4">
        <f>33.1658 * CHOOSE(CONTROL!$C$8, $C$12, 100%, $E$12) + CHOOSE(CONTROL!$C$27, 0.0003, 0)</f>
        <v>33.1661</v>
      </c>
      <c r="D427" s="4">
        <f>39.8123 * CHOOSE(CONTROL!$C$8, $C$12, 100%, $E$12) + CHOOSE(CONTROL!$C$27, 0, 0)</f>
        <v>39.8123</v>
      </c>
      <c r="E427" s="4">
        <f>194.670731406802 * CHOOSE(CONTROL!$C$8, $C$12, 100%, $E$12) + CHOOSE(CONTROL!$C$27, 0, 0)</f>
        <v>194.67073140680199</v>
      </c>
    </row>
    <row r="428" spans="1:5" ht="15">
      <c r="A428" s="13">
        <v>54939</v>
      </c>
      <c r="B428" s="4">
        <f>34.2351 * CHOOSE(CONTROL!$C$8, $C$12, 100%, $E$12) + CHOOSE(CONTROL!$C$27, 0.0166, 0)</f>
        <v>34.2517</v>
      </c>
      <c r="C428" s="4">
        <f>33.9226 * CHOOSE(CONTROL!$C$8, $C$12, 100%, $E$12) + CHOOSE(CONTROL!$C$27, 0.0166, 0)</f>
        <v>33.9392</v>
      </c>
      <c r="D428" s="4">
        <f>39.3853 * CHOOSE(CONTROL!$C$8, $C$12, 100%, $E$12) + CHOOSE(CONTROL!$C$27, 0, 0)</f>
        <v>39.385300000000001</v>
      </c>
      <c r="E428" s="4">
        <f>199.332186321034 * CHOOSE(CONTROL!$C$8, $C$12, 100%, $E$12) + CHOOSE(CONTROL!$C$27, 0, 0)</f>
        <v>199.33218632103399</v>
      </c>
    </row>
    <row r="429" spans="1:5" ht="15">
      <c r="A429" s="13">
        <v>54969</v>
      </c>
      <c r="B429" s="4">
        <f>34.3375 * CHOOSE(CONTROL!$C$8, $C$12, 100%, $E$12) + CHOOSE(CONTROL!$C$27, 0.0166, 0)</f>
        <v>34.354099999999995</v>
      </c>
      <c r="C429" s="4">
        <f>34.025 * CHOOSE(CONTROL!$C$8, $C$12, 100%, $E$12) + CHOOSE(CONTROL!$C$27, 0.0166, 0)</f>
        <v>34.041599999999995</v>
      </c>
      <c r="D429" s="4">
        <f>39.7331 * CHOOSE(CONTROL!$C$8, $C$12, 100%, $E$12) + CHOOSE(CONTROL!$C$27, 0, 0)</f>
        <v>39.7331</v>
      </c>
      <c r="E429" s="4">
        <f>199.962900516364 * CHOOSE(CONTROL!$C$8, $C$12, 100%, $E$12) + CHOOSE(CONTROL!$C$27, 0, 0)</f>
        <v>199.96290051636399</v>
      </c>
    </row>
    <row r="430" spans="1:5" ht="15">
      <c r="A430" s="13">
        <v>55000</v>
      </c>
      <c r="B430" s="4">
        <f>34.3272 * CHOOSE(CONTROL!$C$8, $C$12, 100%, $E$12) + CHOOSE(CONTROL!$C$27, 0.0166, 0)</f>
        <v>34.343799999999995</v>
      </c>
      <c r="C430" s="4">
        <f>34.0147 * CHOOSE(CONTROL!$C$8, $C$12, 100%, $E$12) + CHOOSE(CONTROL!$C$27, 0.0166, 0)</f>
        <v>34.031299999999995</v>
      </c>
      <c r="D430" s="4">
        <f>40.3606 * CHOOSE(CONTROL!$C$8, $C$12, 100%, $E$12) + CHOOSE(CONTROL!$C$27, 0, 0)</f>
        <v>40.360599999999998</v>
      </c>
      <c r="E430" s="4">
        <f>199.899299084903 * CHOOSE(CONTROL!$C$8, $C$12, 100%, $E$12) + CHOOSE(CONTROL!$C$27, 0, 0)</f>
        <v>199.89929908490299</v>
      </c>
    </row>
    <row r="431" spans="1:5" ht="15">
      <c r="A431" s="13">
        <v>55031</v>
      </c>
      <c r="B431" s="4">
        <f>35.1041 * CHOOSE(CONTROL!$C$8, $C$12, 100%, $E$12) + CHOOSE(CONTROL!$C$27, 0.0166, 0)</f>
        <v>35.120699999999999</v>
      </c>
      <c r="C431" s="4">
        <f>34.7916 * CHOOSE(CONTROL!$C$8, $C$12, 100%, $E$12) + CHOOSE(CONTROL!$C$27, 0.0166, 0)</f>
        <v>34.808199999999999</v>
      </c>
      <c r="D431" s="4">
        <f>39.9462 * CHOOSE(CONTROL!$C$8, $C$12, 100%, $E$12) + CHOOSE(CONTROL!$C$27, 0, 0)</f>
        <v>39.946199999999997</v>
      </c>
      <c r="E431" s="4">
        <f>204.685306802414 * CHOOSE(CONTROL!$C$8, $C$12, 100%, $E$12) + CHOOSE(CONTROL!$C$27, 0, 0)</f>
        <v>204.685306802414</v>
      </c>
    </row>
    <row r="432" spans="1:5" ht="15">
      <c r="A432" s="13">
        <v>55061</v>
      </c>
      <c r="B432" s="4">
        <f>33.7799 * CHOOSE(CONTROL!$C$8, $C$12, 100%, $E$12) + CHOOSE(CONTROL!$C$27, 0.0166, 0)</f>
        <v>33.796499999999995</v>
      </c>
      <c r="C432" s="4">
        <f>33.4674 * CHOOSE(CONTROL!$C$8, $C$12, 100%, $E$12) + CHOOSE(CONTROL!$C$27, 0.0166, 0)</f>
        <v>33.483999999999995</v>
      </c>
      <c r="D432" s="4">
        <f>39.7504 * CHOOSE(CONTROL!$C$8, $C$12, 100%, $E$12) + CHOOSE(CONTROL!$C$27, 0, 0)</f>
        <v>39.750399999999999</v>
      </c>
      <c r="E432" s="4">
        <f>196.528423217419 * CHOOSE(CONTROL!$C$8, $C$12, 100%, $E$12) + CHOOSE(CONTROL!$C$27, 0, 0)</f>
        <v>196.528423217419</v>
      </c>
    </row>
    <row r="433" spans="1:5" ht="15">
      <c r="A433" s="13">
        <v>55092</v>
      </c>
      <c r="B433" s="4">
        <f>32.7199 * CHOOSE(CONTROL!$C$8, $C$12, 100%, $E$12) + CHOOSE(CONTROL!$C$27, 0.0003, 0)</f>
        <v>32.720200000000006</v>
      </c>
      <c r="C433" s="4">
        <f>32.4074 * CHOOSE(CONTROL!$C$8, $C$12, 100%, $E$12) + CHOOSE(CONTROL!$C$27, 0.0003, 0)</f>
        <v>32.407700000000006</v>
      </c>
      <c r="D433" s="4">
        <f>39.2262 * CHOOSE(CONTROL!$C$8, $C$12, 100%, $E$12) + CHOOSE(CONTROL!$C$27, 0, 0)</f>
        <v>39.226199999999999</v>
      </c>
      <c r="E433" s="4">
        <f>189.998676253993 * CHOOSE(CONTROL!$C$8, $C$12, 100%, $E$12) + CHOOSE(CONTROL!$C$27, 0, 0)</f>
        <v>189.99867625399301</v>
      </c>
    </row>
    <row r="434" spans="1:5" ht="15">
      <c r="A434" s="13">
        <v>55122</v>
      </c>
      <c r="B434" s="4">
        <f>32.0371 * CHOOSE(CONTROL!$C$8, $C$12, 100%, $E$12) + CHOOSE(CONTROL!$C$27, 0.0003, 0)</f>
        <v>32.037400000000005</v>
      </c>
      <c r="C434" s="4">
        <f>31.7246 * CHOOSE(CONTROL!$C$8, $C$12, 100%, $E$12) + CHOOSE(CONTROL!$C$27, 0.0003, 0)</f>
        <v>31.724899999999998</v>
      </c>
      <c r="D434" s="4">
        <f>39.0459 * CHOOSE(CONTROL!$C$8, $C$12, 100%, $E$12) + CHOOSE(CONTROL!$C$27, 0, 0)</f>
        <v>39.045900000000003</v>
      </c>
      <c r="E434" s="4">
        <f>185.793031598571 * CHOOSE(CONTROL!$C$8, $C$12, 100%, $E$12) + CHOOSE(CONTROL!$C$27, 0, 0)</f>
        <v>185.79303159857099</v>
      </c>
    </row>
    <row r="435" spans="1:5" ht="15">
      <c r="A435" s="13">
        <v>55153</v>
      </c>
      <c r="B435" s="4">
        <f>31.5647 * CHOOSE(CONTROL!$C$8, $C$12, 100%, $E$12) + CHOOSE(CONTROL!$C$27, 0.0003, 0)</f>
        <v>31.564999999999998</v>
      </c>
      <c r="C435" s="4">
        <f>31.2522 * CHOOSE(CONTROL!$C$8, $C$12, 100%, $E$12) + CHOOSE(CONTROL!$C$27, 0.0003, 0)</f>
        <v>31.252499999999998</v>
      </c>
      <c r="D435" s="4">
        <f>37.7191 * CHOOSE(CONTROL!$C$8, $C$12, 100%, $E$12) + CHOOSE(CONTROL!$C$27, 0, 0)</f>
        <v>37.719099999999997</v>
      </c>
      <c r="E435" s="4">
        <f>182.883266109187 * CHOOSE(CONTROL!$C$8, $C$12, 100%, $E$12) + CHOOSE(CONTROL!$C$27, 0, 0)</f>
        <v>182.88326610918699</v>
      </c>
    </row>
    <row r="436" spans="1:5" ht="15">
      <c r="A436" s="13">
        <v>55184</v>
      </c>
      <c r="B436" s="4">
        <f>30.7972 * CHOOSE(CONTROL!$C$8, $C$12, 100%, $E$12) + CHOOSE(CONTROL!$C$27, 0.0003, 0)</f>
        <v>30.797499999999999</v>
      </c>
      <c r="C436" s="4">
        <f>30.4847 * CHOOSE(CONTROL!$C$8, $C$12, 100%, $E$12) + CHOOSE(CONTROL!$C$27, 0.0003, 0)</f>
        <v>30.484999999999999</v>
      </c>
      <c r="D436" s="4">
        <f>36.4996 * CHOOSE(CONTROL!$C$8, $C$12, 100%, $E$12) + CHOOSE(CONTROL!$C$27, 0, 0)</f>
        <v>36.499600000000001</v>
      </c>
      <c r="E436" s="4">
        <f>177.638870949861 * CHOOSE(CONTROL!$C$8, $C$12, 100%, $E$12) + CHOOSE(CONTROL!$C$27, 0, 0)</f>
        <v>177.638870949861</v>
      </c>
    </row>
    <row r="437" spans="1:5" ht="15">
      <c r="A437" s="13">
        <v>55212</v>
      </c>
      <c r="B437" s="4">
        <f>31.4839 * CHOOSE(CONTROL!$C$8, $C$12, 100%, $E$12) + CHOOSE(CONTROL!$C$27, 0.0003, 0)</f>
        <v>31.484199999999998</v>
      </c>
      <c r="C437" s="4">
        <f>31.1714 * CHOOSE(CONTROL!$C$8, $C$12, 100%, $E$12) + CHOOSE(CONTROL!$C$27, 0.0003, 0)</f>
        <v>31.171699999999998</v>
      </c>
      <c r="D437" s="4">
        <f>37.7276 * CHOOSE(CONTROL!$C$8, $C$12, 100%, $E$12) + CHOOSE(CONTROL!$C$27, 0, 0)</f>
        <v>37.727600000000002</v>
      </c>
      <c r="E437" s="4">
        <f>181.856717804914 * CHOOSE(CONTROL!$C$8, $C$12, 100%, $E$12) + CHOOSE(CONTROL!$C$27, 0, 0)</f>
        <v>181.85671780491401</v>
      </c>
    </row>
    <row r="438" spans="1:5" ht="15">
      <c r="A438" s="13">
        <v>55243</v>
      </c>
      <c r="B438" s="4">
        <f>33.2873 * CHOOSE(CONTROL!$C$8, $C$12, 100%, $E$12) + CHOOSE(CONTROL!$C$27, 0.0003, 0)</f>
        <v>33.287600000000005</v>
      </c>
      <c r="C438" s="4">
        <f>32.9748 * CHOOSE(CONTROL!$C$8, $C$12, 100%, $E$12) + CHOOSE(CONTROL!$C$27, 0.0003, 0)</f>
        <v>32.975100000000005</v>
      </c>
      <c r="D438" s="4">
        <f>39.65 * CHOOSE(CONTROL!$C$8, $C$12, 100%, $E$12) + CHOOSE(CONTROL!$C$27, 0, 0)</f>
        <v>39.65</v>
      </c>
      <c r="E438" s="4">
        <f>192.933007796279 * CHOOSE(CONTROL!$C$8, $C$12, 100%, $E$12) + CHOOSE(CONTROL!$C$27, 0, 0)</f>
        <v>192.93300779627901</v>
      </c>
    </row>
    <row r="439" spans="1:5" ht="15">
      <c r="A439" s="13">
        <v>55273</v>
      </c>
      <c r="B439" s="4">
        <f>34.5687 * CHOOSE(CONTROL!$C$8, $C$12, 100%, $E$12) + CHOOSE(CONTROL!$C$27, 0.0003, 0)</f>
        <v>34.569000000000003</v>
      </c>
      <c r="C439" s="4">
        <f>34.2562 * CHOOSE(CONTROL!$C$8, $C$12, 100%, $E$12) + CHOOSE(CONTROL!$C$27, 0.0003, 0)</f>
        <v>34.256500000000003</v>
      </c>
      <c r="D439" s="4">
        <f>40.7574 * CHOOSE(CONTROL!$C$8, $C$12, 100%, $E$12) + CHOOSE(CONTROL!$C$27, 0, 0)</f>
        <v>40.757399999999997</v>
      </c>
      <c r="E439" s="4">
        <f>200.802859446116 * CHOOSE(CONTROL!$C$8, $C$12, 100%, $E$12) + CHOOSE(CONTROL!$C$27, 0, 0)</f>
        <v>200.802859446116</v>
      </c>
    </row>
    <row r="440" spans="1:5" ht="15">
      <c r="A440" s="13">
        <v>55304</v>
      </c>
      <c r="B440" s="4">
        <f>35.3515 * CHOOSE(CONTROL!$C$8, $C$12, 100%, $E$12) + CHOOSE(CONTROL!$C$27, 0.0166, 0)</f>
        <v>35.368099999999998</v>
      </c>
      <c r="C440" s="4">
        <f>35.039 * CHOOSE(CONTROL!$C$8, $C$12, 100%, $E$12) + CHOOSE(CONTROL!$C$27, 0.0166, 0)</f>
        <v>35.055599999999998</v>
      </c>
      <c r="D440" s="4">
        <f>40.3198 * CHOOSE(CONTROL!$C$8, $C$12, 100%, $E$12) + CHOOSE(CONTROL!$C$27, 0, 0)</f>
        <v>40.319800000000001</v>
      </c>
      <c r="E440" s="4">
        <f>205.611150190146 * CHOOSE(CONTROL!$C$8, $C$12, 100%, $E$12) + CHOOSE(CONTROL!$C$27, 0, 0)</f>
        <v>205.61115019014599</v>
      </c>
    </row>
    <row r="441" spans="1:5" ht="15">
      <c r="A441" s="13">
        <v>55334</v>
      </c>
      <c r="B441" s="4">
        <f>35.4574 * CHOOSE(CONTROL!$C$8, $C$12, 100%, $E$12) + CHOOSE(CONTROL!$C$27, 0.0166, 0)</f>
        <v>35.473999999999997</v>
      </c>
      <c r="C441" s="4">
        <f>35.1449 * CHOOSE(CONTROL!$C$8, $C$12, 100%, $E$12) + CHOOSE(CONTROL!$C$27, 0.0166, 0)</f>
        <v>35.161499999999997</v>
      </c>
      <c r="D441" s="4">
        <f>40.6762 * CHOOSE(CONTROL!$C$8, $C$12, 100%, $E$12) + CHOOSE(CONTROL!$C$27, 0, 0)</f>
        <v>40.676200000000001</v>
      </c>
      <c r="E441" s="4">
        <f>206.26173188263 * CHOOSE(CONTROL!$C$8, $C$12, 100%, $E$12) + CHOOSE(CONTROL!$C$27, 0, 0)</f>
        <v>206.26173188262999</v>
      </c>
    </row>
    <row r="442" spans="1:5" ht="15">
      <c r="A442" s="13">
        <v>55365</v>
      </c>
      <c r="B442" s="4">
        <f>35.4468 * CHOOSE(CONTROL!$C$8, $C$12, 100%, $E$12) + CHOOSE(CONTROL!$C$27, 0.0166, 0)</f>
        <v>35.4634</v>
      </c>
      <c r="C442" s="4">
        <f>35.1343 * CHOOSE(CONTROL!$C$8, $C$12, 100%, $E$12) + CHOOSE(CONTROL!$C$27, 0.0166, 0)</f>
        <v>35.1509</v>
      </c>
      <c r="D442" s="4">
        <f>41.3192 * CHOOSE(CONTROL!$C$8, $C$12, 100%, $E$12) + CHOOSE(CONTROL!$C$27, 0, 0)</f>
        <v>41.319200000000002</v>
      </c>
      <c r="E442" s="4">
        <f>206.196127006077 * CHOOSE(CONTROL!$C$8, $C$12, 100%, $E$12) + CHOOSE(CONTROL!$C$27, 0, 0)</f>
        <v>206.19612700607701</v>
      </c>
    </row>
    <row r="443" spans="1:5" ht="15">
      <c r="A443" s="13">
        <v>55396</v>
      </c>
      <c r="B443" s="4">
        <f>36.2505 * CHOOSE(CONTROL!$C$8, $C$12, 100%, $E$12) + CHOOSE(CONTROL!$C$27, 0.0166, 0)</f>
        <v>36.267099999999999</v>
      </c>
      <c r="C443" s="4">
        <f>35.938 * CHOOSE(CONTROL!$C$8, $C$12, 100%, $E$12) + CHOOSE(CONTROL!$C$27, 0.0166, 0)</f>
        <v>35.954599999999999</v>
      </c>
      <c r="D443" s="4">
        <f>40.8946 * CHOOSE(CONTROL!$C$8, $C$12, 100%, $E$12) + CHOOSE(CONTROL!$C$27, 0, 0)</f>
        <v>40.894599999999997</v>
      </c>
      <c r="E443" s="4">
        <f>211.13289396669 * CHOOSE(CONTROL!$C$8, $C$12, 100%, $E$12) + CHOOSE(CONTROL!$C$27, 0, 0)</f>
        <v>211.13289396669001</v>
      </c>
    </row>
    <row r="444" spans="1:5" ht="15">
      <c r="A444" s="13">
        <v>55426</v>
      </c>
      <c r="B444" s="4">
        <f>34.8806 * CHOOSE(CONTROL!$C$8, $C$12, 100%, $E$12) + CHOOSE(CONTROL!$C$27, 0.0166, 0)</f>
        <v>34.897199999999998</v>
      </c>
      <c r="C444" s="4">
        <f>34.5681 * CHOOSE(CONTROL!$C$8, $C$12, 100%, $E$12) + CHOOSE(CONTROL!$C$27, 0.0166, 0)</f>
        <v>34.584699999999998</v>
      </c>
      <c r="D444" s="4">
        <f>40.6939 * CHOOSE(CONTROL!$C$8, $C$12, 100%, $E$12) + CHOOSE(CONTROL!$C$27, 0, 0)</f>
        <v>40.693899999999999</v>
      </c>
      <c r="E444" s="4">
        <f>202.719068548768 * CHOOSE(CONTROL!$C$8, $C$12, 100%, $E$12) + CHOOSE(CONTROL!$C$27, 0, 0)</f>
        <v>202.71906854876801</v>
      </c>
    </row>
    <row r="445" spans="1:5" ht="15">
      <c r="A445" s="13">
        <v>55457</v>
      </c>
      <c r="B445" s="4">
        <f>33.784 * CHOOSE(CONTROL!$C$8, $C$12, 100%, $E$12) + CHOOSE(CONTROL!$C$27, 0.0003, 0)</f>
        <v>33.784300000000002</v>
      </c>
      <c r="C445" s="4">
        <f>33.4715 * CHOOSE(CONTROL!$C$8, $C$12, 100%, $E$12) + CHOOSE(CONTROL!$C$27, 0.0003, 0)</f>
        <v>33.471800000000002</v>
      </c>
      <c r="D445" s="4">
        <f>40.1567 * CHOOSE(CONTROL!$C$8, $C$12, 100%, $E$12) + CHOOSE(CONTROL!$C$27, 0, 0)</f>
        <v>40.156700000000001</v>
      </c>
      <c r="E445" s="4">
        <f>195.983634555993 * CHOOSE(CONTROL!$C$8, $C$12, 100%, $E$12) + CHOOSE(CONTROL!$C$27, 0, 0)</f>
        <v>195.98363455599301</v>
      </c>
    </row>
    <row r="446" spans="1:5" ht="15">
      <c r="A446" s="13">
        <v>55487</v>
      </c>
      <c r="B446" s="4">
        <f>33.0777 * CHOOSE(CONTROL!$C$8, $C$12, 100%, $E$12) + CHOOSE(CONTROL!$C$27, 0.0003, 0)</f>
        <v>33.078000000000003</v>
      </c>
      <c r="C446" s="4">
        <f>32.7652 * CHOOSE(CONTROL!$C$8, $C$12, 100%, $E$12) + CHOOSE(CONTROL!$C$27, 0.0003, 0)</f>
        <v>32.765500000000003</v>
      </c>
      <c r="D446" s="4">
        <f>39.972 * CHOOSE(CONTROL!$C$8, $C$12, 100%, $E$12) + CHOOSE(CONTROL!$C$27, 0, 0)</f>
        <v>39.972000000000001</v>
      </c>
      <c r="E446" s="4">
        <f>191.645512093926 * CHOOSE(CONTROL!$C$8, $C$12, 100%, $E$12) + CHOOSE(CONTROL!$C$27, 0, 0)</f>
        <v>191.64551209392599</v>
      </c>
    </row>
    <row r="447" spans="1:5" ht="15">
      <c r="A447" s="13">
        <v>55518</v>
      </c>
      <c r="B447" s="4">
        <f>32.589 * CHOOSE(CONTROL!$C$8, $C$12, 100%, $E$12) + CHOOSE(CONTROL!$C$27, 0.0003, 0)</f>
        <v>32.589300000000001</v>
      </c>
      <c r="C447" s="4">
        <f>32.2765 * CHOOSE(CONTROL!$C$8, $C$12, 100%, $E$12) + CHOOSE(CONTROL!$C$27, 0.0003, 0)</f>
        <v>32.276800000000001</v>
      </c>
      <c r="D447" s="4">
        <f>38.6122 * CHOOSE(CONTROL!$C$8, $C$12, 100%, $E$12) + CHOOSE(CONTROL!$C$27, 0, 0)</f>
        <v>38.612200000000001</v>
      </c>
      <c r="E447" s="4">
        <f>188.644088991627 * CHOOSE(CONTROL!$C$8, $C$12, 100%, $E$12) + CHOOSE(CONTROL!$C$27, 0, 0)</f>
        <v>188.644088991627</v>
      </c>
    </row>
    <row r="448" spans="1:5" ht="15">
      <c r="A448" s="13">
        <v>55549</v>
      </c>
      <c r="B448" s="4">
        <f>31.795 * CHOOSE(CONTROL!$C$8, $C$12, 100%, $E$12) + CHOOSE(CONTROL!$C$27, 0.0003, 0)</f>
        <v>31.795300000000001</v>
      </c>
      <c r="C448" s="4">
        <f>31.4825 * CHOOSE(CONTROL!$C$8, $C$12, 100%, $E$12) + CHOOSE(CONTROL!$C$27, 0.0003, 0)</f>
        <v>31.482800000000001</v>
      </c>
      <c r="D448" s="4">
        <f>37.3625 * CHOOSE(CONTROL!$C$8, $C$12, 100%, $E$12) + CHOOSE(CONTROL!$C$27, 0, 0)</f>
        <v>37.362499999999997</v>
      </c>
      <c r="E448" s="4">
        <f>183.234495384782 * CHOOSE(CONTROL!$C$8, $C$12, 100%, $E$12) + CHOOSE(CONTROL!$C$27, 0, 0)</f>
        <v>183.23449538478201</v>
      </c>
    </row>
    <row r="449" spans="1:5" ht="15">
      <c r="A449" s="13">
        <v>55577</v>
      </c>
      <c r="B449" s="4">
        <f>32.5055 * CHOOSE(CONTROL!$C$8, $C$12, 100%, $E$12) + CHOOSE(CONTROL!$C$27, 0.0003, 0)</f>
        <v>32.505800000000001</v>
      </c>
      <c r="C449" s="4">
        <f>32.193 * CHOOSE(CONTROL!$C$8, $C$12, 100%, $E$12) + CHOOSE(CONTROL!$C$27, 0.0003, 0)</f>
        <v>32.193300000000001</v>
      </c>
      <c r="D449" s="4">
        <f>38.621 * CHOOSE(CONTROL!$C$8, $C$12, 100%, $E$12) + CHOOSE(CONTROL!$C$27, 0, 0)</f>
        <v>38.621000000000002</v>
      </c>
      <c r="E449" s="4">
        <f>187.585204415769 * CHOOSE(CONTROL!$C$8, $C$12, 100%, $E$12) + CHOOSE(CONTROL!$C$27, 0, 0)</f>
        <v>187.585204415769</v>
      </c>
    </row>
    <row r="450" spans="1:5" ht="15">
      <c r="A450" s="13">
        <v>55609</v>
      </c>
      <c r="B450" s="4">
        <f>34.3711 * CHOOSE(CONTROL!$C$8, $C$12, 100%, $E$12) + CHOOSE(CONTROL!$C$27, 0.0003, 0)</f>
        <v>34.371400000000001</v>
      </c>
      <c r="C450" s="4">
        <f>34.0586 * CHOOSE(CONTROL!$C$8, $C$12, 100%, $E$12) + CHOOSE(CONTROL!$C$27, 0.0003, 0)</f>
        <v>34.058900000000001</v>
      </c>
      <c r="D450" s="4">
        <f>40.5911 * CHOOSE(CONTROL!$C$8, $C$12, 100%, $E$12) + CHOOSE(CONTROL!$C$27, 0, 0)</f>
        <v>40.591099999999997</v>
      </c>
      <c r="E450" s="4">
        <f>199.010397541862 * CHOOSE(CONTROL!$C$8, $C$12, 100%, $E$12) + CHOOSE(CONTROL!$C$27, 0, 0)</f>
        <v>199.01039754186201</v>
      </c>
    </row>
    <row r="451" spans="1:5" ht="15">
      <c r="A451" s="13">
        <v>55639</v>
      </c>
      <c r="B451" s="4">
        <f>35.6966 * CHOOSE(CONTROL!$C$8, $C$12, 100%, $E$12) + CHOOSE(CONTROL!$C$27, 0.0003, 0)</f>
        <v>35.696899999999999</v>
      </c>
      <c r="C451" s="4">
        <f>35.3841 * CHOOSE(CONTROL!$C$8, $C$12, 100%, $E$12) + CHOOSE(CONTROL!$C$27, 0.0003, 0)</f>
        <v>35.384399999999999</v>
      </c>
      <c r="D451" s="4">
        <f>41.7259 * CHOOSE(CONTROL!$C$8, $C$12, 100%, $E$12) + CHOOSE(CONTROL!$C$27, 0, 0)</f>
        <v>41.725900000000003</v>
      </c>
      <c r="E451" s="4">
        <f>207.128149518669 * CHOOSE(CONTROL!$C$8, $C$12, 100%, $E$12) + CHOOSE(CONTROL!$C$27, 0, 0)</f>
        <v>207.12814951866901</v>
      </c>
    </row>
    <row r="452" spans="1:5" ht="15">
      <c r="A452" s="13">
        <v>55670</v>
      </c>
      <c r="B452" s="4">
        <f>36.5065 * CHOOSE(CONTROL!$C$8, $C$12, 100%, $E$12) + CHOOSE(CONTROL!$C$27, 0.0166, 0)</f>
        <v>36.523099999999999</v>
      </c>
      <c r="C452" s="4">
        <f>36.194 * CHOOSE(CONTROL!$C$8, $C$12, 100%, $E$12) + CHOOSE(CONTROL!$C$27, 0.0166, 0)</f>
        <v>36.210599999999999</v>
      </c>
      <c r="D452" s="4">
        <f>41.2775 * CHOOSE(CONTROL!$C$8, $C$12, 100%, $E$12) + CHOOSE(CONTROL!$C$27, 0, 0)</f>
        <v>41.277500000000003</v>
      </c>
      <c r="E452" s="4">
        <f>212.087901421136 * CHOOSE(CONTROL!$C$8, $C$12, 100%, $E$12) + CHOOSE(CONTROL!$C$27, 0, 0)</f>
        <v>212.087901421136</v>
      </c>
    </row>
    <row r="453" spans="1:5" ht="15">
      <c r="A453" s="13">
        <v>55700</v>
      </c>
      <c r="B453" s="4">
        <f>36.616 * CHOOSE(CONTROL!$C$8, $C$12, 100%, $E$12) + CHOOSE(CONTROL!$C$27, 0.0166, 0)</f>
        <v>36.632599999999996</v>
      </c>
      <c r="C453" s="4">
        <f>36.3035 * CHOOSE(CONTROL!$C$8, $C$12, 100%, $E$12) + CHOOSE(CONTROL!$C$27, 0.0166, 0)</f>
        <v>36.320099999999996</v>
      </c>
      <c r="D453" s="4">
        <f>41.6427 * CHOOSE(CONTROL!$C$8, $C$12, 100%, $E$12) + CHOOSE(CONTROL!$C$27, 0, 0)</f>
        <v>41.642699999999998</v>
      </c>
      <c r="E453" s="4">
        <f>212.758976436933 * CHOOSE(CONTROL!$C$8, $C$12, 100%, $E$12) + CHOOSE(CONTROL!$C$27, 0, 0)</f>
        <v>212.75897643693301</v>
      </c>
    </row>
    <row r="454" spans="1:5" ht="15">
      <c r="A454" s="13">
        <v>55731</v>
      </c>
      <c r="B454" s="4">
        <f>36.605 * CHOOSE(CONTROL!$C$8, $C$12, 100%, $E$12) + CHOOSE(CONTROL!$C$27, 0.0166, 0)</f>
        <v>36.621599999999994</v>
      </c>
      <c r="C454" s="4">
        <f>36.2925 * CHOOSE(CONTROL!$C$8, $C$12, 100%, $E$12) + CHOOSE(CONTROL!$C$27, 0.0166, 0)</f>
        <v>36.309099999999994</v>
      </c>
      <c r="D454" s="4">
        <f>42.3017 * CHOOSE(CONTROL!$C$8, $C$12, 100%, $E$12) + CHOOSE(CONTROL!$C$27, 0, 0)</f>
        <v>42.301699999999997</v>
      </c>
      <c r="E454" s="4">
        <f>212.691305006768 * CHOOSE(CONTROL!$C$8, $C$12, 100%, $E$12) + CHOOSE(CONTROL!$C$27, 0, 0)</f>
        <v>212.691305006768</v>
      </c>
    </row>
    <row r="455" spans="1:5" ht="15">
      <c r="A455" s="13">
        <v>55762</v>
      </c>
      <c r="B455" s="4">
        <f>37.4365 * CHOOSE(CONTROL!$C$8, $C$12, 100%, $E$12) + CHOOSE(CONTROL!$C$27, 0.0166, 0)</f>
        <v>37.453099999999999</v>
      </c>
      <c r="C455" s="4">
        <f>37.124 * CHOOSE(CONTROL!$C$8, $C$12, 100%, $E$12) + CHOOSE(CONTROL!$C$27, 0.0166, 0)</f>
        <v>37.140599999999999</v>
      </c>
      <c r="D455" s="4">
        <f>41.8665 * CHOOSE(CONTROL!$C$8, $C$12, 100%, $E$12) + CHOOSE(CONTROL!$C$27, 0, 0)</f>
        <v>41.866500000000002</v>
      </c>
      <c r="E455" s="4">
        <f>217.783580126641 * CHOOSE(CONTROL!$C$8, $C$12, 100%, $E$12) + CHOOSE(CONTROL!$C$27, 0, 0)</f>
        <v>217.783580126641</v>
      </c>
    </row>
    <row r="456" spans="1:5" ht="15">
      <c r="A456" s="13">
        <v>55792</v>
      </c>
      <c r="B456" s="4">
        <f>36.0193 * CHOOSE(CONTROL!$C$8, $C$12, 100%, $E$12) + CHOOSE(CONTROL!$C$27, 0.0166, 0)</f>
        <v>36.035899999999998</v>
      </c>
      <c r="C456" s="4">
        <f>35.7068 * CHOOSE(CONTROL!$C$8, $C$12, 100%, $E$12) + CHOOSE(CONTROL!$C$27, 0.0166, 0)</f>
        <v>35.723399999999998</v>
      </c>
      <c r="D456" s="4">
        <f>41.6609 * CHOOSE(CONTROL!$C$8, $C$12, 100%, $E$12) + CHOOSE(CONTROL!$C$27, 0, 0)</f>
        <v>41.660899999999998</v>
      </c>
      <c r="E456" s="4">
        <f>209.104719208054 * CHOOSE(CONTROL!$C$8, $C$12, 100%, $E$12) + CHOOSE(CONTROL!$C$27, 0, 0)</f>
        <v>209.10471920805401</v>
      </c>
    </row>
    <row r="457" spans="1:5" ht="15">
      <c r="A457" s="13">
        <v>55823</v>
      </c>
      <c r="B457" s="4">
        <f>34.8849 * CHOOSE(CONTROL!$C$8, $C$12, 100%, $E$12) + CHOOSE(CONTROL!$C$27, 0.0003, 0)</f>
        <v>34.885200000000005</v>
      </c>
      <c r="C457" s="4">
        <f>34.5724 * CHOOSE(CONTROL!$C$8, $C$12, 100%, $E$12) + CHOOSE(CONTROL!$C$27, 0.0003, 0)</f>
        <v>34.572700000000005</v>
      </c>
      <c r="D457" s="4">
        <f>41.1103 * CHOOSE(CONTROL!$C$8, $C$12, 100%, $E$12) + CHOOSE(CONTROL!$C$27, 0, 0)</f>
        <v>41.110300000000002</v>
      </c>
      <c r="E457" s="4">
        <f>202.157119044507 * CHOOSE(CONTROL!$C$8, $C$12, 100%, $E$12) + CHOOSE(CONTROL!$C$27, 0, 0)</f>
        <v>202.157119044507</v>
      </c>
    </row>
    <row r="458" spans="1:5" ht="15">
      <c r="A458" s="13">
        <v>55853</v>
      </c>
      <c r="B458" s="4">
        <f>34.1542 * CHOOSE(CONTROL!$C$8, $C$12, 100%, $E$12) + CHOOSE(CONTROL!$C$27, 0.0003, 0)</f>
        <v>34.154500000000006</v>
      </c>
      <c r="C458" s="4">
        <f>33.8417 * CHOOSE(CONTROL!$C$8, $C$12, 100%, $E$12) + CHOOSE(CONTROL!$C$27, 0.0003, 0)</f>
        <v>33.842000000000006</v>
      </c>
      <c r="D458" s="4">
        <f>40.921 * CHOOSE(CONTROL!$C$8, $C$12, 100%, $E$12) + CHOOSE(CONTROL!$C$27, 0, 0)</f>
        <v>40.920999999999999</v>
      </c>
      <c r="E458" s="4">
        <f>197.682345724885 * CHOOSE(CONTROL!$C$8, $C$12, 100%, $E$12) + CHOOSE(CONTROL!$C$27, 0, 0)</f>
        <v>197.68234572488501</v>
      </c>
    </row>
    <row r="459" spans="1:5" ht="15">
      <c r="A459" s="13">
        <v>55884</v>
      </c>
      <c r="B459" s="4">
        <f>33.6487 * CHOOSE(CONTROL!$C$8, $C$12, 100%, $E$12) + CHOOSE(CONTROL!$C$27, 0.0003, 0)</f>
        <v>33.649000000000001</v>
      </c>
      <c r="C459" s="4">
        <f>33.3362 * CHOOSE(CONTROL!$C$8, $C$12, 100%, $E$12) + CHOOSE(CONTROL!$C$27, 0.0003, 0)</f>
        <v>33.336500000000001</v>
      </c>
      <c r="D459" s="4">
        <f>39.5275 * CHOOSE(CONTROL!$C$8, $C$12, 100%, $E$12) + CHOOSE(CONTROL!$C$27, 0, 0)</f>
        <v>39.527500000000003</v>
      </c>
      <c r="E459" s="4">
        <f>194.586377794863 * CHOOSE(CONTROL!$C$8, $C$12, 100%, $E$12) + CHOOSE(CONTROL!$C$27, 0, 0)</f>
        <v>194.58637779486301</v>
      </c>
    </row>
    <row r="460" spans="1:5" ht="15">
      <c r="A460" s="13">
        <v>55915</v>
      </c>
      <c r="B460" s="4">
        <f>32.8273 * CHOOSE(CONTROL!$C$8, $C$12, 100%, $E$12) + CHOOSE(CONTROL!$C$27, 0.0003, 0)</f>
        <v>32.827600000000004</v>
      </c>
      <c r="C460" s="4">
        <f>32.5148 * CHOOSE(CONTROL!$C$8, $C$12, 100%, $E$12) + CHOOSE(CONTROL!$C$27, 0.0003, 0)</f>
        <v>32.515100000000004</v>
      </c>
      <c r="D460" s="4">
        <f>38.2468 * CHOOSE(CONTROL!$C$8, $C$12, 100%, $E$12) + CHOOSE(CONTROL!$C$27, 0, 0)</f>
        <v>38.2468</v>
      </c>
      <c r="E460" s="4">
        <f>189.006381989402 * CHOOSE(CONTROL!$C$8, $C$12, 100%, $E$12) + CHOOSE(CONTROL!$C$27, 0, 0)</f>
        <v>189.006381989402</v>
      </c>
    </row>
    <row r="461" spans="1:5" ht="15">
      <c r="A461" s="13">
        <v>55943</v>
      </c>
      <c r="B461" s="4">
        <f>33.5622 * CHOOSE(CONTROL!$C$8, $C$12, 100%, $E$12) + CHOOSE(CONTROL!$C$27, 0.0003, 0)</f>
        <v>33.5625</v>
      </c>
      <c r="C461" s="4">
        <f>33.2497 * CHOOSE(CONTROL!$C$8, $C$12, 100%, $E$12) + CHOOSE(CONTROL!$C$27, 0.0003, 0)</f>
        <v>33.25</v>
      </c>
      <c r="D461" s="4">
        <f>39.5365 * CHOOSE(CONTROL!$C$8, $C$12, 100%, $E$12) + CHOOSE(CONTROL!$C$27, 0, 0)</f>
        <v>39.536499999999997</v>
      </c>
      <c r="E461" s="4">
        <f>193.494138354866 * CHOOSE(CONTROL!$C$8, $C$12, 100%, $E$12) + CHOOSE(CONTROL!$C$27, 0, 0)</f>
        <v>193.49413835486601</v>
      </c>
    </row>
    <row r="462" spans="1:5" ht="15">
      <c r="A462" s="13">
        <v>55974</v>
      </c>
      <c r="B462" s="4">
        <f>35.4922 * CHOOSE(CONTROL!$C$8, $C$12, 100%, $E$12) + CHOOSE(CONTROL!$C$27, 0.0003, 0)</f>
        <v>35.4925</v>
      </c>
      <c r="C462" s="4">
        <f>35.1797 * CHOOSE(CONTROL!$C$8, $C$12, 100%, $E$12) + CHOOSE(CONTROL!$C$27, 0.0003, 0)</f>
        <v>35.18</v>
      </c>
      <c r="D462" s="4">
        <f>41.5555 * CHOOSE(CONTROL!$C$8, $C$12, 100%, $E$12) + CHOOSE(CONTROL!$C$27, 0, 0)</f>
        <v>41.555500000000002</v>
      </c>
      <c r="E462" s="4">
        <f>205.27922506443 * CHOOSE(CONTROL!$C$8, $C$12, 100%, $E$12) + CHOOSE(CONTROL!$C$27, 0, 0)</f>
        <v>205.27922506442999</v>
      </c>
    </row>
    <row r="463" spans="1:5" ht="15">
      <c r="A463" s="13">
        <v>56004</v>
      </c>
      <c r="B463" s="4">
        <f>36.8634 * CHOOSE(CONTROL!$C$8, $C$12, 100%, $E$12) + CHOOSE(CONTROL!$C$27, 0.0003, 0)</f>
        <v>36.863700000000001</v>
      </c>
      <c r="C463" s="4">
        <f>36.5509 * CHOOSE(CONTROL!$C$8, $C$12, 100%, $E$12) + CHOOSE(CONTROL!$C$27, 0.0003, 0)</f>
        <v>36.551200000000001</v>
      </c>
      <c r="D463" s="4">
        <f>42.7185 * CHOOSE(CONTROL!$C$8, $C$12, 100%, $E$12) + CHOOSE(CONTROL!$C$27, 0, 0)</f>
        <v>42.718499999999999</v>
      </c>
      <c r="E463" s="4">
        <f>213.652686228507 * CHOOSE(CONTROL!$C$8, $C$12, 100%, $E$12) + CHOOSE(CONTROL!$C$27, 0, 0)</f>
        <v>213.65268622850701</v>
      </c>
    </row>
    <row r="464" spans="1:5" ht="15">
      <c r="A464" s="13">
        <v>56035</v>
      </c>
      <c r="B464" s="4">
        <f>37.7012 * CHOOSE(CONTROL!$C$8, $C$12, 100%, $E$12) + CHOOSE(CONTROL!$C$27, 0.0166, 0)</f>
        <v>37.717799999999997</v>
      </c>
      <c r="C464" s="4">
        <f>37.3887 * CHOOSE(CONTROL!$C$8, $C$12, 100%, $E$12) + CHOOSE(CONTROL!$C$27, 0.0166, 0)</f>
        <v>37.405299999999997</v>
      </c>
      <c r="D464" s="4">
        <f>42.2589 * CHOOSE(CONTROL!$C$8, $C$12, 100%, $E$12) + CHOOSE(CONTROL!$C$27, 0, 0)</f>
        <v>42.258899999999997</v>
      </c>
      <c r="E464" s="4">
        <f>218.768670315901 * CHOOSE(CONTROL!$C$8, $C$12, 100%, $E$12) + CHOOSE(CONTROL!$C$27, 0, 0)</f>
        <v>218.76867031590101</v>
      </c>
    </row>
    <row r="465" spans="1:5" ht="15">
      <c r="A465" s="13">
        <v>56065</v>
      </c>
      <c r="B465" s="4">
        <f>37.8146 * CHOOSE(CONTROL!$C$8, $C$12, 100%, $E$12) + CHOOSE(CONTROL!$C$27, 0.0166, 0)</f>
        <v>37.831199999999995</v>
      </c>
      <c r="C465" s="4">
        <f>37.5021 * CHOOSE(CONTROL!$C$8, $C$12, 100%, $E$12) + CHOOSE(CONTROL!$C$27, 0.0166, 0)</f>
        <v>37.518699999999995</v>
      </c>
      <c r="D465" s="4">
        <f>42.6332 * CHOOSE(CONTROL!$C$8, $C$12, 100%, $E$12) + CHOOSE(CONTROL!$C$27, 0, 0)</f>
        <v>42.633200000000002</v>
      </c>
      <c r="E465" s="4">
        <f>219.460884194696 * CHOOSE(CONTROL!$C$8, $C$12, 100%, $E$12) + CHOOSE(CONTROL!$C$27, 0, 0)</f>
        <v>219.46088419469601</v>
      </c>
    </row>
    <row r="466" spans="1:5" ht="15">
      <c r="A466" s="13">
        <v>56096</v>
      </c>
      <c r="B466" s="4">
        <f>37.8032 * CHOOSE(CONTROL!$C$8, $C$12, 100%, $E$12) + CHOOSE(CONTROL!$C$27, 0.0166, 0)</f>
        <v>37.819799999999994</v>
      </c>
      <c r="C466" s="4">
        <f>37.4907 * CHOOSE(CONTROL!$C$8, $C$12, 100%, $E$12) + CHOOSE(CONTROL!$C$27, 0.0166, 0)</f>
        <v>37.507299999999994</v>
      </c>
      <c r="D466" s="4">
        <f>43.3085 * CHOOSE(CONTROL!$C$8, $C$12, 100%, $E$12) + CHOOSE(CONTROL!$C$27, 0, 0)</f>
        <v>43.308500000000002</v>
      </c>
      <c r="E466" s="4">
        <f>219.391081114482 * CHOOSE(CONTROL!$C$8, $C$12, 100%, $E$12) + CHOOSE(CONTROL!$C$27, 0, 0)</f>
        <v>219.39108111448201</v>
      </c>
    </row>
    <row r="467" spans="1:5" ht="15">
      <c r="A467" s="13">
        <v>56127</v>
      </c>
      <c r="B467" s="4">
        <f>38.6634 * CHOOSE(CONTROL!$C$8, $C$12, 100%, $E$12) + CHOOSE(CONTROL!$C$27, 0.0166, 0)</f>
        <v>38.68</v>
      </c>
      <c r="C467" s="4">
        <f>38.3509 * CHOOSE(CONTROL!$C$8, $C$12, 100%, $E$12) + CHOOSE(CONTROL!$C$27, 0.0166, 0)</f>
        <v>38.3675</v>
      </c>
      <c r="D467" s="4">
        <f>42.8625 * CHOOSE(CONTROL!$C$8, $C$12, 100%, $E$12) + CHOOSE(CONTROL!$C$27, 0, 0)</f>
        <v>42.862499999999997</v>
      </c>
      <c r="E467" s="4">
        <f>224.64376290063 * CHOOSE(CONTROL!$C$8, $C$12, 100%, $E$12) + CHOOSE(CONTROL!$C$27, 0, 0)</f>
        <v>224.64376290063001</v>
      </c>
    </row>
    <row r="468" spans="1:5" ht="15">
      <c r="A468" s="13">
        <v>56157</v>
      </c>
      <c r="B468" s="4">
        <f>37.1973 * CHOOSE(CONTROL!$C$8, $C$12, 100%, $E$12) + CHOOSE(CONTROL!$C$27, 0.0166, 0)</f>
        <v>37.213899999999995</v>
      </c>
      <c r="C468" s="4">
        <f>36.8848 * CHOOSE(CONTROL!$C$8, $C$12, 100%, $E$12) + CHOOSE(CONTROL!$C$27, 0.0166, 0)</f>
        <v>36.901399999999995</v>
      </c>
      <c r="D468" s="4">
        <f>42.6518 * CHOOSE(CONTROL!$C$8, $C$12, 100%, $E$12) + CHOOSE(CONTROL!$C$27, 0, 0)</f>
        <v>42.651800000000001</v>
      </c>
      <c r="E468" s="4">
        <f>215.691517863108 * CHOOSE(CONTROL!$C$8, $C$12, 100%, $E$12) + CHOOSE(CONTROL!$C$27, 0, 0)</f>
        <v>215.691517863108</v>
      </c>
    </row>
    <row r="469" spans="1:5" ht="15">
      <c r="A469" s="13">
        <v>56188</v>
      </c>
      <c r="B469" s="4">
        <f>36.0237 * CHOOSE(CONTROL!$C$8, $C$12, 100%, $E$12) + CHOOSE(CONTROL!$C$27, 0.0003, 0)</f>
        <v>36.024000000000001</v>
      </c>
      <c r="C469" s="4">
        <f>35.7112 * CHOOSE(CONTROL!$C$8, $C$12, 100%, $E$12) + CHOOSE(CONTROL!$C$27, 0.0003, 0)</f>
        <v>35.711500000000001</v>
      </c>
      <c r="D469" s="4">
        <f>42.0876 * CHOOSE(CONTROL!$C$8, $C$12, 100%, $E$12) + CHOOSE(CONTROL!$C$27, 0, 0)</f>
        <v>42.087600000000002</v>
      </c>
      <c r="E469" s="4">
        <f>208.525068294409 * CHOOSE(CONTROL!$C$8, $C$12, 100%, $E$12) + CHOOSE(CONTROL!$C$27, 0, 0)</f>
        <v>208.52506829440901</v>
      </c>
    </row>
    <row r="470" spans="1:5" ht="15">
      <c r="A470" s="13">
        <v>56218</v>
      </c>
      <c r="B470" s="4">
        <f>35.2678 * CHOOSE(CONTROL!$C$8, $C$12, 100%, $E$12) + CHOOSE(CONTROL!$C$27, 0.0003, 0)</f>
        <v>35.268100000000004</v>
      </c>
      <c r="C470" s="4">
        <f>34.9553 * CHOOSE(CONTROL!$C$8, $C$12, 100%, $E$12) + CHOOSE(CONTROL!$C$27, 0.0003, 0)</f>
        <v>34.955600000000004</v>
      </c>
      <c r="D470" s="4">
        <f>41.8936 * CHOOSE(CONTROL!$C$8, $C$12, 100%, $E$12) + CHOOSE(CONTROL!$C$27, 0, 0)</f>
        <v>41.893599999999999</v>
      </c>
      <c r="E470" s="4">
        <f>203.909339615219 * CHOOSE(CONTROL!$C$8, $C$12, 100%, $E$12) + CHOOSE(CONTROL!$C$27, 0, 0)</f>
        <v>203.90933961521901</v>
      </c>
    </row>
    <row r="471" spans="1:5" ht="15">
      <c r="A471" s="13">
        <v>56249</v>
      </c>
      <c r="B471" s="4">
        <f>34.7449 * CHOOSE(CONTROL!$C$8, $C$12, 100%, $E$12) + CHOOSE(CONTROL!$C$27, 0.0003, 0)</f>
        <v>34.745200000000004</v>
      </c>
      <c r="C471" s="4">
        <f>34.4324 * CHOOSE(CONTROL!$C$8, $C$12, 100%, $E$12) + CHOOSE(CONTROL!$C$27, 0.0003, 0)</f>
        <v>34.432700000000004</v>
      </c>
      <c r="D471" s="4">
        <f>40.4655 * CHOOSE(CONTROL!$C$8, $C$12, 100%, $E$12) + CHOOSE(CONTROL!$C$27, 0, 0)</f>
        <v>40.465499999999999</v>
      </c>
      <c r="E471" s="4">
        <f>200.715848695401 * CHOOSE(CONTROL!$C$8, $C$12, 100%, $E$12) + CHOOSE(CONTROL!$C$27, 0, 0)</f>
        <v>200.71584869540101</v>
      </c>
    </row>
    <row r="472" spans="1:5" ht="15">
      <c r="A472" s="13">
        <v>56280</v>
      </c>
      <c r="B472" s="4">
        <f>33.8951 * CHOOSE(CONTROL!$C$8, $C$12, 100%, $E$12) + CHOOSE(CONTROL!$C$27, 0.0003, 0)</f>
        <v>33.895400000000002</v>
      </c>
      <c r="C472" s="4">
        <f>33.5826 * CHOOSE(CONTROL!$C$8, $C$12, 100%, $E$12) + CHOOSE(CONTROL!$C$27, 0.0003, 0)</f>
        <v>33.582900000000002</v>
      </c>
      <c r="D472" s="4">
        <f>39.153 * CHOOSE(CONTROL!$C$8, $C$12, 100%, $E$12) + CHOOSE(CONTROL!$C$27, 0, 0)</f>
        <v>39.152999999999999</v>
      </c>
      <c r="E472" s="4">
        <f>194.960083022068 * CHOOSE(CONTROL!$C$8, $C$12, 100%, $E$12) + CHOOSE(CONTROL!$C$27, 0, 0)</f>
        <v>194.96008302206801</v>
      </c>
    </row>
    <row r="473" spans="1:5" ht="15">
      <c r="A473" s="13">
        <v>56308</v>
      </c>
      <c r="B473" s="4">
        <f>34.6554 * CHOOSE(CONTROL!$C$8, $C$12, 100%, $E$12) + CHOOSE(CONTROL!$C$27, 0.0003, 0)</f>
        <v>34.655700000000003</v>
      </c>
      <c r="C473" s="4">
        <f>34.3429 * CHOOSE(CONTROL!$C$8, $C$12, 100%, $E$12) + CHOOSE(CONTROL!$C$27, 0.0003, 0)</f>
        <v>34.343200000000003</v>
      </c>
      <c r="D473" s="4">
        <f>40.4747 * CHOOSE(CONTROL!$C$8, $C$12, 100%, $E$12) + CHOOSE(CONTROL!$C$27, 0, 0)</f>
        <v>40.474699999999999</v>
      </c>
      <c r="E473" s="4">
        <f>199.589203713044 * CHOOSE(CONTROL!$C$8, $C$12, 100%, $E$12) + CHOOSE(CONTROL!$C$27, 0, 0)</f>
        <v>199.58920371304399</v>
      </c>
    </row>
    <row r="474" spans="1:5" ht="15">
      <c r="A474" s="13">
        <v>56339</v>
      </c>
      <c r="B474" s="4">
        <f>36.652 * CHOOSE(CONTROL!$C$8, $C$12, 100%, $E$12) + CHOOSE(CONTROL!$C$27, 0.0003, 0)</f>
        <v>36.652300000000004</v>
      </c>
      <c r="C474" s="4">
        <f>36.3395 * CHOOSE(CONTROL!$C$8, $C$12, 100%, $E$12) + CHOOSE(CONTROL!$C$27, 0.0003, 0)</f>
        <v>36.339800000000004</v>
      </c>
      <c r="D474" s="4">
        <f>42.5438 * CHOOSE(CONTROL!$C$8, $C$12, 100%, $E$12) + CHOOSE(CONTROL!$C$27, 0, 0)</f>
        <v>42.543799999999997</v>
      </c>
      <c r="E474" s="4">
        <f>211.74552065396 * CHOOSE(CONTROL!$C$8, $C$12, 100%, $E$12) + CHOOSE(CONTROL!$C$27, 0, 0)</f>
        <v>211.74552065396</v>
      </c>
    </row>
    <row r="475" spans="1:5" ht="15">
      <c r="A475" s="13">
        <v>56369</v>
      </c>
      <c r="B475" s="4">
        <f>38.0705 * CHOOSE(CONTROL!$C$8, $C$12, 100%, $E$12) + CHOOSE(CONTROL!$C$27, 0.0003, 0)</f>
        <v>38.070800000000006</v>
      </c>
      <c r="C475" s="4">
        <f>37.758 * CHOOSE(CONTROL!$C$8, $C$12, 100%, $E$12) + CHOOSE(CONTROL!$C$27, 0.0003, 0)</f>
        <v>37.758300000000006</v>
      </c>
      <c r="D475" s="4">
        <f>43.7356 * CHOOSE(CONTROL!$C$8, $C$12, 100%, $E$12) + CHOOSE(CONTROL!$C$27, 0, 0)</f>
        <v>43.735599999999998</v>
      </c>
      <c r="E475" s="4">
        <f>220.382745844705 * CHOOSE(CONTROL!$C$8, $C$12, 100%, $E$12) + CHOOSE(CONTROL!$C$27, 0, 0)</f>
        <v>220.382745844705</v>
      </c>
    </row>
    <row r="476" spans="1:5" ht="15">
      <c r="A476" s="13">
        <v>56400</v>
      </c>
      <c r="B476" s="4">
        <f>38.9372 * CHOOSE(CONTROL!$C$8, $C$12, 100%, $E$12) + CHOOSE(CONTROL!$C$27, 0.0166, 0)</f>
        <v>38.953799999999994</v>
      </c>
      <c r="C476" s="4">
        <f>38.6247 * CHOOSE(CONTROL!$C$8, $C$12, 100%, $E$12) + CHOOSE(CONTROL!$C$27, 0.0166, 0)</f>
        <v>38.641299999999994</v>
      </c>
      <c r="D476" s="4">
        <f>43.2646 * CHOOSE(CONTROL!$C$8, $C$12, 100%, $E$12) + CHOOSE(CONTROL!$C$27, 0, 0)</f>
        <v>43.264600000000002</v>
      </c>
      <c r="E476" s="4">
        <f>225.659883430852 * CHOOSE(CONTROL!$C$8, $C$12, 100%, $E$12) + CHOOSE(CONTROL!$C$27, 0, 0)</f>
        <v>225.65988343085201</v>
      </c>
    </row>
    <row r="477" spans="1:5" ht="15">
      <c r="A477" s="13">
        <v>56430</v>
      </c>
      <c r="B477" s="4">
        <f>39.0545 * CHOOSE(CONTROL!$C$8, $C$12, 100%, $E$12) + CHOOSE(CONTROL!$C$27, 0.0166, 0)</f>
        <v>39.071099999999994</v>
      </c>
      <c r="C477" s="4">
        <f>38.742 * CHOOSE(CONTROL!$C$8, $C$12, 100%, $E$12) + CHOOSE(CONTROL!$C$27, 0.0166, 0)</f>
        <v>38.758599999999994</v>
      </c>
      <c r="D477" s="4">
        <f>43.6482 * CHOOSE(CONTROL!$C$8, $C$12, 100%, $E$12) + CHOOSE(CONTROL!$C$27, 0, 0)</f>
        <v>43.648200000000003</v>
      </c>
      <c r="E477" s="4">
        <f>226.373902046829 * CHOOSE(CONTROL!$C$8, $C$12, 100%, $E$12) + CHOOSE(CONTROL!$C$27, 0, 0)</f>
        <v>226.37390204682899</v>
      </c>
    </row>
    <row r="478" spans="1:5" ht="15">
      <c r="A478" s="13">
        <v>56461</v>
      </c>
      <c r="B478" s="4">
        <f>39.0427 * CHOOSE(CONTROL!$C$8, $C$12, 100%, $E$12) + CHOOSE(CONTROL!$C$27, 0.0166, 0)</f>
        <v>39.0593</v>
      </c>
      <c r="C478" s="4">
        <f>38.7302 * CHOOSE(CONTROL!$C$8, $C$12, 100%, $E$12) + CHOOSE(CONTROL!$C$27, 0.0166, 0)</f>
        <v>38.7468</v>
      </c>
      <c r="D478" s="4">
        <f>44.3403 * CHOOSE(CONTROL!$C$8, $C$12, 100%, $E$12) + CHOOSE(CONTROL!$C$27, 0, 0)</f>
        <v>44.340299999999999</v>
      </c>
      <c r="E478" s="4">
        <f>226.301900169588 * CHOOSE(CONTROL!$C$8, $C$12, 100%, $E$12) + CHOOSE(CONTROL!$C$27, 0, 0)</f>
        <v>226.30190016958801</v>
      </c>
    </row>
    <row r="479" spans="1:5" ht="15">
      <c r="A479" s="13">
        <v>56492</v>
      </c>
      <c r="B479" s="4">
        <f>39.9326 * CHOOSE(CONTROL!$C$8, $C$12, 100%, $E$12) + CHOOSE(CONTROL!$C$27, 0.0166, 0)</f>
        <v>39.949199999999998</v>
      </c>
      <c r="C479" s="4">
        <f>39.6201 * CHOOSE(CONTROL!$C$8, $C$12, 100%, $E$12) + CHOOSE(CONTROL!$C$27, 0.0166, 0)</f>
        <v>39.636699999999998</v>
      </c>
      <c r="D479" s="4">
        <f>43.8832 * CHOOSE(CONTROL!$C$8, $C$12, 100%, $E$12) + CHOOSE(CONTROL!$C$27, 0, 0)</f>
        <v>43.883200000000002</v>
      </c>
      <c r="E479" s="4">
        <f>231.720041432 * CHOOSE(CONTROL!$C$8, $C$12, 100%, $E$12) + CHOOSE(CONTROL!$C$27, 0, 0)</f>
        <v>231.72004143199999</v>
      </c>
    </row>
    <row r="480" spans="1:5" ht="15">
      <c r="A480" s="13">
        <v>56522</v>
      </c>
      <c r="B480" s="4">
        <f>38.4159 * CHOOSE(CONTROL!$C$8, $C$12, 100%, $E$12) + CHOOSE(CONTROL!$C$27, 0.0166, 0)</f>
        <v>38.432499999999997</v>
      </c>
      <c r="C480" s="4">
        <f>38.1034 * CHOOSE(CONTROL!$C$8, $C$12, 100%, $E$12) + CHOOSE(CONTROL!$C$27, 0.0166, 0)</f>
        <v>38.119999999999997</v>
      </c>
      <c r="D480" s="4">
        <f>43.6673 * CHOOSE(CONTROL!$C$8, $C$12, 100%, $E$12) + CHOOSE(CONTROL!$C$27, 0, 0)</f>
        <v>43.667299999999997</v>
      </c>
      <c r="E480" s="4">
        <f>222.485800675796 * CHOOSE(CONTROL!$C$8, $C$12, 100%, $E$12) + CHOOSE(CONTROL!$C$27, 0, 0)</f>
        <v>222.48580067579601</v>
      </c>
    </row>
    <row r="481" spans="1:5" ht="15">
      <c r="A481" s="13">
        <v>56553</v>
      </c>
      <c r="B481" s="4">
        <f>37.2018 * CHOOSE(CONTROL!$C$8, $C$12, 100%, $E$12) + CHOOSE(CONTROL!$C$27, 0.0003, 0)</f>
        <v>37.202100000000002</v>
      </c>
      <c r="C481" s="4">
        <f>36.8893 * CHOOSE(CONTROL!$C$8, $C$12, 100%, $E$12) + CHOOSE(CONTROL!$C$27, 0.0003, 0)</f>
        <v>36.889600000000002</v>
      </c>
      <c r="D481" s="4">
        <f>43.0891 * CHOOSE(CONTROL!$C$8, $C$12, 100%, $E$12) + CHOOSE(CONTROL!$C$27, 0, 0)</f>
        <v>43.089100000000002</v>
      </c>
      <c r="E481" s="4">
        <f>215.093607945683 * CHOOSE(CONTROL!$C$8, $C$12, 100%, $E$12) + CHOOSE(CONTROL!$C$27, 0, 0)</f>
        <v>215.093607945683</v>
      </c>
    </row>
    <row r="482" spans="1:5" ht="15">
      <c r="A482" s="13">
        <v>56583</v>
      </c>
      <c r="B482" s="4">
        <f>36.4199 * CHOOSE(CONTROL!$C$8, $C$12, 100%, $E$12) + CHOOSE(CONTROL!$C$27, 0.0003, 0)</f>
        <v>36.420200000000001</v>
      </c>
      <c r="C482" s="4">
        <f>36.1074 * CHOOSE(CONTROL!$C$8, $C$12, 100%, $E$12) + CHOOSE(CONTROL!$C$27, 0.0003, 0)</f>
        <v>36.107700000000001</v>
      </c>
      <c r="D482" s="4">
        <f>42.8903 * CHOOSE(CONTROL!$C$8, $C$12, 100%, $E$12) + CHOOSE(CONTROL!$C$27, 0, 0)</f>
        <v>42.890300000000003</v>
      </c>
      <c r="E482" s="4">
        <f>210.332483813098 * CHOOSE(CONTROL!$C$8, $C$12, 100%, $E$12) + CHOOSE(CONTROL!$C$27, 0, 0)</f>
        <v>210.33248381309801</v>
      </c>
    </row>
    <row r="483" spans="1:5" ht="15">
      <c r="A483" s="13">
        <v>56614</v>
      </c>
      <c r="B483" s="4">
        <f>35.8789 * CHOOSE(CONTROL!$C$8, $C$12, 100%, $E$12) + CHOOSE(CONTROL!$C$27, 0.0003, 0)</f>
        <v>35.879200000000004</v>
      </c>
      <c r="C483" s="4">
        <f>35.5664 * CHOOSE(CONTROL!$C$8, $C$12, 100%, $E$12) + CHOOSE(CONTROL!$C$27, 0.0003, 0)</f>
        <v>35.566700000000004</v>
      </c>
      <c r="D483" s="4">
        <f>41.4268 * CHOOSE(CONTROL!$C$8, $C$12, 100%, $E$12) + CHOOSE(CONTROL!$C$27, 0, 0)</f>
        <v>41.4268</v>
      </c>
      <c r="E483" s="4">
        <f>207.038397929306 * CHOOSE(CONTROL!$C$8, $C$12, 100%, $E$12) + CHOOSE(CONTROL!$C$27, 0, 0)</f>
        <v>207.038397929306</v>
      </c>
    </row>
    <row r="484" spans="1:5" ht="15">
      <c r="A484" s="13">
        <v>56645</v>
      </c>
      <c r="B484" s="4">
        <f>34.9998 * CHOOSE(CONTROL!$C$8, $C$12, 100%, $E$12) + CHOOSE(CONTROL!$C$27, 0.0003, 0)</f>
        <v>35.000100000000003</v>
      </c>
      <c r="C484" s="4">
        <f>34.6873 * CHOOSE(CONTROL!$C$8, $C$12, 100%, $E$12) + CHOOSE(CONTROL!$C$27, 0.0003, 0)</f>
        <v>34.687600000000003</v>
      </c>
      <c r="D484" s="4">
        <f>40.0818 * CHOOSE(CONTROL!$C$8, $C$12, 100%, $E$12) + CHOOSE(CONTROL!$C$27, 0, 0)</f>
        <v>40.081800000000001</v>
      </c>
      <c r="E484" s="4">
        <f>201.101325637264 * CHOOSE(CONTROL!$C$8, $C$12, 100%, $E$12) + CHOOSE(CONTROL!$C$27, 0, 0)</f>
        <v>201.10132563726401</v>
      </c>
    </row>
    <row r="485" spans="1:5" ht="15">
      <c r="A485" s="13">
        <v>56673</v>
      </c>
      <c r="B485" s="4">
        <f>35.7863 * CHOOSE(CONTROL!$C$8, $C$12, 100%, $E$12) + CHOOSE(CONTROL!$C$27, 0.0003, 0)</f>
        <v>35.7866</v>
      </c>
      <c r="C485" s="4">
        <f>35.4738 * CHOOSE(CONTROL!$C$8, $C$12, 100%, $E$12) + CHOOSE(CONTROL!$C$27, 0.0003, 0)</f>
        <v>35.4741</v>
      </c>
      <c r="D485" s="4">
        <f>41.4362 * CHOOSE(CONTROL!$C$8, $C$12, 100%, $E$12) + CHOOSE(CONTROL!$C$27, 0, 0)</f>
        <v>41.436199999999999</v>
      </c>
      <c r="E485" s="4">
        <f>205.876263630005 * CHOOSE(CONTROL!$C$8, $C$12, 100%, $E$12) + CHOOSE(CONTROL!$C$27, 0, 0)</f>
        <v>205.87626363000501</v>
      </c>
    </row>
    <row r="486" spans="1:5" ht="15">
      <c r="A486" s="13">
        <v>56704</v>
      </c>
      <c r="B486" s="4">
        <f>37.8518 * CHOOSE(CONTROL!$C$8, $C$12, 100%, $E$12) + CHOOSE(CONTROL!$C$27, 0.0003, 0)</f>
        <v>37.8521</v>
      </c>
      <c r="C486" s="4">
        <f>37.5393 * CHOOSE(CONTROL!$C$8, $C$12, 100%, $E$12) + CHOOSE(CONTROL!$C$27, 0.0003, 0)</f>
        <v>37.5396</v>
      </c>
      <c r="D486" s="4">
        <f>43.5566 * CHOOSE(CONTROL!$C$8, $C$12, 100%, $E$12) + CHOOSE(CONTROL!$C$27, 0, 0)</f>
        <v>43.556600000000003</v>
      </c>
      <c r="E486" s="4">
        <f>218.41550455456 * CHOOSE(CONTROL!$C$8, $C$12, 100%, $E$12) + CHOOSE(CONTROL!$C$27, 0, 0)</f>
        <v>218.41550455455999</v>
      </c>
    </row>
    <row r="487" spans="1:5" ht="15">
      <c r="A487" s="13">
        <v>56734</v>
      </c>
      <c r="B487" s="4">
        <f>39.3193 * CHOOSE(CONTROL!$C$8, $C$12, 100%, $E$12) + CHOOSE(CONTROL!$C$27, 0.0003, 0)</f>
        <v>39.319600000000001</v>
      </c>
      <c r="C487" s="4">
        <f>39.0068 * CHOOSE(CONTROL!$C$8, $C$12, 100%, $E$12) + CHOOSE(CONTROL!$C$27, 0.0003, 0)</f>
        <v>39.007100000000001</v>
      </c>
      <c r="D487" s="4">
        <f>44.778 * CHOOSE(CONTROL!$C$8, $C$12, 100%, $E$12) + CHOOSE(CONTROL!$C$27, 0, 0)</f>
        <v>44.777999999999999</v>
      </c>
      <c r="E487" s="4">
        <f>227.324802338813 * CHOOSE(CONTROL!$C$8, $C$12, 100%, $E$12) + CHOOSE(CONTROL!$C$27, 0, 0)</f>
        <v>227.32480233881299</v>
      </c>
    </row>
    <row r="488" spans="1:5" ht="15">
      <c r="A488" s="13">
        <v>56765</v>
      </c>
      <c r="B488" s="4">
        <f>40.2159 * CHOOSE(CONTROL!$C$8, $C$12, 100%, $E$12) + CHOOSE(CONTROL!$C$27, 0.0166, 0)</f>
        <v>40.232499999999995</v>
      </c>
      <c r="C488" s="4">
        <f>39.9034 * CHOOSE(CONTROL!$C$8, $C$12, 100%, $E$12) + CHOOSE(CONTROL!$C$27, 0.0166, 0)</f>
        <v>39.919999999999995</v>
      </c>
      <c r="D488" s="4">
        <f>44.2953 * CHOOSE(CONTROL!$C$8, $C$12, 100%, $E$12) + CHOOSE(CONTROL!$C$27, 0, 0)</f>
        <v>44.295299999999997</v>
      </c>
      <c r="E488" s="4">
        <f>232.768169758924 * CHOOSE(CONTROL!$C$8, $C$12, 100%, $E$12) + CHOOSE(CONTROL!$C$27, 0, 0)</f>
        <v>232.76816975892399</v>
      </c>
    </row>
    <row r="489" spans="1:5" ht="15">
      <c r="A489" s="13">
        <v>56795</v>
      </c>
      <c r="B489" s="4">
        <f>40.3372 * CHOOSE(CONTROL!$C$8, $C$12, 100%, $E$12) + CHOOSE(CONTROL!$C$27, 0.0166, 0)</f>
        <v>40.3538</v>
      </c>
      <c r="C489" s="4">
        <f>40.0247 * CHOOSE(CONTROL!$C$8, $C$12, 100%, $E$12) + CHOOSE(CONTROL!$C$27, 0.0166, 0)</f>
        <v>40.0413</v>
      </c>
      <c r="D489" s="4">
        <f>44.6884 * CHOOSE(CONTROL!$C$8, $C$12, 100%, $E$12) + CHOOSE(CONTROL!$C$27, 0, 0)</f>
        <v>44.688400000000001</v>
      </c>
      <c r="E489" s="4">
        <f>233.504679961304 * CHOOSE(CONTROL!$C$8, $C$12, 100%, $E$12) + CHOOSE(CONTROL!$C$27, 0, 0)</f>
        <v>233.50467996130399</v>
      </c>
    </row>
    <row r="490" spans="1:5" ht="15">
      <c r="A490" s="13">
        <v>56826</v>
      </c>
      <c r="B490" s="4">
        <f>40.325 * CHOOSE(CONTROL!$C$8, $C$12, 100%, $E$12) + CHOOSE(CONTROL!$C$27, 0.0166, 0)</f>
        <v>40.3416</v>
      </c>
      <c r="C490" s="4">
        <f>40.0125 * CHOOSE(CONTROL!$C$8, $C$12, 100%, $E$12) + CHOOSE(CONTROL!$C$27, 0.0166, 0)</f>
        <v>40.0291</v>
      </c>
      <c r="D490" s="4">
        <f>45.3976 * CHOOSE(CONTROL!$C$8, $C$12, 100%, $E$12) + CHOOSE(CONTROL!$C$27, 0, 0)</f>
        <v>45.397599999999997</v>
      </c>
      <c r="E490" s="4">
        <f>233.43041002493 * CHOOSE(CONTROL!$C$8, $C$12, 100%, $E$12) + CHOOSE(CONTROL!$C$27, 0, 0)</f>
        <v>233.43041002493001</v>
      </c>
    </row>
    <row r="491" spans="1:5" ht="15">
      <c r="A491" s="13">
        <v>56857</v>
      </c>
      <c r="B491" s="4">
        <f>41.2455 * CHOOSE(CONTROL!$C$8, $C$12, 100%, $E$12) + CHOOSE(CONTROL!$C$27, 0.0166, 0)</f>
        <v>41.262099999999997</v>
      </c>
      <c r="C491" s="4">
        <f>40.933 * CHOOSE(CONTROL!$C$8, $C$12, 100%, $E$12) + CHOOSE(CONTROL!$C$27, 0.0166, 0)</f>
        <v>40.949599999999997</v>
      </c>
      <c r="D491" s="4">
        <f>44.9293 * CHOOSE(CONTROL!$C$8, $C$12, 100%, $E$12) + CHOOSE(CONTROL!$C$27, 0, 0)</f>
        <v>44.929299999999998</v>
      </c>
      <c r="E491" s="4">
        <f>239.019222737108 * CHOOSE(CONTROL!$C$8, $C$12, 100%, $E$12) + CHOOSE(CONTROL!$C$27, 0, 0)</f>
        <v>239.01922273710801</v>
      </c>
    </row>
    <row r="492" spans="1:5" ht="15">
      <c r="A492" s="13">
        <v>56887</v>
      </c>
      <c r="B492" s="4">
        <f>39.6766 * CHOOSE(CONTROL!$C$8, $C$12, 100%, $E$12) + CHOOSE(CONTROL!$C$27, 0.0166, 0)</f>
        <v>39.693199999999997</v>
      </c>
      <c r="C492" s="4">
        <f>39.3641 * CHOOSE(CONTROL!$C$8, $C$12, 100%, $E$12) + CHOOSE(CONTROL!$C$27, 0.0166, 0)</f>
        <v>39.380699999999997</v>
      </c>
      <c r="D492" s="4">
        <f>44.708 * CHOOSE(CONTROL!$C$8, $C$12, 100%, $E$12) + CHOOSE(CONTROL!$C$27, 0, 0)</f>
        <v>44.707999999999998</v>
      </c>
      <c r="E492" s="4">
        <f>229.494103397084 * CHOOSE(CONTROL!$C$8, $C$12, 100%, $E$12) + CHOOSE(CONTROL!$C$27, 0, 0)</f>
        <v>229.49410339708399</v>
      </c>
    </row>
    <row r="493" spans="1:5" ht="15">
      <c r="A493" s="13">
        <v>56918</v>
      </c>
      <c r="B493" s="4">
        <f>38.4206 * CHOOSE(CONTROL!$C$8, $C$12, 100%, $E$12) + CHOOSE(CONTROL!$C$27, 0.0003, 0)</f>
        <v>38.420900000000003</v>
      </c>
      <c r="C493" s="4">
        <f>38.1081 * CHOOSE(CONTROL!$C$8, $C$12, 100%, $E$12) + CHOOSE(CONTROL!$C$27, 0.0003, 0)</f>
        <v>38.108400000000003</v>
      </c>
      <c r="D493" s="4">
        <f>44.1154 * CHOOSE(CONTROL!$C$8, $C$12, 100%, $E$12) + CHOOSE(CONTROL!$C$27, 0, 0)</f>
        <v>44.115400000000001</v>
      </c>
      <c r="E493" s="4">
        <f>221.869056595972 * CHOOSE(CONTROL!$C$8, $C$12, 100%, $E$12) + CHOOSE(CONTROL!$C$27, 0, 0)</f>
        <v>221.86905659597201</v>
      </c>
    </row>
    <row r="494" spans="1:5" ht="15">
      <c r="A494" s="13">
        <v>56948</v>
      </c>
      <c r="B494" s="4">
        <f>37.6117 * CHOOSE(CONTROL!$C$8, $C$12, 100%, $E$12) + CHOOSE(CONTROL!$C$27, 0.0003, 0)</f>
        <v>37.612000000000002</v>
      </c>
      <c r="C494" s="4">
        <f>37.2992 * CHOOSE(CONTROL!$C$8, $C$12, 100%, $E$12) + CHOOSE(CONTROL!$C$27, 0.0003, 0)</f>
        <v>37.299500000000002</v>
      </c>
      <c r="D494" s="4">
        <f>43.9117 * CHOOSE(CONTROL!$C$8, $C$12, 100%, $E$12) + CHOOSE(CONTROL!$C$27, 0, 0)</f>
        <v>43.911700000000003</v>
      </c>
      <c r="E494" s="4">
        <f>216.957957053211 * CHOOSE(CONTROL!$C$8, $C$12, 100%, $E$12) + CHOOSE(CONTROL!$C$27, 0, 0)</f>
        <v>216.957957053211</v>
      </c>
    </row>
    <row r="495" spans="1:5" ht="15">
      <c r="A495" s="13">
        <v>56979</v>
      </c>
      <c r="B495" s="4">
        <f>37.052 * CHOOSE(CONTROL!$C$8, $C$12, 100%, $E$12) + CHOOSE(CONTROL!$C$27, 0.0003, 0)</f>
        <v>37.052300000000002</v>
      </c>
      <c r="C495" s="4">
        <f>36.7395 * CHOOSE(CONTROL!$C$8, $C$12, 100%, $E$12) + CHOOSE(CONTROL!$C$27, 0.0003, 0)</f>
        <v>36.739800000000002</v>
      </c>
      <c r="D495" s="4">
        <f>42.4119 * CHOOSE(CONTROL!$C$8, $C$12, 100%, $E$12) + CHOOSE(CONTROL!$C$27, 0, 0)</f>
        <v>42.411900000000003</v>
      </c>
      <c r="E495" s="4">
        <f>213.560107464079 * CHOOSE(CONTROL!$C$8, $C$12, 100%, $E$12) + CHOOSE(CONTROL!$C$27, 0, 0)</f>
        <v>213.56010746407901</v>
      </c>
    </row>
    <row r="496" spans="1:5" ht="15">
      <c r="A496" s="13">
        <v>57010</v>
      </c>
      <c r="B496" s="4">
        <f>36.1426 * CHOOSE(CONTROL!$C$8, $C$12, 100%, $E$12) + CHOOSE(CONTROL!$C$27, 0.0003, 0)</f>
        <v>36.142900000000004</v>
      </c>
      <c r="C496" s="4">
        <f>35.8301 * CHOOSE(CONTROL!$C$8, $C$12, 100%, $E$12) + CHOOSE(CONTROL!$C$27, 0.0003, 0)</f>
        <v>35.830400000000004</v>
      </c>
      <c r="D496" s="4">
        <f>41.0335 * CHOOSE(CONTROL!$C$8, $C$12, 100%, $E$12) + CHOOSE(CONTROL!$C$27, 0, 0)</f>
        <v>41.033499999999997</v>
      </c>
      <c r="E496" s="4">
        <f>207.436017394837 * CHOOSE(CONTROL!$C$8, $C$12, 100%, $E$12) + CHOOSE(CONTROL!$C$27, 0, 0)</f>
        <v>207.43601739483699</v>
      </c>
    </row>
    <row r="497" spans="1:5" ht="15">
      <c r="A497" s="13">
        <v>57038</v>
      </c>
      <c r="B497" s="4">
        <f>36.9563 * CHOOSE(CONTROL!$C$8, $C$12, 100%, $E$12) + CHOOSE(CONTROL!$C$27, 0.0003, 0)</f>
        <v>36.956600000000002</v>
      </c>
      <c r="C497" s="4">
        <f>36.6438 * CHOOSE(CONTROL!$C$8, $C$12, 100%, $E$12) + CHOOSE(CONTROL!$C$27, 0.0003, 0)</f>
        <v>36.644100000000002</v>
      </c>
      <c r="D497" s="4">
        <f>42.4216 * CHOOSE(CONTROL!$C$8, $C$12, 100%, $E$12) + CHOOSE(CONTROL!$C$27, 0, 0)</f>
        <v>42.421599999999998</v>
      </c>
      <c r="E497" s="4">
        <f>212.36136593435 * CHOOSE(CONTROL!$C$8, $C$12, 100%, $E$12) + CHOOSE(CONTROL!$C$27, 0, 0)</f>
        <v>212.36136593435</v>
      </c>
    </row>
    <row r="498" spans="1:5" ht="15">
      <c r="A498" s="13">
        <v>57070</v>
      </c>
      <c r="B498" s="4">
        <f>39.093 * CHOOSE(CONTROL!$C$8, $C$12, 100%, $E$12) + CHOOSE(CONTROL!$C$27, 0.0003, 0)</f>
        <v>39.093300000000006</v>
      </c>
      <c r="C498" s="4">
        <f>38.7805 * CHOOSE(CONTROL!$C$8, $C$12, 100%, $E$12) + CHOOSE(CONTROL!$C$27, 0.0003, 0)</f>
        <v>38.780800000000006</v>
      </c>
      <c r="D498" s="4">
        <f>44.5945 * CHOOSE(CONTROL!$C$8, $C$12, 100%, $E$12) + CHOOSE(CONTROL!$C$27, 0, 0)</f>
        <v>44.594499999999996</v>
      </c>
      <c r="E498" s="4">
        <f>225.295592948028 * CHOOSE(CONTROL!$C$8, $C$12, 100%, $E$12) + CHOOSE(CONTROL!$C$27, 0, 0)</f>
        <v>225.295592948028</v>
      </c>
    </row>
    <row r="499" spans="1:5" ht="15">
      <c r="A499" s="13">
        <v>57100</v>
      </c>
      <c r="B499" s="4">
        <f>40.6111 * CHOOSE(CONTROL!$C$8, $C$12, 100%, $E$12) + CHOOSE(CONTROL!$C$27, 0.0003, 0)</f>
        <v>40.611400000000003</v>
      </c>
      <c r="C499" s="4">
        <f>40.2986 * CHOOSE(CONTROL!$C$8, $C$12, 100%, $E$12) + CHOOSE(CONTROL!$C$27, 0.0003, 0)</f>
        <v>40.298900000000003</v>
      </c>
      <c r="D499" s="4">
        <f>45.8462 * CHOOSE(CONTROL!$C$8, $C$12, 100%, $E$12) + CHOOSE(CONTROL!$C$27, 0, 0)</f>
        <v>45.846200000000003</v>
      </c>
      <c r="E499" s="4">
        <f>234.485533612485 * CHOOSE(CONTROL!$C$8, $C$12, 100%, $E$12) + CHOOSE(CONTROL!$C$27, 0, 0)</f>
        <v>234.485533612485</v>
      </c>
    </row>
    <row r="500" spans="1:5" ht="15">
      <c r="A500" s="13">
        <v>57131</v>
      </c>
      <c r="B500" s="4">
        <f>41.5387 * CHOOSE(CONTROL!$C$8, $C$12, 100%, $E$12) + CHOOSE(CONTROL!$C$27, 0.0166, 0)</f>
        <v>41.555299999999995</v>
      </c>
      <c r="C500" s="4">
        <f>41.2262 * CHOOSE(CONTROL!$C$8, $C$12, 100%, $E$12) + CHOOSE(CONTROL!$C$27, 0.0166, 0)</f>
        <v>41.242799999999995</v>
      </c>
      <c r="D500" s="4">
        <f>45.3516 * CHOOSE(CONTROL!$C$8, $C$12, 100%, $E$12) + CHOOSE(CONTROL!$C$27, 0, 0)</f>
        <v>45.351599999999998</v>
      </c>
      <c r="E500" s="4">
        <f>240.10036710633 * CHOOSE(CONTROL!$C$8, $C$12, 100%, $E$12) + CHOOSE(CONTROL!$C$27, 0, 0)</f>
        <v>240.10036710633</v>
      </c>
    </row>
    <row r="501" spans="1:5" ht="15">
      <c r="A501" s="13">
        <v>57161</v>
      </c>
      <c r="B501" s="4">
        <f>41.6642 * CHOOSE(CONTROL!$C$8, $C$12, 100%, $E$12) + CHOOSE(CONTROL!$C$27, 0.0166, 0)</f>
        <v>41.680799999999998</v>
      </c>
      <c r="C501" s="4">
        <f>41.3517 * CHOOSE(CONTROL!$C$8, $C$12, 100%, $E$12) + CHOOSE(CONTROL!$C$27, 0.0166, 0)</f>
        <v>41.368299999999998</v>
      </c>
      <c r="D501" s="4">
        <f>45.7544 * CHOOSE(CONTROL!$C$8, $C$12, 100%, $E$12) + CHOOSE(CONTROL!$C$27, 0, 0)</f>
        <v>45.754399999999997</v>
      </c>
      <c r="E501" s="4">
        <f>240.860077380085 * CHOOSE(CONTROL!$C$8, $C$12, 100%, $E$12) + CHOOSE(CONTROL!$C$27, 0, 0)</f>
        <v>240.86007738008499</v>
      </c>
    </row>
    <row r="502" spans="1:5" ht="15">
      <c r="A502" s="13">
        <v>57192</v>
      </c>
      <c r="B502" s="4">
        <f>41.6515 * CHOOSE(CONTROL!$C$8, $C$12, 100%, $E$12) + CHOOSE(CONTROL!$C$27, 0.0166, 0)</f>
        <v>41.668099999999995</v>
      </c>
      <c r="C502" s="4">
        <f>41.339 * CHOOSE(CONTROL!$C$8, $C$12, 100%, $E$12) + CHOOSE(CONTROL!$C$27, 0.0166, 0)</f>
        <v>41.355599999999995</v>
      </c>
      <c r="D502" s="4">
        <f>46.4812 * CHOOSE(CONTROL!$C$8, $C$12, 100%, $E$12) + CHOOSE(CONTROL!$C$27, 0, 0)</f>
        <v>46.481200000000001</v>
      </c>
      <c r="E502" s="4">
        <f>240.783467940715 * CHOOSE(CONTROL!$C$8, $C$12, 100%, $E$12) + CHOOSE(CONTROL!$C$27, 0, 0)</f>
        <v>240.78346794071501</v>
      </c>
    </row>
    <row r="503" spans="1:5" ht="15">
      <c r="A503" s="13">
        <v>57223</v>
      </c>
      <c r="B503" s="4">
        <f>42.6038 * CHOOSE(CONTROL!$C$8, $C$12, 100%, $E$12) + CHOOSE(CONTROL!$C$27, 0.0166, 0)</f>
        <v>42.620399999999997</v>
      </c>
      <c r="C503" s="4">
        <f>42.2913 * CHOOSE(CONTROL!$C$8, $C$12, 100%, $E$12) + CHOOSE(CONTROL!$C$27, 0.0166, 0)</f>
        <v>42.307899999999997</v>
      </c>
      <c r="D503" s="4">
        <f>46.0012 * CHOOSE(CONTROL!$C$8, $C$12, 100%, $E$12) + CHOOSE(CONTROL!$C$27, 0, 0)</f>
        <v>46.001199999999997</v>
      </c>
      <c r="E503" s="4">
        <f>246.548328253327 * CHOOSE(CONTROL!$C$8, $C$12, 100%, $E$12) + CHOOSE(CONTROL!$C$27, 0, 0)</f>
        <v>246.54832825332701</v>
      </c>
    </row>
    <row r="504" spans="1:5" ht="15">
      <c r="A504" s="13">
        <v>57253</v>
      </c>
      <c r="B504" s="4">
        <f>40.9808 * CHOOSE(CONTROL!$C$8, $C$12, 100%, $E$12) + CHOOSE(CONTROL!$C$27, 0.0166, 0)</f>
        <v>40.997399999999999</v>
      </c>
      <c r="C504" s="4">
        <f>40.6683 * CHOOSE(CONTROL!$C$8, $C$12, 100%, $E$12) + CHOOSE(CONTROL!$C$27, 0.0166, 0)</f>
        <v>40.684899999999999</v>
      </c>
      <c r="D504" s="4">
        <f>45.7744 * CHOOSE(CONTROL!$C$8, $C$12, 100%, $E$12) + CHOOSE(CONTROL!$C$27, 0, 0)</f>
        <v>45.7744</v>
      </c>
      <c r="E504" s="4">
        <f>236.723167654092 * CHOOSE(CONTROL!$C$8, $C$12, 100%, $E$12) + CHOOSE(CONTROL!$C$27, 0, 0)</f>
        <v>236.72316765409201</v>
      </c>
    </row>
    <row r="505" spans="1:5" ht="15">
      <c r="A505" s="13">
        <v>57284</v>
      </c>
      <c r="B505" s="4">
        <f>39.6814 * CHOOSE(CONTROL!$C$8, $C$12, 100%, $E$12) + CHOOSE(CONTROL!$C$27, 0.0003, 0)</f>
        <v>39.681699999999999</v>
      </c>
      <c r="C505" s="4">
        <f>39.3689 * CHOOSE(CONTROL!$C$8, $C$12, 100%, $E$12) + CHOOSE(CONTROL!$C$27, 0.0003, 0)</f>
        <v>39.369199999999999</v>
      </c>
      <c r="D505" s="4">
        <f>45.1672 * CHOOSE(CONTROL!$C$8, $C$12, 100%, $E$12) + CHOOSE(CONTROL!$C$27, 0, 0)</f>
        <v>45.167200000000001</v>
      </c>
      <c r="E505" s="4">
        <f>228.857931878745 * CHOOSE(CONTROL!$C$8, $C$12, 100%, $E$12) + CHOOSE(CONTROL!$C$27, 0, 0)</f>
        <v>228.85793187874501</v>
      </c>
    </row>
    <row r="506" spans="1:5" ht="15">
      <c r="A506" s="13">
        <v>57314</v>
      </c>
      <c r="B506" s="4">
        <f>38.8446 * CHOOSE(CONTROL!$C$8, $C$12, 100%, $E$12) + CHOOSE(CONTROL!$C$27, 0.0003, 0)</f>
        <v>38.844900000000003</v>
      </c>
      <c r="C506" s="4">
        <f>38.5321 * CHOOSE(CONTROL!$C$8, $C$12, 100%, $E$12) + CHOOSE(CONTROL!$C$27, 0.0003, 0)</f>
        <v>38.532400000000003</v>
      </c>
      <c r="D506" s="4">
        <f>44.9584 * CHOOSE(CONTROL!$C$8, $C$12, 100%, $E$12) + CHOOSE(CONTROL!$C$27, 0, 0)</f>
        <v>44.958399999999997</v>
      </c>
      <c r="E506" s="4">
        <f>223.792132700387 * CHOOSE(CONTROL!$C$8, $C$12, 100%, $E$12) + CHOOSE(CONTROL!$C$27, 0, 0)</f>
        <v>223.79213270038699</v>
      </c>
    </row>
    <row r="507" spans="1:5" ht="15">
      <c r="A507" s="13">
        <v>57345</v>
      </c>
      <c r="B507" s="4">
        <f>38.2656 * CHOOSE(CONTROL!$C$8, $C$12, 100%, $E$12) + CHOOSE(CONTROL!$C$27, 0.0003, 0)</f>
        <v>38.265900000000002</v>
      </c>
      <c r="C507" s="4">
        <f>37.9531 * CHOOSE(CONTROL!$C$8, $C$12, 100%, $E$12) + CHOOSE(CONTROL!$C$27, 0.0003, 0)</f>
        <v>37.953400000000002</v>
      </c>
      <c r="D507" s="4">
        <f>43.4215 * CHOOSE(CONTROL!$C$8, $C$12, 100%, $E$12) + CHOOSE(CONTROL!$C$27, 0, 0)</f>
        <v>43.421500000000002</v>
      </c>
      <c r="E507" s="4">
        <f>220.287250849198 * CHOOSE(CONTROL!$C$8, $C$12, 100%, $E$12) + CHOOSE(CONTROL!$C$27, 0, 0)</f>
        <v>220.28725084919799</v>
      </c>
    </row>
    <row r="508" spans="1:5" ht="15">
      <c r="A508" s="13">
        <v>57376</v>
      </c>
      <c r="B508" s="4">
        <f>37.3249 * CHOOSE(CONTROL!$C$8, $C$12, 100%, $E$12) + CHOOSE(CONTROL!$C$27, 0.0003, 0)</f>
        <v>37.325200000000002</v>
      </c>
      <c r="C508" s="4">
        <f>37.0124 * CHOOSE(CONTROL!$C$8, $C$12, 100%, $E$12) + CHOOSE(CONTROL!$C$27, 0.0003, 0)</f>
        <v>37.012700000000002</v>
      </c>
      <c r="D508" s="4">
        <f>42.0089 * CHOOSE(CONTROL!$C$8, $C$12, 100%, $E$12) + CHOOSE(CONTROL!$C$27, 0, 0)</f>
        <v>42.008899999999997</v>
      </c>
      <c r="E508" s="4">
        <f>213.970251942775 * CHOOSE(CONTROL!$C$8, $C$12, 100%, $E$12) + CHOOSE(CONTROL!$C$27, 0, 0)</f>
        <v>213.97025194277501</v>
      </c>
    </row>
    <row r="509" spans="1:5" ht="15">
      <c r="A509" s="13">
        <v>57404</v>
      </c>
      <c r="B509" s="4">
        <f>38.1666 * CHOOSE(CONTROL!$C$8, $C$12, 100%, $E$12) + CHOOSE(CONTROL!$C$27, 0.0003, 0)</f>
        <v>38.166900000000005</v>
      </c>
      <c r="C509" s="4">
        <f>37.8541 * CHOOSE(CONTROL!$C$8, $C$12, 100%, $E$12) + CHOOSE(CONTROL!$C$27, 0.0003, 0)</f>
        <v>37.854400000000005</v>
      </c>
      <c r="D509" s="4">
        <f>43.4314 * CHOOSE(CONTROL!$C$8, $C$12, 100%, $E$12) + CHOOSE(CONTROL!$C$27, 0, 0)</f>
        <v>43.431399999999996</v>
      </c>
      <c r="E509" s="4">
        <f>219.050748961282 * CHOOSE(CONTROL!$C$8, $C$12, 100%, $E$12) + CHOOSE(CONTROL!$C$27, 0, 0)</f>
        <v>219.05074896128201</v>
      </c>
    </row>
    <row r="510" spans="1:5" ht="15">
      <c r="A510" s="13">
        <v>57435</v>
      </c>
      <c r="B510" s="4">
        <f>40.377 * CHOOSE(CONTROL!$C$8, $C$12, 100%, $E$12) + CHOOSE(CONTROL!$C$27, 0.0003, 0)</f>
        <v>40.377300000000005</v>
      </c>
      <c r="C510" s="4">
        <f>40.0645 * CHOOSE(CONTROL!$C$8, $C$12, 100%, $E$12) + CHOOSE(CONTROL!$C$27, 0.0003, 0)</f>
        <v>40.064800000000005</v>
      </c>
      <c r="D510" s="4">
        <f>45.6582 * CHOOSE(CONTROL!$C$8, $C$12, 100%, $E$12) + CHOOSE(CONTROL!$C$27, 0, 0)</f>
        <v>45.658200000000001</v>
      </c>
      <c r="E510" s="4">
        <f>232.392404125891 * CHOOSE(CONTROL!$C$8, $C$12, 100%, $E$12) + CHOOSE(CONTROL!$C$27, 0, 0)</f>
        <v>232.39240412589101</v>
      </c>
    </row>
    <row r="511" spans="1:5" ht="15">
      <c r="A511" s="13">
        <v>57465</v>
      </c>
      <c r="B511" s="4">
        <f>41.9475 * CHOOSE(CONTROL!$C$8, $C$12, 100%, $E$12) + CHOOSE(CONTROL!$C$27, 0.0003, 0)</f>
        <v>41.947800000000001</v>
      </c>
      <c r="C511" s="4">
        <f>41.635 * CHOOSE(CONTROL!$C$8, $C$12, 100%, $E$12) + CHOOSE(CONTROL!$C$27, 0.0003, 0)</f>
        <v>41.635300000000001</v>
      </c>
      <c r="D511" s="4">
        <f>46.9409 * CHOOSE(CONTROL!$C$8, $C$12, 100%, $E$12) + CHOOSE(CONTROL!$C$27, 0, 0)</f>
        <v>46.940899999999999</v>
      </c>
      <c r="E511" s="4">
        <f>241.871827921279 * CHOOSE(CONTROL!$C$8, $C$12, 100%, $E$12) + CHOOSE(CONTROL!$C$27, 0, 0)</f>
        <v>241.87182792127899</v>
      </c>
    </row>
    <row r="512" spans="1:5" ht="15">
      <c r="A512" s="13">
        <v>57496</v>
      </c>
      <c r="B512" s="4">
        <f>42.907 * CHOOSE(CONTROL!$C$8, $C$12, 100%, $E$12) + CHOOSE(CONTROL!$C$27, 0.0166, 0)</f>
        <v>42.923599999999993</v>
      </c>
      <c r="C512" s="4">
        <f>42.5945 * CHOOSE(CONTROL!$C$8, $C$12, 100%, $E$12) + CHOOSE(CONTROL!$C$27, 0.0166, 0)</f>
        <v>42.611099999999993</v>
      </c>
      <c r="D512" s="4">
        <f>46.434 * CHOOSE(CONTROL!$C$8, $C$12, 100%, $E$12) + CHOOSE(CONTROL!$C$27, 0, 0)</f>
        <v>46.433999999999997</v>
      </c>
      <c r="E512" s="4">
        <f>247.66352867018 * CHOOSE(CONTROL!$C$8, $C$12, 100%, $E$12) + CHOOSE(CONTROL!$C$27, 0, 0)</f>
        <v>247.66352867018</v>
      </c>
    </row>
    <row r="513" spans="1:5" ht="15">
      <c r="A513" s="13">
        <v>57526</v>
      </c>
      <c r="B513" s="4">
        <f>43.0369 * CHOOSE(CONTROL!$C$8, $C$12, 100%, $E$12) + CHOOSE(CONTROL!$C$27, 0.0166, 0)</f>
        <v>43.0535</v>
      </c>
      <c r="C513" s="4">
        <f>42.7244 * CHOOSE(CONTROL!$C$8, $C$12, 100%, $E$12) + CHOOSE(CONTROL!$C$27, 0.0166, 0)</f>
        <v>42.741</v>
      </c>
      <c r="D513" s="4">
        <f>46.8468 * CHOOSE(CONTROL!$C$8, $C$12, 100%, $E$12) + CHOOSE(CONTROL!$C$27, 0, 0)</f>
        <v>46.846800000000002</v>
      </c>
      <c r="E513" s="4">
        <f>248.447169817558 * CHOOSE(CONTROL!$C$8, $C$12, 100%, $E$12) + CHOOSE(CONTROL!$C$27, 0, 0)</f>
        <v>248.44716981755801</v>
      </c>
    </row>
    <row r="514" spans="1:5" ht="15">
      <c r="A514" s="13">
        <v>57557</v>
      </c>
      <c r="B514" s="4">
        <f>43.0238 * CHOOSE(CONTROL!$C$8, $C$12, 100%, $E$12) + CHOOSE(CONTROL!$C$27, 0.0166, 0)</f>
        <v>43.040399999999998</v>
      </c>
      <c r="C514" s="4">
        <f>42.7113 * CHOOSE(CONTROL!$C$8, $C$12, 100%, $E$12) + CHOOSE(CONTROL!$C$27, 0.0166, 0)</f>
        <v>42.727899999999998</v>
      </c>
      <c r="D514" s="4">
        <f>47.5917 * CHOOSE(CONTROL!$C$8, $C$12, 100%, $E$12) + CHOOSE(CONTROL!$C$27, 0, 0)</f>
        <v>47.591700000000003</v>
      </c>
      <c r="E514" s="4">
        <f>248.368147180848 * CHOOSE(CONTROL!$C$8, $C$12, 100%, $E$12) + CHOOSE(CONTROL!$C$27, 0, 0)</f>
        <v>248.36814718084801</v>
      </c>
    </row>
    <row r="515" spans="1:5" ht="15">
      <c r="A515" s="13">
        <v>57588</v>
      </c>
      <c r="B515" s="4">
        <f>44.009 * CHOOSE(CONTROL!$C$8, $C$12, 100%, $E$12) + CHOOSE(CONTROL!$C$27, 0.0166, 0)</f>
        <v>44.025599999999997</v>
      </c>
      <c r="C515" s="4">
        <f>43.6965 * CHOOSE(CONTROL!$C$8, $C$12, 100%, $E$12) + CHOOSE(CONTROL!$C$27, 0.0166, 0)</f>
        <v>43.713099999999997</v>
      </c>
      <c r="D515" s="4">
        <f>47.0998 * CHOOSE(CONTROL!$C$8, $C$12, 100%, $E$12) + CHOOSE(CONTROL!$C$27, 0, 0)</f>
        <v>47.099800000000002</v>
      </c>
      <c r="E515" s="4">
        <f>254.314600593307 * CHOOSE(CONTROL!$C$8, $C$12, 100%, $E$12) + CHOOSE(CONTROL!$C$27, 0, 0)</f>
        <v>254.31460059330701</v>
      </c>
    </row>
    <row r="516" spans="1:5" ht="15">
      <c r="A516" s="13">
        <v>57618</v>
      </c>
      <c r="B516" s="4">
        <f>42.3299 * CHOOSE(CONTROL!$C$8, $C$12, 100%, $E$12) + CHOOSE(CONTROL!$C$27, 0.0166, 0)</f>
        <v>42.346499999999999</v>
      </c>
      <c r="C516" s="4">
        <f>42.0174 * CHOOSE(CONTROL!$C$8, $C$12, 100%, $E$12) + CHOOSE(CONTROL!$C$27, 0.0166, 0)</f>
        <v>42.033999999999999</v>
      </c>
      <c r="D516" s="4">
        <f>46.8674 * CHOOSE(CONTROL!$C$8, $C$12, 100%, $E$12) + CHOOSE(CONTROL!$C$27, 0, 0)</f>
        <v>46.867400000000004</v>
      </c>
      <c r="E516" s="4">
        <f>244.179947435196 * CHOOSE(CONTROL!$C$8, $C$12, 100%, $E$12) + CHOOSE(CONTROL!$C$27, 0, 0)</f>
        <v>244.179947435196</v>
      </c>
    </row>
    <row r="517" spans="1:5" ht="15">
      <c r="A517" s="13">
        <v>57649</v>
      </c>
      <c r="B517" s="4">
        <f>40.9858 * CHOOSE(CONTROL!$C$8, $C$12, 100%, $E$12) + CHOOSE(CONTROL!$C$27, 0.0003, 0)</f>
        <v>40.9861</v>
      </c>
      <c r="C517" s="4">
        <f>40.6733 * CHOOSE(CONTROL!$C$8, $C$12, 100%, $E$12) + CHOOSE(CONTROL!$C$27, 0.0003, 0)</f>
        <v>40.6736</v>
      </c>
      <c r="D517" s="4">
        <f>46.2451 * CHOOSE(CONTROL!$C$8, $C$12, 100%, $E$12) + CHOOSE(CONTROL!$C$27, 0, 0)</f>
        <v>46.245100000000001</v>
      </c>
      <c r="E517" s="4">
        <f>236.066956732926 * CHOOSE(CONTROL!$C$8, $C$12, 100%, $E$12) + CHOOSE(CONTROL!$C$27, 0, 0)</f>
        <v>236.066956732926</v>
      </c>
    </row>
    <row r="518" spans="1:5" ht="15">
      <c r="A518" s="13">
        <v>57679</v>
      </c>
      <c r="B518" s="4">
        <f>40.12 * CHOOSE(CONTROL!$C$8, $C$12, 100%, $E$12) + CHOOSE(CONTROL!$C$27, 0.0003, 0)</f>
        <v>40.1203</v>
      </c>
      <c r="C518" s="4">
        <f>39.8075 * CHOOSE(CONTROL!$C$8, $C$12, 100%, $E$12) + CHOOSE(CONTROL!$C$27, 0.0003, 0)</f>
        <v>39.8078</v>
      </c>
      <c r="D518" s="4">
        <f>46.0311 * CHOOSE(CONTROL!$C$8, $C$12, 100%, $E$12) + CHOOSE(CONTROL!$C$27, 0, 0)</f>
        <v>46.031100000000002</v>
      </c>
      <c r="E518" s="4">
        <f>230.841584880449 * CHOOSE(CONTROL!$C$8, $C$12, 100%, $E$12) + CHOOSE(CONTROL!$C$27, 0, 0)</f>
        <v>230.84158488044901</v>
      </c>
    </row>
    <row r="519" spans="1:5" ht="15">
      <c r="A519" s="13">
        <v>57710</v>
      </c>
      <c r="B519" s="4">
        <f>39.5211 * CHOOSE(CONTROL!$C$8, $C$12, 100%, $E$12) + CHOOSE(CONTROL!$C$27, 0.0003, 0)</f>
        <v>39.5214</v>
      </c>
      <c r="C519" s="4">
        <f>39.2086 * CHOOSE(CONTROL!$C$8, $C$12, 100%, $E$12) + CHOOSE(CONTROL!$C$27, 0.0003, 0)</f>
        <v>39.2089</v>
      </c>
      <c r="D519" s="4">
        <f>44.4561 * CHOOSE(CONTROL!$C$8, $C$12, 100%, $E$12) + CHOOSE(CONTROL!$C$27, 0, 0)</f>
        <v>44.456099999999999</v>
      </c>
      <c r="E519" s="4">
        <f>227.226299250948 * CHOOSE(CONTROL!$C$8, $C$12, 100%, $E$12) + CHOOSE(CONTROL!$C$27, 0, 0)</f>
        <v>227.22629925094799</v>
      </c>
    </row>
    <row r="520" spans="1:5" ht="15">
      <c r="A520" s="13">
        <v>57741</v>
      </c>
      <c r="B520" s="4">
        <f>38.5479 * CHOOSE(CONTROL!$C$8, $C$12, 100%, $E$12) + CHOOSE(CONTROL!$C$27, 0.0003, 0)</f>
        <v>38.548200000000001</v>
      </c>
      <c r="C520" s="4">
        <f>38.2354 * CHOOSE(CONTROL!$C$8, $C$12, 100%, $E$12) + CHOOSE(CONTROL!$C$27, 0.0003, 0)</f>
        <v>38.235700000000001</v>
      </c>
      <c r="D520" s="4">
        <f>43.0084 * CHOOSE(CONTROL!$C$8, $C$12, 100%, $E$12) + CHOOSE(CONTROL!$C$27, 0, 0)</f>
        <v>43.008400000000002</v>
      </c>
      <c r="E520" s="4">
        <f>220.710314878972 * CHOOSE(CONTROL!$C$8, $C$12, 100%, $E$12) + CHOOSE(CONTROL!$C$27, 0, 0)</f>
        <v>220.71031487897201</v>
      </c>
    </row>
    <row r="521" spans="1:5" ht="15">
      <c r="A521" s="13">
        <v>57769</v>
      </c>
      <c r="B521" s="4">
        <f>39.4186 * CHOOSE(CONTROL!$C$8, $C$12, 100%, $E$12) + CHOOSE(CONTROL!$C$27, 0.0003, 0)</f>
        <v>39.418900000000001</v>
      </c>
      <c r="C521" s="4">
        <f>39.1061 * CHOOSE(CONTROL!$C$8, $C$12, 100%, $E$12) + CHOOSE(CONTROL!$C$27, 0.0003, 0)</f>
        <v>39.106400000000001</v>
      </c>
      <c r="D521" s="4">
        <f>44.4662 * CHOOSE(CONTROL!$C$8, $C$12, 100%, $E$12) + CHOOSE(CONTROL!$C$27, 0, 0)</f>
        <v>44.466200000000001</v>
      </c>
      <c r="E521" s="4">
        <f>225.950847553563 * CHOOSE(CONTROL!$C$8, $C$12, 100%, $E$12) + CHOOSE(CONTROL!$C$27, 0, 0)</f>
        <v>225.95084755356299</v>
      </c>
    </row>
    <row r="522" spans="1:5" ht="15">
      <c r="A522" s="13">
        <v>57800</v>
      </c>
      <c r="B522" s="4">
        <f>41.7053 * CHOOSE(CONTROL!$C$8, $C$12, 100%, $E$12) + CHOOSE(CONTROL!$C$27, 0.0003, 0)</f>
        <v>41.705600000000004</v>
      </c>
      <c r="C522" s="4">
        <f>41.3928 * CHOOSE(CONTROL!$C$8, $C$12, 100%, $E$12) + CHOOSE(CONTROL!$C$27, 0.0003, 0)</f>
        <v>41.393100000000004</v>
      </c>
      <c r="D522" s="4">
        <f>46.7482 * CHOOSE(CONTROL!$C$8, $C$12, 100%, $E$12) + CHOOSE(CONTROL!$C$27, 0, 0)</f>
        <v>46.748199999999997</v>
      </c>
      <c r="E522" s="4">
        <f>239.712764855857 * CHOOSE(CONTROL!$C$8, $C$12, 100%, $E$12) + CHOOSE(CONTROL!$C$27, 0, 0)</f>
        <v>239.71276485585699</v>
      </c>
    </row>
    <row r="523" spans="1:5" ht="15">
      <c r="A523" s="13">
        <v>57830</v>
      </c>
      <c r="B523" s="4">
        <f>43.33 * CHOOSE(CONTROL!$C$8, $C$12, 100%, $E$12) + CHOOSE(CONTROL!$C$27, 0.0003, 0)</f>
        <v>43.330300000000001</v>
      </c>
      <c r="C523" s="4">
        <f>43.0175 * CHOOSE(CONTROL!$C$8, $C$12, 100%, $E$12) + CHOOSE(CONTROL!$C$27, 0.0003, 0)</f>
        <v>43.017800000000001</v>
      </c>
      <c r="D523" s="4">
        <f>48.0628 * CHOOSE(CONTROL!$C$8, $C$12, 100%, $E$12) + CHOOSE(CONTROL!$C$27, 0, 0)</f>
        <v>48.062800000000003</v>
      </c>
      <c r="E523" s="4">
        <f>249.490790500799 * CHOOSE(CONTROL!$C$8, $C$12, 100%, $E$12) + CHOOSE(CONTROL!$C$27, 0, 0)</f>
        <v>249.49079050079899</v>
      </c>
    </row>
    <row r="524" spans="1:5" ht="15">
      <c r="A524" s="13">
        <v>57861</v>
      </c>
      <c r="B524" s="4">
        <f>44.3227 * CHOOSE(CONTROL!$C$8, $C$12, 100%, $E$12) + CHOOSE(CONTROL!$C$27, 0.0166, 0)</f>
        <v>44.339299999999994</v>
      </c>
      <c r="C524" s="4">
        <f>44.0102 * CHOOSE(CONTROL!$C$8, $C$12, 100%, $E$12) + CHOOSE(CONTROL!$C$27, 0.0166, 0)</f>
        <v>44.026799999999994</v>
      </c>
      <c r="D524" s="4">
        <f>47.5433 * CHOOSE(CONTROL!$C$8, $C$12, 100%, $E$12) + CHOOSE(CONTROL!$C$27, 0, 0)</f>
        <v>47.543300000000002</v>
      </c>
      <c r="E524" s="4">
        <f>255.464929823291 * CHOOSE(CONTROL!$C$8, $C$12, 100%, $E$12) + CHOOSE(CONTROL!$C$27, 0, 0)</f>
        <v>255.46492982329099</v>
      </c>
    </row>
    <row r="525" spans="1:5" ht="15">
      <c r="A525" s="13">
        <v>57891</v>
      </c>
      <c r="B525" s="4">
        <f>44.457 * CHOOSE(CONTROL!$C$8, $C$12, 100%, $E$12) + CHOOSE(CONTROL!$C$27, 0.0166, 0)</f>
        <v>44.473599999999998</v>
      </c>
      <c r="C525" s="4">
        <f>44.1445 * CHOOSE(CONTROL!$C$8, $C$12, 100%, $E$12) + CHOOSE(CONTROL!$C$27, 0.0166, 0)</f>
        <v>44.161099999999998</v>
      </c>
      <c r="D525" s="4">
        <f>47.9664 * CHOOSE(CONTROL!$C$8, $C$12, 100%, $E$12) + CHOOSE(CONTROL!$C$27, 0, 0)</f>
        <v>47.9664</v>
      </c>
      <c r="E525" s="4">
        <f>256.273255666811 * CHOOSE(CONTROL!$C$8, $C$12, 100%, $E$12) + CHOOSE(CONTROL!$C$27, 0, 0)</f>
        <v>256.273255666811</v>
      </c>
    </row>
    <row r="526" spans="1:5" ht="15">
      <c r="A526" s="13">
        <v>57922</v>
      </c>
      <c r="B526" s="4">
        <f>44.4434 * CHOOSE(CONTROL!$C$8, $C$12, 100%, $E$12) + CHOOSE(CONTROL!$C$27, 0.0166, 0)</f>
        <v>44.459999999999994</v>
      </c>
      <c r="C526" s="4">
        <f>44.1309 * CHOOSE(CONTROL!$C$8, $C$12, 100%, $E$12) + CHOOSE(CONTROL!$C$27, 0.0166, 0)</f>
        <v>44.147499999999994</v>
      </c>
      <c r="D526" s="4">
        <f>48.7297 * CHOOSE(CONTROL!$C$8, $C$12, 100%, $E$12) + CHOOSE(CONTROL!$C$27, 0, 0)</f>
        <v>48.729700000000001</v>
      </c>
      <c r="E526" s="4">
        <f>256.191743817044 * CHOOSE(CONTROL!$C$8, $C$12, 100%, $E$12) + CHOOSE(CONTROL!$C$27, 0, 0)</f>
        <v>256.19174381704403</v>
      </c>
    </row>
    <row r="527" spans="1:5" ht="15">
      <c r="A527" s="13">
        <v>57953</v>
      </c>
      <c r="B527" s="4">
        <f>45.4626 * CHOOSE(CONTROL!$C$8, $C$12, 100%, $E$12) + CHOOSE(CONTROL!$C$27, 0.0166, 0)</f>
        <v>45.479199999999999</v>
      </c>
      <c r="C527" s="4">
        <f>45.1501 * CHOOSE(CONTROL!$C$8, $C$12, 100%, $E$12) + CHOOSE(CONTROL!$C$27, 0.0166, 0)</f>
        <v>45.166699999999999</v>
      </c>
      <c r="D527" s="4">
        <f>48.2256 * CHOOSE(CONTROL!$C$8, $C$12, 100%, $E$12) + CHOOSE(CONTROL!$C$27, 0, 0)</f>
        <v>48.2256</v>
      </c>
      <c r="E527" s="4">
        <f>262.325510511996 * CHOOSE(CONTROL!$C$8, $C$12, 100%, $E$12) + CHOOSE(CONTROL!$C$27, 0, 0)</f>
        <v>262.32551051199601</v>
      </c>
    </row>
    <row r="528" spans="1:5" ht="15">
      <c r="A528" s="13">
        <v>57983</v>
      </c>
      <c r="B528" s="4">
        <f>43.7256 * CHOOSE(CONTROL!$C$8, $C$12, 100%, $E$12) + CHOOSE(CONTROL!$C$27, 0.0166, 0)</f>
        <v>43.742199999999997</v>
      </c>
      <c r="C528" s="4">
        <f>43.4131 * CHOOSE(CONTROL!$C$8, $C$12, 100%, $E$12) + CHOOSE(CONTROL!$C$27, 0.0166, 0)</f>
        <v>43.429699999999997</v>
      </c>
      <c r="D528" s="4">
        <f>47.9874 * CHOOSE(CONTROL!$C$8, $C$12, 100%, $E$12) + CHOOSE(CONTROL!$C$27, 0, 0)</f>
        <v>47.987400000000001</v>
      </c>
      <c r="E528" s="4">
        <f>251.871615779404 * CHOOSE(CONTROL!$C$8, $C$12, 100%, $E$12) + CHOOSE(CONTROL!$C$27, 0, 0)</f>
        <v>251.87161577940401</v>
      </c>
    </row>
    <row r="529" spans="1:5" ht="15">
      <c r="A529" s="13">
        <v>58014</v>
      </c>
      <c r="B529" s="4">
        <f>42.3351 * CHOOSE(CONTROL!$C$8, $C$12, 100%, $E$12) + CHOOSE(CONTROL!$C$27, 0.0003, 0)</f>
        <v>42.3354</v>
      </c>
      <c r="C529" s="4">
        <f>42.0226 * CHOOSE(CONTROL!$C$8, $C$12, 100%, $E$12) + CHOOSE(CONTROL!$C$27, 0.0003, 0)</f>
        <v>42.0229</v>
      </c>
      <c r="D529" s="4">
        <f>47.3497 * CHOOSE(CONTROL!$C$8, $C$12, 100%, $E$12) + CHOOSE(CONTROL!$C$27, 0, 0)</f>
        <v>47.349699999999999</v>
      </c>
      <c r="E529" s="4">
        <f>243.503065870013 * CHOOSE(CONTROL!$C$8, $C$12, 100%, $E$12) + CHOOSE(CONTROL!$C$27, 0, 0)</f>
        <v>243.50306587001299</v>
      </c>
    </row>
    <row r="530" spans="1:5" ht="15">
      <c r="A530" s="13">
        <v>58044</v>
      </c>
      <c r="B530" s="4">
        <f>41.4395 * CHOOSE(CONTROL!$C$8, $C$12, 100%, $E$12) + CHOOSE(CONTROL!$C$27, 0.0003, 0)</f>
        <v>41.439800000000005</v>
      </c>
      <c r="C530" s="4">
        <f>41.127 * CHOOSE(CONTROL!$C$8, $C$12, 100%, $E$12) + CHOOSE(CONTROL!$C$27, 0.0003, 0)</f>
        <v>41.127300000000005</v>
      </c>
      <c r="D530" s="4">
        <f>47.1304 * CHOOSE(CONTROL!$C$8, $C$12, 100%, $E$12) + CHOOSE(CONTROL!$C$27, 0, 0)</f>
        <v>47.130400000000002</v>
      </c>
      <c r="E530" s="4">
        <f>238.113094804184 * CHOOSE(CONTROL!$C$8, $C$12, 100%, $E$12) + CHOOSE(CONTROL!$C$27, 0, 0)</f>
        <v>238.11309480418399</v>
      </c>
    </row>
    <row r="531" spans="1:5" ht="15">
      <c r="A531" s="13">
        <v>58075</v>
      </c>
      <c r="B531" s="4">
        <f>40.8199 * CHOOSE(CONTROL!$C$8, $C$12, 100%, $E$12) + CHOOSE(CONTROL!$C$27, 0.0003, 0)</f>
        <v>40.8202</v>
      </c>
      <c r="C531" s="4">
        <f>40.5074 * CHOOSE(CONTROL!$C$8, $C$12, 100%, $E$12) + CHOOSE(CONTROL!$C$27, 0.0003, 0)</f>
        <v>40.5077</v>
      </c>
      <c r="D531" s="4">
        <f>45.5163 * CHOOSE(CONTROL!$C$8, $C$12, 100%, $E$12) + CHOOSE(CONTROL!$C$27, 0, 0)</f>
        <v>45.516300000000001</v>
      </c>
      <c r="E531" s="4">
        <f>234.383927677353 * CHOOSE(CONTROL!$C$8, $C$12, 100%, $E$12) + CHOOSE(CONTROL!$C$27, 0, 0)</f>
        <v>234.383927677353</v>
      </c>
    </row>
    <row r="532" spans="1:5" ht="15">
      <c r="A532" s="13">
        <v>58106</v>
      </c>
      <c r="B532" s="4">
        <f>39.8131 * CHOOSE(CONTROL!$C$8, $C$12, 100%, $E$12) + CHOOSE(CONTROL!$C$27, 0.0003, 0)</f>
        <v>39.813400000000001</v>
      </c>
      <c r="C532" s="4">
        <f>39.5006 * CHOOSE(CONTROL!$C$8, $C$12, 100%, $E$12) + CHOOSE(CONTROL!$C$27, 0.0003, 0)</f>
        <v>39.500900000000001</v>
      </c>
      <c r="D532" s="4">
        <f>44.0328 * CHOOSE(CONTROL!$C$8, $C$12, 100%, $E$12) + CHOOSE(CONTROL!$C$27, 0, 0)</f>
        <v>44.032800000000002</v>
      </c>
      <c r="E532" s="4">
        <f>227.66268979766 * CHOOSE(CONTROL!$C$8, $C$12, 100%, $E$12) + CHOOSE(CONTROL!$C$27, 0, 0)</f>
        <v>227.66268979765999</v>
      </c>
    </row>
    <row r="533" spans="1:5" ht="15">
      <c r="A533" s="13">
        <v>58134</v>
      </c>
      <c r="B533" s="4">
        <f>40.7139 * CHOOSE(CONTROL!$C$8, $C$12, 100%, $E$12) + CHOOSE(CONTROL!$C$27, 0.0003, 0)</f>
        <v>40.714200000000005</v>
      </c>
      <c r="C533" s="4">
        <f>40.4014 * CHOOSE(CONTROL!$C$8, $C$12, 100%, $E$12) + CHOOSE(CONTROL!$C$27, 0.0003, 0)</f>
        <v>40.401700000000005</v>
      </c>
      <c r="D533" s="4">
        <f>45.5267 * CHOOSE(CONTROL!$C$8, $C$12, 100%, $E$12) + CHOOSE(CONTROL!$C$27, 0, 0)</f>
        <v>45.526699999999998</v>
      </c>
      <c r="E533" s="4">
        <f>233.0682992515 * CHOOSE(CONTROL!$C$8, $C$12, 100%, $E$12) + CHOOSE(CONTROL!$C$27, 0, 0)</f>
        <v>233.06829925150001</v>
      </c>
    </row>
    <row r="534" spans="1:5" ht="15">
      <c r="A534" s="13">
        <v>58165</v>
      </c>
      <c r="B534" s="4">
        <f>43.0794 * CHOOSE(CONTROL!$C$8, $C$12, 100%, $E$12) + CHOOSE(CONTROL!$C$27, 0.0003, 0)</f>
        <v>43.079700000000003</v>
      </c>
      <c r="C534" s="4">
        <f>42.7669 * CHOOSE(CONTROL!$C$8, $C$12, 100%, $E$12) + CHOOSE(CONTROL!$C$27, 0.0003, 0)</f>
        <v>42.767200000000003</v>
      </c>
      <c r="D534" s="4">
        <f>47.8653 * CHOOSE(CONTROL!$C$8, $C$12, 100%, $E$12) + CHOOSE(CONTROL!$C$27, 0, 0)</f>
        <v>47.865299999999998</v>
      </c>
      <c r="E534" s="4">
        <f>247.263716948816 * CHOOSE(CONTROL!$C$8, $C$12, 100%, $E$12) + CHOOSE(CONTROL!$C$27, 0, 0)</f>
        <v>247.26371694881601</v>
      </c>
    </row>
    <row r="535" spans="1:5" ht="15">
      <c r="A535" s="13">
        <v>58195</v>
      </c>
      <c r="B535" s="4">
        <f>44.7602 * CHOOSE(CONTROL!$C$8, $C$12, 100%, $E$12) + CHOOSE(CONTROL!$C$27, 0.0003, 0)</f>
        <v>44.7605</v>
      </c>
      <c r="C535" s="4">
        <f>44.4477 * CHOOSE(CONTROL!$C$8, $C$12, 100%, $E$12) + CHOOSE(CONTROL!$C$27, 0.0003, 0)</f>
        <v>44.448</v>
      </c>
      <c r="D535" s="4">
        <f>49.2125 * CHOOSE(CONTROL!$C$8, $C$12, 100%, $E$12) + CHOOSE(CONTROL!$C$27, 0, 0)</f>
        <v>49.212499999999999</v>
      </c>
      <c r="E535" s="4">
        <f>257.349750401574 * CHOOSE(CONTROL!$C$8, $C$12, 100%, $E$12) + CHOOSE(CONTROL!$C$27, 0, 0)</f>
        <v>257.349750401574</v>
      </c>
    </row>
    <row r="536" spans="1:5" ht="15">
      <c r="A536" s="13">
        <v>58226</v>
      </c>
      <c r="B536" s="4">
        <f>45.7871 * CHOOSE(CONTROL!$C$8, $C$12, 100%, $E$12) + CHOOSE(CONTROL!$C$27, 0.0166, 0)</f>
        <v>45.803699999999999</v>
      </c>
      <c r="C536" s="4">
        <f>45.4746 * CHOOSE(CONTROL!$C$8, $C$12, 100%, $E$12) + CHOOSE(CONTROL!$C$27, 0.0166, 0)</f>
        <v>45.491199999999999</v>
      </c>
      <c r="D536" s="4">
        <f>48.6801 * CHOOSE(CONTROL!$C$8, $C$12, 100%, $E$12) + CHOOSE(CONTROL!$C$27, 0, 0)</f>
        <v>48.680100000000003</v>
      </c>
      <c r="E536" s="4">
        <f>263.512075112724 * CHOOSE(CONTROL!$C$8, $C$12, 100%, $E$12) + CHOOSE(CONTROL!$C$27, 0, 0)</f>
        <v>263.51207511272401</v>
      </c>
    </row>
    <row r="537" spans="1:5" ht="15">
      <c r="A537" s="13">
        <v>58256</v>
      </c>
      <c r="B537" s="4">
        <f>45.926 * CHOOSE(CONTROL!$C$8, $C$12, 100%, $E$12) + CHOOSE(CONTROL!$C$27, 0.0166, 0)</f>
        <v>45.942599999999999</v>
      </c>
      <c r="C537" s="4">
        <f>45.6135 * CHOOSE(CONTROL!$C$8, $C$12, 100%, $E$12) + CHOOSE(CONTROL!$C$27, 0.0166, 0)</f>
        <v>45.630099999999999</v>
      </c>
      <c r="D537" s="4">
        <f>49.1137 * CHOOSE(CONTROL!$C$8, $C$12, 100%, $E$12) + CHOOSE(CONTROL!$C$27, 0, 0)</f>
        <v>49.113700000000001</v>
      </c>
      <c r="E537" s="4">
        <f>264.345863220316 * CHOOSE(CONTROL!$C$8, $C$12, 100%, $E$12) + CHOOSE(CONTROL!$C$27, 0, 0)</f>
        <v>264.34586322031601</v>
      </c>
    </row>
    <row r="538" spans="1:5" ht="15">
      <c r="A538" s="13">
        <v>58287</v>
      </c>
      <c r="B538" s="4">
        <f>45.912 * CHOOSE(CONTROL!$C$8, $C$12, 100%, $E$12) + CHOOSE(CONTROL!$C$27, 0.0166, 0)</f>
        <v>45.928599999999996</v>
      </c>
      <c r="C538" s="4">
        <f>45.5995 * CHOOSE(CONTROL!$C$8, $C$12, 100%, $E$12) + CHOOSE(CONTROL!$C$27, 0.0166, 0)</f>
        <v>45.616099999999996</v>
      </c>
      <c r="D538" s="4">
        <f>49.8959 * CHOOSE(CONTROL!$C$8, $C$12, 100%, $E$12) + CHOOSE(CONTROL!$C$27, 0, 0)</f>
        <v>49.895899999999997</v>
      </c>
      <c r="E538" s="4">
        <f>264.261783747281 * CHOOSE(CONTROL!$C$8, $C$12, 100%, $E$12) + CHOOSE(CONTROL!$C$27, 0, 0)</f>
        <v>264.26178374728102</v>
      </c>
    </row>
    <row r="539" spans="1:5" ht="15">
      <c r="A539" s="13">
        <v>58318</v>
      </c>
      <c r="B539" s="4">
        <f>46.9664 * CHOOSE(CONTROL!$C$8, $C$12, 100%, $E$12) + CHOOSE(CONTROL!$C$27, 0.0166, 0)</f>
        <v>46.982999999999997</v>
      </c>
      <c r="C539" s="4">
        <f>46.6539 * CHOOSE(CONTROL!$C$8, $C$12, 100%, $E$12) + CHOOSE(CONTROL!$C$27, 0.0166, 0)</f>
        <v>46.670499999999997</v>
      </c>
      <c r="D539" s="4">
        <f>49.3793 * CHOOSE(CONTROL!$C$8, $C$12, 100%, $E$12) + CHOOSE(CONTROL!$C$27, 0, 0)</f>
        <v>49.379300000000001</v>
      </c>
      <c r="E539" s="4">
        <f>270.588764093124 * CHOOSE(CONTROL!$C$8, $C$12, 100%, $E$12) + CHOOSE(CONTROL!$C$27, 0, 0)</f>
        <v>270.58876409312398</v>
      </c>
    </row>
    <row r="540" spans="1:5" ht="15">
      <c r="A540" s="13">
        <v>58348</v>
      </c>
      <c r="B540" s="4">
        <f>45.1694 * CHOOSE(CONTROL!$C$8, $C$12, 100%, $E$12) + CHOOSE(CONTROL!$C$27, 0.0166, 0)</f>
        <v>45.186</v>
      </c>
      <c r="C540" s="4">
        <f>44.8569 * CHOOSE(CONTROL!$C$8, $C$12, 100%, $E$12) + CHOOSE(CONTROL!$C$27, 0.0166, 0)</f>
        <v>44.8735</v>
      </c>
      <c r="D540" s="4">
        <f>49.1352 * CHOOSE(CONTROL!$C$8, $C$12, 100%, $E$12) + CHOOSE(CONTROL!$C$27, 0, 0)</f>
        <v>49.135199999999998</v>
      </c>
      <c r="E540" s="4">
        <f>259.805571676456 * CHOOSE(CONTROL!$C$8, $C$12, 100%, $E$12) + CHOOSE(CONTROL!$C$27, 0, 0)</f>
        <v>259.805571676456</v>
      </c>
    </row>
    <row r="541" spans="1:5" ht="15">
      <c r="A541" s="13">
        <v>58379</v>
      </c>
      <c r="B541" s="4">
        <f>43.731 * CHOOSE(CONTROL!$C$8, $C$12, 100%, $E$12) + CHOOSE(CONTROL!$C$27, 0.0003, 0)</f>
        <v>43.731300000000005</v>
      </c>
      <c r="C541" s="4">
        <f>43.4185 * CHOOSE(CONTROL!$C$8, $C$12, 100%, $E$12) + CHOOSE(CONTROL!$C$27, 0.0003, 0)</f>
        <v>43.418800000000005</v>
      </c>
      <c r="D541" s="4">
        <f>48.4817 * CHOOSE(CONTROL!$C$8, $C$12, 100%, $E$12) + CHOOSE(CONTROL!$C$27, 0, 0)</f>
        <v>48.481699999999996</v>
      </c>
      <c r="E541" s="4">
        <f>251.173412444918 * CHOOSE(CONTROL!$C$8, $C$12, 100%, $E$12) + CHOOSE(CONTROL!$C$27, 0, 0)</f>
        <v>251.173412444918</v>
      </c>
    </row>
    <row r="542" spans="1:5" ht="15">
      <c r="A542" s="13">
        <v>58409</v>
      </c>
      <c r="B542" s="4">
        <f>42.8045 * CHOOSE(CONTROL!$C$8, $C$12, 100%, $E$12) + CHOOSE(CONTROL!$C$27, 0.0003, 0)</f>
        <v>42.8048</v>
      </c>
      <c r="C542" s="4">
        <f>42.492 * CHOOSE(CONTROL!$C$8, $C$12, 100%, $E$12) + CHOOSE(CONTROL!$C$27, 0.0003, 0)</f>
        <v>42.4923</v>
      </c>
      <c r="D542" s="4">
        <f>48.257 * CHOOSE(CONTROL!$C$8, $C$12, 100%, $E$12) + CHOOSE(CONTROL!$C$27, 0, 0)</f>
        <v>48.256999999999998</v>
      </c>
      <c r="E542" s="4">
        <f>245.613657290515 * CHOOSE(CONTROL!$C$8, $C$12, 100%, $E$12) + CHOOSE(CONTROL!$C$27, 0, 0)</f>
        <v>245.61365729051499</v>
      </c>
    </row>
    <row r="543" spans="1:5" ht="15">
      <c r="A543" s="13">
        <v>58440</v>
      </c>
      <c r="B543" s="4">
        <f>42.1635 * CHOOSE(CONTROL!$C$8, $C$12, 100%, $E$12) + CHOOSE(CONTROL!$C$27, 0.0003, 0)</f>
        <v>42.163800000000002</v>
      </c>
      <c r="C543" s="4">
        <f>41.851 * CHOOSE(CONTROL!$C$8, $C$12, 100%, $E$12) + CHOOSE(CONTROL!$C$27, 0.0003, 0)</f>
        <v>41.851300000000002</v>
      </c>
      <c r="D543" s="4">
        <f>46.6028 * CHOOSE(CONTROL!$C$8, $C$12, 100%, $E$12) + CHOOSE(CONTROL!$C$27, 0, 0)</f>
        <v>46.602800000000002</v>
      </c>
      <c r="E543" s="4">
        <f>241.767021399189 * CHOOSE(CONTROL!$C$8, $C$12, 100%, $E$12) + CHOOSE(CONTROL!$C$27, 0, 0)</f>
        <v>241.76702139918899</v>
      </c>
    </row>
    <row r="544" spans="1:5" ht="15">
      <c r="A544" s="13">
        <v>58471</v>
      </c>
      <c r="B544" s="4">
        <f>41.122 * CHOOSE(CONTROL!$C$8, $C$12, 100%, $E$12) + CHOOSE(CONTROL!$C$27, 0.0003, 0)</f>
        <v>41.122300000000003</v>
      </c>
      <c r="C544" s="4">
        <f>40.8095 * CHOOSE(CONTROL!$C$8, $C$12, 100%, $E$12) + CHOOSE(CONTROL!$C$27, 0.0003, 0)</f>
        <v>40.809800000000003</v>
      </c>
      <c r="D544" s="4">
        <f>45.0825 * CHOOSE(CONTROL!$C$8, $C$12, 100%, $E$12) + CHOOSE(CONTROL!$C$27, 0, 0)</f>
        <v>45.082500000000003</v>
      </c>
      <c r="E544" s="4">
        <f>234.834064526286 * CHOOSE(CONTROL!$C$8, $C$12, 100%, $E$12) + CHOOSE(CONTROL!$C$27, 0, 0)</f>
        <v>234.834064526286</v>
      </c>
    </row>
    <row r="545" spans="1:5" ht="15">
      <c r="A545" s="13">
        <v>58499</v>
      </c>
      <c r="B545" s="4">
        <f>42.0538 * CHOOSE(CONTROL!$C$8, $C$12, 100%, $E$12) + CHOOSE(CONTROL!$C$27, 0.0003, 0)</f>
        <v>42.054100000000005</v>
      </c>
      <c r="C545" s="4">
        <f>41.7413 * CHOOSE(CONTROL!$C$8, $C$12, 100%, $E$12) + CHOOSE(CONTROL!$C$27, 0.0003, 0)</f>
        <v>41.741600000000005</v>
      </c>
      <c r="D545" s="4">
        <f>46.6135 * CHOOSE(CONTROL!$C$8, $C$12, 100%, $E$12) + CHOOSE(CONTROL!$C$27, 0, 0)</f>
        <v>46.613500000000002</v>
      </c>
      <c r="E545" s="4">
        <f>240.409950677922 * CHOOSE(CONTROL!$C$8, $C$12, 100%, $E$12) + CHOOSE(CONTROL!$C$27, 0, 0)</f>
        <v>240.40995067792201</v>
      </c>
    </row>
    <row r="546" spans="1:5" ht="15">
      <c r="A546" s="13">
        <v>58531</v>
      </c>
      <c r="B546" s="4">
        <f>44.501 * CHOOSE(CONTROL!$C$8, $C$12, 100%, $E$12) + CHOOSE(CONTROL!$C$27, 0.0003, 0)</f>
        <v>44.501300000000001</v>
      </c>
      <c r="C546" s="4">
        <f>44.1885 * CHOOSE(CONTROL!$C$8, $C$12, 100%, $E$12) + CHOOSE(CONTROL!$C$27, 0.0003, 0)</f>
        <v>44.188800000000001</v>
      </c>
      <c r="D546" s="4">
        <f>49.0101 * CHOOSE(CONTROL!$C$8, $C$12, 100%, $E$12) + CHOOSE(CONTROL!$C$27, 0, 0)</f>
        <v>49.010100000000001</v>
      </c>
      <c r="E546" s="4">
        <f>255.052524032704 * CHOOSE(CONTROL!$C$8, $C$12, 100%, $E$12) + CHOOSE(CONTROL!$C$27, 0, 0)</f>
        <v>255.05252403270401</v>
      </c>
    </row>
    <row r="547" spans="1:5" ht="15">
      <c r="A547" s="13">
        <v>58561</v>
      </c>
      <c r="B547" s="4">
        <f>46.2397 * CHOOSE(CONTROL!$C$8, $C$12, 100%, $E$12) + CHOOSE(CONTROL!$C$27, 0.0003, 0)</f>
        <v>46.24</v>
      </c>
      <c r="C547" s="4">
        <f>45.9272 * CHOOSE(CONTROL!$C$8, $C$12, 100%, $E$12) + CHOOSE(CONTROL!$C$27, 0.0003, 0)</f>
        <v>45.927500000000002</v>
      </c>
      <c r="D547" s="4">
        <f>50.3907 * CHOOSE(CONTROL!$C$8, $C$12, 100%, $E$12) + CHOOSE(CONTROL!$C$27, 0, 0)</f>
        <v>50.390700000000002</v>
      </c>
      <c r="E547" s="4">
        <f>265.456267539224 * CHOOSE(CONTROL!$C$8, $C$12, 100%, $E$12) + CHOOSE(CONTROL!$C$27, 0, 0)</f>
        <v>265.45626753922397</v>
      </c>
    </row>
    <row r="548" spans="1:5" ht="15">
      <c r="A548" s="13">
        <v>58592</v>
      </c>
      <c r="B548" s="4">
        <f>47.3021 * CHOOSE(CONTROL!$C$8, $C$12, 100%, $E$12) + CHOOSE(CONTROL!$C$27, 0.0166, 0)</f>
        <v>47.3187</v>
      </c>
      <c r="C548" s="4">
        <f>46.9896 * CHOOSE(CONTROL!$C$8, $C$12, 100%, $E$12) + CHOOSE(CONTROL!$C$27, 0.0166, 0)</f>
        <v>47.0062</v>
      </c>
      <c r="D548" s="4">
        <f>49.8451 * CHOOSE(CONTROL!$C$8, $C$12, 100%, $E$12) + CHOOSE(CONTROL!$C$27, 0, 0)</f>
        <v>49.845100000000002</v>
      </c>
      <c r="E548" s="4">
        <f>271.812705478775 * CHOOSE(CONTROL!$C$8, $C$12, 100%, $E$12) + CHOOSE(CONTROL!$C$27, 0, 0)</f>
        <v>271.812705478775</v>
      </c>
    </row>
    <row r="549" spans="1:5" ht="15">
      <c r="A549" s="13">
        <v>58622</v>
      </c>
      <c r="B549" s="4">
        <f>47.4458 * CHOOSE(CONTROL!$C$8, $C$12, 100%, $E$12) + CHOOSE(CONTROL!$C$27, 0.0166, 0)</f>
        <v>47.462399999999995</v>
      </c>
      <c r="C549" s="4">
        <f>47.1333 * CHOOSE(CONTROL!$C$8, $C$12, 100%, $E$12) + CHOOSE(CONTROL!$C$27, 0.0166, 0)</f>
        <v>47.149899999999995</v>
      </c>
      <c r="D549" s="4">
        <f>50.2894 * CHOOSE(CONTROL!$C$8, $C$12, 100%, $E$12) + CHOOSE(CONTROL!$C$27, 0, 0)</f>
        <v>50.289400000000001</v>
      </c>
      <c r="E549" s="4">
        <f>272.672757911756 * CHOOSE(CONTROL!$C$8, $C$12, 100%, $E$12) + CHOOSE(CONTROL!$C$27, 0, 0)</f>
        <v>272.67275791175598</v>
      </c>
    </row>
    <row r="550" spans="1:5" ht="15">
      <c r="A550" s="13">
        <v>58653</v>
      </c>
      <c r="B550" s="4">
        <f>47.4313 * CHOOSE(CONTROL!$C$8, $C$12, 100%, $E$12) + CHOOSE(CONTROL!$C$27, 0.0166, 0)</f>
        <v>47.447899999999997</v>
      </c>
      <c r="C550" s="4">
        <f>47.1188 * CHOOSE(CONTROL!$C$8, $C$12, 100%, $E$12) + CHOOSE(CONTROL!$C$27, 0.0166, 0)</f>
        <v>47.135399999999997</v>
      </c>
      <c r="D550" s="4">
        <f>51.0911 * CHOOSE(CONTROL!$C$8, $C$12, 100%, $E$12) + CHOOSE(CONTROL!$C$27, 0, 0)</f>
        <v>51.091099999999997</v>
      </c>
      <c r="E550" s="4">
        <f>272.586029935321 * CHOOSE(CONTROL!$C$8, $C$12, 100%, $E$12) + CHOOSE(CONTROL!$C$27, 0, 0)</f>
        <v>272.58602993532099</v>
      </c>
    </row>
    <row r="551" spans="1:5" ht="15">
      <c r="A551" s="13">
        <v>58684</v>
      </c>
      <c r="B551" s="4">
        <f>48.522 * CHOOSE(CONTROL!$C$8, $C$12, 100%, $E$12) + CHOOSE(CONTROL!$C$27, 0.0166, 0)</f>
        <v>48.538599999999995</v>
      </c>
      <c r="C551" s="4">
        <f>48.2095 * CHOOSE(CONTROL!$C$8, $C$12, 100%, $E$12) + CHOOSE(CONTROL!$C$27, 0.0166, 0)</f>
        <v>48.226099999999995</v>
      </c>
      <c r="D551" s="4">
        <f>50.5617 * CHOOSE(CONTROL!$C$8, $C$12, 100%, $E$12) + CHOOSE(CONTROL!$C$27, 0, 0)</f>
        <v>50.561700000000002</v>
      </c>
      <c r="E551" s="4">
        <f>279.112310162057 * CHOOSE(CONTROL!$C$8, $C$12, 100%, $E$12) + CHOOSE(CONTROL!$C$27, 0, 0)</f>
        <v>279.11231016205699</v>
      </c>
    </row>
    <row r="552" spans="1:5" ht="15">
      <c r="A552" s="13">
        <v>58714</v>
      </c>
      <c r="B552" s="4">
        <f>46.6631 * CHOOSE(CONTROL!$C$8, $C$12, 100%, $E$12) + CHOOSE(CONTROL!$C$27, 0.0166, 0)</f>
        <v>46.679699999999997</v>
      </c>
      <c r="C552" s="4">
        <f>46.3506 * CHOOSE(CONTROL!$C$8, $C$12, 100%, $E$12) + CHOOSE(CONTROL!$C$27, 0.0166, 0)</f>
        <v>46.367199999999997</v>
      </c>
      <c r="D552" s="4">
        <f>50.3115 * CHOOSE(CONTROL!$C$8, $C$12, 100%, $E$12) + CHOOSE(CONTROL!$C$27, 0, 0)</f>
        <v>50.311500000000002</v>
      </c>
      <c r="E552" s="4">
        <f>267.989447184264 * CHOOSE(CONTROL!$C$8, $C$12, 100%, $E$12) + CHOOSE(CONTROL!$C$27, 0, 0)</f>
        <v>267.98944718426401</v>
      </c>
    </row>
    <row r="553" spans="1:5" ht="15">
      <c r="A553" s="13">
        <v>58745</v>
      </c>
      <c r="B553" s="4">
        <f>45.175 * CHOOSE(CONTROL!$C$8, $C$12, 100%, $E$12) + CHOOSE(CONTROL!$C$27, 0.0003, 0)</f>
        <v>45.1753</v>
      </c>
      <c r="C553" s="4">
        <f>44.8625 * CHOOSE(CONTROL!$C$8, $C$12, 100%, $E$12) + CHOOSE(CONTROL!$C$27, 0.0003, 0)</f>
        <v>44.8628</v>
      </c>
      <c r="D553" s="4">
        <f>49.6418 * CHOOSE(CONTROL!$C$8, $C$12, 100%, $E$12) + CHOOSE(CONTROL!$C$27, 0, 0)</f>
        <v>49.641800000000003</v>
      </c>
      <c r="E553" s="4">
        <f>259.085374936933 * CHOOSE(CONTROL!$C$8, $C$12, 100%, $E$12) + CHOOSE(CONTROL!$C$27, 0, 0)</f>
        <v>259.08537493693302</v>
      </c>
    </row>
    <row r="554" spans="1:5" ht="15">
      <c r="A554" s="13">
        <v>58775</v>
      </c>
      <c r="B554" s="4">
        <f>44.2165 * CHOOSE(CONTROL!$C$8, $C$12, 100%, $E$12) + CHOOSE(CONTROL!$C$27, 0.0003, 0)</f>
        <v>44.216800000000006</v>
      </c>
      <c r="C554" s="4">
        <f>43.904 * CHOOSE(CONTROL!$C$8, $C$12, 100%, $E$12) + CHOOSE(CONTROL!$C$27, 0.0003, 0)</f>
        <v>43.904300000000006</v>
      </c>
      <c r="D554" s="4">
        <f>49.4115 * CHOOSE(CONTROL!$C$8, $C$12, 100%, $E$12) + CHOOSE(CONTROL!$C$27, 0, 0)</f>
        <v>49.411499999999997</v>
      </c>
      <c r="E554" s="4">
        <f>253.350487495167 * CHOOSE(CONTROL!$C$8, $C$12, 100%, $E$12) + CHOOSE(CONTROL!$C$27, 0, 0)</f>
        <v>253.35048749516699</v>
      </c>
    </row>
    <row r="555" spans="1:5" ht="15">
      <c r="A555" s="13">
        <v>58806</v>
      </c>
      <c r="B555" s="4">
        <f>43.5534 * CHOOSE(CONTROL!$C$8, $C$12, 100%, $E$12) + CHOOSE(CONTROL!$C$27, 0.0003, 0)</f>
        <v>43.553700000000006</v>
      </c>
      <c r="C555" s="4">
        <f>43.2409 * CHOOSE(CONTROL!$C$8, $C$12, 100%, $E$12) + CHOOSE(CONTROL!$C$27, 0.0003, 0)</f>
        <v>43.241200000000006</v>
      </c>
      <c r="D555" s="4">
        <f>47.7163 * CHOOSE(CONTROL!$C$8, $C$12, 100%, $E$12) + CHOOSE(CONTROL!$C$27, 0, 0)</f>
        <v>47.716299999999997</v>
      </c>
      <c r="E555" s="4">
        <f>249.382682573264 * CHOOSE(CONTROL!$C$8, $C$12, 100%, $E$12) + CHOOSE(CONTROL!$C$27, 0, 0)</f>
        <v>249.38268257326399</v>
      </c>
    </row>
    <row r="556" spans="1:5" ht="15">
      <c r="A556" s="13">
        <v>58837</v>
      </c>
      <c r="B556" s="4">
        <f>42.476 * CHOOSE(CONTROL!$C$8, $C$12, 100%, $E$12) + CHOOSE(CONTROL!$C$27, 0.0003, 0)</f>
        <v>42.476300000000002</v>
      </c>
      <c r="C556" s="4">
        <f>42.1635 * CHOOSE(CONTROL!$C$8, $C$12, 100%, $E$12) + CHOOSE(CONTROL!$C$27, 0.0003, 0)</f>
        <v>42.163800000000002</v>
      </c>
      <c r="D556" s="4">
        <f>46.1583 * CHOOSE(CONTROL!$C$8, $C$12, 100%, $E$12) + CHOOSE(CONTROL!$C$27, 0, 0)</f>
        <v>46.158299999999997</v>
      </c>
      <c r="E556" s="4">
        <f>242.231337558864 * CHOOSE(CONTROL!$C$8, $C$12, 100%, $E$12) + CHOOSE(CONTROL!$C$27, 0, 0)</f>
        <v>242.231337558864</v>
      </c>
    </row>
    <row r="557" spans="1:5" ht="15">
      <c r="A557" s="13">
        <v>58865</v>
      </c>
      <c r="B557" s="4">
        <f>43.44 * CHOOSE(CONTROL!$C$8, $C$12, 100%, $E$12) + CHOOSE(CONTROL!$C$27, 0.0003, 0)</f>
        <v>43.440300000000001</v>
      </c>
      <c r="C557" s="4">
        <f>43.1275 * CHOOSE(CONTROL!$C$8, $C$12, 100%, $E$12) + CHOOSE(CONTROL!$C$27, 0.0003, 0)</f>
        <v>43.127800000000001</v>
      </c>
      <c r="D557" s="4">
        <f>47.7272 * CHOOSE(CONTROL!$C$8, $C$12, 100%, $E$12) + CHOOSE(CONTROL!$C$27, 0, 0)</f>
        <v>47.727200000000003</v>
      </c>
      <c r="E557" s="4">
        <f>247.982864124277 * CHOOSE(CONTROL!$C$8, $C$12, 100%, $E$12) + CHOOSE(CONTROL!$C$27, 0, 0)</f>
        <v>247.982864124277</v>
      </c>
    </row>
    <row r="558" spans="1:5" ht="15">
      <c r="A558" s="13">
        <v>58893</v>
      </c>
      <c r="B558" s="4">
        <f>45.9716 * CHOOSE(CONTROL!$C$8, $C$12, 100%, $E$12) + CHOOSE(CONTROL!$C$27, 0.0003, 0)</f>
        <v>45.971900000000005</v>
      </c>
      <c r="C558" s="4">
        <f>45.6591 * CHOOSE(CONTROL!$C$8, $C$12, 100%, $E$12) + CHOOSE(CONTROL!$C$27, 0.0003, 0)</f>
        <v>45.659400000000005</v>
      </c>
      <c r="D558" s="4">
        <f>50.1833 * CHOOSE(CONTROL!$C$8, $C$12, 100%, $E$12) + CHOOSE(CONTROL!$C$27, 0, 0)</f>
        <v>50.183300000000003</v>
      </c>
      <c r="E558" s="4">
        <f>263.086678539734 * CHOOSE(CONTROL!$C$8, $C$12, 100%, $E$12) + CHOOSE(CONTROL!$C$27, 0, 0)</f>
        <v>263.08667853973401</v>
      </c>
    </row>
    <row r="559" spans="1:5" ht="15">
      <c r="A559" s="13">
        <v>58926</v>
      </c>
      <c r="B559" s="4">
        <f>47.7703 * CHOOSE(CONTROL!$C$8, $C$12, 100%, $E$12) + CHOOSE(CONTROL!$C$27, 0.0003, 0)</f>
        <v>47.770600000000002</v>
      </c>
      <c r="C559" s="4">
        <f>47.4578 * CHOOSE(CONTROL!$C$8, $C$12, 100%, $E$12) + CHOOSE(CONTROL!$C$27, 0.0003, 0)</f>
        <v>47.458100000000002</v>
      </c>
      <c r="D559" s="4">
        <f>51.5981 * CHOOSE(CONTROL!$C$8, $C$12, 100%, $E$12) + CHOOSE(CONTROL!$C$27, 0, 0)</f>
        <v>51.598100000000002</v>
      </c>
      <c r="E559" s="4">
        <f>273.818139966709 * CHOOSE(CONTROL!$C$8, $C$12, 100%, $E$12) + CHOOSE(CONTROL!$C$27, 0, 0)</f>
        <v>273.818139966709</v>
      </c>
    </row>
    <row r="560" spans="1:5" ht="15">
      <c r="A560" s="13">
        <v>58957</v>
      </c>
      <c r="B560" s="4">
        <f>48.8693 * CHOOSE(CONTROL!$C$8, $C$12, 100%, $E$12) + CHOOSE(CONTROL!$C$27, 0.0166, 0)</f>
        <v>48.885899999999999</v>
      </c>
      <c r="C560" s="4">
        <f>48.5568 * CHOOSE(CONTROL!$C$8, $C$12, 100%, $E$12) + CHOOSE(CONTROL!$C$27, 0.0166, 0)</f>
        <v>48.573399999999999</v>
      </c>
      <c r="D560" s="4">
        <f>51.039 * CHOOSE(CONTROL!$C$8, $C$12, 100%, $E$12) + CHOOSE(CONTROL!$C$27, 0, 0)</f>
        <v>51.039000000000001</v>
      </c>
      <c r="E560" s="4">
        <f>280.374805701357 * CHOOSE(CONTROL!$C$8, $C$12, 100%, $E$12) + CHOOSE(CONTROL!$C$27, 0, 0)</f>
        <v>280.37480570135699</v>
      </c>
    </row>
    <row r="561" spans="1:5" ht="15">
      <c r="A561" s="13">
        <v>58987</v>
      </c>
      <c r="B561" s="4">
        <f>49.018 * CHOOSE(CONTROL!$C$8, $C$12, 100%, $E$12) + CHOOSE(CONTROL!$C$27, 0.0166, 0)</f>
        <v>49.034599999999998</v>
      </c>
      <c r="C561" s="4">
        <f>48.7055 * CHOOSE(CONTROL!$C$8, $C$12, 100%, $E$12) + CHOOSE(CONTROL!$C$27, 0.0166, 0)</f>
        <v>48.722099999999998</v>
      </c>
      <c r="D561" s="4">
        <f>51.4943 * CHOOSE(CONTROL!$C$8, $C$12, 100%, $E$12) + CHOOSE(CONTROL!$C$27, 0, 0)</f>
        <v>51.494300000000003</v>
      </c>
      <c r="E561" s="4">
        <f>281.261949785976 * CHOOSE(CONTROL!$C$8, $C$12, 100%, $E$12) + CHOOSE(CONTROL!$C$27, 0, 0)</f>
        <v>281.26194978597601</v>
      </c>
    </row>
    <row r="562" spans="1:5" ht="15">
      <c r="A562" s="13">
        <v>59018</v>
      </c>
      <c r="B562" s="4">
        <f>49.003 * CHOOSE(CONTROL!$C$8, $C$12, 100%, $E$12) + CHOOSE(CONTROL!$C$27, 0.0166, 0)</f>
        <v>49.019599999999997</v>
      </c>
      <c r="C562" s="4">
        <f>48.6905 * CHOOSE(CONTROL!$C$8, $C$12, 100%, $E$12) + CHOOSE(CONTROL!$C$27, 0.0166, 0)</f>
        <v>48.707099999999997</v>
      </c>
      <c r="D562" s="4">
        <f>52.3159 * CHOOSE(CONTROL!$C$8, $C$12, 100%, $E$12) + CHOOSE(CONTROL!$C$27, 0, 0)</f>
        <v>52.315899999999999</v>
      </c>
      <c r="E562" s="4">
        <f>281.172489878283 * CHOOSE(CONTROL!$C$8, $C$12, 100%, $E$12) + CHOOSE(CONTROL!$C$27, 0, 0)</f>
        <v>281.17248987828299</v>
      </c>
    </row>
    <row r="563" spans="1:5" ht="15">
      <c r="A563" s="13">
        <v>59049</v>
      </c>
      <c r="B563" s="4">
        <f>50.1313 * CHOOSE(CONTROL!$C$8, $C$12, 100%, $E$12) + CHOOSE(CONTROL!$C$27, 0.0166, 0)</f>
        <v>50.1479</v>
      </c>
      <c r="C563" s="4">
        <f>49.8188 * CHOOSE(CONTROL!$C$8, $C$12, 100%, $E$12) + CHOOSE(CONTROL!$C$27, 0.0166, 0)</f>
        <v>49.8354</v>
      </c>
      <c r="D563" s="4">
        <f>51.7733 * CHOOSE(CONTROL!$C$8, $C$12, 100%, $E$12) + CHOOSE(CONTROL!$C$27, 0, 0)</f>
        <v>51.773299999999999</v>
      </c>
      <c r="E563" s="4">
        <f>287.904347932162 * CHOOSE(CONTROL!$C$8, $C$12, 100%, $E$12) + CHOOSE(CONTROL!$C$27, 0, 0)</f>
        <v>287.90434793216201</v>
      </c>
    </row>
    <row r="564" spans="1:5" ht="15">
      <c r="A564" s="13">
        <v>59079</v>
      </c>
      <c r="B564" s="4">
        <f>48.2083 * CHOOSE(CONTROL!$C$8, $C$12, 100%, $E$12) + CHOOSE(CONTROL!$C$27, 0.0166, 0)</f>
        <v>48.224899999999998</v>
      </c>
      <c r="C564" s="4">
        <f>47.8958 * CHOOSE(CONTROL!$C$8, $C$12, 100%, $E$12) + CHOOSE(CONTROL!$C$27, 0.0166, 0)</f>
        <v>47.912399999999998</v>
      </c>
      <c r="D564" s="4">
        <f>51.517 * CHOOSE(CONTROL!$C$8, $C$12, 100%, $E$12) + CHOOSE(CONTROL!$C$27, 0, 0)</f>
        <v>51.517000000000003</v>
      </c>
      <c r="E564" s="4">
        <f>276.431114770568 * CHOOSE(CONTROL!$C$8, $C$12, 100%, $E$12) + CHOOSE(CONTROL!$C$27, 0, 0)</f>
        <v>276.431114770568</v>
      </c>
    </row>
    <row r="565" spans="1:5" ht="15">
      <c r="A565" s="13">
        <v>59110</v>
      </c>
      <c r="B565" s="4">
        <f>46.6688 * CHOOSE(CONTROL!$C$8, $C$12, 100%, $E$12) + CHOOSE(CONTROL!$C$27, 0.0003, 0)</f>
        <v>46.6691</v>
      </c>
      <c r="C565" s="4">
        <f>46.3563 * CHOOSE(CONTROL!$C$8, $C$12, 100%, $E$12) + CHOOSE(CONTROL!$C$27, 0.0003, 0)</f>
        <v>46.3566</v>
      </c>
      <c r="D565" s="4">
        <f>50.8306 * CHOOSE(CONTROL!$C$8, $C$12, 100%, $E$12) + CHOOSE(CONTROL!$C$27, 0, 0)</f>
        <v>50.830599999999997</v>
      </c>
      <c r="E565" s="4">
        <f>267.246564247447 * CHOOSE(CONTROL!$C$8, $C$12, 100%, $E$12) + CHOOSE(CONTROL!$C$27, 0, 0)</f>
        <v>267.246564247447</v>
      </c>
    </row>
    <row r="566" spans="1:5" ht="15">
      <c r="A566" s="13">
        <v>59140</v>
      </c>
      <c r="B566" s="4">
        <f>45.6773 * CHOOSE(CONTROL!$C$8, $C$12, 100%, $E$12) + CHOOSE(CONTROL!$C$27, 0.0003, 0)</f>
        <v>45.677600000000005</v>
      </c>
      <c r="C566" s="4">
        <f>45.3648 * CHOOSE(CONTROL!$C$8, $C$12, 100%, $E$12) + CHOOSE(CONTROL!$C$27, 0.0003, 0)</f>
        <v>45.365100000000005</v>
      </c>
      <c r="D566" s="4">
        <f>50.5946 * CHOOSE(CONTROL!$C$8, $C$12, 100%, $E$12) + CHOOSE(CONTROL!$C$27, 0, 0)</f>
        <v>50.5946</v>
      </c>
      <c r="E566" s="4">
        <f>261.331027851264 * CHOOSE(CONTROL!$C$8, $C$12, 100%, $E$12) + CHOOSE(CONTROL!$C$27, 0, 0)</f>
        <v>261.33102785126403</v>
      </c>
    </row>
    <row r="567" spans="1:5" ht="15">
      <c r="A567" s="13">
        <v>59171</v>
      </c>
      <c r="B567" s="4">
        <f>44.9913 * CHOOSE(CONTROL!$C$8, $C$12, 100%, $E$12) + CHOOSE(CONTROL!$C$27, 0.0003, 0)</f>
        <v>44.991600000000005</v>
      </c>
      <c r="C567" s="4">
        <f>44.6788 * CHOOSE(CONTROL!$C$8, $C$12, 100%, $E$12) + CHOOSE(CONTROL!$C$27, 0.0003, 0)</f>
        <v>44.679100000000005</v>
      </c>
      <c r="D567" s="4">
        <f>48.8574 * CHOOSE(CONTROL!$C$8, $C$12, 100%, $E$12) + CHOOSE(CONTROL!$C$27, 0, 0)</f>
        <v>48.857399999999998</v>
      </c>
      <c r="E567" s="4">
        <f>257.238237074321 * CHOOSE(CONTROL!$C$8, $C$12, 100%, $E$12) + CHOOSE(CONTROL!$C$27, 0, 0)</f>
        <v>257.23823707432098</v>
      </c>
    </row>
    <row r="568" spans="1:5" ht="15">
      <c r="A568" s="13">
        <v>59202</v>
      </c>
      <c r="B568" s="4">
        <f>43.8767 * CHOOSE(CONTROL!$C$8, $C$12, 100%, $E$12) + CHOOSE(CONTROL!$C$27, 0.0003, 0)</f>
        <v>43.877000000000002</v>
      </c>
      <c r="C568" s="4">
        <f>43.5642 * CHOOSE(CONTROL!$C$8, $C$12, 100%, $E$12) + CHOOSE(CONTROL!$C$27, 0.0003, 0)</f>
        <v>43.564500000000002</v>
      </c>
      <c r="D568" s="4">
        <f>47.2607 * CHOOSE(CONTROL!$C$8, $C$12, 100%, $E$12) + CHOOSE(CONTROL!$C$27, 0, 0)</f>
        <v>47.2607</v>
      </c>
      <c r="E568" s="4">
        <f>249.861624691968 * CHOOSE(CONTROL!$C$8, $C$12, 100%, $E$12) + CHOOSE(CONTROL!$C$27, 0, 0)</f>
        <v>249.86162469196799</v>
      </c>
    </row>
    <row r="569" spans="1:5" ht="15">
      <c r="A569" s="13">
        <v>59230</v>
      </c>
      <c r="B569" s="4">
        <f>44.874 * CHOOSE(CONTROL!$C$8, $C$12, 100%, $E$12) + CHOOSE(CONTROL!$C$27, 0.0003, 0)</f>
        <v>44.874300000000005</v>
      </c>
      <c r="C569" s="4">
        <f>44.5615 * CHOOSE(CONTROL!$C$8, $C$12, 100%, $E$12) + CHOOSE(CONTROL!$C$27, 0.0003, 0)</f>
        <v>44.561800000000005</v>
      </c>
      <c r="D569" s="4">
        <f>48.8686 * CHOOSE(CONTROL!$C$8, $C$12, 100%, $E$12) + CHOOSE(CONTROL!$C$27, 0, 0)</f>
        <v>48.868600000000001</v>
      </c>
      <c r="E569" s="4">
        <f>255.794324344191 * CHOOSE(CONTROL!$C$8, $C$12, 100%, $E$12) + CHOOSE(CONTROL!$C$27, 0, 0)</f>
        <v>255.79432434419101</v>
      </c>
    </row>
    <row r="570" spans="1:5" ht="15">
      <c r="A570" s="13">
        <v>59261</v>
      </c>
      <c r="B570" s="4">
        <f>47.4929 * CHOOSE(CONTROL!$C$8, $C$12, 100%, $E$12) + CHOOSE(CONTROL!$C$27, 0.0003, 0)</f>
        <v>47.493200000000002</v>
      </c>
      <c r="C570" s="4">
        <f>47.1804 * CHOOSE(CONTROL!$C$8, $C$12, 100%, $E$12) + CHOOSE(CONTROL!$C$27, 0.0003, 0)</f>
        <v>47.180700000000002</v>
      </c>
      <c r="D570" s="4">
        <f>51.3856 * CHOOSE(CONTROL!$C$8, $C$12, 100%, $E$12) + CHOOSE(CONTROL!$C$27, 0, 0)</f>
        <v>51.385599999999997</v>
      </c>
      <c r="E570" s="4">
        <f>271.373908913736 * CHOOSE(CONTROL!$C$8, $C$12, 100%, $E$12) + CHOOSE(CONTROL!$C$27, 0, 0)</f>
        <v>271.37390891373599</v>
      </c>
    </row>
    <row r="571" spans="1:5" ht="15">
      <c r="A571" s="13">
        <v>59291</v>
      </c>
      <c r="B571" s="4">
        <f>49.3537 * CHOOSE(CONTROL!$C$8, $C$12, 100%, $E$12) + CHOOSE(CONTROL!$C$27, 0.0003, 0)</f>
        <v>49.354000000000006</v>
      </c>
      <c r="C571" s="4">
        <f>49.0412 * CHOOSE(CONTROL!$C$8, $C$12, 100%, $E$12) + CHOOSE(CONTROL!$C$27, 0.0003, 0)</f>
        <v>49.041500000000006</v>
      </c>
      <c r="D571" s="4">
        <f>52.8354 * CHOOSE(CONTROL!$C$8, $C$12, 100%, $E$12) + CHOOSE(CONTROL!$C$27, 0, 0)</f>
        <v>52.8354</v>
      </c>
      <c r="E571" s="4">
        <f>282.443411375661 * CHOOSE(CONTROL!$C$8, $C$12, 100%, $E$12) + CHOOSE(CONTROL!$C$27, 0, 0)</f>
        <v>282.44341137566101</v>
      </c>
    </row>
    <row r="572" spans="1:5" ht="15">
      <c r="A572" s="13">
        <v>59322</v>
      </c>
      <c r="B572" s="4">
        <f>50.4906 * CHOOSE(CONTROL!$C$8, $C$12, 100%, $E$12) + CHOOSE(CONTROL!$C$27, 0.0166, 0)</f>
        <v>50.507199999999997</v>
      </c>
      <c r="C572" s="4">
        <f>50.1781 * CHOOSE(CONTROL!$C$8, $C$12, 100%, $E$12) + CHOOSE(CONTROL!$C$27, 0.0166, 0)</f>
        <v>50.194699999999997</v>
      </c>
      <c r="D572" s="4">
        <f>52.2625 * CHOOSE(CONTROL!$C$8, $C$12, 100%, $E$12) + CHOOSE(CONTROL!$C$27, 0, 0)</f>
        <v>52.262500000000003</v>
      </c>
      <c r="E572" s="4">
        <f>289.206612080949 * CHOOSE(CONTROL!$C$8, $C$12, 100%, $E$12) + CHOOSE(CONTROL!$C$27, 0, 0)</f>
        <v>289.20661208094901</v>
      </c>
    </row>
    <row r="573" spans="1:5" ht="15">
      <c r="A573" s="13">
        <v>59352</v>
      </c>
      <c r="B573" s="4">
        <f>50.6444 * CHOOSE(CONTROL!$C$8, $C$12, 100%, $E$12) + CHOOSE(CONTROL!$C$27, 0.0166, 0)</f>
        <v>50.660999999999994</v>
      </c>
      <c r="C573" s="4">
        <f>50.3319 * CHOOSE(CONTROL!$C$8, $C$12, 100%, $E$12) + CHOOSE(CONTROL!$C$27, 0.0166, 0)</f>
        <v>50.348499999999994</v>
      </c>
      <c r="D573" s="4">
        <f>52.7291 * CHOOSE(CONTROL!$C$8, $C$12, 100%, $E$12) + CHOOSE(CONTROL!$C$27, 0, 0)</f>
        <v>52.729100000000003</v>
      </c>
      <c r="E573" s="4">
        <f>290.121701204234 * CHOOSE(CONTROL!$C$8, $C$12, 100%, $E$12) + CHOOSE(CONTROL!$C$27, 0, 0)</f>
        <v>290.121701204234</v>
      </c>
    </row>
    <row r="574" spans="1:5" ht="15">
      <c r="A574" s="13">
        <v>59383</v>
      </c>
      <c r="B574" s="4">
        <f>50.6289 * CHOOSE(CONTROL!$C$8, $C$12, 100%, $E$12) + CHOOSE(CONTROL!$C$27, 0.0166, 0)</f>
        <v>50.645499999999998</v>
      </c>
      <c r="C574" s="4">
        <f>50.3164 * CHOOSE(CONTROL!$C$8, $C$12, 100%, $E$12) + CHOOSE(CONTROL!$C$27, 0.0166, 0)</f>
        <v>50.332999999999998</v>
      </c>
      <c r="D574" s="4">
        <f>53.571 * CHOOSE(CONTROL!$C$8, $C$12, 100%, $E$12) + CHOOSE(CONTROL!$C$27, 0, 0)</f>
        <v>53.570999999999998</v>
      </c>
      <c r="E574" s="4">
        <f>290.029423309449 * CHOOSE(CONTROL!$C$8, $C$12, 100%, $E$12) + CHOOSE(CONTROL!$C$27, 0, 0)</f>
        <v>290.02942330944899</v>
      </c>
    </row>
    <row r="575" spans="1:5" ht="15">
      <c r="A575" s="13">
        <v>59414</v>
      </c>
      <c r="B575" s="4">
        <f>51.7962 * CHOOSE(CONTROL!$C$8, $C$12, 100%, $E$12) + CHOOSE(CONTROL!$C$27, 0.0166, 0)</f>
        <v>51.812799999999996</v>
      </c>
      <c r="C575" s="4">
        <f>51.4837 * CHOOSE(CONTROL!$C$8, $C$12, 100%, $E$12) + CHOOSE(CONTROL!$C$27, 0.0166, 0)</f>
        <v>51.500299999999996</v>
      </c>
      <c r="D575" s="4">
        <f>53.015 * CHOOSE(CONTROL!$C$8, $C$12, 100%, $E$12) + CHOOSE(CONTROL!$C$27, 0, 0)</f>
        <v>53.015000000000001</v>
      </c>
      <c r="E575" s="4">
        <f>296.973334892025 * CHOOSE(CONTROL!$C$8, $C$12, 100%, $E$12) + CHOOSE(CONTROL!$C$27, 0, 0)</f>
        <v>296.97333489202498</v>
      </c>
    </row>
    <row r="576" spans="1:5" ht="15">
      <c r="A576" s="13">
        <v>59444</v>
      </c>
      <c r="B576" s="4">
        <f>49.8068 * CHOOSE(CONTROL!$C$8, $C$12, 100%, $E$12) + CHOOSE(CONTROL!$C$27, 0.0166, 0)</f>
        <v>49.823399999999999</v>
      </c>
      <c r="C576" s="4">
        <f>49.4943 * CHOOSE(CONTROL!$C$8, $C$12, 100%, $E$12) + CHOOSE(CONTROL!$C$27, 0.0166, 0)</f>
        <v>49.510899999999999</v>
      </c>
      <c r="D576" s="4">
        <f>52.7523 * CHOOSE(CONTROL!$C$8, $C$12, 100%, $E$12) + CHOOSE(CONTROL!$C$27, 0, 0)</f>
        <v>52.752299999999998</v>
      </c>
      <c r="E576" s="4">
        <f>285.138694885841 * CHOOSE(CONTROL!$C$8, $C$12, 100%, $E$12) + CHOOSE(CONTROL!$C$27, 0, 0)</f>
        <v>285.13869488584101</v>
      </c>
    </row>
    <row r="577" spans="1:5" ht="15">
      <c r="A577" s="13">
        <v>59475</v>
      </c>
      <c r="B577" s="4">
        <f>48.2142 * CHOOSE(CONTROL!$C$8, $C$12, 100%, $E$12) + CHOOSE(CONTROL!$C$27, 0.0003, 0)</f>
        <v>48.214500000000001</v>
      </c>
      <c r="C577" s="4">
        <f>47.9017 * CHOOSE(CONTROL!$C$8, $C$12, 100%, $E$12) + CHOOSE(CONTROL!$C$27, 0.0003, 0)</f>
        <v>47.902000000000001</v>
      </c>
      <c r="D577" s="4">
        <f>52.0489 * CHOOSE(CONTROL!$C$8, $C$12, 100%, $E$12) + CHOOSE(CONTROL!$C$27, 0, 0)</f>
        <v>52.048900000000003</v>
      </c>
      <c r="E577" s="4">
        <f>275.664831021241 * CHOOSE(CONTROL!$C$8, $C$12, 100%, $E$12) + CHOOSE(CONTROL!$C$27, 0, 0)</f>
        <v>275.66483102124101</v>
      </c>
    </row>
    <row r="578" spans="1:5" ht="15">
      <c r="A578" s="13">
        <v>59505</v>
      </c>
      <c r="B578" s="4">
        <f>47.1885 * CHOOSE(CONTROL!$C$8, $C$12, 100%, $E$12) + CHOOSE(CONTROL!$C$27, 0.0003, 0)</f>
        <v>47.188800000000001</v>
      </c>
      <c r="C578" s="4">
        <f>46.876 * CHOOSE(CONTROL!$C$8, $C$12, 100%, $E$12) + CHOOSE(CONTROL!$C$27, 0.0003, 0)</f>
        <v>46.876300000000001</v>
      </c>
      <c r="D578" s="4">
        <f>51.8071 * CHOOSE(CONTROL!$C$8, $C$12, 100%, $E$12) + CHOOSE(CONTROL!$C$27, 0, 0)</f>
        <v>51.807099999999998</v>
      </c>
      <c r="E578" s="4">
        <f>269.562955228579 * CHOOSE(CONTROL!$C$8, $C$12, 100%, $E$12) + CHOOSE(CONTROL!$C$27, 0, 0)</f>
        <v>269.56295522857903</v>
      </c>
    </row>
    <row r="579" spans="1:5" ht="15">
      <c r="A579" s="13">
        <v>59536</v>
      </c>
      <c r="B579" s="4">
        <f>46.4788 * CHOOSE(CONTROL!$C$8, $C$12, 100%, $E$12) + CHOOSE(CONTROL!$C$27, 0.0003, 0)</f>
        <v>46.479100000000003</v>
      </c>
      <c r="C579" s="4">
        <f>46.1663 * CHOOSE(CONTROL!$C$8, $C$12, 100%, $E$12) + CHOOSE(CONTROL!$C$27, 0.0003, 0)</f>
        <v>46.166600000000003</v>
      </c>
      <c r="D579" s="4">
        <f>50.0268 * CHOOSE(CONTROL!$C$8, $C$12, 100%, $E$12) + CHOOSE(CONTROL!$C$27, 0, 0)</f>
        <v>50.026800000000001</v>
      </c>
      <c r="E579" s="4">
        <f>265.341241542163 * CHOOSE(CONTROL!$C$8, $C$12, 100%, $E$12) + CHOOSE(CONTROL!$C$27, 0, 0)</f>
        <v>265.341241542163</v>
      </c>
    </row>
    <row r="580" spans="1:5" ht="15">
      <c r="A580" s="13">
        <v>59567</v>
      </c>
      <c r="B580" s="4">
        <f>45.3258 * CHOOSE(CONTROL!$C$8, $C$12, 100%, $E$12) + CHOOSE(CONTROL!$C$27, 0.0003, 0)</f>
        <v>45.326100000000004</v>
      </c>
      <c r="C580" s="4">
        <f>45.0133 * CHOOSE(CONTROL!$C$8, $C$12, 100%, $E$12) + CHOOSE(CONTROL!$C$27, 0.0003, 0)</f>
        <v>45.013600000000004</v>
      </c>
      <c r="D580" s="4">
        <f>48.3905 * CHOOSE(CONTROL!$C$8, $C$12, 100%, $E$12) + CHOOSE(CONTROL!$C$27, 0, 0)</f>
        <v>48.390500000000003</v>
      </c>
      <c r="E580" s="4">
        <f>257.732265869766 * CHOOSE(CONTROL!$C$8, $C$12, 100%, $E$12) + CHOOSE(CONTROL!$C$27, 0, 0)</f>
        <v>257.73226586976602</v>
      </c>
    </row>
    <row r="581" spans="1:5" ht="15">
      <c r="A581" s="13">
        <v>59595</v>
      </c>
      <c r="B581" s="4">
        <f>46.3575 * CHOOSE(CONTROL!$C$8, $C$12, 100%, $E$12) + CHOOSE(CONTROL!$C$27, 0.0003, 0)</f>
        <v>46.357800000000005</v>
      </c>
      <c r="C581" s="4">
        <f>46.045 * CHOOSE(CONTROL!$C$8, $C$12, 100%, $E$12) + CHOOSE(CONTROL!$C$27, 0.0003, 0)</f>
        <v>46.045300000000005</v>
      </c>
      <c r="D581" s="4">
        <f>50.0383 * CHOOSE(CONTROL!$C$8, $C$12, 100%, $E$12) + CHOOSE(CONTROL!$C$27, 0, 0)</f>
        <v>50.0383</v>
      </c>
      <c r="E581" s="4">
        <f>263.851845561034 * CHOOSE(CONTROL!$C$8, $C$12, 100%, $E$12) + CHOOSE(CONTROL!$C$27, 0, 0)</f>
        <v>263.851845561034</v>
      </c>
    </row>
    <row r="582" spans="1:5" ht="15">
      <c r="A582" s="13">
        <v>59626</v>
      </c>
      <c r="B582" s="4">
        <f>49.0667 * CHOOSE(CONTROL!$C$8, $C$12, 100%, $E$12) + CHOOSE(CONTROL!$C$27, 0.0003, 0)</f>
        <v>49.067</v>
      </c>
      <c r="C582" s="4">
        <f>48.7542 * CHOOSE(CONTROL!$C$8, $C$12, 100%, $E$12) + CHOOSE(CONTROL!$C$27, 0.0003, 0)</f>
        <v>48.7545</v>
      </c>
      <c r="D582" s="4">
        <f>52.6177 * CHOOSE(CONTROL!$C$8, $C$12, 100%, $E$12) + CHOOSE(CONTROL!$C$27, 0, 0)</f>
        <v>52.617699999999999</v>
      </c>
      <c r="E582" s="4">
        <f>279.922187044519 * CHOOSE(CONTROL!$C$8, $C$12, 100%, $E$12) + CHOOSE(CONTROL!$C$27, 0, 0)</f>
        <v>279.92218704451898</v>
      </c>
    </row>
    <row r="583" spans="1:5" ht="15">
      <c r="A583" s="13">
        <v>59656</v>
      </c>
      <c r="B583" s="4">
        <f>50.9917 * CHOOSE(CONTROL!$C$8, $C$12, 100%, $E$12) + CHOOSE(CONTROL!$C$27, 0.0003, 0)</f>
        <v>50.992000000000004</v>
      </c>
      <c r="C583" s="4">
        <f>50.6792 * CHOOSE(CONTROL!$C$8, $C$12, 100%, $E$12) + CHOOSE(CONTROL!$C$27, 0.0003, 0)</f>
        <v>50.679500000000004</v>
      </c>
      <c r="D583" s="4">
        <f>54.1035 * CHOOSE(CONTROL!$C$8, $C$12, 100%, $E$12) + CHOOSE(CONTROL!$C$27, 0, 0)</f>
        <v>54.103499999999997</v>
      </c>
      <c r="E583" s="4">
        <f>291.340378833994 * CHOOSE(CONTROL!$C$8, $C$12, 100%, $E$12) + CHOOSE(CONTROL!$C$27, 0, 0)</f>
        <v>291.34037883399401</v>
      </c>
    </row>
    <row r="584" spans="1:5" ht="15">
      <c r="A584" s="13">
        <v>59687</v>
      </c>
      <c r="B584" s="4">
        <f>52.1678 * CHOOSE(CONTROL!$C$8, $C$12, 100%, $E$12) + CHOOSE(CONTROL!$C$27, 0.0166, 0)</f>
        <v>52.184399999999997</v>
      </c>
      <c r="C584" s="4">
        <f>51.8553 * CHOOSE(CONTROL!$C$8, $C$12, 100%, $E$12) + CHOOSE(CONTROL!$C$27, 0.0166, 0)</f>
        <v>51.871899999999997</v>
      </c>
      <c r="D584" s="4">
        <f>53.5164 * CHOOSE(CONTROL!$C$8, $C$12, 100%, $E$12) + CHOOSE(CONTROL!$C$27, 0, 0)</f>
        <v>53.516399999999997</v>
      </c>
      <c r="E584" s="4">
        <f>298.316620361499 * CHOOSE(CONTROL!$C$8, $C$12, 100%, $E$12) + CHOOSE(CONTROL!$C$27, 0, 0)</f>
        <v>298.31662036149902</v>
      </c>
    </row>
    <row r="585" spans="1:5" ht="15">
      <c r="A585" s="13">
        <v>59717</v>
      </c>
      <c r="B585" s="4">
        <f>52.327 * CHOOSE(CONTROL!$C$8, $C$12, 100%, $E$12) + CHOOSE(CONTROL!$C$27, 0.0166, 0)</f>
        <v>52.343599999999995</v>
      </c>
      <c r="C585" s="4">
        <f>52.0145 * CHOOSE(CONTROL!$C$8, $C$12, 100%, $E$12) + CHOOSE(CONTROL!$C$27, 0.0166, 0)</f>
        <v>52.031099999999995</v>
      </c>
      <c r="D585" s="4">
        <f>53.9945 * CHOOSE(CONTROL!$C$8, $C$12, 100%, $E$12) + CHOOSE(CONTROL!$C$27, 0, 0)</f>
        <v>53.994500000000002</v>
      </c>
      <c r="E585" s="4">
        <f>299.260534792168 * CHOOSE(CONTROL!$C$8, $C$12, 100%, $E$12) + CHOOSE(CONTROL!$C$27, 0, 0)</f>
        <v>299.26053479216802</v>
      </c>
    </row>
    <row r="586" spans="1:5" ht="15">
      <c r="A586" s="13">
        <v>59748</v>
      </c>
      <c r="B586" s="4">
        <f>52.3109 * CHOOSE(CONTROL!$C$8, $C$12, 100%, $E$12) + CHOOSE(CONTROL!$C$27, 0.0166, 0)</f>
        <v>52.327499999999993</v>
      </c>
      <c r="C586" s="4">
        <f>51.9984 * CHOOSE(CONTROL!$C$8, $C$12, 100%, $E$12) + CHOOSE(CONTROL!$C$27, 0.0166, 0)</f>
        <v>52.014999999999993</v>
      </c>
      <c r="D586" s="4">
        <f>54.8573 * CHOOSE(CONTROL!$C$8, $C$12, 100%, $E$12) + CHOOSE(CONTROL!$C$27, 0, 0)</f>
        <v>54.857300000000002</v>
      </c>
      <c r="E586" s="4">
        <f>299.165350143697 * CHOOSE(CONTROL!$C$8, $C$12, 100%, $E$12) + CHOOSE(CONTROL!$C$27, 0, 0)</f>
        <v>299.16535014369703</v>
      </c>
    </row>
    <row r="587" spans="1:5" ht="15">
      <c r="A587" s="13">
        <v>59779</v>
      </c>
      <c r="B587" s="4">
        <f>53.5185 * CHOOSE(CONTROL!$C$8, $C$12, 100%, $E$12) + CHOOSE(CONTROL!$C$27, 0.0166, 0)</f>
        <v>53.5351</v>
      </c>
      <c r="C587" s="4">
        <f>53.206 * CHOOSE(CONTROL!$C$8, $C$12, 100%, $E$12) + CHOOSE(CONTROL!$C$27, 0.0166, 0)</f>
        <v>53.2226</v>
      </c>
      <c r="D587" s="4">
        <f>54.2875 * CHOOSE(CONTROL!$C$8, $C$12, 100%, $E$12) + CHOOSE(CONTROL!$C$27, 0, 0)</f>
        <v>54.287500000000001</v>
      </c>
      <c r="E587" s="4">
        <f>306.327994941124 * CHOOSE(CONTROL!$C$8, $C$12, 100%, $E$12) + CHOOSE(CONTROL!$C$27, 0, 0)</f>
        <v>306.32799494112402</v>
      </c>
    </row>
    <row r="588" spans="1:5" ht="15">
      <c r="A588" s="13">
        <v>59809</v>
      </c>
      <c r="B588" s="4">
        <f>51.4604 * CHOOSE(CONTROL!$C$8, $C$12, 100%, $E$12) + CHOOSE(CONTROL!$C$27, 0.0166, 0)</f>
        <v>51.476999999999997</v>
      </c>
      <c r="C588" s="4">
        <f>51.1479 * CHOOSE(CONTROL!$C$8, $C$12, 100%, $E$12) + CHOOSE(CONTROL!$C$27, 0.0166, 0)</f>
        <v>51.164499999999997</v>
      </c>
      <c r="D588" s="4">
        <f>54.0183 * CHOOSE(CONTROL!$C$8, $C$12, 100%, $E$12) + CHOOSE(CONTROL!$C$27, 0, 0)</f>
        <v>54.018300000000004</v>
      </c>
      <c r="E588" s="4">
        <f>294.120563774745 * CHOOSE(CONTROL!$C$8, $C$12, 100%, $E$12) + CHOOSE(CONTROL!$C$27, 0, 0)</f>
        <v>294.12056377474499</v>
      </c>
    </row>
    <row r="589" spans="1:5" ht="15">
      <c r="A589" s="13">
        <v>59840</v>
      </c>
      <c r="B589" s="4">
        <f>49.8129 * CHOOSE(CONTROL!$C$8, $C$12, 100%, $E$12) + CHOOSE(CONTROL!$C$27, 0.0003, 0)</f>
        <v>49.813200000000002</v>
      </c>
      <c r="C589" s="4">
        <f>49.5004 * CHOOSE(CONTROL!$C$8, $C$12, 100%, $E$12) + CHOOSE(CONTROL!$C$27, 0.0003, 0)</f>
        <v>49.500700000000002</v>
      </c>
      <c r="D589" s="4">
        <f>53.2975 * CHOOSE(CONTROL!$C$8, $C$12, 100%, $E$12) + CHOOSE(CONTROL!$C$27, 0, 0)</f>
        <v>53.297499999999999</v>
      </c>
      <c r="E589" s="4">
        <f>284.348273198411 * CHOOSE(CONTROL!$C$8, $C$12, 100%, $E$12) + CHOOSE(CONTROL!$C$27, 0, 0)</f>
        <v>284.34827319841099</v>
      </c>
    </row>
    <row r="590" spans="1:5" ht="15">
      <c r="A590" s="13">
        <v>59870</v>
      </c>
      <c r="B590" s="4">
        <f>48.7518 * CHOOSE(CONTROL!$C$8, $C$12, 100%, $E$12) + CHOOSE(CONTROL!$C$27, 0.0003, 0)</f>
        <v>48.752100000000006</v>
      </c>
      <c r="C590" s="4">
        <f>48.4393 * CHOOSE(CONTROL!$C$8, $C$12, 100%, $E$12) + CHOOSE(CONTROL!$C$27, 0.0003, 0)</f>
        <v>48.439600000000006</v>
      </c>
      <c r="D590" s="4">
        <f>53.0497 * CHOOSE(CONTROL!$C$8, $C$12, 100%, $E$12) + CHOOSE(CONTROL!$C$27, 0, 0)</f>
        <v>53.049700000000001</v>
      </c>
      <c r="E590" s="4">
        <f>278.054188318279 * CHOOSE(CONTROL!$C$8, $C$12, 100%, $E$12) + CHOOSE(CONTROL!$C$27, 0, 0)</f>
        <v>278.05418831827899</v>
      </c>
    </row>
    <row r="591" spans="1:5" ht="15">
      <c r="A591" s="13">
        <v>59901</v>
      </c>
      <c r="B591" s="4">
        <f>48.0177 * CHOOSE(CONTROL!$C$8, $C$12, 100%, $E$12) + CHOOSE(CONTROL!$C$27, 0.0003, 0)</f>
        <v>48.018000000000001</v>
      </c>
      <c r="C591" s="4">
        <f>47.7052 * CHOOSE(CONTROL!$C$8, $C$12, 100%, $E$12) + CHOOSE(CONTROL!$C$27, 0.0003, 0)</f>
        <v>47.705500000000001</v>
      </c>
      <c r="D591" s="4">
        <f>51.2252 * CHOOSE(CONTROL!$C$8, $C$12, 100%, $E$12) + CHOOSE(CONTROL!$C$27, 0, 0)</f>
        <v>51.225200000000001</v>
      </c>
      <c r="E591" s="4">
        <f>273.699490650741 * CHOOSE(CONTROL!$C$8, $C$12, 100%, $E$12) + CHOOSE(CONTROL!$C$27, 0, 0)</f>
        <v>273.69949065074098</v>
      </c>
    </row>
    <row r="592" spans="1:5" ht="15">
      <c r="A592" s="13">
        <v>59932</v>
      </c>
      <c r="B592" s="4">
        <f>46.8248 * CHOOSE(CONTROL!$C$8, $C$12, 100%, $E$12) + CHOOSE(CONTROL!$C$27, 0.0003, 0)</f>
        <v>46.825100000000006</v>
      </c>
      <c r="C592" s="4">
        <f>46.5123 * CHOOSE(CONTROL!$C$8, $C$12, 100%, $E$12) + CHOOSE(CONTROL!$C$27, 0.0003, 0)</f>
        <v>46.512600000000006</v>
      </c>
      <c r="D592" s="4">
        <f>49.5483 * CHOOSE(CONTROL!$C$8, $C$12, 100%, $E$12) + CHOOSE(CONTROL!$C$27, 0, 0)</f>
        <v>49.548299999999998</v>
      </c>
      <c r="E592" s="4">
        <f>265.850832244663 * CHOOSE(CONTROL!$C$8, $C$12, 100%, $E$12) + CHOOSE(CONTROL!$C$27, 0, 0)</f>
        <v>265.85083224466302</v>
      </c>
    </row>
    <row r="593" spans="1:5" ht="15">
      <c r="A593" s="13">
        <v>59961</v>
      </c>
      <c r="B593" s="4">
        <f>47.8921 * CHOOSE(CONTROL!$C$8, $C$12, 100%, $E$12) + CHOOSE(CONTROL!$C$27, 0.0003, 0)</f>
        <v>47.892400000000002</v>
      </c>
      <c r="C593" s="4">
        <f>47.5796 * CHOOSE(CONTROL!$C$8, $C$12, 100%, $E$12) + CHOOSE(CONTROL!$C$27, 0.0003, 0)</f>
        <v>47.579900000000002</v>
      </c>
      <c r="D593" s="4">
        <f>51.2369 * CHOOSE(CONTROL!$C$8, $C$12, 100%, $E$12) + CHOOSE(CONTROL!$C$27, 0, 0)</f>
        <v>51.236899999999999</v>
      </c>
      <c r="E593" s="4">
        <f>272.163178696206 * CHOOSE(CONTROL!$C$8, $C$12, 100%, $E$12) + CHOOSE(CONTROL!$C$27, 0, 0)</f>
        <v>272.16317869620599</v>
      </c>
    </row>
    <row r="594" spans="1:5" ht="15">
      <c r="A594" s="13">
        <v>59992</v>
      </c>
      <c r="B594" s="4">
        <f>50.6949 * CHOOSE(CONTROL!$C$8, $C$12, 100%, $E$12) + CHOOSE(CONTROL!$C$27, 0.0003, 0)</f>
        <v>50.6952</v>
      </c>
      <c r="C594" s="4">
        <f>50.3824 * CHOOSE(CONTROL!$C$8, $C$12, 100%, $E$12) + CHOOSE(CONTROL!$C$27, 0.0003, 0)</f>
        <v>50.3827</v>
      </c>
      <c r="D594" s="4">
        <f>53.8803 * CHOOSE(CONTROL!$C$8, $C$12, 100%, $E$12) + CHOOSE(CONTROL!$C$27, 0, 0)</f>
        <v>53.880299999999998</v>
      </c>
      <c r="E594" s="4">
        <f>288.739735936421 * CHOOSE(CONTROL!$C$8, $C$12, 100%, $E$12) + CHOOSE(CONTROL!$C$27, 0, 0)</f>
        <v>288.73973593642103</v>
      </c>
    </row>
    <row r="595" spans="1:5" ht="15">
      <c r="A595" s="13">
        <v>60022</v>
      </c>
      <c r="B595" s="4">
        <f>52.6863 * CHOOSE(CONTROL!$C$8, $C$12, 100%, $E$12) + CHOOSE(CONTROL!$C$27, 0.0003, 0)</f>
        <v>52.686600000000006</v>
      </c>
      <c r="C595" s="4">
        <f>52.3738 * CHOOSE(CONTROL!$C$8, $C$12, 100%, $E$12) + CHOOSE(CONTROL!$C$27, 0.0003, 0)</f>
        <v>52.374100000000006</v>
      </c>
      <c r="D595" s="4">
        <f>55.403 * CHOOSE(CONTROL!$C$8, $C$12, 100%, $E$12) + CHOOSE(CONTROL!$C$27, 0, 0)</f>
        <v>55.402999999999999</v>
      </c>
      <c r="E595" s="4">
        <f>300.517600767265 * CHOOSE(CONTROL!$C$8, $C$12, 100%, $E$12) + CHOOSE(CONTROL!$C$27, 0, 0)</f>
        <v>300.51760076726498</v>
      </c>
    </row>
    <row r="596" spans="1:5" ht="15">
      <c r="A596" s="13">
        <v>60053</v>
      </c>
      <c r="B596" s="4">
        <f>53.9029 * CHOOSE(CONTROL!$C$8, $C$12, 100%, $E$12) + CHOOSE(CONTROL!$C$27, 0.0166, 0)</f>
        <v>53.919499999999999</v>
      </c>
      <c r="C596" s="4">
        <f>53.5904 * CHOOSE(CONTROL!$C$8, $C$12, 100%, $E$12) + CHOOSE(CONTROL!$C$27, 0.0166, 0)</f>
        <v>53.606999999999999</v>
      </c>
      <c r="D596" s="4">
        <f>54.8013 * CHOOSE(CONTROL!$C$8, $C$12, 100%, $E$12) + CHOOSE(CONTROL!$C$27, 0, 0)</f>
        <v>54.801299999999998</v>
      </c>
      <c r="E596" s="4">
        <f>307.713593902886 * CHOOSE(CONTROL!$C$8, $C$12, 100%, $E$12) + CHOOSE(CONTROL!$C$27, 0, 0)</f>
        <v>307.71359390288598</v>
      </c>
    </row>
    <row r="597" spans="1:5" ht="15">
      <c r="A597" s="13">
        <v>60083</v>
      </c>
      <c r="B597" s="4">
        <f>54.0676 * CHOOSE(CONTROL!$C$8, $C$12, 100%, $E$12) + CHOOSE(CONTROL!$C$27, 0.0166, 0)</f>
        <v>54.084199999999996</v>
      </c>
      <c r="C597" s="4">
        <f>53.7551 * CHOOSE(CONTROL!$C$8, $C$12, 100%, $E$12) + CHOOSE(CONTROL!$C$27, 0.0166, 0)</f>
        <v>53.771699999999996</v>
      </c>
      <c r="D597" s="4">
        <f>55.2913 * CHOOSE(CONTROL!$C$8, $C$12, 100%, $E$12) + CHOOSE(CONTROL!$C$27, 0, 0)</f>
        <v>55.2913</v>
      </c>
      <c r="E597" s="4">
        <f>308.687241638121 * CHOOSE(CONTROL!$C$8, $C$12, 100%, $E$12) + CHOOSE(CONTROL!$C$27, 0, 0)</f>
        <v>308.68724163812101</v>
      </c>
    </row>
    <row r="598" spans="1:5" ht="15">
      <c r="A598" s="13">
        <v>60114</v>
      </c>
      <c r="B598" s="4">
        <f>54.051 * CHOOSE(CONTROL!$C$8, $C$12, 100%, $E$12) + CHOOSE(CONTROL!$C$27, 0.0166, 0)</f>
        <v>54.067599999999999</v>
      </c>
      <c r="C598" s="4">
        <f>53.7385 * CHOOSE(CONTROL!$C$8, $C$12, 100%, $E$12) + CHOOSE(CONTROL!$C$27, 0.0166, 0)</f>
        <v>53.755099999999999</v>
      </c>
      <c r="D598" s="4">
        <f>56.1755 * CHOOSE(CONTROL!$C$8, $C$12, 100%, $E$12) + CHOOSE(CONTROL!$C$27, 0, 0)</f>
        <v>56.1755</v>
      </c>
      <c r="E598" s="4">
        <f>308.589058673224 * CHOOSE(CONTROL!$C$8, $C$12, 100%, $E$12) + CHOOSE(CONTROL!$C$27, 0, 0)</f>
        <v>308.58905867322397</v>
      </c>
    </row>
    <row r="599" spans="1:5" ht="15">
      <c r="A599" s="13">
        <v>60145</v>
      </c>
      <c r="B599" s="4">
        <f>55.3002 * CHOOSE(CONTROL!$C$8, $C$12, 100%, $E$12) + CHOOSE(CONTROL!$C$27, 0.0166, 0)</f>
        <v>55.316799999999994</v>
      </c>
      <c r="C599" s="4">
        <f>54.9877 * CHOOSE(CONTROL!$C$8, $C$12, 100%, $E$12) + CHOOSE(CONTROL!$C$27, 0.0166, 0)</f>
        <v>55.004299999999994</v>
      </c>
      <c r="D599" s="4">
        <f>55.5916 * CHOOSE(CONTROL!$C$8, $C$12, 100%, $E$12) + CHOOSE(CONTROL!$C$27, 0, 0)</f>
        <v>55.5916</v>
      </c>
      <c r="E599" s="4">
        <f>315.97732678177 * CHOOSE(CONTROL!$C$8, $C$12, 100%, $E$12) + CHOOSE(CONTROL!$C$27, 0, 0)</f>
        <v>315.97732678176999</v>
      </c>
    </row>
    <row r="600" spans="1:5" ht="15">
      <c r="A600" s="13">
        <v>60175</v>
      </c>
      <c r="B600" s="4">
        <f>53.1711 * CHOOSE(CONTROL!$C$8, $C$12, 100%, $E$12) + CHOOSE(CONTROL!$C$27, 0.0166, 0)</f>
        <v>53.1877</v>
      </c>
      <c r="C600" s="4">
        <f>52.8586 * CHOOSE(CONTROL!$C$8, $C$12, 100%, $E$12) + CHOOSE(CONTROL!$C$27, 0.0166, 0)</f>
        <v>52.8752</v>
      </c>
      <c r="D600" s="4">
        <f>55.3157 * CHOOSE(CONTROL!$C$8, $C$12, 100%, $E$12) + CHOOSE(CONTROL!$C$27, 0, 0)</f>
        <v>55.3157</v>
      </c>
      <c r="E600" s="4">
        <f>303.38536153365 * CHOOSE(CONTROL!$C$8, $C$12, 100%, $E$12) + CHOOSE(CONTROL!$C$27, 0, 0)</f>
        <v>303.38536153364998</v>
      </c>
    </row>
    <row r="601" spans="1:5" ht="15">
      <c r="A601" s="13">
        <v>60206</v>
      </c>
      <c r="B601" s="4">
        <f>51.4668 * CHOOSE(CONTROL!$C$8, $C$12, 100%, $E$12) + CHOOSE(CONTROL!$C$27, 0.0003, 0)</f>
        <v>51.467100000000002</v>
      </c>
      <c r="C601" s="4">
        <f>51.1543 * CHOOSE(CONTROL!$C$8, $C$12, 100%, $E$12) + CHOOSE(CONTROL!$C$27, 0.0003, 0)</f>
        <v>51.154600000000002</v>
      </c>
      <c r="D601" s="4">
        <f>54.577 * CHOOSE(CONTROL!$C$8, $C$12, 100%, $E$12) + CHOOSE(CONTROL!$C$27, 0, 0)</f>
        <v>54.576999999999998</v>
      </c>
      <c r="E601" s="4">
        <f>293.305243804161 * CHOOSE(CONTROL!$C$8, $C$12, 100%, $E$12) + CHOOSE(CONTROL!$C$27, 0, 0)</f>
        <v>293.30524380416102</v>
      </c>
    </row>
    <row r="602" spans="1:5" ht="15">
      <c r="A602" s="13">
        <v>60236</v>
      </c>
      <c r="B602" s="4">
        <f>50.3691 * CHOOSE(CONTROL!$C$8, $C$12, 100%, $E$12) + CHOOSE(CONTROL!$C$27, 0.0003, 0)</f>
        <v>50.369400000000006</v>
      </c>
      <c r="C602" s="4">
        <f>50.0566 * CHOOSE(CONTROL!$C$8, $C$12, 100%, $E$12) + CHOOSE(CONTROL!$C$27, 0.0003, 0)</f>
        <v>50.056900000000006</v>
      </c>
      <c r="D602" s="4">
        <f>54.323 * CHOOSE(CONTROL!$C$8, $C$12, 100%, $E$12) + CHOOSE(CONTROL!$C$27, 0, 0)</f>
        <v>54.323</v>
      </c>
      <c r="E602" s="4">
        <f>286.812895250305 * CHOOSE(CONTROL!$C$8, $C$12, 100%, $E$12) + CHOOSE(CONTROL!$C$27, 0, 0)</f>
        <v>286.81289525030502</v>
      </c>
    </row>
    <row r="603" spans="1:5" ht="15">
      <c r="A603" s="13">
        <v>60267</v>
      </c>
      <c r="B603" s="4">
        <f>49.6096 * CHOOSE(CONTROL!$C$8, $C$12, 100%, $E$12) + CHOOSE(CONTROL!$C$27, 0.0003, 0)</f>
        <v>49.609900000000003</v>
      </c>
      <c r="C603" s="4">
        <f>49.2971 * CHOOSE(CONTROL!$C$8, $C$12, 100%, $E$12) + CHOOSE(CONTROL!$C$27, 0.0003, 0)</f>
        <v>49.297400000000003</v>
      </c>
      <c r="D603" s="4">
        <f>52.4533 * CHOOSE(CONTROL!$C$8, $C$12, 100%, $E$12) + CHOOSE(CONTROL!$C$27, 0, 0)</f>
        <v>52.453299999999999</v>
      </c>
      <c r="E603" s="4">
        <f>282.321024606239 * CHOOSE(CONTROL!$C$8, $C$12, 100%, $E$12) + CHOOSE(CONTROL!$C$27, 0, 0)</f>
        <v>282.32102460623901</v>
      </c>
    </row>
    <row r="604" spans="1:5" ht="15">
      <c r="A604" s="13">
        <v>60298</v>
      </c>
      <c r="B604" s="4">
        <f>48.3756 * CHOOSE(CONTROL!$C$8, $C$12, 100%, $E$12) + CHOOSE(CONTROL!$C$27, 0.0003, 0)</f>
        <v>48.375900000000001</v>
      </c>
      <c r="C604" s="4">
        <f>48.0631 * CHOOSE(CONTROL!$C$8, $C$12, 100%, $E$12) + CHOOSE(CONTROL!$C$27, 0.0003, 0)</f>
        <v>48.063400000000001</v>
      </c>
      <c r="D604" s="4">
        <f>50.7349 * CHOOSE(CONTROL!$C$8, $C$12, 100%, $E$12) + CHOOSE(CONTROL!$C$27, 0, 0)</f>
        <v>50.734900000000003</v>
      </c>
      <c r="E604" s="4">
        <f>274.22513346037 * CHOOSE(CONTROL!$C$8, $C$12, 100%, $E$12) + CHOOSE(CONTROL!$C$27, 0, 0)</f>
        <v>274.22513346036999</v>
      </c>
    </row>
    <row r="605" spans="1:5" ht="15">
      <c r="A605" s="13">
        <v>60326</v>
      </c>
      <c r="B605" s="4">
        <f>49.4797 * CHOOSE(CONTROL!$C$8, $C$12, 100%, $E$12) + CHOOSE(CONTROL!$C$27, 0.0003, 0)</f>
        <v>49.480000000000004</v>
      </c>
      <c r="C605" s="4">
        <f>49.1672 * CHOOSE(CONTROL!$C$8, $C$12, 100%, $E$12) + CHOOSE(CONTROL!$C$27, 0.0003, 0)</f>
        <v>49.167500000000004</v>
      </c>
      <c r="D605" s="4">
        <f>52.4653 * CHOOSE(CONTROL!$C$8, $C$12, 100%, $E$12) + CHOOSE(CONTROL!$C$27, 0, 0)</f>
        <v>52.465299999999999</v>
      </c>
      <c r="E605" s="4">
        <f>280.736318825137 * CHOOSE(CONTROL!$C$8, $C$12, 100%, $E$12) + CHOOSE(CONTROL!$C$27, 0, 0)</f>
        <v>280.736318825137</v>
      </c>
    </row>
    <row r="606" spans="1:5" ht="15">
      <c r="A606" s="13">
        <v>60357</v>
      </c>
      <c r="B606" s="4">
        <f>52.3791 * CHOOSE(CONTROL!$C$8, $C$12, 100%, $E$12) + CHOOSE(CONTROL!$C$27, 0.0003, 0)</f>
        <v>52.379400000000004</v>
      </c>
      <c r="C606" s="4">
        <f>52.0666 * CHOOSE(CONTROL!$C$8, $C$12, 100%, $E$12) + CHOOSE(CONTROL!$C$27, 0.0003, 0)</f>
        <v>52.066900000000004</v>
      </c>
      <c r="D606" s="4">
        <f>55.1743 * CHOOSE(CONTROL!$C$8, $C$12, 100%, $E$12) + CHOOSE(CONTROL!$C$27, 0, 0)</f>
        <v>55.174300000000002</v>
      </c>
      <c r="E606" s="4">
        <f>297.835037618418 * CHOOSE(CONTROL!$C$8, $C$12, 100%, $E$12) + CHOOSE(CONTROL!$C$27, 0, 0)</f>
        <v>297.83503761841803</v>
      </c>
    </row>
    <row r="607" spans="1:5" ht="15">
      <c r="A607" s="13">
        <v>60387</v>
      </c>
      <c r="B607" s="4">
        <f>54.4392 * CHOOSE(CONTROL!$C$8, $C$12, 100%, $E$12) + CHOOSE(CONTROL!$C$27, 0.0003, 0)</f>
        <v>54.439500000000002</v>
      </c>
      <c r="C607" s="4">
        <f>54.1267 * CHOOSE(CONTROL!$C$8, $C$12, 100%, $E$12) + CHOOSE(CONTROL!$C$27, 0.0003, 0)</f>
        <v>54.127000000000002</v>
      </c>
      <c r="D607" s="4">
        <f>56.7347 * CHOOSE(CONTROL!$C$8, $C$12, 100%, $E$12) + CHOOSE(CONTROL!$C$27, 0, 0)</f>
        <v>56.734699999999997</v>
      </c>
      <c r="E607" s="4">
        <f>309.983905191434 * CHOOSE(CONTROL!$C$8, $C$12, 100%, $E$12) + CHOOSE(CONTROL!$C$27, 0, 0)</f>
        <v>309.98390519143402</v>
      </c>
    </row>
    <row r="608" spans="1:5" ht="15">
      <c r="A608" s="13">
        <v>60418</v>
      </c>
      <c r="B608" s="4">
        <f>55.6979 * CHOOSE(CONTROL!$C$8, $C$12, 100%, $E$12) + CHOOSE(CONTROL!$C$27, 0.0166, 0)</f>
        <v>55.714499999999994</v>
      </c>
      <c r="C608" s="4">
        <f>55.3854 * CHOOSE(CONTROL!$C$8, $C$12, 100%, $E$12) + CHOOSE(CONTROL!$C$27, 0.0166, 0)</f>
        <v>55.401999999999994</v>
      </c>
      <c r="D608" s="4">
        <f>56.1181 * CHOOSE(CONTROL!$C$8, $C$12, 100%, $E$12) + CHOOSE(CONTROL!$C$27, 0, 0)</f>
        <v>56.118099999999998</v>
      </c>
      <c r="E608" s="4">
        <f>317.406572110827 * CHOOSE(CONTROL!$C$8, $C$12, 100%, $E$12) + CHOOSE(CONTROL!$C$27, 0, 0)</f>
        <v>317.40657211082703</v>
      </c>
    </row>
    <row r="609" spans="1:5" ht="15">
      <c r="A609" s="13">
        <v>60448</v>
      </c>
      <c r="B609" s="4">
        <f>55.8682 * CHOOSE(CONTROL!$C$8, $C$12, 100%, $E$12) + CHOOSE(CONTROL!$C$27, 0.0166, 0)</f>
        <v>55.884799999999998</v>
      </c>
      <c r="C609" s="4">
        <f>55.5557 * CHOOSE(CONTROL!$C$8, $C$12, 100%, $E$12) + CHOOSE(CONTROL!$C$27, 0.0166, 0)</f>
        <v>55.572299999999998</v>
      </c>
      <c r="D609" s="4">
        <f>56.6203 * CHOOSE(CONTROL!$C$8, $C$12, 100%, $E$12) + CHOOSE(CONTROL!$C$27, 0, 0)</f>
        <v>56.6203</v>
      </c>
      <c r="E609" s="4">
        <f>318.410889749722 * CHOOSE(CONTROL!$C$8, $C$12, 100%, $E$12) + CHOOSE(CONTROL!$C$27, 0, 0)</f>
        <v>318.410889749722</v>
      </c>
    </row>
    <row r="610" spans="1:5" ht="15">
      <c r="A610" s="13">
        <v>60479</v>
      </c>
      <c r="B610" s="4">
        <f>55.851 * CHOOSE(CONTROL!$C$8, $C$12, 100%, $E$12) + CHOOSE(CONTROL!$C$27, 0.0166, 0)</f>
        <v>55.867599999999996</v>
      </c>
      <c r="C610" s="4">
        <f>55.5385 * CHOOSE(CONTROL!$C$8, $C$12, 100%, $E$12) + CHOOSE(CONTROL!$C$27, 0.0166, 0)</f>
        <v>55.555099999999996</v>
      </c>
      <c r="D610" s="4">
        <f>57.5264 * CHOOSE(CONTROL!$C$8, $C$12, 100%, $E$12) + CHOOSE(CONTROL!$C$27, 0, 0)</f>
        <v>57.526400000000002</v>
      </c>
      <c r="E610" s="4">
        <f>318.30961402143 * CHOOSE(CONTROL!$C$8, $C$12, 100%, $E$12) + CHOOSE(CONTROL!$C$27, 0, 0)</f>
        <v>318.30961402142998</v>
      </c>
    </row>
    <row r="611" spans="1:5" ht="15">
      <c r="A611" s="13">
        <v>60510</v>
      </c>
      <c r="B611" s="4">
        <f>57.1433 * CHOOSE(CONTROL!$C$8, $C$12, 100%, $E$12) + CHOOSE(CONTROL!$C$27, 0.0166, 0)</f>
        <v>57.1599</v>
      </c>
      <c r="C611" s="4">
        <f>56.8308 * CHOOSE(CONTROL!$C$8, $C$12, 100%, $E$12) + CHOOSE(CONTROL!$C$27, 0.0166, 0)</f>
        <v>56.8474</v>
      </c>
      <c r="D611" s="4">
        <f>56.928 * CHOOSE(CONTROL!$C$8, $C$12, 100%, $E$12) + CHOOSE(CONTROL!$C$27, 0, 0)</f>
        <v>56.927999999999997</v>
      </c>
      <c r="E611" s="4">
        <f>325.930612575395 * CHOOSE(CONTROL!$C$8, $C$12, 100%, $E$12) + CHOOSE(CONTROL!$C$27, 0, 0)</f>
        <v>325.930612575395</v>
      </c>
    </row>
    <row r="612" spans="1:5" ht="15">
      <c r="A612" s="13">
        <v>60540</v>
      </c>
      <c r="B612" s="4">
        <f>54.9408 * CHOOSE(CONTROL!$C$8, $C$12, 100%, $E$12) + CHOOSE(CONTROL!$C$27, 0.0166, 0)</f>
        <v>54.9574</v>
      </c>
      <c r="C612" s="4">
        <f>54.6283 * CHOOSE(CONTROL!$C$8, $C$12, 100%, $E$12) + CHOOSE(CONTROL!$C$27, 0.0166, 0)</f>
        <v>54.6449</v>
      </c>
      <c r="D612" s="4">
        <f>56.6453 * CHOOSE(CONTROL!$C$8, $C$12, 100%, $E$12) + CHOOSE(CONTROL!$C$27, 0, 0)</f>
        <v>56.645299999999999</v>
      </c>
      <c r="E612" s="4">
        <f>312.94200042196 * CHOOSE(CONTROL!$C$8, $C$12, 100%, $E$12) + CHOOSE(CONTROL!$C$27, 0, 0)</f>
        <v>312.94200042196002</v>
      </c>
    </row>
    <row r="613" spans="1:5" ht="15">
      <c r="A613" s="13">
        <v>60571</v>
      </c>
      <c r="B613" s="4">
        <f>53.1777 * CHOOSE(CONTROL!$C$8, $C$12, 100%, $E$12) + CHOOSE(CONTROL!$C$27, 0.0003, 0)</f>
        <v>53.178000000000004</v>
      </c>
      <c r="C613" s="4">
        <f>52.8652 * CHOOSE(CONTROL!$C$8, $C$12, 100%, $E$12) + CHOOSE(CONTROL!$C$27, 0.0003, 0)</f>
        <v>52.865500000000004</v>
      </c>
      <c r="D613" s="4">
        <f>55.8882 * CHOOSE(CONTROL!$C$8, $C$12, 100%, $E$12) + CHOOSE(CONTROL!$C$27, 0, 0)</f>
        <v>55.888199999999998</v>
      </c>
      <c r="E613" s="4">
        <f>302.544358983992 * CHOOSE(CONTROL!$C$8, $C$12, 100%, $E$12) + CHOOSE(CONTROL!$C$27, 0, 0)</f>
        <v>302.54435898399203</v>
      </c>
    </row>
    <row r="614" spans="1:5" ht="15">
      <c r="A614" s="13">
        <v>60601</v>
      </c>
      <c r="B614" s="4">
        <f>52.0421 * CHOOSE(CONTROL!$C$8, $C$12, 100%, $E$12) + CHOOSE(CONTROL!$C$27, 0.0003, 0)</f>
        <v>52.042400000000001</v>
      </c>
      <c r="C614" s="4">
        <f>51.7296 * CHOOSE(CONTROL!$C$8, $C$12, 100%, $E$12) + CHOOSE(CONTROL!$C$27, 0.0003, 0)</f>
        <v>51.729900000000001</v>
      </c>
      <c r="D614" s="4">
        <f>55.628 * CHOOSE(CONTROL!$C$8, $C$12, 100%, $E$12) + CHOOSE(CONTROL!$C$27, 0, 0)</f>
        <v>55.628</v>
      </c>
      <c r="E614" s="4">
        <f>295.84750145069 * CHOOSE(CONTROL!$C$8, $C$12, 100%, $E$12) + CHOOSE(CONTROL!$C$27, 0, 0)</f>
        <v>295.84750145069</v>
      </c>
    </row>
    <row r="615" spans="1:5" ht="15">
      <c r="A615" s="13">
        <v>60632</v>
      </c>
      <c r="B615" s="4">
        <f>51.2564 * CHOOSE(CONTROL!$C$8, $C$12, 100%, $E$12) + CHOOSE(CONTROL!$C$27, 0.0003, 0)</f>
        <v>51.256700000000002</v>
      </c>
      <c r="C615" s="4">
        <f>50.9439 * CHOOSE(CONTROL!$C$8, $C$12, 100%, $E$12) + CHOOSE(CONTROL!$C$27, 0.0003, 0)</f>
        <v>50.944200000000002</v>
      </c>
      <c r="D615" s="4">
        <f>53.7119 * CHOOSE(CONTROL!$C$8, $C$12, 100%, $E$12) + CHOOSE(CONTROL!$C$27, 0, 0)</f>
        <v>53.7119</v>
      </c>
      <c r="E615" s="4">
        <f>291.214136881336 * CHOOSE(CONTROL!$C$8, $C$12, 100%, $E$12) + CHOOSE(CONTROL!$C$27, 0, 0)</f>
        <v>291.214136881336</v>
      </c>
    </row>
    <row r="616" spans="1:5" ht="15">
      <c r="A616" s="13">
        <v>60663</v>
      </c>
      <c r="B616" s="4">
        <f>49.9799 * CHOOSE(CONTROL!$C$8, $C$12, 100%, $E$12) + CHOOSE(CONTROL!$C$27, 0.0003, 0)</f>
        <v>49.980200000000004</v>
      </c>
      <c r="C616" s="4">
        <f>49.6674 * CHOOSE(CONTROL!$C$8, $C$12, 100%, $E$12) + CHOOSE(CONTROL!$C$27, 0.0003, 0)</f>
        <v>49.667700000000004</v>
      </c>
      <c r="D616" s="4">
        <f>51.9508 * CHOOSE(CONTROL!$C$8, $C$12, 100%, $E$12) + CHOOSE(CONTROL!$C$27, 0, 0)</f>
        <v>51.950800000000001</v>
      </c>
      <c r="E616" s="4">
        <f>282.863225164372 * CHOOSE(CONTROL!$C$8, $C$12, 100%, $E$12) + CHOOSE(CONTROL!$C$27, 0, 0)</f>
        <v>282.86322516437201</v>
      </c>
    </row>
    <row r="617" spans="1:5" ht="15">
      <c r="A617" s="13">
        <v>60691</v>
      </c>
      <c r="B617" s="4">
        <f>51.1221 * CHOOSE(CONTROL!$C$8, $C$12, 100%, $E$12) + CHOOSE(CONTROL!$C$27, 0.0003, 0)</f>
        <v>51.122400000000006</v>
      </c>
      <c r="C617" s="4">
        <f>50.8096 * CHOOSE(CONTROL!$C$8, $C$12, 100%, $E$12) + CHOOSE(CONTROL!$C$27, 0.0003, 0)</f>
        <v>50.809900000000006</v>
      </c>
      <c r="D617" s="4">
        <f>53.7242 * CHOOSE(CONTROL!$C$8, $C$12, 100%, $E$12) + CHOOSE(CONTROL!$C$27, 0, 0)</f>
        <v>53.724200000000003</v>
      </c>
      <c r="E617" s="4">
        <f>289.579512868128 * CHOOSE(CONTROL!$C$8, $C$12, 100%, $E$12) + CHOOSE(CONTROL!$C$27, 0, 0)</f>
        <v>289.57951286812801</v>
      </c>
    </row>
    <row r="618" spans="1:5" ht="15">
      <c r="A618" s="13">
        <v>60722</v>
      </c>
      <c r="B618" s="4">
        <f>54.1215 * CHOOSE(CONTROL!$C$8, $C$12, 100%, $E$12) + CHOOSE(CONTROL!$C$27, 0.0003, 0)</f>
        <v>54.1218</v>
      </c>
      <c r="C618" s="4">
        <f>53.809 * CHOOSE(CONTROL!$C$8, $C$12, 100%, $E$12) + CHOOSE(CONTROL!$C$27, 0.0003, 0)</f>
        <v>53.8093</v>
      </c>
      <c r="D618" s="4">
        <f>56.5003 * CHOOSE(CONTROL!$C$8, $C$12, 100%, $E$12) + CHOOSE(CONTROL!$C$27, 0, 0)</f>
        <v>56.500300000000003</v>
      </c>
      <c r="E618" s="4">
        <f>307.216841303399 * CHOOSE(CONTROL!$C$8, $C$12, 100%, $E$12) + CHOOSE(CONTROL!$C$27, 0, 0)</f>
        <v>307.21684130339901</v>
      </c>
    </row>
    <row r="619" spans="1:5" ht="15">
      <c r="A619" s="13">
        <v>60752</v>
      </c>
      <c r="B619" s="4">
        <f>56.2527 * CHOOSE(CONTROL!$C$8, $C$12, 100%, $E$12) + CHOOSE(CONTROL!$C$27, 0.0003, 0)</f>
        <v>56.253</v>
      </c>
      <c r="C619" s="4">
        <f>55.9402 * CHOOSE(CONTROL!$C$8, $C$12, 100%, $E$12) + CHOOSE(CONTROL!$C$27, 0.0003, 0)</f>
        <v>55.9405</v>
      </c>
      <c r="D619" s="4">
        <f>58.0994 * CHOOSE(CONTROL!$C$8, $C$12, 100%, $E$12) + CHOOSE(CONTROL!$C$27, 0, 0)</f>
        <v>58.099400000000003</v>
      </c>
      <c r="E619" s="4">
        <f>319.748398204964 * CHOOSE(CONTROL!$C$8, $C$12, 100%, $E$12) + CHOOSE(CONTROL!$C$27, 0, 0)</f>
        <v>319.74839820496402</v>
      </c>
    </row>
    <row r="620" spans="1:5" ht="15">
      <c r="A620" s="13">
        <v>60783</v>
      </c>
      <c r="B620" s="4">
        <f>57.5548 * CHOOSE(CONTROL!$C$8, $C$12, 100%, $E$12) + CHOOSE(CONTROL!$C$27, 0.0166, 0)</f>
        <v>57.571399999999997</v>
      </c>
      <c r="C620" s="4">
        <f>57.2423 * CHOOSE(CONTROL!$C$8, $C$12, 100%, $E$12) + CHOOSE(CONTROL!$C$27, 0.0166, 0)</f>
        <v>57.258899999999997</v>
      </c>
      <c r="D620" s="4">
        <f>57.4676 * CHOOSE(CONTROL!$C$8, $C$12, 100%, $E$12) + CHOOSE(CONTROL!$C$27, 0, 0)</f>
        <v>57.467599999999997</v>
      </c>
      <c r="E620" s="4">
        <f>327.404879132319 * CHOOSE(CONTROL!$C$8, $C$12, 100%, $E$12) + CHOOSE(CONTROL!$C$27, 0, 0)</f>
        <v>327.40487913231902</v>
      </c>
    </row>
    <row r="621" spans="1:5" ht="15">
      <c r="A621" s="13">
        <v>60813</v>
      </c>
      <c r="B621" s="4">
        <f>57.731 * CHOOSE(CONTROL!$C$8, $C$12, 100%, $E$12) + CHOOSE(CONTROL!$C$27, 0.0166, 0)</f>
        <v>57.747599999999998</v>
      </c>
      <c r="C621" s="4">
        <f>57.4185 * CHOOSE(CONTROL!$C$8, $C$12, 100%, $E$12) + CHOOSE(CONTROL!$C$27, 0.0166, 0)</f>
        <v>57.435099999999998</v>
      </c>
      <c r="D621" s="4">
        <f>57.9822 * CHOOSE(CONTROL!$C$8, $C$12, 100%, $E$12) + CHOOSE(CONTROL!$C$27, 0, 0)</f>
        <v>57.982199999999999</v>
      </c>
      <c r="E621" s="4">
        <f>328.440832776838 * CHOOSE(CONTROL!$C$8, $C$12, 100%, $E$12) + CHOOSE(CONTROL!$C$27, 0, 0)</f>
        <v>328.44083277683802</v>
      </c>
    </row>
    <row r="622" spans="1:5" ht="15">
      <c r="A622" s="13">
        <v>60844</v>
      </c>
      <c r="B622" s="4">
        <f>57.7132 * CHOOSE(CONTROL!$C$8, $C$12, 100%, $E$12) + CHOOSE(CONTROL!$C$27, 0.0166, 0)</f>
        <v>57.729799999999997</v>
      </c>
      <c r="C622" s="4">
        <f>57.4007 * CHOOSE(CONTROL!$C$8, $C$12, 100%, $E$12) + CHOOSE(CONTROL!$C$27, 0.0166, 0)</f>
        <v>57.417299999999997</v>
      </c>
      <c r="D622" s="4">
        <f>58.9108 * CHOOSE(CONTROL!$C$8, $C$12, 100%, $E$12) + CHOOSE(CONTROL!$C$27, 0, 0)</f>
        <v>58.910800000000002</v>
      </c>
      <c r="E622" s="4">
        <f>328.336366863105 * CHOOSE(CONTROL!$C$8, $C$12, 100%, $E$12) + CHOOSE(CONTROL!$C$27, 0, 0)</f>
        <v>328.33636686310501</v>
      </c>
    </row>
    <row r="623" spans="1:5" ht="15">
      <c r="A623" s="13">
        <v>60875</v>
      </c>
      <c r="B623" s="4">
        <f>59.0501 * CHOOSE(CONTROL!$C$8, $C$12, 100%, $E$12) + CHOOSE(CONTROL!$C$27, 0.0166, 0)</f>
        <v>59.066699999999997</v>
      </c>
      <c r="C623" s="4">
        <f>58.7376 * CHOOSE(CONTROL!$C$8, $C$12, 100%, $E$12) + CHOOSE(CONTROL!$C$27, 0.0166, 0)</f>
        <v>58.754199999999997</v>
      </c>
      <c r="D623" s="4">
        <f>58.2975 * CHOOSE(CONTROL!$C$8, $C$12, 100%, $E$12) + CHOOSE(CONTROL!$C$27, 0, 0)</f>
        <v>58.297499999999999</v>
      </c>
      <c r="E623" s="4">
        <f>336.19742687152 * CHOOSE(CONTROL!$C$8, $C$12, 100%, $E$12) + CHOOSE(CONTROL!$C$27, 0, 0)</f>
        <v>336.19742687152001</v>
      </c>
    </row>
    <row r="624" spans="1:5" ht="15">
      <c r="A624" s="13">
        <v>60905</v>
      </c>
      <c r="B624" s="4">
        <f>56.7716 * CHOOSE(CONTROL!$C$8, $C$12, 100%, $E$12) + CHOOSE(CONTROL!$C$27, 0.0166, 0)</f>
        <v>56.788199999999996</v>
      </c>
      <c r="C624" s="4">
        <f>56.4591 * CHOOSE(CONTROL!$C$8, $C$12, 100%, $E$12) + CHOOSE(CONTROL!$C$27, 0.0166, 0)</f>
        <v>56.475699999999996</v>
      </c>
      <c r="D624" s="4">
        <f>58.0078 * CHOOSE(CONTROL!$C$8, $C$12, 100%, $E$12) + CHOOSE(CONTROL!$C$27, 0, 0)</f>
        <v>58.007800000000003</v>
      </c>
      <c r="E624" s="4">
        <f>322.799673435251 * CHOOSE(CONTROL!$C$8, $C$12, 100%, $E$12) + CHOOSE(CONTROL!$C$27, 0, 0)</f>
        <v>322.79967343525101</v>
      </c>
    </row>
    <row r="625" spans="1:5" ht="15">
      <c r="A625" s="13">
        <v>60936</v>
      </c>
      <c r="B625" s="4">
        <f>54.9477 * CHOOSE(CONTROL!$C$8, $C$12, 100%, $E$12) + CHOOSE(CONTROL!$C$27, 0.0003, 0)</f>
        <v>54.948</v>
      </c>
      <c r="C625" s="4">
        <f>54.6352 * CHOOSE(CONTROL!$C$8, $C$12, 100%, $E$12) + CHOOSE(CONTROL!$C$27, 0.0003, 0)</f>
        <v>54.6355</v>
      </c>
      <c r="D625" s="4">
        <f>57.232 * CHOOSE(CONTROL!$C$8, $C$12, 100%, $E$12) + CHOOSE(CONTROL!$C$27, 0, 0)</f>
        <v>57.231999999999999</v>
      </c>
      <c r="E625" s="4">
        <f>312.074506291987 * CHOOSE(CONTROL!$C$8, $C$12, 100%, $E$12) + CHOOSE(CONTROL!$C$27, 0, 0)</f>
        <v>312.07450629198701</v>
      </c>
    </row>
    <row r="626" spans="1:5" ht="15">
      <c r="A626" s="13">
        <v>60966</v>
      </c>
      <c r="B626" s="4">
        <f>53.7729 * CHOOSE(CONTROL!$C$8, $C$12, 100%, $E$12) + CHOOSE(CONTROL!$C$27, 0.0003, 0)</f>
        <v>53.773200000000003</v>
      </c>
      <c r="C626" s="4">
        <f>53.4604 * CHOOSE(CONTROL!$C$8, $C$12, 100%, $E$12) + CHOOSE(CONTROL!$C$27, 0.0003, 0)</f>
        <v>53.460700000000003</v>
      </c>
      <c r="D626" s="4">
        <f>56.9653 * CHOOSE(CONTROL!$C$8, $C$12, 100%, $E$12) + CHOOSE(CONTROL!$C$27, 0, 0)</f>
        <v>56.965299999999999</v>
      </c>
      <c r="E626" s="4">
        <f>305.166697746387 * CHOOSE(CONTROL!$C$8, $C$12, 100%, $E$12) + CHOOSE(CONTROL!$C$27, 0, 0)</f>
        <v>305.166697746387</v>
      </c>
    </row>
    <row r="627" spans="1:5" ht="15">
      <c r="A627" s="13">
        <v>60997</v>
      </c>
      <c r="B627" s="4">
        <f>52.9601 * CHOOSE(CONTROL!$C$8, $C$12, 100%, $E$12) + CHOOSE(CONTROL!$C$27, 0.0003, 0)</f>
        <v>52.9604</v>
      </c>
      <c r="C627" s="4">
        <f>52.6476 * CHOOSE(CONTROL!$C$8, $C$12, 100%, $E$12) + CHOOSE(CONTROL!$C$27, 0.0003, 0)</f>
        <v>52.6479</v>
      </c>
      <c r="D627" s="4">
        <f>55.0017 * CHOOSE(CONTROL!$C$8, $C$12, 100%, $E$12) + CHOOSE(CONTROL!$C$27, 0, 0)</f>
        <v>55.0017</v>
      </c>
      <c r="E627" s="4">
        <f>300.387382193098 * CHOOSE(CONTROL!$C$8, $C$12, 100%, $E$12) + CHOOSE(CONTROL!$C$27, 0, 0)</f>
        <v>300.38738219309801</v>
      </c>
    </row>
    <row r="628" spans="1:5" ht="15">
      <c r="A628" s="13">
        <v>61028</v>
      </c>
      <c r="B628" s="4">
        <f>51.6395 * CHOOSE(CONTROL!$C$8, $C$12, 100%, $E$12) + CHOOSE(CONTROL!$C$27, 0.0003, 0)</f>
        <v>51.639800000000001</v>
      </c>
      <c r="C628" s="4">
        <f>51.327 * CHOOSE(CONTROL!$C$8, $C$12, 100%, $E$12) + CHOOSE(CONTROL!$C$27, 0.0003, 0)</f>
        <v>51.327300000000001</v>
      </c>
      <c r="D628" s="4">
        <f>53.1969 * CHOOSE(CONTROL!$C$8, $C$12, 100%, $E$12) + CHOOSE(CONTROL!$C$27, 0, 0)</f>
        <v>53.196899999999999</v>
      </c>
      <c r="E628" s="4">
        <f>291.773416757049 * CHOOSE(CONTROL!$C$8, $C$12, 100%, $E$12) + CHOOSE(CONTROL!$C$27, 0, 0)</f>
        <v>291.77341675704901</v>
      </c>
    </row>
    <row r="629" spans="1:5" ht="15">
      <c r="A629" s="13">
        <v>61056</v>
      </c>
      <c r="B629" s="4">
        <f>52.8211 * CHOOSE(CONTROL!$C$8, $C$12, 100%, $E$12) + CHOOSE(CONTROL!$C$27, 0.0003, 0)</f>
        <v>52.821400000000004</v>
      </c>
      <c r="C629" s="4">
        <f>52.5086 * CHOOSE(CONTROL!$C$8, $C$12, 100%, $E$12) + CHOOSE(CONTROL!$C$27, 0.0003, 0)</f>
        <v>52.508900000000004</v>
      </c>
      <c r="D629" s="4">
        <f>55.0143 * CHOOSE(CONTROL!$C$8, $C$12, 100%, $E$12) + CHOOSE(CONTROL!$C$27, 0, 0)</f>
        <v>55.014299999999999</v>
      </c>
      <c r="E629" s="4">
        <f>298.701267523475 * CHOOSE(CONTROL!$C$8, $C$12, 100%, $E$12) + CHOOSE(CONTROL!$C$27, 0, 0)</f>
        <v>298.701267523475</v>
      </c>
    </row>
    <row r="630" spans="1:5" ht="15">
      <c r="A630" s="13">
        <v>61087</v>
      </c>
      <c r="B630" s="4">
        <f>55.924 * CHOOSE(CONTROL!$C$8, $C$12, 100%, $E$12) + CHOOSE(CONTROL!$C$27, 0.0003, 0)</f>
        <v>55.924300000000002</v>
      </c>
      <c r="C630" s="4">
        <f>55.6115 * CHOOSE(CONTROL!$C$8, $C$12, 100%, $E$12) + CHOOSE(CONTROL!$C$27, 0.0003, 0)</f>
        <v>55.611800000000002</v>
      </c>
      <c r="D630" s="4">
        <f>57.8593 * CHOOSE(CONTROL!$C$8, $C$12, 100%, $E$12) + CHOOSE(CONTROL!$C$27, 0, 0)</f>
        <v>57.859299999999998</v>
      </c>
      <c r="E630" s="4">
        <f>316.894171804456 * CHOOSE(CONTROL!$C$8, $C$12, 100%, $E$12) + CHOOSE(CONTROL!$C$27, 0, 0)</f>
        <v>316.89417180445599</v>
      </c>
    </row>
    <row r="631" spans="1:5" ht="15">
      <c r="A631" s="13">
        <v>61117</v>
      </c>
      <c r="B631" s="4">
        <f>58.1287 * CHOOSE(CONTROL!$C$8, $C$12, 100%, $E$12) + CHOOSE(CONTROL!$C$27, 0.0003, 0)</f>
        <v>58.129000000000005</v>
      </c>
      <c r="C631" s="4">
        <f>57.8162 * CHOOSE(CONTROL!$C$8, $C$12, 100%, $E$12) + CHOOSE(CONTROL!$C$27, 0.0003, 0)</f>
        <v>57.816500000000005</v>
      </c>
      <c r="D631" s="4">
        <f>59.498 * CHOOSE(CONTROL!$C$8, $C$12, 100%, $E$12) + CHOOSE(CONTROL!$C$27, 0, 0)</f>
        <v>59.497999999999998</v>
      </c>
      <c r="E631" s="4">
        <f>329.82047274842 * CHOOSE(CONTROL!$C$8, $C$12, 100%, $E$12) + CHOOSE(CONTROL!$C$27, 0, 0)</f>
        <v>329.82047274842</v>
      </c>
    </row>
    <row r="632" spans="1:5" ht="15">
      <c r="A632" s="13">
        <v>61148</v>
      </c>
      <c r="B632" s="4">
        <f>59.4758 * CHOOSE(CONTROL!$C$8, $C$12, 100%, $E$12) + CHOOSE(CONTROL!$C$27, 0.0166, 0)</f>
        <v>59.492399999999996</v>
      </c>
      <c r="C632" s="4">
        <f>59.1633 * CHOOSE(CONTROL!$C$8, $C$12, 100%, $E$12) + CHOOSE(CONTROL!$C$27, 0.0166, 0)</f>
        <v>59.179899999999996</v>
      </c>
      <c r="D632" s="4">
        <f>58.8505 * CHOOSE(CONTROL!$C$8, $C$12, 100%, $E$12) + CHOOSE(CONTROL!$C$27, 0, 0)</f>
        <v>58.850499999999997</v>
      </c>
      <c r="E632" s="4">
        <f>337.718132824987 * CHOOSE(CONTROL!$C$8, $C$12, 100%, $E$12) + CHOOSE(CONTROL!$C$27, 0, 0)</f>
        <v>337.71813282498698</v>
      </c>
    </row>
    <row r="633" spans="1:5" ht="15">
      <c r="A633" s="13">
        <v>61178</v>
      </c>
      <c r="B633" s="4">
        <f>59.658 * CHOOSE(CONTROL!$C$8, $C$12, 100%, $E$12) + CHOOSE(CONTROL!$C$27, 0.0166, 0)</f>
        <v>59.674599999999998</v>
      </c>
      <c r="C633" s="4">
        <f>59.3455 * CHOOSE(CONTROL!$C$8, $C$12, 100%, $E$12) + CHOOSE(CONTROL!$C$27, 0.0166, 0)</f>
        <v>59.362099999999998</v>
      </c>
      <c r="D633" s="4">
        <f>59.3779 * CHOOSE(CONTROL!$C$8, $C$12, 100%, $E$12) + CHOOSE(CONTROL!$C$27, 0, 0)</f>
        <v>59.377899999999997</v>
      </c>
      <c r="E633" s="4">
        <f>338.786719009309 * CHOOSE(CONTROL!$C$8, $C$12, 100%, $E$12) + CHOOSE(CONTROL!$C$27, 0, 0)</f>
        <v>338.78671900930902</v>
      </c>
    </row>
    <row r="634" spans="1:5" ht="15">
      <c r="A634" s="13">
        <v>61209</v>
      </c>
      <c r="B634" s="4">
        <f>59.6396 * CHOOSE(CONTROL!$C$8, $C$12, 100%, $E$12) + CHOOSE(CONTROL!$C$27, 0.0166, 0)</f>
        <v>59.656199999999998</v>
      </c>
      <c r="C634" s="4">
        <f>59.3271 * CHOOSE(CONTROL!$C$8, $C$12, 100%, $E$12) + CHOOSE(CONTROL!$C$27, 0.0166, 0)</f>
        <v>59.343699999999998</v>
      </c>
      <c r="D634" s="4">
        <f>60.3295 * CHOOSE(CONTROL!$C$8, $C$12, 100%, $E$12) + CHOOSE(CONTROL!$C$27, 0, 0)</f>
        <v>60.329500000000003</v>
      </c>
      <c r="E634" s="4">
        <f>338.678962419293 * CHOOSE(CONTROL!$C$8, $C$12, 100%, $E$12) + CHOOSE(CONTROL!$C$27, 0, 0)</f>
        <v>338.67896241929299</v>
      </c>
    </row>
    <row r="635" spans="1:5" ht="15">
      <c r="A635" s="13">
        <v>61240</v>
      </c>
      <c r="B635" s="4">
        <f>61.0226 * CHOOSE(CONTROL!$C$8, $C$12, 100%, $E$12) + CHOOSE(CONTROL!$C$27, 0.0166, 0)</f>
        <v>61.039199999999994</v>
      </c>
      <c r="C635" s="4">
        <f>60.7101 * CHOOSE(CONTROL!$C$8, $C$12, 100%, $E$12) + CHOOSE(CONTROL!$C$27, 0.0166, 0)</f>
        <v>60.726699999999994</v>
      </c>
      <c r="D635" s="4">
        <f>59.701 * CHOOSE(CONTROL!$C$8, $C$12, 100%, $E$12) + CHOOSE(CONTROL!$C$27, 0, 0)</f>
        <v>59.701000000000001</v>
      </c>
      <c r="E635" s="4">
        <f>346.787645817973 * CHOOSE(CONTROL!$C$8, $C$12, 100%, $E$12) + CHOOSE(CONTROL!$C$27, 0, 0)</f>
        <v>346.78764581797299</v>
      </c>
    </row>
    <row r="636" spans="1:5" ht="15">
      <c r="A636" s="13">
        <v>61270</v>
      </c>
      <c r="B636" s="4">
        <f>58.6656 * CHOOSE(CONTROL!$C$8, $C$12, 100%, $E$12) + CHOOSE(CONTROL!$C$27, 0.0166, 0)</f>
        <v>58.682199999999995</v>
      </c>
      <c r="C636" s="4">
        <f>58.3531 * CHOOSE(CONTROL!$C$8, $C$12, 100%, $E$12) + CHOOSE(CONTROL!$C$27, 0.0166, 0)</f>
        <v>58.369699999999995</v>
      </c>
      <c r="D636" s="4">
        <f>59.4041 * CHOOSE(CONTROL!$C$8, $C$12, 100%, $E$12) + CHOOSE(CONTROL!$C$27, 0, 0)</f>
        <v>59.4041</v>
      </c>
      <c r="E636" s="4">
        <f>332.967863148462 * CHOOSE(CONTROL!$C$8, $C$12, 100%, $E$12) + CHOOSE(CONTROL!$C$27, 0, 0)</f>
        <v>332.96786314846202</v>
      </c>
    </row>
    <row r="637" spans="1:5" ht="15">
      <c r="A637" s="13">
        <v>61301</v>
      </c>
      <c r="B637" s="4">
        <f>56.7787 * CHOOSE(CONTROL!$C$8, $C$12, 100%, $E$12) + CHOOSE(CONTROL!$C$27, 0.0003, 0)</f>
        <v>56.779000000000003</v>
      </c>
      <c r="C637" s="4">
        <f>56.4662 * CHOOSE(CONTROL!$C$8, $C$12, 100%, $E$12) + CHOOSE(CONTROL!$C$27, 0.0003, 0)</f>
        <v>56.466500000000003</v>
      </c>
      <c r="D637" s="4">
        <f>58.6091 * CHOOSE(CONTROL!$C$8, $C$12, 100%, $E$12) + CHOOSE(CONTROL!$C$27, 0, 0)</f>
        <v>58.609099999999998</v>
      </c>
      <c r="E637" s="4">
        <f>321.904853240185 * CHOOSE(CONTROL!$C$8, $C$12, 100%, $E$12) + CHOOSE(CONTROL!$C$27, 0, 0)</f>
        <v>321.90485324018499</v>
      </c>
    </row>
    <row r="638" spans="1:5" ht="15">
      <c r="A638" s="13">
        <v>61331</v>
      </c>
      <c r="B638" s="4">
        <f>55.5634 * CHOOSE(CONTROL!$C$8, $C$12, 100%, $E$12) + CHOOSE(CONTROL!$C$27, 0.0003, 0)</f>
        <v>55.563700000000004</v>
      </c>
      <c r="C638" s="4">
        <f>55.2509 * CHOOSE(CONTROL!$C$8, $C$12, 100%, $E$12) + CHOOSE(CONTROL!$C$27, 0.0003, 0)</f>
        <v>55.251200000000004</v>
      </c>
      <c r="D638" s="4">
        <f>58.3357 * CHOOSE(CONTROL!$C$8, $C$12, 100%, $E$12) + CHOOSE(CONTROL!$C$27, 0, 0)</f>
        <v>58.335700000000003</v>
      </c>
      <c r="E638" s="4">
        <f>314.779448725398 * CHOOSE(CONTROL!$C$8, $C$12, 100%, $E$12) + CHOOSE(CONTROL!$C$27, 0, 0)</f>
        <v>314.77944872539803</v>
      </c>
    </row>
    <row r="639" spans="1:5" ht="15">
      <c r="A639" s="13">
        <v>61362</v>
      </c>
      <c r="B639" s="4">
        <f>54.7225 * CHOOSE(CONTROL!$C$8, $C$12, 100%, $E$12) + CHOOSE(CONTROL!$C$27, 0.0003, 0)</f>
        <v>54.722799999999999</v>
      </c>
      <c r="C639" s="4">
        <f>54.41 * CHOOSE(CONTROL!$C$8, $C$12, 100%, $E$12) + CHOOSE(CONTROL!$C$27, 0.0003, 0)</f>
        <v>54.410299999999999</v>
      </c>
      <c r="D639" s="4">
        <f>56.3234 * CHOOSE(CONTROL!$C$8, $C$12, 100%, $E$12) + CHOOSE(CONTROL!$C$27, 0, 0)</f>
        <v>56.323399999999999</v>
      </c>
      <c r="E639" s="4">
        <f>309.84958473218 * CHOOSE(CONTROL!$C$8, $C$12, 100%, $E$12) + CHOOSE(CONTROL!$C$27, 0, 0)</f>
        <v>309.84958473218001</v>
      </c>
    </row>
    <row r="640" spans="1:5" ht="15">
      <c r="A640" s="13">
        <v>61393</v>
      </c>
      <c r="B640" s="4">
        <f>53.3564 * CHOOSE(CONTROL!$C$8, $C$12, 100%, $E$12) + CHOOSE(CONTROL!$C$27, 0.0003, 0)</f>
        <v>53.356700000000004</v>
      </c>
      <c r="C640" s="4">
        <f>53.0439 * CHOOSE(CONTROL!$C$8, $C$12, 100%, $E$12) + CHOOSE(CONTROL!$C$27, 0.0003, 0)</f>
        <v>53.044200000000004</v>
      </c>
      <c r="D640" s="4">
        <f>54.4739 * CHOOSE(CONTROL!$C$8, $C$12, 100%, $E$12) + CHOOSE(CONTROL!$C$27, 0, 0)</f>
        <v>54.4739</v>
      </c>
      <c r="E640" s="4">
        <f>300.964279384897 * CHOOSE(CONTROL!$C$8, $C$12, 100%, $E$12) + CHOOSE(CONTROL!$C$27, 0, 0)</f>
        <v>300.964279384897</v>
      </c>
    </row>
    <row r="641" spans="1:5" ht="15">
      <c r="A641" s="13">
        <v>61422</v>
      </c>
      <c r="B641" s="4">
        <f>54.5787 * CHOOSE(CONTROL!$C$8, $C$12, 100%, $E$12) + CHOOSE(CONTROL!$C$27, 0.0003, 0)</f>
        <v>54.579000000000001</v>
      </c>
      <c r="C641" s="4">
        <f>54.2662 * CHOOSE(CONTROL!$C$8, $C$12, 100%, $E$12) + CHOOSE(CONTROL!$C$27, 0.0003, 0)</f>
        <v>54.266500000000001</v>
      </c>
      <c r="D641" s="4">
        <f>56.3364 * CHOOSE(CONTROL!$C$8, $C$12, 100%, $E$12) + CHOOSE(CONTROL!$C$27, 0, 0)</f>
        <v>56.336399999999998</v>
      </c>
      <c r="E641" s="4">
        <f>308.110357450464 * CHOOSE(CONTROL!$C$8, $C$12, 100%, $E$12) + CHOOSE(CONTROL!$C$27, 0, 0)</f>
        <v>308.11035745046399</v>
      </c>
    </row>
    <row r="642" spans="1:5" ht="15">
      <c r="A642" s="13">
        <v>61453</v>
      </c>
      <c r="B642" s="4">
        <f>57.7887 * CHOOSE(CONTROL!$C$8, $C$12, 100%, $E$12) + CHOOSE(CONTROL!$C$27, 0.0003, 0)</f>
        <v>57.789000000000001</v>
      </c>
      <c r="C642" s="4">
        <f>57.4762 * CHOOSE(CONTROL!$C$8, $C$12, 100%, $E$12) + CHOOSE(CONTROL!$C$27, 0.0003, 0)</f>
        <v>57.476500000000001</v>
      </c>
      <c r="D642" s="4">
        <f>59.2519 * CHOOSE(CONTROL!$C$8, $C$12, 100%, $E$12) + CHOOSE(CONTROL!$C$27, 0, 0)</f>
        <v>59.251899999999999</v>
      </c>
      <c r="E642" s="4">
        <f>326.876338216296 * CHOOSE(CONTROL!$C$8, $C$12, 100%, $E$12) + CHOOSE(CONTROL!$C$27, 0, 0)</f>
        <v>326.87633821629601</v>
      </c>
    </row>
    <row r="643" spans="1:5" ht="15">
      <c r="A643" s="13">
        <v>61483</v>
      </c>
      <c r="B643" s="4">
        <f>60.0695 * CHOOSE(CONTROL!$C$8, $C$12, 100%, $E$12) + CHOOSE(CONTROL!$C$27, 0.0003, 0)</f>
        <v>60.069800000000001</v>
      </c>
      <c r="C643" s="4">
        <f>59.757 * CHOOSE(CONTROL!$C$8, $C$12, 100%, $E$12) + CHOOSE(CONTROL!$C$27, 0.0003, 0)</f>
        <v>59.757300000000001</v>
      </c>
      <c r="D643" s="4">
        <f>60.9313 * CHOOSE(CONTROL!$C$8, $C$12, 100%, $E$12) + CHOOSE(CONTROL!$C$27, 0, 0)</f>
        <v>60.9313</v>
      </c>
      <c r="E643" s="4">
        <f>340.209817639996 * CHOOSE(CONTROL!$C$8, $C$12, 100%, $E$12) + CHOOSE(CONTROL!$C$27, 0, 0)</f>
        <v>340.209817639996</v>
      </c>
    </row>
    <row r="644" spans="1:5" ht="15">
      <c r="A644" s="13">
        <v>61514</v>
      </c>
      <c r="B644" s="4">
        <f>61.463 * CHOOSE(CONTROL!$C$8, $C$12, 100%, $E$12) + CHOOSE(CONTROL!$C$27, 0.0166, 0)</f>
        <v>61.479599999999998</v>
      </c>
      <c r="C644" s="4">
        <f>61.1505 * CHOOSE(CONTROL!$C$8, $C$12, 100%, $E$12) + CHOOSE(CONTROL!$C$27, 0.0166, 0)</f>
        <v>61.167099999999998</v>
      </c>
      <c r="D644" s="4">
        <f>60.2677 * CHOOSE(CONTROL!$C$8, $C$12, 100%, $E$12) + CHOOSE(CONTROL!$C$27, 0, 0)</f>
        <v>60.267699999999998</v>
      </c>
      <c r="E644" s="4">
        <f>348.356254008974 * CHOOSE(CONTROL!$C$8, $C$12, 100%, $E$12) + CHOOSE(CONTROL!$C$27, 0, 0)</f>
        <v>348.35625400897402</v>
      </c>
    </row>
    <row r="645" spans="1:5" ht="15">
      <c r="A645" s="13">
        <v>61544</v>
      </c>
      <c r="B645" s="4">
        <f>61.6515 * CHOOSE(CONTROL!$C$8, $C$12, 100%, $E$12) + CHOOSE(CONTROL!$C$27, 0.0166, 0)</f>
        <v>61.668099999999995</v>
      </c>
      <c r="C645" s="4">
        <f>61.339 * CHOOSE(CONTROL!$C$8, $C$12, 100%, $E$12) + CHOOSE(CONTROL!$C$27, 0.0166, 0)</f>
        <v>61.355599999999995</v>
      </c>
      <c r="D645" s="4">
        <f>60.8082 * CHOOSE(CONTROL!$C$8, $C$12, 100%, $E$12) + CHOOSE(CONTROL!$C$27, 0, 0)</f>
        <v>60.808199999999999</v>
      </c>
      <c r="E645" s="4">
        <f>349.458500658102 * CHOOSE(CONTROL!$C$8, $C$12, 100%, $E$12) + CHOOSE(CONTROL!$C$27, 0, 0)</f>
        <v>349.45850065810203</v>
      </c>
    </row>
    <row r="646" spans="1:5" ht="15">
      <c r="A646" s="13">
        <v>61575</v>
      </c>
      <c r="B646" s="4">
        <f>61.6325 * CHOOSE(CONTROL!$C$8, $C$12, 100%, $E$12) + CHOOSE(CONTROL!$C$27, 0.0166, 0)</f>
        <v>61.649099999999997</v>
      </c>
      <c r="C646" s="4">
        <f>61.32 * CHOOSE(CONTROL!$C$8, $C$12, 100%, $E$12) + CHOOSE(CONTROL!$C$27, 0.0166, 0)</f>
        <v>61.336599999999997</v>
      </c>
      <c r="D646" s="4">
        <f>61.7834 * CHOOSE(CONTROL!$C$8, $C$12, 100%, $E$12) + CHOOSE(CONTROL!$C$27, 0, 0)</f>
        <v>61.7834</v>
      </c>
      <c r="E646" s="4">
        <f>349.347349735501 * CHOOSE(CONTROL!$C$8, $C$12, 100%, $E$12) + CHOOSE(CONTROL!$C$27, 0, 0)</f>
        <v>349.34734973550098</v>
      </c>
    </row>
    <row r="647" spans="1:5" ht="15">
      <c r="A647" s="13">
        <v>61606</v>
      </c>
      <c r="B647" s="4">
        <f>63.0632 * CHOOSE(CONTROL!$C$8, $C$12, 100%, $E$12) + CHOOSE(CONTROL!$C$27, 0.0166, 0)</f>
        <v>63.079799999999999</v>
      </c>
      <c r="C647" s="4">
        <f>62.7507 * CHOOSE(CONTROL!$C$8, $C$12, 100%, $E$12) + CHOOSE(CONTROL!$C$27, 0.0166, 0)</f>
        <v>62.767299999999999</v>
      </c>
      <c r="D647" s="4">
        <f>61.1393 * CHOOSE(CONTROL!$C$8, $C$12, 100%, $E$12) + CHOOSE(CONTROL!$C$27, 0, 0)</f>
        <v>61.139299999999999</v>
      </c>
      <c r="E647" s="4">
        <f>357.711456661239 * CHOOSE(CONTROL!$C$8, $C$12, 100%, $E$12) + CHOOSE(CONTROL!$C$27, 0, 0)</f>
        <v>357.71145666123903</v>
      </c>
    </row>
    <row r="648" spans="1:5" ht="15">
      <c r="A648" s="13">
        <v>61636</v>
      </c>
      <c r="B648" s="4">
        <f>60.6248 * CHOOSE(CONTROL!$C$8, $C$12, 100%, $E$12) + CHOOSE(CONTROL!$C$27, 0.0166, 0)</f>
        <v>60.641399999999997</v>
      </c>
      <c r="C648" s="4">
        <f>60.3123 * CHOOSE(CONTROL!$C$8, $C$12, 100%, $E$12) + CHOOSE(CONTROL!$C$27, 0.0166, 0)</f>
        <v>60.328899999999997</v>
      </c>
      <c r="D648" s="4">
        <f>60.8351 * CHOOSE(CONTROL!$C$8, $C$12, 100%, $E$12) + CHOOSE(CONTROL!$C$27, 0, 0)</f>
        <v>60.835099999999997</v>
      </c>
      <c r="E648" s="4">
        <f>343.456350837638 * CHOOSE(CONTROL!$C$8, $C$12, 100%, $E$12) + CHOOSE(CONTROL!$C$27, 0, 0)</f>
        <v>343.45635083763801</v>
      </c>
    </row>
    <row r="649" spans="1:5" ht="15">
      <c r="A649" s="13">
        <v>61667</v>
      </c>
      <c r="B649" s="4">
        <f>58.6728 * CHOOSE(CONTROL!$C$8, $C$12, 100%, $E$12) + CHOOSE(CONTROL!$C$27, 0.0003, 0)</f>
        <v>58.673100000000005</v>
      </c>
      <c r="C649" s="4">
        <f>58.3603 * CHOOSE(CONTROL!$C$8, $C$12, 100%, $E$12) + CHOOSE(CONTROL!$C$27, 0.0003, 0)</f>
        <v>58.360600000000005</v>
      </c>
      <c r="D649" s="4">
        <f>60.0203 * CHOOSE(CONTROL!$C$8, $C$12, 100%, $E$12) + CHOOSE(CONTROL!$C$27, 0, 0)</f>
        <v>60.020299999999999</v>
      </c>
      <c r="E649" s="4">
        <f>332.044856117251 * CHOOSE(CONTROL!$C$8, $C$12, 100%, $E$12) + CHOOSE(CONTROL!$C$27, 0, 0)</f>
        <v>332.04485611725102</v>
      </c>
    </row>
    <row r="650" spans="1:5" ht="15">
      <c r="A650" s="13">
        <v>61697</v>
      </c>
      <c r="B650" s="4">
        <f>57.4156 * CHOOSE(CONTROL!$C$8, $C$12, 100%, $E$12) + CHOOSE(CONTROL!$C$27, 0.0003, 0)</f>
        <v>57.415900000000001</v>
      </c>
      <c r="C650" s="4">
        <f>57.1031 * CHOOSE(CONTROL!$C$8, $C$12, 100%, $E$12) + CHOOSE(CONTROL!$C$27, 0.0003, 0)</f>
        <v>57.103400000000001</v>
      </c>
      <c r="D650" s="4">
        <f>59.7402 * CHOOSE(CONTROL!$C$8, $C$12, 100%, $E$12) + CHOOSE(CONTROL!$C$27, 0, 0)</f>
        <v>59.740200000000002</v>
      </c>
      <c r="E650" s="4">
        <f>324.695001360248 * CHOOSE(CONTROL!$C$8, $C$12, 100%, $E$12) + CHOOSE(CONTROL!$C$27, 0, 0)</f>
        <v>324.695001360248</v>
      </c>
    </row>
    <row r="651" spans="1:5" ht="15">
      <c r="A651" s="13">
        <v>61728</v>
      </c>
      <c r="B651" s="4">
        <f>56.5458 * CHOOSE(CONTROL!$C$8, $C$12, 100%, $E$12) + CHOOSE(CONTROL!$C$27, 0.0003, 0)</f>
        <v>56.546100000000003</v>
      </c>
      <c r="C651" s="4">
        <f>56.2333 * CHOOSE(CONTROL!$C$8, $C$12, 100%, $E$12) + CHOOSE(CONTROL!$C$27, 0.0003, 0)</f>
        <v>56.233600000000003</v>
      </c>
      <c r="D651" s="4">
        <f>57.678 * CHOOSE(CONTROL!$C$8, $C$12, 100%, $E$12) + CHOOSE(CONTROL!$C$27, 0, 0)</f>
        <v>57.677999999999997</v>
      </c>
      <c r="E651" s="4">
        <f>319.609846651244 * CHOOSE(CONTROL!$C$8, $C$12, 100%, $E$12) + CHOOSE(CONTROL!$C$27, 0, 0)</f>
        <v>319.60984665124403</v>
      </c>
    </row>
    <row r="652" spans="1:5" ht="15">
      <c r="A652" s="13">
        <v>61759</v>
      </c>
      <c r="B652" s="4">
        <f>55.1325 * CHOOSE(CONTROL!$C$8, $C$12, 100%, $E$12) + CHOOSE(CONTROL!$C$27, 0.0003, 0)</f>
        <v>55.132800000000003</v>
      </c>
      <c r="C652" s="4">
        <f>54.82 * CHOOSE(CONTROL!$C$8, $C$12, 100%, $E$12) + CHOOSE(CONTROL!$C$27, 0.0003, 0)</f>
        <v>54.820300000000003</v>
      </c>
      <c r="D652" s="4">
        <f>55.7826 * CHOOSE(CONTROL!$C$8, $C$12, 100%, $E$12) + CHOOSE(CONTROL!$C$27, 0, 0)</f>
        <v>55.782600000000002</v>
      </c>
      <c r="E652" s="4">
        <f>310.444654185521 * CHOOSE(CONTROL!$C$8, $C$12, 100%, $E$12) + CHOOSE(CONTROL!$C$27, 0, 0)</f>
        <v>310.44465418552102</v>
      </c>
    </row>
    <row r="653" spans="1:5" ht="15">
      <c r="A653" s="13">
        <v>61787</v>
      </c>
      <c r="B653" s="4">
        <f>56.397 * CHOOSE(CONTROL!$C$8, $C$12, 100%, $E$12) + CHOOSE(CONTROL!$C$27, 0.0003, 0)</f>
        <v>56.397300000000001</v>
      </c>
      <c r="C653" s="4">
        <f>56.0845 * CHOOSE(CONTROL!$C$8, $C$12, 100%, $E$12) + CHOOSE(CONTROL!$C$27, 0.0003, 0)</f>
        <v>56.084800000000001</v>
      </c>
      <c r="D653" s="4">
        <f>57.6913 * CHOOSE(CONTROL!$C$8, $C$12, 100%, $E$12) + CHOOSE(CONTROL!$C$27, 0, 0)</f>
        <v>57.691299999999998</v>
      </c>
      <c r="E653" s="4">
        <f>317.815833710154 * CHOOSE(CONTROL!$C$8, $C$12, 100%, $E$12) + CHOOSE(CONTROL!$C$27, 0, 0)</f>
        <v>317.81583371015398</v>
      </c>
    </row>
    <row r="654" spans="1:5" ht="15">
      <c r="A654" s="13">
        <v>61818</v>
      </c>
      <c r="B654" s="4">
        <f>59.7178 * CHOOSE(CONTROL!$C$8, $C$12, 100%, $E$12) + CHOOSE(CONTROL!$C$27, 0.0003, 0)</f>
        <v>59.7181</v>
      </c>
      <c r="C654" s="4">
        <f>59.4053 * CHOOSE(CONTROL!$C$8, $C$12, 100%, $E$12) + CHOOSE(CONTROL!$C$27, 0.0003, 0)</f>
        <v>59.4056</v>
      </c>
      <c r="D654" s="4">
        <f>60.6791 * CHOOSE(CONTROL!$C$8, $C$12, 100%, $E$12) + CHOOSE(CONTROL!$C$27, 0, 0)</f>
        <v>60.679099999999998</v>
      </c>
      <c r="E654" s="4">
        <f>337.172942870109 * CHOOSE(CONTROL!$C$8, $C$12, 100%, $E$12) + CHOOSE(CONTROL!$C$27, 0, 0)</f>
        <v>337.17294287010901</v>
      </c>
    </row>
    <row r="655" spans="1:5" ht="15">
      <c r="A655" s="13">
        <v>61848</v>
      </c>
      <c r="B655" s="4">
        <f>62.0772 * CHOOSE(CONTROL!$C$8, $C$12, 100%, $E$12) + CHOOSE(CONTROL!$C$27, 0.0003, 0)</f>
        <v>62.077500000000001</v>
      </c>
      <c r="C655" s="4">
        <f>61.7647 * CHOOSE(CONTROL!$C$8, $C$12, 100%, $E$12) + CHOOSE(CONTROL!$C$27, 0.0003, 0)</f>
        <v>61.765000000000001</v>
      </c>
      <c r="D655" s="4">
        <f>62.4001 * CHOOSE(CONTROL!$C$8, $C$12, 100%, $E$12) + CHOOSE(CONTROL!$C$27, 0, 0)</f>
        <v>62.400100000000002</v>
      </c>
      <c r="E655" s="4">
        <f>350.926426895656 * CHOOSE(CONTROL!$C$8, $C$12, 100%, $E$12) + CHOOSE(CONTROL!$C$27, 0, 0)</f>
        <v>350.92642689565599</v>
      </c>
    </row>
    <row r="656" spans="1:5" ht="15">
      <c r="A656" s="13">
        <v>61879</v>
      </c>
      <c r="B656" s="4">
        <f>63.5188 * CHOOSE(CONTROL!$C$8, $C$12, 100%, $E$12) + CHOOSE(CONTROL!$C$27, 0.0166, 0)</f>
        <v>63.535399999999996</v>
      </c>
      <c r="C656" s="4">
        <f>63.2063 * CHOOSE(CONTROL!$C$8, $C$12, 100%, $E$12) + CHOOSE(CONTROL!$C$27, 0.0166, 0)</f>
        <v>63.222899999999996</v>
      </c>
      <c r="D656" s="4">
        <f>61.7201 * CHOOSE(CONTROL!$C$8, $C$12, 100%, $E$12) + CHOOSE(CONTROL!$C$27, 0, 0)</f>
        <v>61.720100000000002</v>
      </c>
      <c r="E656" s="4">
        <f>359.329476010256 * CHOOSE(CONTROL!$C$8, $C$12, 100%, $E$12) + CHOOSE(CONTROL!$C$27, 0, 0)</f>
        <v>359.32947601025597</v>
      </c>
    </row>
    <row r="657" spans="1:5" ht="15">
      <c r="A657" s="13">
        <v>61909</v>
      </c>
      <c r="B657" s="4">
        <f>63.7138 * CHOOSE(CONTROL!$C$8, $C$12, 100%, $E$12) + CHOOSE(CONTROL!$C$27, 0.0166, 0)</f>
        <v>63.730399999999996</v>
      </c>
      <c r="C657" s="4">
        <f>63.4013 * CHOOSE(CONTROL!$C$8, $C$12, 100%, $E$12) + CHOOSE(CONTROL!$C$27, 0.0166, 0)</f>
        <v>63.417899999999996</v>
      </c>
      <c r="D657" s="4">
        <f>62.2739 * CHOOSE(CONTROL!$C$8, $C$12, 100%, $E$12) + CHOOSE(CONTROL!$C$27, 0, 0)</f>
        <v>62.273899999999998</v>
      </c>
      <c r="E657" s="4">
        <f>360.466443428832 * CHOOSE(CONTROL!$C$8, $C$12, 100%, $E$12) + CHOOSE(CONTROL!$C$27, 0, 0)</f>
        <v>360.46644342883201</v>
      </c>
    </row>
    <row r="658" spans="1:5" ht="15">
      <c r="A658" s="13">
        <v>61940</v>
      </c>
      <c r="B658" s="4">
        <f>63.6941 * CHOOSE(CONTROL!$C$8, $C$12, 100%, $E$12) + CHOOSE(CONTROL!$C$27, 0.0166, 0)</f>
        <v>63.710699999999996</v>
      </c>
      <c r="C658" s="4">
        <f>63.3816 * CHOOSE(CONTROL!$C$8, $C$12, 100%, $E$12) + CHOOSE(CONTROL!$C$27, 0.0166, 0)</f>
        <v>63.398199999999996</v>
      </c>
      <c r="D658" s="4">
        <f>63.2733 * CHOOSE(CONTROL!$C$8, $C$12, 100%, $E$12) + CHOOSE(CONTROL!$C$27, 0, 0)</f>
        <v>63.273299999999999</v>
      </c>
      <c r="E658" s="4">
        <f>360.351791252169 * CHOOSE(CONTROL!$C$8, $C$12, 100%, $E$12) + CHOOSE(CONTROL!$C$27, 0, 0)</f>
        <v>360.35179125216899</v>
      </c>
    </row>
    <row r="659" spans="1:5" ht="15">
      <c r="A659" s="13">
        <v>61971</v>
      </c>
      <c r="B659" s="4">
        <f>65.1742 * CHOOSE(CONTROL!$C$8, $C$12, 100%, $E$12) + CHOOSE(CONTROL!$C$27, 0.0166, 0)</f>
        <v>65.190799999999996</v>
      </c>
      <c r="C659" s="4">
        <f>64.8617 * CHOOSE(CONTROL!$C$8, $C$12, 100%, $E$12) + CHOOSE(CONTROL!$C$27, 0.0166, 0)</f>
        <v>64.878299999999996</v>
      </c>
      <c r="D659" s="4">
        <f>62.6133 * CHOOSE(CONTROL!$C$8, $C$12, 100%, $E$12) + CHOOSE(CONTROL!$C$27, 0, 0)</f>
        <v>62.613300000000002</v>
      </c>
      <c r="E659" s="4">
        <f>368.979367546068 * CHOOSE(CONTROL!$C$8, $C$12, 100%, $E$12) + CHOOSE(CONTROL!$C$27, 0, 0)</f>
        <v>368.97936754606798</v>
      </c>
    </row>
    <row r="660" spans="1:5" ht="15">
      <c r="A660" s="13">
        <v>62001</v>
      </c>
      <c r="B660" s="4">
        <f>62.6517 * CHOOSE(CONTROL!$C$8, $C$12, 100%, $E$12) + CHOOSE(CONTROL!$C$27, 0.0166, 0)</f>
        <v>62.668299999999995</v>
      </c>
      <c r="C660" s="4">
        <f>62.3392 * CHOOSE(CONTROL!$C$8, $C$12, 100%, $E$12) + CHOOSE(CONTROL!$C$27, 0.0166, 0)</f>
        <v>62.355799999999995</v>
      </c>
      <c r="D660" s="4">
        <f>62.3015 * CHOOSE(CONTROL!$C$8, $C$12, 100%, $E$12) + CHOOSE(CONTROL!$C$27, 0, 0)</f>
        <v>62.301499999999997</v>
      </c>
      <c r="E660" s="4">
        <f>354.275225889024 * CHOOSE(CONTROL!$C$8, $C$12, 100%, $E$12) + CHOOSE(CONTROL!$C$27, 0, 0)</f>
        <v>354.275225889024</v>
      </c>
    </row>
    <row r="661" spans="1:5" ht="15">
      <c r="A661" s="13">
        <v>62032</v>
      </c>
      <c r="B661" s="4">
        <f>60.6324 * CHOOSE(CONTROL!$C$8, $C$12, 100%, $E$12) + CHOOSE(CONTROL!$C$27, 0.0003, 0)</f>
        <v>60.6327</v>
      </c>
      <c r="C661" s="4">
        <f>60.3199 * CHOOSE(CONTROL!$C$8, $C$12, 100%, $E$12) + CHOOSE(CONTROL!$C$27, 0.0003, 0)</f>
        <v>60.3202</v>
      </c>
      <c r="D661" s="4">
        <f>61.4665 * CHOOSE(CONTROL!$C$8, $C$12, 100%, $E$12) + CHOOSE(CONTROL!$C$27, 0, 0)</f>
        <v>61.466500000000003</v>
      </c>
      <c r="E661" s="4">
        <f>342.504269084944 * CHOOSE(CONTROL!$C$8, $C$12, 100%, $E$12) + CHOOSE(CONTROL!$C$27, 0, 0)</f>
        <v>342.50426908494399</v>
      </c>
    </row>
    <row r="662" spans="1:5" ht="15">
      <c r="A662" s="13">
        <v>62062</v>
      </c>
      <c r="B662" s="4">
        <f>59.3318 * CHOOSE(CONTROL!$C$8, $C$12, 100%, $E$12) + CHOOSE(CONTROL!$C$27, 0.0003, 0)</f>
        <v>59.332100000000004</v>
      </c>
      <c r="C662" s="4">
        <f>59.0193 * CHOOSE(CONTROL!$C$8, $C$12, 100%, $E$12) + CHOOSE(CONTROL!$C$27, 0.0003, 0)</f>
        <v>59.019600000000004</v>
      </c>
      <c r="D662" s="4">
        <f>61.1795 * CHOOSE(CONTROL!$C$8, $C$12, 100%, $E$12) + CHOOSE(CONTROL!$C$27, 0, 0)</f>
        <v>61.179499999999997</v>
      </c>
      <c r="E662" s="4">
        <f>334.922893903096 * CHOOSE(CONTROL!$C$8, $C$12, 100%, $E$12) + CHOOSE(CONTROL!$C$27, 0, 0)</f>
        <v>334.922893903096</v>
      </c>
    </row>
    <row r="663" spans="1:5" ht="15">
      <c r="A663" s="13">
        <v>62093</v>
      </c>
      <c r="B663" s="4">
        <f>58.4319 * CHOOSE(CONTROL!$C$8, $C$12, 100%, $E$12) + CHOOSE(CONTROL!$C$27, 0.0003, 0)</f>
        <v>58.432200000000002</v>
      </c>
      <c r="C663" s="4">
        <f>58.1194 * CHOOSE(CONTROL!$C$8, $C$12, 100%, $E$12) + CHOOSE(CONTROL!$C$27, 0.0003, 0)</f>
        <v>58.119700000000002</v>
      </c>
      <c r="D663" s="4">
        <f>59.0661 * CHOOSE(CONTROL!$C$8, $C$12, 100%, $E$12) + CHOOSE(CONTROL!$C$27, 0, 0)</f>
        <v>59.066099999999999</v>
      </c>
      <c r="E663" s="4">
        <f>329.677556820758 * CHOOSE(CONTROL!$C$8, $C$12, 100%, $E$12) + CHOOSE(CONTROL!$C$27, 0, 0)</f>
        <v>329.67755682075801</v>
      </c>
    </row>
    <row r="664" spans="1:5" ht="15">
      <c r="A664" s="13">
        <v>62124</v>
      </c>
      <c r="B664" s="4">
        <f>56.9698 * CHOOSE(CONTROL!$C$8, $C$12, 100%, $E$12) + CHOOSE(CONTROL!$C$27, 0.0003, 0)</f>
        <v>56.970100000000002</v>
      </c>
      <c r="C664" s="4">
        <f>56.6573 * CHOOSE(CONTROL!$C$8, $C$12, 100%, $E$12) + CHOOSE(CONTROL!$C$27, 0.0003, 0)</f>
        <v>56.657600000000002</v>
      </c>
      <c r="D664" s="4">
        <f>57.1238 * CHOOSE(CONTROL!$C$8, $C$12, 100%, $E$12) + CHOOSE(CONTROL!$C$27, 0, 0)</f>
        <v>57.123800000000003</v>
      </c>
      <c r="E664" s="4">
        <f>320.223660792365 * CHOOSE(CONTROL!$C$8, $C$12, 100%, $E$12) + CHOOSE(CONTROL!$C$27, 0, 0)</f>
        <v>320.22366079236502</v>
      </c>
    </row>
    <row r="665" spans="1:5" ht="15">
      <c r="A665" s="13">
        <v>62152</v>
      </c>
      <c r="B665" s="4">
        <f>58.278 * CHOOSE(CONTROL!$C$8, $C$12, 100%, $E$12) + CHOOSE(CONTROL!$C$27, 0.0003, 0)</f>
        <v>58.278300000000002</v>
      </c>
      <c r="C665" s="4">
        <f>57.9655 * CHOOSE(CONTROL!$C$8, $C$12, 100%, $E$12) + CHOOSE(CONTROL!$C$27, 0.0003, 0)</f>
        <v>57.965800000000002</v>
      </c>
      <c r="D665" s="4">
        <f>59.0797 * CHOOSE(CONTROL!$C$8, $C$12, 100%, $E$12) + CHOOSE(CONTROL!$C$27, 0, 0)</f>
        <v>59.079700000000003</v>
      </c>
      <c r="E665" s="4">
        <f>327.827032472023 * CHOOSE(CONTROL!$C$8, $C$12, 100%, $E$12) + CHOOSE(CONTROL!$C$27, 0, 0)</f>
        <v>327.82703247202301</v>
      </c>
    </row>
    <row r="666" spans="1:5" ht="15">
      <c r="A666" s="13">
        <v>62183</v>
      </c>
      <c r="B666" s="4">
        <f>61.7133 * CHOOSE(CONTROL!$C$8, $C$12, 100%, $E$12) + CHOOSE(CONTROL!$C$27, 0.0003, 0)</f>
        <v>61.7136</v>
      </c>
      <c r="C666" s="4">
        <f>61.4008 * CHOOSE(CONTROL!$C$8, $C$12, 100%, $E$12) + CHOOSE(CONTROL!$C$27, 0.0003, 0)</f>
        <v>61.4011</v>
      </c>
      <c r="D666" s="4">
        <f>62.1416 * CHOOSE(CONTROL!$C$8, $C$12, 100%, $E$12) + CHOOSE(CONTROL!$C$27, 0, 0)</f>
        <v>62.141599999999997</v>
      </c>
      <c r="E666" s="4">
        <f>347.793890570518 * CHOOSE(CONTROL!$C$8, $C$12, 100%, $E$12) + CHOOSE(CONTROL!$C$27, 0, 0)</f>
        <v>347.79389057051799</v>
      </c>
    </row>
    <row r="667" spans="1:5" ht="15">
      <c r="A667" s="13">
        <v>62213</v>
      </c>
      <c r="B667" s="4">
        <f>64.1542 * CHOOSE(CONTROL!$C$8, $C$12, 100%, $E$12) + CHOOSE(CONTROL!$C$27, 0.0003, 0)</f>
        <v>64.154499999999999</v>
      </c>
      <c r="C667" s="4">
        <f>63.8417 * CHOOSE(CONTROL!$C$8, $C$12, 100%, $E$12) + CHOOSE(CONTROL!$C$27, 0.0003, 0)</f>
        <v>63.842000000000006</v>
      </c>
      <c r="D667" s="4">
        <f>63.9054 * CHOOSE(CONTROL!$C$8, $C$12, 100%, $E$12) + CHOOSE(CONTROL!$C$27, 0, 0)</f>
        <v>63.9054</v>
      </c>
      <c r="E667" s="4">
        <f>361.980609342869 * CHOOSE(CONTROL!$C$8, $C$12, 100%, $E$12) + CHOOSE(CONTROL!$C$27, 0, 0)</f>
        <v>361.980609342869</v>
      </c>
    </row>
    <row r="668" spans="1:5" ht="15">
      <c r="A668" s="13">
        <v>62244</v>
      </c>
      <c r="B668" s="4">
        <f>65.6455 * CHOOSE(CONTROL!$C$8, $C$12, 100%, $E$12) + CHOOSE(CONTROL!$C$27, 0.0166, 0)</f>
        <v>65.662099999999995</v>
      </c>
      <c r="C668" s="4">
        <f>65.333 * CHOOSE(CONTROL!$C$8, $C$12, 100%, $E$12) + CHOOSE(CONTROL!$C$27, 0.0166, 0)</f>
        <v>65.349599999999995</v>
      </c>
      <c r="D668" s="4">
        <f>63.2084 * CHOOSE(CONTROL!$C$8, $C$12, 100%, $E$12) + CHOOSE(CONTROL!$C$27, 0, 0)</f>
        <v>63.208399999999997</v>
      </c>
      <c r="E668" s="4">
        <f>370.648354504579 * CHOOSE(CONTROL!$C$8, $C$12, 100%, $E$12) + CHOOSE(CONTROL!$C$27, 0, 0)</f>
        <v>370.648354504579</v>
      </c>
    </row>
    <row r="669" spans="1:5" ht="15">
      <c r="A669" s="13">
        <v>62274</v>
      </c>
      <c r="B669" s="4">
        <f>65.8473 * CHOOSE(CONTROL!$C$8, $C$12, 100%, $E$12) + CHOOSE(CONTROL!$C$27, 0.0166, 0)</f>
        <v>65.863900000000001</v>
      </c>
      <c r="C669" s="4">
        <f>65.5348 * CHOOSE(CONTROL!$C$8, $C$12, 100%, $E$12) + CHOOSE(CONTROL!$C$27, 0.0166, 0)</f>
        <v>65.551400000000001</v>
      </c>
      <c r="D669" s="4">
        <f>63.7761 * CHOOSE(CONTROL!$C$8, $C$12, 100%, $E$12) + CHOOSE(CONTROL!$C$27, 0, 0)</f>
        <v>63.7761</v>
      </c>
      <c r="E669" s="4">
        <f>371.82113639684 * CHOOSE(CONTROL!$C$8, $C$12, 100%, $E$12) + CHOOSE(CONTROL!$C$27, 0, 0)</f>
        <v>371.82113639684002</v>
      </c>
    </row>
    <row r="670" spans="1:5" ht="15">
      <c r="A670" s="13">
        <v>62305</v>
      </c>
      <c r="B670" s="4">
        <f>65.8269 * CHOOSE(CONTROL!$C$8, $C$12, 100%, $E$12) + CHOOSE(CONTROL!$C$27, 0.0166, 0)</f>
        <v>65.843499999999992</v>
      </c>
      <c r="C670" s="4">
        <f>65.5144 * CHOOSE(CONTROL!$C$8, $C$12, 100%, $E$12) + CHOOSE(CONTROL!$C$27, 0.0166, 0)</f>
        <v>65.530999999999992</v>
      </c>
      <c r="D670" s="4">
        <f>64.8002 * CHOOSE(CONTROL!$C$8, $C$12, 100%, $E$12) + CHOOSE(CONTROL!$C$27, 0, 0)</f>
        <v>64.800200000000004</v>
      </c>
      <c r="E670" s="4">
        <f>371.702872676612 * CHOOSE(CONTROL!$C$8, $C$12, 100%, $E$12) + CHOOSE(CONTROL!$C$27, 0, 0)</f>
        <v>371.702872676612</v>
      </c>
    </row>
    <row r="671" spans="1:5" ht="15">
      <c r="A671" s="13">
        <v>62336</v>
      </c>
      <c r="B671" s="4">
        <f>67.358 * CHOOSE(CONTROL!$C$8, $C$12, 100%, $E$12) + CHOOSE(CONTROL!$C$27, 0.0166, 0)</f>
        <v>67.374600000000001</v>
      </c>
      <c r="C671" s="4">
        <f>67.0455 * CHOOSE(CONTROL!$C$8, $C$12, 100%, $E$12) + CHOOSE(CONTROL!$C$27, 0.0166, 0)</f>
        <v>67.062100000000001</v>
      </c>
      <c r="D671" s="4">
        <f>64.1239 * CHOOSE(CONTROL!$C$8, $C$12, 100%, $E$12) + CHOOSE(CONTROL!$C$27, 0, 0)</f>
        <v>64.123900000000006</v>
      </c>
      <c r="E671" s="4">
        <f>380.60221762377 * CHOOSE(CONTROL!$C$8, $C$12, 100%, $E$12) + CHOOSE(CONTROL!$C$27, 0, 0)</f>
        <v>380.60221762377</v>
      </c>
    </row>
    <row r="672" spans="1:5" ht="15">
      <c r="A672" s="13">
        <v>62366</v>
      </c>
      <c r="B672" s="4">
        <f>64.7485 * CHOOSE(CONTROL!$C$8, $C$12, 100%, $E$12) + CHOOSE(CONTROL!$C$27, 0.0166, 0)</f>
        <v>64.765100000000004</v>
      </c>
      <c r="C672" s="4">
        <f>64.436 * CHOOSE(CONTROL!$C$8, $C$12, 100%, $E$12) + CHOOSE(CONTROL!$C$27, 0.0166, 0)</f>
        <v>64.452600000000004</v>
      </c>
      <c r="D672" s="4">
        <f>63.8043 * CHOOSE(CONTROL!$C$8, $C$12, 100%, $E$12) + CHOOSE(CONTROL!$C$27, 0, 0)</f>
        <v>63.804299999999998</v>
      </c>
      <c r="E672" s="4">
        <f>365.434895504528 * CHOOSE(CONTROL!$C$8, $C$12, 100%, $E$12) + CHOOSE(CONTROL!$C$27, 0, 0)</f>
        <v>365.43489550452801</v>
      </c>
    </row>
    <row r="673" spans="1:5" ht="15">
      <c r="A673" s="13">
        <v>62397</v>
      </c>
      <c r="B673" s="4">
        <f>62.6595 * CHOOSE(CONTROL!$C$8, $C$12, 100%, $E$12) + CHOOSE(CONTROL!$C$27, 0.0003, 0)</f>
        <v>62.659800000000004</v>
      </c>
      <c r="C673" s="4">
        <f>62.347 * CHOOSE(CONTROL!$C$8, $C$12, 100%, $E$12) + CHOOSE(CONTROL!$C$27, 0.0003, 0)</f>
        <v>62.347300000000004</v>
      </c>
      <c r="D673" s="4">
        <f>62.9486 * CHOOSE(CONTROL!$C$8, $C$12, 100%, $E$12) + CHOOSE(CONTROL!$C$27, 0, 0)</f>
        <v>62.948599999999999</v>
      </c>
      <c r="E673" s="4">
        <f>353.29315356112 * CHOOSE(CONTROL!$C$8, $C$12, 100%, $E$12) + CHOOSE(CONTROL!$C$27, 0, 0)</f>
        <v>353.29315356111999</v>
      </c>
    </row>
    <row r="674" spans="1:5" ht="15">
      <c r="A674" s="13">
        <v>62427</v>
      </c>
      <c r="B674" s="4">
        <f>61.314 * CHOOSE(CONTROL!$C$8, $C$12, 100%, $E$12) + CHOOSE(CONTROL!$C$27, 0.0003, 0)</f>
        <v>61.314300000000003</v>
      </c>
      <c r="C674" s="4">
        <f>61.0015 * CHOOSE(CONTROL!$C$8, $C$12, 100%, $E$12) + CHOOSE(CONTROL!$C$27, 0.0003, 0)</f>
        <v>61.001800000000003</v>
      </c>
      <c r="D674" s="4">
        <f>62.6545 * CHOOSE(CONTROL!$C$8, $C$12, 100%, $E$12) + CHOOSE(CONTROL!$C$27, 0, 0)</f>
        <v>62.654499999999999</v>
      </c>
      <c r="E674" s="4">
        <f>345.472965061043 * CHOOSE(CONTROL!$C$8, $C$12, 100%, $E$12) + CHOOSE(CONTROL!$C$27, 0, 0)</f>
        <v>345.472965061043</v>
      </c>
    </row>
    <row r="675" spans="1:5" ht="15">
      <c r="A675" s="13">
        <v>62458</v>
      </c>
      <c r="B675" s="4">
        <f>60.3831 * CHOOSE(CONTROL!$C$8, $C$12, 100%, $E$12) + CHOOSE(CONTROL!$C$27, 0.0003, 0)</f>
        <v>60.383400000000002</v>
      </c>
      <c r="C675" s="4">
        <f>60.0706 * CHOOSE(CONTROL!$C$8, $C$12, 100%, $E$12) + CHOOSE(CONTROL!$C$27, 0.0003, 0)</f>
        <v>60.070900000000002</v>
      </c>
      <c r="D675" s="4">
        <f>60.4887 * CHOOSE(CONTROL!$C$8, $C$12, 100%, $E$12) + CHOOSE(CONTROL!$C$27, 0, 0)</f>
        <v>60.488700000000001</v>
      </c>
      <c r="E675" s="4">
        <f>340.062399860612 * CHOOSE(CONTROL!$C$8, $C$12, 100%, $E$12) + CHOOSE(CONTROL!$C$27, 0, 0)</f>
        <v>340.062399860612</v>
      </c>
    </row>
    <row r="676" spans="1:5" ht="15">
      <c r="A676" s="13">
        <v>62489</v>
      </c>
      <c r="B676" s="4">
        <f>58.8706 * CHOOSE(CONTROL!$C$8, $C$12, 100%, $E$12) + CHOOSE(CONTROL!$C$27, 0.0003, 0)</f>
        <v>58.870900000000006</v>
      </c>
      <c r="C676" s="4">
        <f>58.5581 * CHOOSE(CONTROL!$C$8, $C$12, 100%, $E$12) + CHOOSE(CONTROL!$C$27, 0.0003, 0)</f>
        <v>58.558400000000006</v>
      </c>
      <c r="D676" s="4">
        <f>58.4982 * CHOOSE(CONTROL!$C$8, $C$12, 100%, $E$12) + CHOOSE(CONTROL!$C$27, 0, 0)</f>
        <v>58.498199999999997</v>
      </c>
      <c r="E676" s="4">
        <f>330.310706107324 * CHOOSE(CONTROL!$C$8, $C$12, 100%, $E$12) + CHOOSE(CONTROL!$C$27, 0, 0)</f>
        <v>330.31070610732399</v>
      </c>
    </row>
    <row r="677" spans="1:5" ht="15">
      <c r="A677" s="13">
        <v>62517</v>
      </c>
      <c r="B677" s="4">
        <f>60.2239 * CHOOSE(CONTROL!$C$8, $C$12, 100%, $E$12) + CHOOSE(CONTROL!$C$27, 0.0003, 0)</f>
        <v>60.224200000000003</v>
      </c>
      <c r="C677" s="4">
        <f>59.9114 * CHOOSE(CONTROL!$C$8, $C$12, 100%, $E$12) + CHOOSE(CONTROL!$C$27, 0.0003, 0)</f>
        <v>59.911700000000003</v>
      </c>
      <c r="D677" s="4">
        <f>60.5026 * CHOOSE(CONTROL!$C$8, $C$12, 100%, $E$12) + CHOOSE(CONTROL!$C$27, 0, 0)</f>
        <v>60.502600000000001</v>
      </c>
      <c r="E677" s="4">
        <f>338.153583994892 * CHOOSE(CONTROL!$C$8, $C$12, 100%, $E$12) + CHOOSE(CONTROL!$C$27, 0, 0)</f>
        <v>338.15358399489202</v>
      </c>
    </row>
    <row r="678" spans="1:5" ht="15">
      <c r="A678" s="13">
        <v>62548</v>
      </c>
      <c r="B678" s="4">
        <f>63.7778 * CHOOSE(CONTROL!$C$8, $C$12, 100%, $E$12) + CHOOSE(CONTROL!$C$27, 0.0003, 0)</f>
        <v>63.778100000000002</v>
      </c>
      <c r="C678" s="4">
        <f>63.4653 * CHOOSE(CONTROL!$C$8, $C$12, 100%, $E$12) + CHOOSE(CONTROL!$C$27, 0.0003, 0)</f>
        <v>63.465600000000002</v>
      </c>
      <c r="D678" s="4">
        <f>63.6405 * CHOOSE(CONTROL!$C$8, $C$12, 100%, $E$12) + CHOOSE(CONTROL!$C$27, 0, 0)</f>
        <v>63.640500000000003</v>
      </c>
      <c r="E678" s="4">
        <f>358.749398123489 * CHOOSE(CONTROL!$C$8, $C$12, 100%, $E$12) + CHOOSE(CONTROL!$C$27, 0, 0)</f>
        <v>358.74939812348902</v>
      </c>
    </row>
    <row r="679" spans="1:5" ht="15">
      <c r="A679" s="13">
        <v>62578</v>
      </c>
      <c r="B679" s="4">
        <f>66.3028 * CHOOSE(CONTROL!$C$8, $C$12, 100%, $E$12) + CHOOSE(CONTROL!$C$27, 0.0003, 0)</f>
        <v>66.303100000000001</v>
      </c>
      <c r="C679" s="4">
        <f>65.9903 * CHOOSE(CONTROL!$C$8, $C$12, 100%, $E$12) + CHOOSE(CONTROL!$C$27, 0.0003, 0)</f>
        <v>65.990600000000001</v>
      </c>
      <c r="D679" s="4">
        <f>65.448 * CHOOSE(CONTROL!$C$8, $C$12, 100%, $E$12) + CHOOSE(CONTROL!$C$27, 0, 0)</f>
        <v>65.447999999999993</v>
      </c>
      <c r="E679" s="4">
        <f>373.382998537169 * CHOOSE(CONTROL!$C$8, $C$12, 100%, $E$12) + CHOOSE(CONTROL!$C$27, 0, 0)</f>
        <v>373.38299853716899</v>
      </c>
    </row>
    <row r="680" spans="1:5" ht="15">
      <c r="A680" s="13">
        <v>62609</v>
      </c>
      <c r="B680" s="4">
        <f>67.8456 * CHOOSE(CONTROL!$C$8, $C$12, 100%, $E$12) + CHOOSE(CONTROL!$C$27, 0.0166, 0)</f>
        <v>67.862200000000001</v>
      </c>
      <c r="C680" s="4">
        <f>67.5331 * CHOOSE(CONTROL!$C$8, $C$12, 100%, $E$12) + CHOOSE(CONTROL!$C$27, 0.0166, 0)</f>
        <v>67.549700000000001</v>
      </c>
      <c r="D680" s="4">
        <f>64.7337 * CHOOSE(CONTROL!$C$8, $C$12, 100%, $E$12) + CHOOSE(CONTROL!$C$27, 0, 0)</f>
        <v>64.733699999999999</v>
      </c>
      <c r="E680" s="4">
        <f>382.323777671474 * CHOOSE(CONTROL!$C$8, $C$12, 100%, $E$12) + CHOOSE(CONTROL!$C$27, 0, 0)</f>
        <v>382.32377767147398</v>
      </c>
    </row>
    <row r="681" spans="1:5" ht="15">
      <c r="A681" s="13">
        <v>62639</v>
      </c>
      <c r="B681" s="4">
        <f>68.0543 * CHOOSE(CONTROL!$C$8, $C$12, 100%, $E$12) + CHOOSE(CONTROL!$C$27, 0.0166, 0)</f>
        <v>68.070899999999995</v>
      </c>
      <c r="C681" s="4">
        <f>67.7418 * CHOOSE(CONTROL!$C$8, $C$12, 100%, $E$12) + CHOOSE(CONTROL!$C$27, 0.0166, 0)</f>
        <v>67.758399999999995</v>
      </c>
      <c r="D681" s="4">
        <f>65.3154 * CHOOSE(CONTROL!$C$8, $C$12, 100%, $E$12) + CHOOSE(CONTROL!$C$27, 0, 0)</f>
        <v>65.315399999999997</v>
      </c>
      <c r="E681" s="4">
        <f>383.533502193341 * CHOOSE(CONTROL!$C$8, $C$12, 100%, $E$12) + CHOOSE(CONTROL!$C$27, 0, 0)</f>
        <v>383.53350219334101</v>
      </c>
    </row>
    <row r="682" spans="1:5" ht="15">
      <c r="A682" s="13">
        <v>62670</v>
      </c>
      <c r="B682" s="4">
        <f>68.0332 * CHOOSE(CONTROL!$C$8, $C$12, 100%, $E$12) + CHOOSE(CONTROL!$C$27, 0.0166, 0)</f>
        <v>68.049799999999991</v>
      </c>
      <c r="C682" s="4">
        <f>67.7207 * CHOOSE(CONTROL!$C$8, $C$12, 100%, $E$12) + CHOOSE(CONTROL!$C$27, 0.0166, 0)</f>
        <v>67.737299999999991</v>
      </c>
      <c r="D682" s="4">
        <f>66.365 * CHOOSE(CONTROL!$C$8, $C$12, 100%, $E$12) + CHOOSE(CONTROL!$C$27, 0, 0)</f>
        <v>66.364999999999995</v>
      </c>
      <c r="E682" s="4">
        <f>383.411513165926 * CHOOSE(CONTROL!$C$8, $C$12, 100%, $E$12) + CHOOSE(CONTROL!$C$27, 0, 0)</f>
        <v>383.41151316592601</v>
      </c>
    </row>
    <row r="683" spans="1:5" ht="15">
      <c r="A683" s="13">
        <v>62701</v>
      </c>
      <c r="B683" s="4">
        <f>69.6172 * CHOOSE(CONTROL!$C$8, $C$12, 100%, $E$12) + CHOOSE(CONTROL!$C$27, 0.0166, 0)</f>
        <v>69.633799999999994</v>
      </c>
      <c r="C683" s="4">
        <f>69.3047 * CHOOSE(CONTROL!$C$8, $C$12, 100%, $E$12) + CHOOSE(CONTROL!$C$27, 0.0166, 0)</f>
        <v>69.321299999999994</v>
      </c>
      <c r="D683" s="4">
        <f>65.6719 * CHOOSE(CONTROL!$C$8, $C$12, 100%, $E$12) + CHOOSE(CONTROL!$C$27, 0, 0)</f>
        <v>65.671899999999994</v>
      </c>
      <c r="E683" s="4">
        <f>392.591187478918 * CHOOSE(CONTROL!$C$8, $C$12, 100%, $E$12) + CHOOSE(CONTROL!$C$27, 0, 0)</f>
        <v>392.59118747891802</v>
      </c>
    </row>
    <row r="684" spans="1:5" ht="15">
      <c r="A684" s="13">
        <v>62731</v>
      </c>
      <c r="B684" s="4">
        <f>66.9176 * CHOOSE(CONTROL!$C$8, $C$12, 100%, $E$12) + CHOOSE(CONTROL!$C$27, 0.0166, 0)</f>
        <v>66.93419999999999</v>
      </c>
      <c r="C684" s="4">
        <f>66.6051 * CHOOSE(CONTROL!$C$8, $C$12, 100%, $E$12) + CHOOSE(CONTROL!$C$27, 0.0166, 0)</f>
        <v>66.62169999999999</v>
      </c>
      <c r="D684" s="4">
        <f>65.3444 * CHOOSE(CONTROL!$C$8, $C$12, 100%, $E$12) + CHOOSE(CONTROL!$C$27, 0, 0)</f>
        <v>65.344399999999993</v>
      </c>
      <c r="E684" s="4">
        <f>376.946094712921 * CHOOSE(CONTROL!$C$8, $C$12, 100%, $E$12) + CHOOSE(CONTROL!$C$27, 0, 0)</f>
        <v>376.94609471292102</v>
      </c>
    </row>
    <row r="685" spans="1:5" ht="15">
      <c r="A685" s="13">
        <v>62762</v>
      </c>
      <c r="B685" s="4">
        <f>64.7566 * CHOOSE(CONTROL!$C$8, $C$12, 100%, $E$12) + CHOOSE(CONTROL!$C$27, 0.0003, 0)</f>
        <v>64.756900000000002</v>
      </c>
      <c r="C685" s="4">
        <f>64.4441 * CHOOSE(CONTROL!$C$8, $C$12, 100%, $E$12) + CHOOSE(CONTROL!$C$27, 0.0003, 0)</f>
        <v>64.444400000000002</v>
      </c>
      <c r="D685" s="4">
        <f>64.4675 * CHOOSE(CONTROL!$C$8, $C$12, 100%, $E$12) + CHOOSE(CONTROL!$C$27, 0, 0)</f>
        <v>64.467500000000001</v>
      </c>
      <c r="E685" s="4">
        <f>364.421887898295 * CHOOSE(CONTROL!$C$8, $C$12, 100%, $E$12) + CHOOSE(CONTROL!$C$27, 0, 0)</f>
        <v>364.42188789829498</v>
      </c>
    </row>
    <row r="686" spans="1:5" ht="15">
      <c r="A686" s="13">
        <v>62792</v>
      </c>
      <c r="B686" s="4">
        <f>63.3647 * CHOOSE(CONTROL!$C$8, $C$12, 100%, $E$12) + CHOOSE(CONTROL!$C$27, 0.0003, 0)</f>
        <v>63.365000000000002</v>
      </c>
      <c r="C686" s="4">
        <f>63.0522 * CHOOSE(CONTROL!$C$8, $C$12, 100%, $E$12) + CHOOSE(CONTROL!$C$27, 0.0003, 0)</f>
        <v>63.052500000000002</v>
      </c>
      <c r="D686" s="4">
        <f>64.166 * CHOOSE(CONTROL!$C$8, $C$12, 100%, $E$12) + CHOOSE(CONTROL!$C$27, 0, 0)</f>
        <v>64.165999999999997</v>
      </c>
      <c r="E686" s="4">
        <f>356.355363460466 * CHOOSE(CONTROL!$C$8, $C$12, 100%, $E$12) + CHOOSE(CONTROL!$C$27, 0, 0)</f>
        <v>356.35536346046598</v>
      </c>
    </row>
    <row r="687" spans="1:5" ht="15">
      <c r="A687" s="13">
        <v>62823</v>
      </c>
      <c r="B687" s="4">
        <f>62.4017 * CHOOSE(CONTROL!$C$8, $C$12, 100%, $E$12) + CHOOSE(CONTROL!$C$27, 0.0003, 0)</f>
        <v>62.402000000000001</v>
      </c>
      <c r="C687" s="4">
        <f>62.0892 * CHOOSE(CONTROL!$C$8, $C$12, 100%, $E$12) + CHOOSE(CONTROL!$C$27, 0.0003, 0)</f>
        <v>62.089500000000001</v>
      </c>
      <c r="D687" s="4">
        <f>61.9465 * CHOOSE(CONTROL!$C$8, $C$12, 100%, $E$12) + CHOOSE(CONTROL!$C$27, 0, 0)</f>
        <v>61.9465</v>
      </c>
      <c r="E687" s="4">
        <f>350.774365456222 * CHOOSE(CONTROL!$C$8, $C$12, 100%, $E$12) + CHOOSE(CONTROL!$C$27, 0, 0)</f>
        <v>350.77436545622197</v>
      </c>
    </row>
    <row r="688" spans="1:5" ht="15">
      <c r="A688" s="13">
        <v>62854</v>
      </c>
      <c r="B688" s="4">
        <f>60.837 * CHOOSE(CONTROL!$C$8, $C$12, 100%, $E$12) + CHOOSE(CONTROL!$C$27, 0.0003, 0)</f>
        <v>60.837300000000006</v>
      </c>
      <c r="C688" s="4">
        <f>60.5245 * CHOOSE(CONTROL!$C$8, $C$12, 100%, $E$12) + CHOOSE(CONTROL!$C$27, 0.0003, 0)</f>
        <v>60.524800000000006</v>
      </c>
      <c r="D688" s="4">
        <f>59.9066 * CHOOSE(CONTROL!$C$8, $C$12, 100%, $E$12) + CHOOSE(CONTROL!$C$27, 0, 0)</f>
        <v>59.906599999999997</v>
      </c>
      <c r="E688" s="4">
        <f>340.715493349705 * CHOOSE(CONTROL!$C$8, $C$12, 100%, $E$12) + CHOOSE(CONTROL!$C$27, 0, 0)</f>
        <v>340.71549334970501</v>
      </c>
    </row>
    <row r="689" spans="1:5" ht="15">
      <c r="A689" s="13">
        <v>62883</v>
      </c>
      <c r="B689" s="4">
        <f>62.237 * CHOOSE(CONTROL!$C$8, $C$12, 100%, $E$12) + CHOOSE(CONTROL!$C$27, 0.0003, 0)</f>
        <v>62.237300000000005</v>
      </c>
      <c r="C689" s="4">
        <f>61.9245 * CHOOSE(CONTROL!$C$8, $C$12, 100%, $E$12) + CHOOSE(CONTROL!$C$27, 0.0003, 0)</f>
        <v>61.924800000000005</v>
      </c>
      <c r="D689" s="4">
        <f>61.9608 * CHOOSE(CONTROL!$C$8, $C$12, 100%, $E$12) + CHOOSE(CONTROL!$C$27, 0, 0)</f>
        <v>61.960799999999999</v>
      </c>
      <c r="E689" s="4">
        <f>348.805421890731 * CHOOSE(CONTROL!$C$8, $C$12, 100%, $E$12) + CHOOSE(CONTROL!$C$27, 0, 0)</f>
        <v>348.805421890731</v>
      </c>
    </row>
    <row r="690" spans="1:5" ht="15">
      <c r="A690" s="13">
        <v>62914</v>
      </c>
      <c r="B690" s="4">
        <f>65.9134 * CHOOSE(CONTROL!$C$8, $C$12, 100%, $E$12) + CHOOSE(CONTROL!$C$27, 0.0003, 0)</f>
        <v>65.913699999999992</v>
      </c>
      <c r="C690" s="4">
        <f>65.6009 * CHOOSE(CONTROL!$C$8, $C$12, 100%, $E$12) + CHOOSE(CONTROL!$C$27, 0.0003, 0)</f>
        <v>65.601199999999992</v>
      </c>
      <c r="D690" s="4">
        <f>65.1765 * CHOOSE(CONTROL!$C$8, $C$12, 100%, $E$12) + CHOOSE(CONTROL!$C$27, 0, 0)</f>
        <v>65.176500000000004</v>
      </c>
      <c r="E690" s="4">
        <f>370.050004164379 * CHOOSE(CONTROL!$C$8, $C$12, 100%, $E$12) + CHOOSE(CONTROL!$C$27, 0, 0)</f>
        <v>370.050004164379</v>
      </c>
    </row>
    <row r="691" spans="1:5" ht="15">
      <c r="A691" s="13">
        <v>62944</v>
      </c>
      <c r="B691" s="4">
        <f>68.5256 * CHOOSE(CONTROL!$C$8, $C$12, 100%, $E$12) + CHOOSE(CONTROL!$C$27, 0.0003, 0)</f>
        <v>68.525899999999993</v>
      </c>
      <c r="C691" s="4">
        <f>68.2131 * CHOOSE(CONTROL!$C$8, $C$12, 100%, $E$12) + CHOOSE(CONTROL!$C$27, 0.0003, 0)</f>
        <v>68.213399999999993</v>
      </c>
      <c r="D691" s="4">
        <f>67.0288 * CHOOSE(CONTROL!$C$8, $C$12, 100%, $E$12) + CHOOSE(CONTROL!$C$27, 0, 0)</f>
        <v>67.028800000000004</v>
      </c>
      <c r="E691" s="4">
        <f>385.14456299109 * CHOOSE(CONTROL!$C$8, $C$12, 100%, $E$12) + CHOOSE(CONTROL!$C$27, 0, 0)</f>
        <v>385.14456299109003</v>
      </c>
    </row>
    <row r="692" spans="1:5" ht="15">
      <c r="A692" s="13">
        <v>62975</v>
      </c>
      <c r="B692" s="4">
        <f>70.1215 * CHOOSE(CONTROL!$C$8, $C$12, 100%, $E$12) + CHOOSE(CONTROL!$C$27, 0.0166, 0)</f>
        <v>70.138099999999994</v>
      </c>
      <c r="C692" s="4">
        <f>69.809 * CHOOSE(CONTROL!$C$8, $C$12, 100%, $E$12) + CHOOSE(CONTROL!$C$27, 0.0166, 0)</f>
        <v>69.825599999999994</v>
      </c>
      <c r="D692" s="4">
        <f>66.2969 * CHOOSE(CONTROL!$C$8, $C$12, 100%, $E$12) + CHOOSE(CONTROL!$C$27, 0, 0)</f>
        <v>66.296899999999994</v>
      </c>
      <c r="E692" s="4">
        <f>394.366976668125 * CHOOSE(CONTROL!$C$8, $C$12, 100%, $E$12) + CHOOSE(CONTROL!$C$27, 0, 0)</f>
        <v>394.36697666812501</v>
      </c>
    </row>
    <row r="693" spans="1:5" ht="15">
      <c r="A693" s="13">
        <v>63005</v>
      </c>
      <c r="B693" s="4">
        <f>70.3375 * CHOOSE(CONTROL!$C$8, $C$12, 100%, $E$12) + CHOOSE(CONTROL!$C$27, 0.0166, 0)</f>
        <v>70.354100000000003</v>
      </c>
      <c r="C693" s="4">
        <f>70.025 * CHOOSE(CONTROL!$C$8, $C$12, 100%, $E$12) + CHOOSE(CONTROL!$C$27, 0.0166, 0)</f>
        <v>70.041600000000003</v>
      </c>
      <c r="D693" s="4">
        <f>66.893 * CHOOSE(CONTROL!$C$8, $C$12, 100%, $E$12) + CHOOSE(CONTROL!$C$27, 0, 0)</f>
        <v>66.893000000000001</v>
      </c>
      <c r="E693" s="4">
        <f>395.614807512431 * CHOOSE(CONTROL!$C$8, $C$12, 100%, $E$12) + CHOOSE(CONTROL!$C$27, 0, 0)</f>
        <v>395.61480751243101</v>
      </c>
    </row>
    <row r="694" spans="1:5" ht="15">
      <c r="A694" s="13">
        <v>63036</v>
      </c>
      <c r="B694" s="4">
        <f>70.3157 * CHOOSE(CONTROL!$C$8, $C$12, 100%, $E$12) + CHOOSE(CONTROL!$C$27, 0.0166, 0)</f>
        <v>70.332300000000004</v>
      </c>
      <c r="C694" s="4">
        <f>70.0032 * CHOOSE(CONTROL!$C$8, $C$12, 100%, $E$12) + CHOOSE(CONTROL!$C$27, 0.0166, 0)</f>
        <v>70.019800000000004</v>
      </c>
      <c r="D694" s="4">
        <f>67.9686 * CHOOSE(CONTROL!$C$8, $C$12, 100%, $E$12) + CHOOSE(CONTROL!$C$27, 0, 0)</f>
        <v>67.968599999999995</v>
      </c>
      <c r="E694" s="4">
        <f>395.488975830653 * CHOOSE(CONTROL!$C$8, $C$12, 100%, $E$12) + CHOOSE(CONTROL!$C$27, 0, 0)</f>
        <v>395.48897583065298</v>
      </c>
    </row>
    <row r="695" spans="1:5" ht="15">
      <c r="A695" s="13">
        <v>63067</v>
      </c>
      <c r="B695" s="4">
        <f>71.9543 * CHOOSE(CONTROL!$C$8, $C$12, 100%, $E$12) + CHOOSE(CONTROL!$C$27, 0.0166, 0)</f>
        <v>71.9709</v>
      </c>
      <c r="C695" s="4">
        <f>71.6418 * CHOOSE(CONTROL!$C$8, $C$12, 100%, $E$12) + CHOOSE(CONTROL!$C$27, 0.0166, 0)</f>
        <v>71.6584</v>
      </c>
      <c r="D695" s="4">
        <f>67.2583 * CHOOSE(CONTROL!$C$8, $C$12, 100%, $E$12) + CHOOSE(CONTROL!$C$27, 0, 0)</f>
        <v>67.258300000000006</v>
      </c>
      <c r="E695" s="4">
        <f>404.957809884504 * CHOOSE(CONTROL!$C$8, $C$12, 100%, $E$12) + CHOOSE(CONTROL!$C$27, 0, 0)</f>
        <v>404.957809884504</v>
      </c>
    </row>
    <row r="696" spans="1:5" ht="15">
      <c r="A696" s="13">
        <v>63097</v>
      </c>
      <c r="B696" s="4">
        <f>69.1616 * CHOOSE(CONTROL!$C$8, $C$12, 100%, $E$12) + CHOOSE(CONTROL!$C$27, 0.0166, 0)</f>
        <v>69.178200000000004</v>
      </c>
      <c r="C696" s="4">
        <f>68.8491 * CHOOSE(CONTROL!$C$8, $C$12, 100%, $E$12) + CHOOSE(CONTROL!$C$27, 0.0166, 0)</f>
        <v>68.865700000000004</v>
      </c>
      <c r="D696" s="4">
        <f>66.9226 * CHOOSE(CONTROL!$C$8, $C$12, 100%, $E$12) + CHOOSE(CONTROL!$C$27, 0, 0)</f>
        <v>66.922600000000003</v>
      </c>
      <c r="E696" s="4">
        <f>388.819896696378 * CHOOSE(CONTROL!$C$8, $C$12, 100%, $E$12) + CHOOSE(CONTROL!$C$27, 0, 0)</f>
        <v>388.81989669637801</v>
      </c>
    </row>
    <row r="697" spans="1:5" ht="15">
      <c r="A697" s="13">
        <v>63128</v>
      </c>
      <c r="B697" s="4">
        <f>66.926 * CHOOSE(CONTROL!$C$8, $C$12, 100%, $E$12) + CHOOSE(CONTROL!$C$27, 0.0003, 0)</f>
        <v>66.926299999999998</v>
      </c>
      <c r="C697" s="4">
        <f>66.6135 * CHOOSE(CONTROL!$C$8, $C$12, 100%, $E$12) + CHOOSE(CONTROL!$C$27, 0.0003, 0)</f>
        <v>66.613799999999998</v>
      </c>
      <c r="D697" s="4">
        <f>66.024 * CHOOSE(CONTROL!$C$8, $C$12, 100%, $E$12) + CHOOSE(CONTROL!$C$27, 0, 0)</f>
        <v>66.024000000000001</v>
      </c>
      <c r="E697" s="4">
        <f>375.901177367092 * CHOOSE(CONTROL!$C$8, $C$12, 100%, $E$12) + CHOOSE(CONTROL!$C$27, 0, 0)</f>
        <v>375.90117736709198</v>
      </c>
    </row>
    <row r="698" spans="1:5" ht="15">
      <c r="A698" s="13">
        <v>63158</v>
      </c>
      <c r="B698" s="4">
        <f>65.4861 * CHOOSE(CONTROL!$C$8, $C$12, 100%, $E$12) + CHOOSE(CONTROL!$C$27, 0.0003, 0)</f>
        <v>65.486399999999989</v>
      </c>
      <c r="C698" s="4">
        <f>65.1736 * CHOOSE(CONTROL!$C$8, $C$12, 100%, $E$12) + CHOOSE(CONTROL!$C$27, 0.0003, 0)</f>
        <v>65.173899999999989</v>
      </c>
      <c r="D698" s="4">
        <f>65.7151 * CHOOSE(CONTROL!$C$8, $C$12, 100%, $E$12) + CHOOSE(CONTROL!$C$27, 0, 0)</f>
        <v>65.715100000000007</v>
      </c>
      <c r="E698" s="4">
        <f>367.580557409471 * CHOOSE(CONTROL!$C$8, $C$12, 100%, $E$12) + CHOOSE(CONTROL!$C$27, 0, 0)</f>
        <v>367.580557409471</v>
      </c>
    </row>
    <row r="699" spans="1:5" ht="15">
      <c r="A699" s="13">
        <v>63189</v>
      </c>
      <c r="B699" s="4">
        <f>64.4898 * CHOOSE(CONTROL!$C$8, $C$12, 100%, $E$12) + CHOOSE(CONTROL!$C$27, 0.0003, 0)</f>
        <v>64.490099999999998</v>
      </c>
      <c r="C699" s="4">
        <f>64.1773 * CHOOSE(CONTROL!$C$8, $C$12, 100%, $E$12) + CHOOSE(CONTROL!$C$27, 0.0003, 0)</f>
        <v>64.177599999999998</v>
      </c>
      <c r="D699" s="4">
        <f>63.4405 * CHOOSE(CONTROL!$C$8, $C$12, 100%, $E$12) + CHOOSE(CONTROL!$C$27, 0, 0)</f>
        <v>63.4405</v>
      </c>
      <c r="E699" s="4">
        <f>361.823757968093 * CHOOSE(CONTROL!$C$8, $C$12, 100%, $E$12) + CHOOSE(CONTROL!$C$27, 0, 0)</f>
        <v>361.82375796809299</v>
      </c>
    </row>
    <row r="700" spans="1:5" ht="15">
      <c r="A700" s="13">
        <v>63220</v>
      </c>
      <c r="B700" s="4">
        <f>62.8712 * CHOOSE(CONTROL!$C$8, $C$12, 100%, $E$12) + CHOOSE(CONTROL!$C$27, 0.0003, 0)</f>
        <v>62.871500000000005</v>
      </c>
      <c r="C700" s="4">
        <f>62.5587 * CHOOSE(CONTROL!$C$8, $C$12, 100%, $E$12) + CHOOSE(CONTROL!$C$27, 0.0003, 0)</f>
        <v>62.559000000000005</v>
      </c>
      <c r="D700" s="4">
        <f>61.3501 * CHOOSE(CONTROL!$C$8, $C$12, 100%, $E$12) + CHOOSE(CONTROL!$C$27, 0, 0)</f>
        <v>61.350099999999998</v>
      </c>
      <c r="E700" s="4">
        <f>351.448031390221 * CHOOSE(CONTROL!$C$8, $C$12, 100%, $E$12) + CHOOSE(CONTROL!$C$27, 0, 0)</f>
        <v>351.44803139022099</v>
      </c>
    </row>
    <row r="701" spans="1:5" ht="15">
      <c r="A701" s="13">
        <v>63248</v>
      </c>
      <c r="B701" s="4">
        <f>64.3194 * CHOOSE(CONTROL!$C$8, $C$12, 100%, $E$12) + CHOOSE(CONTROL!$C$27, 0.0003, 0)</f>
        <v>64.319699999999997</v>
      </c>
      <c r="C701" s="4">
        <f>64.0069 * CHOOSE(CONTROL!$C$8, $C$12, 100%, $E$12) + CHOOSE(CONTROL!$C$27, 0.0003, 0)</f>
        <v>64.007199999999997</v>
      </c>
      <c r="D701" s="4">
        <f>63.4552 * CHOOSE(CONTROL!$C$8, $C$12, 100%, $E$12) + CHOOSE(CONTROL!$C$27, 0, 0)</f>
        <v>63.455199999999998</v>
      </c>
      <c r="E701" s="4">
        <f>359.792792680289 * CHOOSE(CONTROL!$C$8, $C$12, 100%, $E$12) + CHOOSE(CONTROL!$C$27, 0, 0)</f>
        <v>359.79279268028898</v>
      </c>
    </row>
    <row r="702" spans="1:5" ht="15">
      <c r="A702" s="13">
        <v>63279</v>
      </c>
      <c r="B702" s="4">
        <f>68.1227 * CHOOSE(CONTROL!$C$8, $C$12, 100%, $E$12) + CHOOSE(CONTROL!$C$27, 0.0003, 0)</f>
        <v>68.12299999999999</v>
      </c>
      <c r="C702" s="4">
        <f>67.8102 * CHOOSE(CONTROL!$C$8, $C$12, 100%, $E$12) + CHOOSE(CONTROL!$C$27, 0.0003, 0)</f>
        <v>67.81049999999999</v>
      </c>
      <c r="D702" s="4">
        <f>66.7506 * CHOOSE(CONTROL!$C$8, $C$12, 100%, $E$12) + CHOOSE(CONTROL!$C$27, 0, 0)</f>
        <v>66.750600000000006</v>
      </c>
      <c r="E702" s="4">
        <f>381.706579295557 * CHOOSE(CONTROL!$C$8, $C$12, 100%, $E$12) + CHOOSE(CONTROL!$C$27, 0, 0)</f>
        <v>381.70657929555699</v>
      </c>
    </row>
    <row r="703" spans="1:5" ht="15">
      <c r="A703" s="13">
        <v>63309</v>
      </c>
      <c r="B703" s="4">
        <f>70.825 * CHOOSE(CONTROL!$C$8, $C$12, 100%, $E$12) + CHOOSE(CONTROL!$C$27, 0.0003, 0)</f>
        <v>70.825299999999999</v>
      </c>
      <c r="C703" s="4">
        <f>70.5125 * CHOOSE(CONTROL!$C$8, $C$12, 100%, $E$12) + CHOOSE(CONTROL!$C$27, 0.0003, 0)</f>
        <v>70.512799999999999</v>
      </c>
      <c r="D703" s="4">
        <f>68.6489 * CHOOSE(CONTROL!$C$8, $C$12, 100%, $E$12) + CHOOSE(CONTROL!$C$27, 0, 0)</f>
        <v>68.648899999999998</v>
      </c>
      <c r="E703" s="4">
        <f>397.276616725309 * CHOOSE(CONTROL!$C$8, $C$12, 100%, $E$12) + CHOOSE(CONTROL!$C$27, 0, 0)</f>
        <v>397.276616725309</v>
      </c>
    </row>
    <row r="704" spans="1:5" ht="15">
      <c r="A704" s="13">
        <v>63340</v>
      </c>
      <c r="B704" s="4">
        <f>72.476 * CHOOSE(CONTROL!$C$8, $C$12, 100%, $E$12) + CHOOSE(CONTROL!$C$27, 0.0166, 0)</f>
        <v>72.492599999999996</v>
      </c>
      <c r="C704" s="4">
        <f>72.1635 * CHOOSE(CONTROL!$C$8, $C$12, 100%, $E$12) + CHOOSE(CONTROL!$C$27, 0.0166, 0)</f>
        <v>72.180099999999996</v>
      </c>
      <c r="D704" s="4">
        <f>67.8988 * CHOOSE(CONTROL!$C$8, $C$12, 100%, $E$12) + CHOOSE(CONTROL!$C$27, 0, 0)</f>
        <v>67.898799999999994</v>
      </c>
      <c r="E704" s="4">
        <f>406.789536433171 * CHOOSE(CONTROL!$C$8, $C$12, 100%, $E$12) + CHOOSE(CONTROL!$C$27, 0, 0)</f>
        <v>406.78953643317101</v>
      </c>
    </row>
    <row r="705" spans="1:5" ht="15">
      <c r="A705" s="13">
        <v>63370</v>
      </c>
      <c r="B705" s="4">
        <f>72.6994 * CHOOSE(CONTROL!$C$8, $C$12, 100%, $E$12) + CHOOSE(CONTROL!$C$27, 0.0166, 0)</f>
        <v>72.715999999999994</v>
      </c>
      <c r="C705" s="4">
        <f>72.3869 * CHOOSE(CONTROL!$C$8, $C$12, 100%, $E$12) + CHOOSE(CONTROL!$C$27, 0.0166, 0)</f>
        <v>72.403499999999994</v>
      </c>
      <c r="D705" s="4">
        <f>68.5097 * CHOOSE(CONTROL!$C$8, $C$12, 100%, $E$12) + CHOOSE(CONTROL!$C$27, 0, 0)</f>
        <v>68.509699999999995</v>
      </c>
      <c r="E705" s="4">
        <f>408.076673949073 * CHOOSE(CONTROL!$C$8, $C$12, 100%, $E$12) + CHOOSE(CONTROL!$C$27, 0, 0)</f>
        <v>408.07667394907298</v>
      </c>
    </row>
    <row r="706" spans="1:5" ht="15">
      <c r="A706" s="13">
        <v>63401</v>
      </c>
      <c r="B706" s="4">
        <f>72.6769 * CHOOSE(CONTROL!$C$8, $C$12, 100%, $E$12) + CHOOSE(CONTROL!$C$27, 0.0166, 0)</f>
        <v>72.6935</v>
      </c>
      <c r="C706" s="4">
        <f>72.3644 * CHOOSE(CONTROL!$C$8, $C$12, 100%, $E$12) + CHOOSE(CONTROL!$C$27, 0.0166, 0)</f>
        <v>72.381</v>
      </c>
      <c r="D706" s="4">
        <f>69.6119 * CHOOSE(CONTROL!$C$8, $C$12, 100%, $E$12) + CHOOSE(CONTROL!$C$27, 0, 0)</f>
        <v>69.611900000000006</v>
      </c>
      <c r="E706" s="4">
        <f>407.946878569318 * CHOOSE(CONTROL!$C$8, $C$12, 100%, $E$12) + CHOOSE(CONTROL!$C$27, 0, 0)</f>
        <v>407.94687856931802</v>
      </c>
    </row>
    <row r="707" spans="1:5" ht="15">
      <c r="A707" s="13">
        <v>63432</v>
      </c>
      <c r="B707" s="4">
        <f>74.3721 * CHOOSE(CONTROL!$C$8, $C$12, 100%, $E$12) + CHOOSE(CONTROL!$C$27, 0.0166, 0)</f>
        <v>74.3887</v>
      </c>
      <c r="C707" s="4">
        <f>74.0596 * CHOOSE(CONTROL!$C$8, $C$12, 100%, $E$12) + CHOOSE(CONTROL!$C$27, 0.0166, 0)</f>
        <v>74.0762</v>
      </c>
      <c r="D707" s="4">
        <f>68.884 * CHOOSE(CONTROL!$C$8, $C$12, 100%, $E$12) + CHOOSE(CONTROL!$C$27, 0, 0)</f>
        <v>68.884</v>
      </c>
      <c r="E707" s="4">
        <f>417.713980895866 * CHOOSE(CONTROL!$C$8, $C$12, 100%, $E$12) + CHOOSE(CONTROL!$C$27, 0, 0)</f>
        <v>417.71398089586597</v>
      </c>
    </row>
    <row r="708" spans="1:5" ht="15">
      <c r="A708" s="13">
        <v>63462</v>
      </c>
      <c r="B708" s="4">
        <f>71.483 * CHOOSE(CONTROL!$C$8, $C$12, 100%, $E$12) + CHOOSE(CONTROL!$C$27, 0.0166, 0)</f>
        <v>71.499600000000001</v>
      </c>
      <c r="C708" s="4">
        <f>71.1705 * CHOOSE(CONTROL!$C$8, $C$12, 100%, $E$12) + CHOOSE(CONTROL!$C$27, 0.0166, 0)</f>
        <v>71.187100000000001</v>
      </c>
      <c r="D708" s="4">
        <f>68.5401 * CHOOSE(CONTROL!$C$8, $C$12, 100%, $E$12) + CHOOSE(CONTROL!$C$27, 0, 0)</f>
        <v>68.540099999999995</v>
      </c>
      <c r="E708" s="4">
        <f>401.067723442314 * CHOOSE(CONTROL!$C$8, $C$12, 100%, $E$12) + CHOOSE(CONTROL!$C$27, 0, 0)</f>
        <v>401.06772344231399</v>
      </c>
    </row>
    <row r="709" spans="1:5" ht="15">
      <c r="A709" s="13">
        <v>63493</v>
      </c>
      <c r="B709" s="4">
        <f>69.1702 * CHOOSE(CONTROL!$C$8, $C$12, 100%, $E$12) + CHOOSE(CONTROL!$C$27, 0.0003, 0)</f>
        <v>69.17049999999999</v>
      </c>
      <c r="C709" s="4">
        <f>68.8577 * CHOOSE(CONTROL!$C$8, $C$12, 100%, $E$12) + CHOOSE(CONTROL!$C$27, 0.0003, 0)</f>
        <v>68.85799999999999</v>
      </c>
      <c r="D709" s="4">
        <f>67.6191 * CHOOSE(CONTROL!$C$8, $C$12, 100%, $E$12) + CHOOSE(CONTROL!$C$27, 0, 0)</f>
        <v>67.619100000000003</v>
      </c>
      <c r="E709" s="4">
        <f>387.742064454155 * CHOOSE(CONTROL!$C$8, $C$12, 100%, $E$12) + CHOOSE(CONTROL!$C$27, 0, 0)</f>
        <v>387.74206445415501</v>
      </c>
    </row>
    <row r="710" spans="1:5" ht="15">
      <c r="A710" s="13">
        <v>63523</v>
      </c>
      <c r="B710" s="4">
        <f>67.6806 * CHOOSE(CONTROL!$C$8, $C$12, 100%, $E$12) + CHOOSE(CONTROL!$C$27, 0.0003, 0)</f>
        <v>67.680899999999994</v>
      </c>
      <c r="C710" s="4">
        <f>67.3681 * CHOOSE(CONTROL!$C$8, $C$12, 100%, $E$12) + CHOOSE(CONTROL!$C$27, 0.0003, 0)</f>
        <v>67.368399999999994</v>
      </c>
      <c r="D710" s="4">
        <f>67.3025 * CHOOSE(CONTROL!$C$8, $C$12, 100%, $E$12) + CHOOSE(CONTROL!$C$27, 0, 0)</f>
        <v>67.302499999999995</v>
      </c>
      <c r="E710" s="4">
        <f>379.159344967869 * CHOOSE(CONTROL!$C$8, $C$12, 100%, $E$12) + CHOOSE(CONTROL!$C$27, 0, 0)</f>
        <v>379.159344967869</v>
      </c>
    </row>
    <row r="711" spans="1:5" ht="15">
      <c r="A711" s="13">
        <v>63554</v>
      </c>
      <c r="B711" s="4">
        <f>66.65 * CHOOSE(CONTROL!$C$8, $C$12, 100%, $E$12) + CHOOSE(CONTROL!$C$27, 0.0003, 0)</f>
        <v>66.650300000000001</v>
      </c>
      <c r="C711" s="4">
        <f>66.3375 * CHOOSE(CONTROL!$C$8, $C$12, 100%, $E$12) + CHOOSE(CONTROL!$C$27, 0.0003, 0)</f>
        <v>66.337800000000001</v>
      </c>
      <c r="D711" s="4">
        <f>64.9716 * CHOOSE(CONTROL!$C$8, $C$12, 100%, $E$12) + CHOOSE(CONTROL!$C$27, 0, 0)</f>
        <v>64.971599999999995</v>
      </c>
      <c r="E711" s="4">
        <f>373.221206344088 * CHOOSE(CONTROL!$C$8, $C$12, 100%, $E$12) + CHOOSE(CONTROL!$C$27, 0, 0)</f>
        <v>373.22120634408799</v>
      </c>
    </row>
    <row r="712" spans="1:5" ht="15">
      <c r="A712" s="13">
        <v>63585</v>
      </c>
      <c r="B712" s="4">
        <f>64.9755 * CHOOSE(CONTROL!$C$8, $C$12, 100%, $E$12) + CHOOSE(CONTROL!$C$27, 0.0003, 0)</f>
        <v>64.975799999999992</v>
      </c>
      <c r="C712" s="4">
        <f>64.663 * CHOOSE(CONTROL!$C$8, $C$12, 100%, $E$12) + CHOOSE(CONTROL!$C$27, 0.0003, 0)</f>
        <v>64.663299999999992</v>
      </c>
      <c r="D712" s="4">
        <f>62.8293 * CHOOSE(CONTROL!$C$8, $C$12, 100%, $E$12) + CHOOSE(CONTROL!$C$27, 0, 0)</f>
        <v>62.829300000000003</v>
      </c>
      <c r="E712" s="4">
        <f>362.518644379013 * CHOOSE(CONTROL!$C$8, $C$12, 100%, $E$12) + CHOOSE(CONTROL!$C$27, 0, 0)</f>
        <v>362.51864437901298</v>
      </c>
    </row>
    <row r="713" spans="1:5" ht="15">
      <c r="A713" s="13">
        <v>63613</v>
      </c>
      <c r="B713" s="4">
        <f>66.4738 * CHOOSE(CONTROL!$C$8, $C$12, 100%, $E$12) + CHOOSE(CONTROL!$C$27, 0.0003, 0)</f>
        <v>66.474099999999993</v>
      </c>
      <c r="C713" s="4">
        <f>66.1613 * CHOOSE(CONTROL!$C$8, $C$12, 100%, $E$12) + CHOOSE(CONTROL!$C$27, 0.0003, 0)</f>
        <v>66.161599999999993</v>
      </c>
      <c r="D713" s="4">
        <f>64.9866 * CHOOSE(CONTROL!$C$8, $C$12, 100%, $E$12) + CHOOSE(CONTROL!$C$27, 0, 0)</f>
        <v>64.986599999999996</v>
      </c>
      <c r="E713" s="4">
        <f>371.126265649719 * CHOOSE(CONTROL!$C$8, $C$12, 100%, $E$12) + CHOOSE(CONTROL!$C$27, 0, 0)</f>
        <v>371.12626564971902</v>
      </c>
    </row>
    <row r="714" spans="1:5" ht="15">
      <c r="A714" s="13">
        <v>63644</v>
      </c>
      <c r="B714" s="4">
        <f>70.4083 * CHOOSE(CONTROL!$C$8, $C$12, 100%, $E$12) + CHOOSE(CONTROL!$C$27, 0.0003, 0)</f>
        <v>70.408599999999993</v>
      </c>
      <c r="C714" s="4">
        <f>70.0958 * CHOOSE(CONTROL!$C$8, $C$12, 100%, $E$12) + CHOOSE(CONTROL!$C$27, 0.0003, 0)</f>
        <v>70.096099999999993</v>
      </c>
      <c r="D714" s="4">
        <f>68.3637 * CHOOSE(CONTROL!$C$8, $C$12, 100%, $E$12) + CHOOSE(CONTROL!$C$27, 0, 0)</f>
        <v>68.363699999999994</v>
      </c>
      <c r="E714" s="4">
        <f>393.730336543367 * CHOOSE(CONTROL!$C$8, $C$12, 100%, $E$12) + CHOOSE(CONTROL!$C$27, 0, 0)</f>
        <v>393.730336543367</v>
      </c>
    </row>
    <row r="715" spans="1:5" ht="15">
      <c r="A715" s="13">
        <v>63674</v>
      </c>
      <c r="B715" s="4">
        <f>73.2038 * CHOOSE(CONTROL!$C$8, $C$12, 100%, $E$12) + CHOOSE(CONTROL!$C$27, 0.0003, 0)</f>
        <v>73.204099999999997</v>
      </c>
      <c r="C715" s="4">
        <f>72.8913 * CHOOSE(CONTROL!$C$8, $C$12, 100%, $E$12) + CHOOSE(CONTROL!$C$27, 0.0003, 0)</f>
        <v>72.891599999999997</v>
      </c>
      <c r="D715" s="4">
        <f>70.3091 * CHOOSE(CONTROL!$C$8, $C$12, 100%, $E$12) + CHOOSE(CONTROL!$C$27, 0, 0)</f>
        <v>70.309100000000001</v>
      </c>
      <c r="E715" s="4">
        <f>409.790830152157 * CHOOSE(CONTROL!$C$8, $C$12, 100%, $E$12) + CHOOSE(CONTROL!$C$27, 0, 0)</f>
        <v>409.79083015215701</v>
      </c>
    </row>
    <row r="716" spans="1:5" ht="15">
      <c r="A716" s="13">
        <v>63705</v>
      </c>
      <c r="B716" s="4">
        <f>74.9118 * CHOOSE(CONTROL!$C$8, $C$12, 100%, $E$12) + CHOOSE(CONTROL!$C$27, 0.0166, 0)</f>
        <v>74.928399999999996</v>
      </c>
      <c r="C716" s="4">
        <f>74.5993 * CHOOSE(CONTROL!$C$8, $C$12, 100%, $E$12) + CHOOSE(CONTROL!$C$27, 0.0166, 0)</f>
        <v>74.615899999999996</v>
      </c>
      <c r="D716" s="4">
        <f>69.5404 * CHOOSE(CONTROL!$C$8, $C$12, 100%, $E$12) + CHOOSE(CONTROL!$C$27, 0, 0)</f>
        <v>69.540400000000005</v>
      </c>
      <c r="E716" s="4">
        <f>419.603406830816 * CHOOSE(CONTROL!$C$8, $C$12, 100%, $E$12) + CHOOSE(CONTROL!$C$27, 0, 0)</f>
        <v>419.60340683081603</v>
      </c>
    </row>
    <row r="717" spans="1:5" ht="15">
      <c r="A717" s="13">
        <v>63735</v>
      </c>
      <c r="B717" s="4">
        <f>75.1429 * CHOOSE(CONTROL!$C$8, $C$12, 100%, $E$12) + CHOOSE(CONTROL!$C$27, 0.0166, 0)</f>
        <v>75.159499999999994</v>
      </c>
      <c r="C717" s="4">
        <f>74.8304 * CHOOSE(CONTROL!$C$8, $C$12, 100%, $E$12) + CHOOSE(CONTROL!$C$27, 0.0166, 0)</f>
        <v>74.846999999999994</v>
      </c>
      <c r="D717" s="4">
        <f>70.1664 * CHOOSE(CONTROL!$C$8, $C$12, 100%, $E$12) + CHOOSE(CONTROL!$C$27, 0, 0)</f>
        <v>70.166399999999996</v>
      </c>
      <c r="E717" s="4">
        <f>420.931089178469 * CHOOSE(CONTROL!$C$8, $C$12, 100%, $E$12) + CHOOSE(CONTROL!$C$27, 0, 0)</f>
        <v>420.93108917846899</v>
      </c>
    </row>
    <row r="718" spans="1:5" ht="15">
      <c r="A718" s="13">
        <v>63766</v>
      </c>
      <c r="B718" s="4">
        <f>75.1196 * CHOOSE(CONTROL!$C$8, $C$12, 100%, $E$12) + CHOOSE(CONTROL!$C$27, 0.0166, 0)</f>
        <v>75.136200000000002</v>
      </c>
      <c r="C718" s="4">
        <f>74.8071 * CHOOSE(CONTROL!$C$8, $C$12, 100%, $E$12) + CHOOSE(CONTROL!$C$27, 0.0166, 0)</f>
        <v>74.823700000000002</v>
      </c>
      <c r="D718" s="4">
        <f>71.2961 * CHOOSE(CONTROL!$C$8, $C$12, 100%, $E$12) + CHOOSE(CONTROL!$C$27, 0, 0)</f>
        <v>71.296099999999996</v>
      </c>
      <c r="E718" s="4">
        <f>420.797205244252 * CHOOSE(CONTROL!$C$8, $C$12, 100%, $E$12) + CHOOSE(CONTROL!$C$27, 0, 0)</f>
        <v>420.79720524425198</v>
      </c>
    </row>
    <row r="719" spans="1:5" ht="15">
      <c r="A719" s="13">
        <v>63797</v>
      </c>
      <c r="B719" s="4">
        <f>76.8732 * CHOOSE(CONTROL!$C$8, $C$12, 100%, $E$12) + CHOOSE(CONTROL!$C$27, 0.0166, 0)</f>
        <v>76.889799999999994</v>
      </c>
      <c r="C719" s="4">
        <f>76.5607 * CHOOSE(CONTROL!$C$8, $C$12, 100%, $E$12) + CHOOSE(CONTROL!$C$27, 0.0166, 0)</f>
        <v>76.577299999999994</v>
      </c>
      <c r="D719" s="4">
        <f>70.55 * CHOOSE(CONTROL!$C$8, $C$12, 100%, $E$12) + CHOOSE(CONTROL!$C$27, 0, 0)</f>
        <v>70.55</v>
      </c>
      <c r="E719" s="4">
        <f>430.871971294086 * CHOOSE(CONTROL!$C$8, $C$12, 100%, $E$12) + CHOOSE(CONTROL!$C$27, 0, 0)</f>
        <v>430.87197129408599</v>
      </c>
    </row>
    <row r="720" spans="1:5" ht="15">
      <c r="A720" s="13">
        <v>63827</v>
      </c>
      <c r="B720" s="4">
        <f>73.8845 * CHOOSE(CONTROL!$C$8, $C$12, 100%, $E$12) + CHOOSE(CONTROL!$C$27, 0.0166, 0)</f>
        <v>73.9011</v>
      </c>
      <c r="C720" s="4">
        <f>73.572 * CHOOSE(CONTROL!$C$8, $C$12, 100%, $E$12) + CHOOSE(CONTROL!$C$27, 0.0166, 0)</f>
        <v>73.5886</v>
      </c>
      <c r="D720" s="4">
        <f>70.1976 * CHOOSE(CONTROL!$C$8, $C$12, 100%, $E$12) + CHOOSE(CONTROL!$C$27, 0, 0)</f>
        <v>70.197599999999994</v>
      </c>
      <c r="E720" s="4">
        <f>413.701356730747 * CHOOSE(CONTROL!$C$8, $C$12, 100%, $E$12) + CHOOSE(CONTROL!$C$27, 0, 0)</f>
        <v>413.70135673074702</v>
      </c>
    </row>
    <row r="721" spans="1:5" ht="15">
      <c r="A721" s="13">
        <v>63858</v>
      </c>
      <c r="B721" s="4">
        <f>71.4919 * CHOOSE(CONTROL!$C$8, $C$12, 100%, $E$12) + CHOOSE(CONTROL!$C$27, 0.0003, 0)</f>
        <v>71.492199999999997</v>
      </c>
      <c r="C721" s="4">
        <f>71.1794 * CHOOSE(CONTROL!$C$8, $C$12, 100%, $E$12) + CHOOSE(CONTROL!$C$27, 0.0003, 0)</f>
        <v>71.179699999999997</v>
      </c>
      <c r="D721" s="4">
        <f>69.2538 * CHOOSE(CONTROL!$C$8, $C$12, 100%, $E$12) + CHOOSE(CONTROL!$C$27, 0, 0)</f>
        <v>69.253799999999998</v>
      </c>
      <c r="E721" s="4">
        <f>399.955939484461 * CHOOSE(CONTROL!$C$8, $C$12, 100%, $E$12) + CHOOSE(CONTROL!$C$27, 0, 0)</f>
        <v>399.955939484461</v>
      </c>
    </row>
    <row r="722" spans="1:5" ht="15">
      <c r="A722" s="13">
        <v>63888</v>
      </c>
      <c r="B722" s="4">
        <f>69.9509 * CHOOSE(CONTROL!$C$8, $C$12, 100%, $E$12) + CHOOSE(CONTROL!$C$27, 0.0003, 0)</f>
        <v>69.9512</v>
      </c>
      <c r="C722" s="4">
        <f>69.6384 * CHOOSE(CONTROL!$C$8, $C$12, 100%, $E$12) + CHOOSE(CONTROL!$C$27, 0.0003, 0)</f>
        <v>69.6387</v>
      </c>
      <c r="D722" s="4">
        <f>68.9294 * CHOOSE(CONTROL!$C$8, $C$12, 100%, $E$12) + CHOOSE(CONTROL!$C$27, 0, 0)</f>
        <v>68.929400000000001</v>
      </c>
      <c r="E722" s="4">
        <f>391.102864334357 * CHOOSE(CONTROL!$C$8, $C$12, 100%, $E$12) + CHOOSE(CONTROL!$C$27, 0, 0)</f>
        <v>391.10286433435698</v>
      </c>
    </row>
    <row r="723" spans="1:5" ht="15">
      <c r="A723" s="13">
        <v>63919</v>
      </c>
      <c r="B723" s="4">
        <f>68.8848 * CHOOSE(CONTROL!$C$8, $C$12, 100%, $E$12) + CHOOSE(CONTROL!$C$27, 0.0003, 0)</f>
        <v>68.885099999999994</v>
      </c>
      <c r="C723" s="4">
        <f>68.5723 * CHOOSE(CONTROL!$C$8, $C$12, 100%, $E$12) + CHOOSE(CONTROL!$C$27, 0.0003, 0)</f>
        <v>68.572599999999994</v>
      </c>
      <c r="D723" s="4">
        <f>66.5406 * CHOOSE(CONTROL!$C$8, $C$12, 100%, $E$12) + CHOOSE(CONTROL!$C$27, 0, 0)</f>
        <v>66.540599999999998</v>
      </c>
      <c r="E723" s="4">
        <f>384.977674343926 * CHOOSE(CONTROL!$C$8, $C$12, 100%, $E$12) + CHOOSE(CONTROL!$C$27, 0, 0)</f>
        <v>384.97767434392603</v>
      </c>
    </row>
    <row r="724" spans="1:5" ht="15">
      <c r="A724" s="13">
        <v>63950</v>
      </c>
      <c r="B724" s="4">
        <f>67.1525 * CHOOSE(CONTROL!$C$8, $C$12, 100%, $E$12) + CHOOSE(CONTROL!$C$27, 0.0003, 0)</f>
        <v>67.152799999999999</v>
      </c>
      <c r="C724" s="4">
        <f>66.84 * CHOOSE(CONTROL!$C$8, $C$12, 100%, $E$12) + CHOOSE(CONTROL!$C$27, 0.0003, 0)</f>
        <v>66.840299999999999</v>
      </c>
      <c r="D724" s="4">
        <f>64.3452 * CHOOSE(CONTROL!$C$8, $C$12, 100%, $E$12) + CHOOSE(CONTROL!$C$27, 0, 0)</f>
        <v>64.345200000000006</v>
      </c>
      <c r="E724" s="4">
        <f>373.937981676952 * CHOOSE(CONTROL!$C$8, $C$12, 100%, $E$12) + CHOOSE(CONTROL!$C$27, 0, 0)</f>
        <v>373.93798167695201</v>
      </c>
    </row>
    <row r="725" spans="1:5" ht="15">
      <c r="A725" s="13">
        <v>63978</v>
      </c>
      <c r="B725" s="4">
        <f>68.7024 * CHOOSE(CONTROL!$C$8, $C$12, 100%, $E$12) + CHOOSE(CONTROL!$C$27, 0.0003, 0)</f>
        <v>68.702699999999993</v>
      </c>
      <c r="C725" s="4">
        <f>68.3899 * CHOOSE(CONTROL!$C$8, $C$12, 100%, $E$12) + CHOOSE(CONTROL!$C$27, 0.0003, 0)</f>
        <v>68.390199999999993</v>
      </c>
      <c r="D725" s="4">
        <f>66.556 * CHOOSE(CONTROL!$C$8, $C$12, 100%, $E$12) + CHOOSE(CONTROL!$C$27, 0, 0)</f>
        <v>66.555999999999997</v>
      </c>
      <c r="E725" s="4">
        <f>382.816743017685 * CHOOSE(CONTROL!$C$8, $C$12, 100%, $E$12) + CHOOSE(CONTROL!$C$27, 0, 0)</f>
        <v>382.81674301768498</v>
      </c>
    </row>
    <row r="726" spans="1:5" ht="15">
      <c r="A726" s="13">
        <v>64009</v>
      </c>
      <c r="B726" s="4">
        <f>72.7727 * CHOOSE(CONTROL!$C$8, $C$12, 100%, $E$12) + CHOOSE(CONTROL!$C$27, 0.0003, 0)</f>
        <v>72.772999999999996</v>
      </c>
      <c r="C726" s="4">
        <f>72.4602 * CHOOSE(CONTROL!$C$8, $C$12, 100%, $E$12) + CHOOSE(CONTROL!$C$27, 0.0003, 0)</f>
        <v>72.460499999999996</v>
      </c>
      <c r="D726" s="4">
        <f>70.0169 * CHOOSE(CONTROL!$C$8, $C$12, 100%, $E$12) + CHOOSE(CONTROL!$C$27, 0, 0)</f>
        <v>70.016900000000007</v>
      </c>
      <c r="E726" s="4">
        <f>406.132842144483 * CHOOSE(CONTROL!$C$8, $C$12, 100%, $E$12) + CHOOSE(CONTROL!$C$27, 0, 0)</f>
        <v>406.13284214448299</v>
      </c>
    </row>
    <row r="727" spans="1:5" ht="15">
      <c r="A727" s="13">
        <v>64039</v>
      </c>
      <c r="B727" s="4">
        <f>75.6646 * CHOOSE(CONTROL!$C$8, $C$12, 100%, $E$12) + CHOOSE(CONTROL!$C$27, 0.0003, 0)</f>
        <v>75.664899999999989</v>
      </c>
      <c r="C727" s="4">
        <f>75.3521 * CHOOSE(CONTROL!$C$8, $C$12, 100%, $E$12) + CHOOSE(CONTROL!$C$27, 0.0003, 0)</f>
        <v>75.352399999999989</v>
      </c>
      <c r="D727" s="4">
        <f>72.0105 * CHOOSE(CONTROL!$C$8, $C$12, 100%, $E$12) + CHOOSE(CONTROL!$C$27, 0, 0)</f>
        <v>72.010499999999993</v>
      </c>
      <c r="E727" s="4">
        <f>422.69924130195 * CHOOSE(CONTROL!$C$8, $C$12, 100%, $E$12) + CHOOSE(CONTROL!$C$27, 0, 0)</f>
        <v>422.69924130195</v>
      </c>
    </row>
    <row r="728" spans="1:5" ht="15">
      <c r="A728" s="13">
        <v>64070</v>
      </c>
      <c r="B728" s="4">
        <f>77.4316 * CHOOSE(CONTROL!$C$8, $C$12, 100%, $E$12) + CHOOSE(CONTROL!$C$27, 0.0166, 0)</f>
        <v>77.4482</v>
      </c>
      <c r="C728" s="4">
        <f>77.1191 * CHOOSE(CONTROL!$C$8, $C$12, 100%, $E$12) + CHOOSE(CONTROL!$C$27, 0.0166, 0)</f>
        <v>77.1357</v>
      </c>
      <c r="D728" s="4">
        <f>71.2227 * CHOOSE(CONTROL!$C$8, $C$12, 100%, $E$12) + CHOOSE(CONTROL!$C$27, 0, 0)</f>
        <v>71.222700000000003</v>
      </c>
      <c r="E728" s="4">
        <f>432.820914145987 * CHOOSE(CONTROL!$C$8, $C$12, 100%, $E$12) + CHOOSE(CONTROL!$C$27, 0, 0)</f>
        <v>432.82091414598699</v>
      </c>
    </row>
    <row r="729" spans="1:5" ht="15">
      <c r="A729" s="13">
        <v>64100</v>
      </c>
      <c r="B729" s="4">
        <f>77.6706 * CHOOSE(CONTROL!$C$8, $C$12, 100%, $E$12) + CHOOSE(CONTROL!$C$27, 0.0166, 0)</f>
        <v>77.68719999999999</v>
      </c>
      <c r="C729" s="4">
        <f>77.3581 * CHOOSE(CONTROL!$C$8, $C$12, 100%, $E$12) + CHOOSE(CONTROL!$C$27, 0.0166, 0)</f>
        <v>77.37469999999999</v>
      </c>
      <c r="D729" s="4">
        <f>71.8643 * CHOOSE(CONTROL!$C$8, $C$12, 100%, $E$12) + CHOOSE(CONTROL!$C$27, 0, 0)</f>
        <v>71.8643</v>
      </c>
      <c r="E729" s="4">
        <f>434.19041848759 * CHOOSE(CONTROL!$C$8, $C$12, 100%, $E$12) + CHOOSE(CONTROL!$C$27, 0, 0)</f>
        <v>434.19041848759002</v>
      </c>
    </row>
    <row r="730" spans="1:5" ht="15">
      <c r="A730" s="13">
        <v>64131</v>
      </c>
      <c r="B730" s="4">
        <f>77.6465 * CHOOSE(CONTROL!$C$8, $C$12, 100%, $E$12) + CHOOSE(CONTROL!$C$27, 0.0166, 0)</f>
        <v>77.6631</v>
      </c>
      <c r="C730" s="4">
        <f>77.334 * CHOOSE(CONTROL!$C$8, $C$12, 100%, $E$12) + CHOOSE(CONTROL!$C$27, 0.0166, 0)</f>
        <v>77.3506</v>
      </c>
      <c r="D730" s="4">
        <f>73.0219 * CHOOSE(CONTROL!$C$8, $C$12, 100%, $E$12) + CHOOSE(CONTROL!$C$27, 0, 0)</f>
        <v>73.021900000000002</v>
      </c>
      <c r="E730" s="4">
        <f>434.052317209446 * CHOOSE(CONTROL!$C$8, $C$12, 100%, $E$12) + CHOOSE(CONTROL!$C$27, 0, 0)</f>
        <v>434.05231720944602</v>
      </c>
    </row>
    <row r="731" spans="1:5" ht="15">
      <c r="A731" s="13">
        <v>64162</v>
      </c>
      <c r="B731" s="4">
        <f>79.4606 * CHOOSE(CONTROL!$C$8, $C$12, 100%, $E$12) + CHOOSE(CONTROL!$C$27, 0.0166, 0)</f>
        <v>79.477199999999996</v>
      </c>
      <c r="C731" s="4">
        <f>79.1481 * CHOOSE(CONTROL!$C$8, $C$12, 100%, $E$12) + CHOOSE(CONTROL!$C$27, 0.0166, 0)</f>
        <v>79.164699999999996</v>
      </c>
      <c r="D731" s="4">
        <f>72.2574 * CHOOSE(CONTROL!$C$8, $C$12, 100%, $E$12) + CHOOSE(CONTROL!$C$27, 0, 0)</f>
        <v>72.257400000000004</v>
      </c>
      <c r="E731" s="4">
        <f>444.44443838985 * CHOOSE(CONTROL!$C$8, $C$12, 100%, $E$12) + CHOOSE(CONTROL!$C$27, 0, 0)</f>
        <v>444.44443838985001</v>
      </c>
    </row>
    <row r="732" spans="1:5" ht="15">
      <c r="A732" s="13">
        <v>64192</v>
      </c>
      <c r="B732" s="4">
        <f>76.3688 * CHOOSE(CONTROL!$C$8, $C$12, 100%, $E$12) + CHOOSE(CONTROL!$C$27, 0.0166, 0)</f>
        <v>76.38539999999999</v>
      </c>
      <c r="C732" s="4">
        <f>76.0563 * CHOOSE(CONTROL!$C$8, $C$12, 100%, $E$12) + CHOOSE(CONTROL!$C$27, 0.0166, 0)</f>
        <v>76.07289999999999</v>
      </c>
      <c r="D732" s="4">
        <f>71.8962 * CHOOSE(CONTROL!$C$8, $C$12, 100%, $E$12) + CHOOSE(CONTROL!$C$27, 0, 0)</f>
        <v>71.896199999999993</v>
      </c>
      <c r="E732" s="4">
        <f>426.732949467766 * CHOOSE(CONTROL!$C$8, $C$12, 100%, $E$12) + CHOOSE(CONTROL!$C$27, 0, 0)</f>
        <v>426.73294946776599</v>
      </c>
    </row>
    <row r="733" spans="1:5" ht="15">
      <c r="A733" s="13">
        <v>64223</v>
      </c>
      <c r="B733" s="4">
        <f>73.8937 * CHOOSE(CONTROL!$C$8, $C$12, 100%, $E$12) + CHOOSE(CONTROL!$C$27, 0.0003, 0)</f>
        <v>73.893999999999991</v>
      </c>
      <c r="C733" s="4">
        <f>73.5812 * CHOOSE(CONTROL!$C$8, $C$12, 100%, $E$12) + CHOOSE(CONTROL!$C$27, 0.0003, 0)</f>
        <v>73.581499999999991</v>
      </c>
      <c r="D733" s="4">
        <f>70.929 * CHOOSE(CONTROL!$C$8, $C$12, 100%, $E$12) + CHOOSE(CONTROL!$C$27, 0, 0)</f>
        <v>70.929000000000002</v>
      </c>
      <c r="E733" s="4">
        <f>412.554551578222 * CHOOSE(CONTROL!$C$8, $C$12, 100%, $E$12) + CHOOSE(CONTROL!$C$27, 0, 0)</f>
        <v>412.554551578222</v>
      </c>
    </row>
    <row r="734" spans="1:5" ht="15">
      <c r="A734" s="13">
        <v>64253</v>
      </c>
      <c r="B734" s="4">
        <f>72.2996 * CHOOSE(CONTROL!$C$8, $C$12, 100%, $E$12) + CHOOSE(CONTROL!$C$27, 0.0003, 0)</f>
        <v>72.299899999999994</v>
      </c>
      <c r="C734" s="4">
        <f>71.9871 * CHOOSE(CONTROL!$C$8, $C$12, 100%, $E$12) + CHOOSE(CONTROL!$C$27, 0.0003, 0)</f>
        <v>71.987399999999994</v>
      </c>
      <c r="D734" s="4">
        <f>70.5965 * CHOOSE(CONTROL!$C$8, $C$12, 100%, $E$12) + CHOOSE(CONTROL!$C$27, 0, 0)</f>
        <v>70.596500000000006</v>
      </c>
      <c r="E734" s="4">
        <f>403.42260456089 * CHOOSE(CONTROL!$C$8, $C$12, 100%, $E$12) + CHOOSE(CONTROL!$C$27, 0, 0)</f>
        <v>403.42260456089002</v>
      </c>
    </row>
    <row r="735" spans="1:5" ht="15">
      <c r="A735" s="13">
        <v>64284</v>
      </c>
      <c r="B735" s="4">
        <f>71.1966 * CHOOSE(CONTROL!$C$8, $C$12, 100%, $E$12) + CHOOSE(CONTROL!$C$27, 0.0003, 0)</f>
        <v>71.196899999999999</v>
      </c>
      <c r="C735" s="4">
        <f>70.8841 * CHOOSE(CONTROL!$C$8, $C$12, 100%, $E$12) + CHOOSE(CONTROL!$C$27, 0.0003, 0)</f>
        <v>70.884399999999999</v>
      </c>
      <c r="D735" s="4">
        <f>68.1486 * CHOOSE(CONTROL!$C$8, $C$12, 100%, $E$12) + CHOOSE(CONTROL!$C$27, 0, 0)</f>
        <v>68.148600000000002</v>
      </c>
      <c r="E735" s="4">
        <f>397.10447108576 * CHOOSE(CONTROL!$C$8, $C$12, 100%, $E$12) + CHOOSE(CONTROL!$C$27, 0, 0)</f>
        <v>397.10447108576</v>
      </c>
    </row>
    <row r="736" spans="1:5" ht="15">
      <c r="A736" s="13">
        <v>64315</v>
      </c>
      <c r="B736" s="4">
        <f>69.4046 * CHOOSE(CONTROL!$C$8, $C$12, 100%, $E$12) + CHOOSE(CONTROL!$C$27, 0.0003, 0)</f>
        <v>69.404899999999998</v>
      </c>
      <c r="C736" s="4">
        <f>69.0921 * CHOOSE(CONTROL!$C$8, $C$12, 100%, $E$12) + CHOOSE(CONTROL!$C$27, 0.0003, 0)</f>
        <v>69.092399999999998</v>
      </c>
      <c r="D736" s="4">
        <f>65.8987 * CHOOSE(CONTROL!$C$8, $C$12, 100%, $E$12) + CHOOSE(CONTROL!$C$27, 0, 0)</f>
        <v>65.898700000000005</v>
      </c>
      <c r="E736" s="4">
        <f>385.717028099776 * CHOOSE(CONTROL!$C$8, $C$12, 100%, $E$12) + CHOOSE(CONTROL!$C$27, 0, 0)</f>
        <v>385.71702809977597</v>
      </c>
    </row>
    <row r="737" spans="1:5" ht="15">
      <c r="A737" s="13">
        <v>64344</v>
      </c>
      <c r="B737" s="4">
        <f>71.008 * CHOOSE(CONTROL!$C$8, $C$12, 100%, $E$12) + CHOOSE(CONTROL!$C$27, 0.0003, 0)</f>
        <v>71.008299999999991</v>
      </c>
      <c r="C737" s="4">
        <f>70.6955 * CHOOSE(CONTROL!$C$8, $C$12, 100%, $E$12) + CHOOSE(CONTROL!$C$27, 0.0003, 0)</f>
        <v>70.695799999999991</v>
      </c>
      <c r="D737" s="4">
        <f>68.1643 * CHOOSE(CONTROL!$C$8, $C$12, 100%, $E$12) + CHOOSE(CONTROL!$C$27, 0, 0)</f>
        <v>68.164299999999997</v>
      </c>
      <c r="E737" s="4">
        <f>394.875470422742 * CHOOSE(CONTROL!$C$8, $C$12, 100%, $E$12) + CHOOSE(CONTROL!$C$27, 0, 0)</f>
        <v>394.87547042274201</v>
      </c>
    </row>
    <row r="738" spans="1:5" ht="15">
      <c r="A738" s="13">
        <v>64375</v>
      </c>
      <c r="B738" s="4">
        <f>75.2186 * CHOOSE(CONTROL!$C$8, $C$12, 100%, $E$12) + CHOOSE(CONTROL!$C$27, 0.0003, 0)</f>
        <v>75.218899999999991</v>
      </c>
      <c r="C738" s="4">
        <f>74.9061 * CHOOSE(CONTROL!$C$8, $C$12, 100%, $E$12) + CHOOSE(CONTROL!$C$27, 0.0003, 0)</f>
        <v>74.906399999999991</v>
      </c>
      <c r="D738" s="4">
        <f>71.711 * CHOOSE(CONTROL!$C$8, $C$12, 100%, $E$12) + CHOOSE(CONTROL!$C$27, 0, 0)</f>
        <v>71.710999999999999</v>
      </c>
      <c r="E738" s="4">
        <f>418.926026672035 * CHOOSE(CONTROL!$C$8, $C$12, 100%, $E$12) + CHOOSE(CONTROL!$C$27, 0, 0)</f>
        <v>418.92602667203499</v>
      </c>
    </row>
    <row r="739" spans="1:5" ht="15">
      <c r="A739" s="13">
        <v>64405</v>
      </c>
      <c r="B739" s="4">
        <f>78.2104 * CHOOSE(CONTROL!$C$8, $C$12, 100%, $E$12) + CHOOSE(CONTROL!$C$27, 0.0003, 0)</f>
        <v>78.210700000000003</v>
      </c>
      <c r="C739" s="4">
        <f>77.8979 * CHOOSE(CONTROL!$C$8, $C$12, 100%, $E$12) + CHOOSE(CONTROL!$C$27, 0.0003, 0)</f>
        <v>77.898200000000003</v>
      </c>
      <c r="D739" s="4">
        <f>73.7541 * CHOOSE(CONTROL!$C$8, $C$12, 100%, $E$12) + CHOOSE(CONTROL!$C$27, 0, 0)</f>
        <v>73.754099999999994</v>
      </c>
      <c r="E739" s="4">
        <f>436.014267402961 * CHOOSE(CONTROL!$C$8, $C$12, 100%, $E$12) + CHOOSE(CONTROL!$C$27, 0, 0)</f>
        <v>436.01426740296102</v>
      </c>
    </row>
    <row r="740" spans="1:5" ht="15">
      <c r="A740" s="13">
        <v>64436</v>
      </c>
      <c r="B740" s="4">
        <f>80.0383 * CHOOSE(CONTROL!$C$8, $C$12, 100%, $E$12) + CHOOSE(CONTROL!$C$27, 0.0166, 0)</f>
        <v>80.054900000000004</v>
      </c>
      <c r="C740" s="4">
        <f>79.7258 * CHOOSE(CONTROL!$C$8, $C$12, 100%, $E$12) + CHOOSE(CONTROL!$C$27, 0.0166, 0)</f>
        <v>79.742400000000004</v>
      </c>
      <c r="D740" s="4">
        <f>72.9468 * CHOOSE(CONTROL!$C$8, $C$12, 100%, $E$12) + CHOOSE(CONTROL!$C$27, 0, 0)</f>
        <v>72.946799999999996</v>
      </c>
      <c r="E740" s="4">
        <f>446.454772941585 * CHOOSE(CONTROL!$C$8, $C$12, 100%, $E$12) + CHOOSE(CONTROL!$C$27, 0, 0)</f>
        <v>446.45477294158502</v>
      </c>
    </row>
    <row r="741" spans="1:5" ht="15">
      <c r="A741" s="13">
        <v>64466</v>
      </c>
      <c r="B741" s="4">
        <f>80.2856 * CHOOSE(CONTROL!$C$8, $C$12, 100%, $E$12) + CHOOSE(CONTROL!$C$27, 0.0166, 0)</f>
        <v>80.302199999999999</v>
      </c>
      <c r="C741" s="4">
        <f>79.9731 * CHOOSE(CONTROL!$C$8, $C$12, 100%, $E$12) + CHOOSE(CONTROL!$C$27, 0.0166, 0)</f>
        <v>79.989699999999999</v>
      </c>
      <c r="D741" s="4">
        <f>73.6042 * CHOOSE(CONTROL!$C$8, $C$12, 100%, $E$12) + CHOOSE(CONTROL!$C$27, 0, 0)</f>
        <v>73.604200000000006</v>
      </c>
      <c r="E741" s="4">
        <f>447.86741666995 * CHOOSE(CONTROL!$C$8, $C$12, 100%, $E$12) + CHOOSE(CONTROL!$C$27, 0, 0)</f>
        <v>447.86741666994999</v>
      </c>
    </row>
    <row r="742" spans="1:5" ht="15">
      <c r="A742" s="13">
        <v>64497</v>
      </c>
      <c r="B742" s="4">
        <f>80.2606 * CHOOSE(CONTROL!$C$8, $C$12, 100%, $E$12) + CHOOSE(CONTROL!$C$27, 0.0166, 0)</f>
        <v>80.277199999999993</v>
      </c>
      <c r="C742" s="4">
        <f>79.9481 * CHOOSE(CONTROL!$C$8, $C$12, 100%, $E$12) + CHOOSE(CONTROL!$C$27, 0.0166, 0)</f>
        <v>79.964699999999993</v>
      </c>
      <c r="D742" s="4">
        <f>74.7906 * CHOOSE(CONTROL!$C$8, $C$12, 100%, $E$12) + CHOOSE(CONTROL!$C$27, 0, 0)</f>
        <v>74.790599999999998</v>
      </c>
      <c r="E742" s="4">
        <f>447.724965201543 * CHOOSE(CONTROL!$C$8, $C$12, 100%, $E$12) + CHOOSE(CONTROL!$C$27, 0, 0)</f>
        <v>447.724965201543</v>
      </c>
    </row>
    <row r="743" spans="1:5" ht="15">
      <c r="A743" s="13">
        <v>64528</v>
      </c>
      <c r="B743" s="4">
        <f>82.1373 * CHOOSE(CONTROL!$C$8, $C$12, 100%, $E$12) + CHOOSE(CONTROL!$C$27, 0.0166, 0)</f>
        <v>82.153899999999993</v>
      </c>
      <c r="C743" s="4">
        <f>81.8248 * CHOOSE(CONTROL!$C$8, $C$12, 100%, $E$12) + CHOOSE(CONTROL!$C$27, 0.0166, 0)</f>
        <v>81.841399999999993</v>
      </c>
      <c r="D743" s="4">
        <f>74.0071 * CHOOSE(CONTROL!$C$8, $C$12, 100%, $E$12) + CHOOSE(CONTROL!$C$27, 0, 0)</f>
        <v>74.007099999999994</v>
      </c>
      <c r="E743" s="4">
        <f>458.44443819913 * CHOOSE(CONTROL!$C$8, $C$12, 100%, $E$12) + CHOOSE(CONTROL!$C$27, 0, 0)</f>
        <v>458.44443819912999</v>
      </c>
    </row>
    <row r="744" spans="1:5" ht="15">
      <c r="A744" s="13">
        <v>64558</v>
      </c>
      <c r="B744" s="4">
        <f>78.9388 * CHOOSE(CONTROL!$C$8, $C$12, 100%, $E$12) + CHOOSE(CONTROL!$C$27, 0.0166, 0)</f>
        <v>78.955399999999997</v>
      </c>
      <c r="C744" s="4">
        <f>78.6263 * CHOOSE(CONTROL!$C$8, $C$12, 100%, $E$12) + CHOOSE(CONTROL!$C$27, 0.0166, 0)</f>
        <v>78.642899999999997</v>
      </c>
      <c r="D744" s="4">
        <f>73.637 * CHOOSE(CONTROL!$C$8, $C$12, 100%, $E$12) + CHOOSE(CONTROL!$C$27, 0, 0)</f>
        <v>73.637</v>
      </c>
      <c r="E744" s="4">
        <f>440.175037376 * CHOOSE(CONTROL!$C$8, $C$12, 100%, $E$12) + CHOOSE(CONTROL!$C$27, 0, 0)</f>
        <v>440.17503737599998</v>
      </c>
    </row>
    <row r="745" spans="1:5" ht="15">
      <c r="A745" s="13">
        <v>64589</v>
      </c>
      <c r="B745" s="4">
        <f>76.3783 * CHOOSE(CONTROL!$C$8, $C$12, 100%, $E$12) + CHOOSE(CONTROL!$C$27, 0.0003, 0)</f>
        <v>76.378599999999992</v>
      </c>
      <c r="C745" s="4">
        <f>76.0658 * CHOOSE(CONTROL!$C$8, $C$12, 100%, $E$12) + CHOOSE(CONTROL!$C$27, 0.0003, 0)</f>
        <v>76.066099999999992</v>
      </c>
      <c r="D745" s="4">
        <f>72.6458 * CHOOSE(CONTROL!$C$8, $C$12, 100%, $E$12) + CHOOSE(CONTROL!$C$27, 0, 0)</f>
        <v>72.645799999999994</v>
      </c>
      <c r="E745" s="4">
        <f>425.550019952936 * CHOOSE(CONTROL!$C$8, $C$12, 100%, $E$12) + CHOOSE(CONTROL!$C$27, 0, 0)</f>
        <v>425.550019952936</v>
      </c>
    </row>
    <row r="746" spans="1:5" ht="15">
      <c r="A746" s="13">
        <v>64619</v>
      </c>
      <c r="B746" s="4">
        <f>74.7292 * CHOOSE(CONTROL!$C$8, $C$12, 100%, $E$12) + CHOOSE(CONTROL!$C$27, 0.0003, 0)</f>
        <v>74.729500000000002</v>
      </c>
      <c r="C746" s="4">
        <f>74.4167 * CHOOSE(CONTROL!$C$8, $C$12, 100%, $E$12) + CHOOSE(CONTROL!$C$27, 0.0003, 0)</f>
        <v>74.417000000000002</v>
      </c>
      <c r="D746" s="4">
        <f>72.305 * CHOOSE(CONTROL!$C$8, $C$12, 100%, $E$12) + CHOOSE(CONTROL!$C$27, 0, 0)</f>
        <v>72.305000000000007</v>
      </c>
      <c r="E746" s="4">
        <f>416.130416604558 * CHOOSE(CONTROL!$C$8, $C$12, 100%, $E$12) + CHOOSE(CONTROL!$C$27, 0, 0)</f>
        <v>416.13041660455798</v>
      </c>
    </row>
    <row r="747" spans="1:5" ht="15">
      <c r="A747" s="13">
        <v>64650</v>
      </c>
      <c r="B747" s="4">
        <f>73.5882 * CHOOSE(CONTROL!$C$8, $C$12, 100%, $E$12) + CHOOSE(CONTROL!$C$27, 0.0003, 0)</f>
        <v>73.588499999999996</v>
      </c>
      <c r="C747" s="4">
        <f>73.2757 * CHOOSE(CONTROL!$C$8, $C$12, 100%, $E$12) + CHOOSE(CONTROL!$C$27, 0.0003, 0)</f>
        <v>73.275999999999996</v>
      </c>
      <c r="D747" s="4">
        <f>69.7964 * CHOOSE(CONTROL!$C$8, $C$12, 100%, $E$12) + CHOOSE(CONTROL!$C$27, 0, 0)</f>
        <v>69.796400000000006</v>
      </c>
      <c r="E747" s="4">
        <f>409.613261924962 * CHOOSE(CONTROL!$C$8, $C$12, 100%, $E$12) + CHOOSE(CONTROL!$C$27, 0, 0)</f>
        <v>409.61326192496199</v>
      </c>
    </row>
    <row r="748" spans="1:5" ht="15">
      <c r="A748" s="13">
        <v>64681</v>
      </c>
      <c r="B748" s="4">
        <f>71.7343 * CHOOSE(CONTROL!$C$8, $C$12, 100%, $E$12) + CHOOSE(CONTROL!$C$27, 0.0003, 0)</f>
        <v>71.7346</v>
      </c>
      <c r="C748" s="4">
        <f>71.4218 * CHOOSE(CONTROL!$C$8, $C$12, 100%, $E$12) + CHOOSE(CONTROL!$C$27, 0.0003, 0)</f>
        <v>71.4221</v>
      </c>
      <c r="D748" s="4">
        <f>67.4907 * CHOOSE(CONTROL!$C$8, $C$12, 100%, $E$12) + CHOOSE(CONTROL!$C$27, 0, 0)</f>
        <v>67.490700000000004</v>
      </c>
      <c r="E748" s="4">
        <f>397.867114484919 * CHOOSE(CONTROL!$C$8, $C$12, 100%, $E$12) + CHOOSE(CONTROL!$C$27, 0, 0)</f>
        <v>397.867114484919</v>
      </c>
    </row>
    <row r="749" spans="1:5" ht="15">
      <c r="A749" s="13">
        <v>64709</v>
      </c>
      <c r="B749" s="4">
        <f>73.3931 * CHOOSE(CONTROL!$C$8, $C$12, 100%, $E$12) + CHOOSE(CONTROL!$C$27, 0.0003, 0)</f>
        <v>73.3934</v>
      </c>
      <c r="C749" s="4">
        <f>73.0806 * CHOOSE(CONTROL!$C$8, $C$12, 100%, $E$12) + CHOOSE(CONTROL!$C$27, 0.0003, 0)</f>
        <v>73.0809</v>
      </c>
      <c r="D749" s="4">
        <f>69.8125 * CHOOSE(CONTROL!$C$8, $C$12, 100%, $E$12) + CHOOSE(CONTROL!$C$27, 0, 0)</f>
        <v>69.8125</v>
      </c>
      <c r="E749" s="4">
        <f>407.314047741058 * CHOOSE(CONTROL!$C$8, $C$12, 100%, $E$12) + CHOOSE(CONTROL!$C$27, 0, 0)</f>
        <v>407.314047741058</v>
      </c>
    </row>
    <row r="750" spans="1:5" ht="15">
      <c r="A750" s="13">
        <v>64740</v>
      </c>
      <c r="B750" s="4">
        <f>77.749 * CHOOSE(CONTROL!$C$8, $C$12, 100%, $E$12) + CHOOSE(CONTROL!$C$27, 0.0003, 0)</f>
        <v>77.749299999999991</v>
      </c>
      <c r="C750" s="4">
        <f>77.4365 * CHOOSE(CONTROL!$C$8, $C$12, 100%, $E$12) + CHOOSE(CONTROL!$C$27, 0.0003, 0)</f>
        <v>77.436799999999991</v>
      </c>
      <c r="D750" s="4">
        <f>73.4472 * CHOOSE(CONTROL!$C$8, $C$12, 100%, $E$12) + CHOOSE(CONTROL!$C$27, 0, 0)</f>
        <v>73.447199999999995</v>
      </c>
      <c r="E750" s="4">
        <f>432.122196512204 * CHOOSE(CONTROL!$C$8, $C$12, 100%, $E$12) + CHOOSE(CONTROL!$C$27, 0, 0)</f>
        <v>432.12219651220403</v>
      </c>
    </row>
    <row r="751" spans="1:5" ht="15">
      <c r="A751" s="13">
        <v>64770</v>
      </c>
      <c r="B751" s="4">
        <f>80.8439 * CHOOSE(CONTROL!$C$8, $C$12, 100%, $E$12) + CHOOSE(CONTROL!$C$27, 0.0003, 0)</f>
        <v>80.844200000000001</v>
      </c>
      <c r="C751" s="4">
        <f>80.5314 * CHOOSE(CONTROL!$C$8, $C$12, 100%, $E$12) + CHOOSE(CONTROL!$C$27, 0.0003, 0)</f>
        <v>80.531700000000001</v>
      </c>
      <c r="D751" s="4">
        <f>75.5409 * CHOOSE(CONTROL!$C$8, $C$12, 100%, $E$12) + CHOOSE(CONTROL!$C$27, 0, 0)</f>
        <v>75.540899999999993</v>
      </c>
      <c r="E751" s="4">
        <f>449.748716826154 * CHOOSE(CONTROL!$C$8, $C$12, 100%, $E$12) + CHOOSE(CONTROL!$C$27, 0, 0)</f>
        <v>449.74871682615401</v>
      </c>
    </row>
    <row r="752" spans="1:5" ht="15">
      <c r="A752" s="13">
        <v>64801</v>
      </c>
      <c r="B752" s="4">
        <f>82.7349 * CHOOSE(CONTROL!$C$8, $C$12, 100%, $E$12) + CHOOSE(CONTROL!$C$27, 0.0166, 0)</f>
        <v>82.751499999999993</v>
      </c>
      <c r="C752" s="4">
        <f>82.4224 * CHOOSE(CONTROL!$C$8, $C$12, 100%, $E$12) + CHOOSE(CONTROL!$C$27, 0.0166, 0)</f>
        <v>82.438999999999993</v>
      </c>
      <c r="D752" s="4">
        <f>74.7136 * CHOOSE(CONTROL!$C$8, $C$12, 100%, $E$12) + CHOOSE(CONTROL!$C$27, 0, 0)</f>
        <v>74.7136</v>
      </c>
      <c r="E752" s="4">
        <f>460.518098289245 * CHOOSE(CONTROL!$C$8, $C$12, 100%, $E$12) + CHOOSE(CONTROL!$C$27, 0, 0)</f>
        <v>460.51809828924502</v>
      </c>
    </row>
    <row r="753" spans="1:5" ht="15">
      <c r="A753" s="13">
        <v>64831</v>
      </c>
      <c r="B753" s="4">
        <f>82.9907 * CHOOSE(CONTROL!$C$8, $C$12, 100%, $E$12) + CHOOSE(CONTROL!$C$27, 0.0166, 0)</f>
        <v>83.007300000000001</v>
      </c>
      <c r="C753" s="4">
        <f>82.6782 * CHOOSE(CONTROL!$C$8, $C$12, 100%, $E$12) + CHOOSE(CONTROL!$C$27, 0.0166, 0)</f>
        <v>82.694800000000001</v>
      </c>
      <c r="D753" s="4">
        <f>75.3874 * CHOOSE(CONTROL!$C$8, $C$12, 100%, $E$12) + CHOOSE(CONTROL!$C$27, 0, 0)</f>
        <v>75.3874</v>
      </c>
      <c r="E753" s="4">
        <f>461.975240295053 * CHOOSE(CONTROL!$C$8, $C$12, 100%, $E$12) + CHOOSE(CONTROL!$C$27, 0, 0)</f>
        <v>461.97524029505303</v>
      </c>
    </row>
    <row r="754" spans="1:5" ht="15">
      <c r="A754" s="13">
        <v>64862</v>
      </c>
      <c r="B754" s="4">
        <f>82.9649 * CHOOSE(CONTROL!$C$8, $C$12, 100%, $E$12) + CHOOSE(CONTROL!$C$27, 0.0166, 0)</f>
        <v>82.981499999999997</v>
      </c>
      <c r="C754" s="4">
        <f>82.6524 * CHOOSE(CONTROL!$C$8, $C$12, 100%, $E$12) + CHOOSE(CONTROL!$C$27, 0.0166, 0)</f>
        <v>82.668999999999997</v>
      </c>
      <c r="D754" s="4">
        <f>76.6031 * CHOOSE(CONTROL!$C$8, $C$12, 100%, $E$12) + CHOOSE(CONTROL!$C$27, 0, 0)</f>
        <v>76.603099999999998</v>
      </c>
      <c r="E754" s="4">
        <f>461.828301605392 * CHOOSE(CONTROL!$C$8, $C$12, 100%, $E$12) + CHOOSE(CONTROL!$C$27, 0, 0)</f>
        <v>461.82830160539203</v>
      </c>
    </row>
    <row r="755" spans="1:5" ht="15">
      <c r="A755" s="13">
        <v>64893</v>
      </c>
      <c r="B755" s="4">
        <f>84.9064 * CHOOSE(CONTROL!$C$8, $C$12, 100%, $E$12) + CHOOSE(CONTROL!$C$27, 0.0166, 0)</f>
        <v>84.923000000000002</v>
      </c>
      <c r="C755" s="4">
        <f>84.5939 * CHOOSE(CONTROL!$C$8, $C$12, 100%, $E$12) + CHOOSE(CONTROL!$C$27, 0.0166, 0)</f>
        <v>84.610500000000002</v>
      </c>
      <c r="D755" s="4">
        <f>75.8002 * CHOOSE(CONTROL!$C$8, $C$12, 100%, $E$12) + CHOOSE(CONTROL!$C$27, 0, 0)</f>
        <v>75.800200000000004</v>
      </c>
      <c r="E755" s="4">
        <f>472.885438002403 * CHOOSE(CONTROL!$C$8, $C$12, 100%, $E$12) + CHOOSE(CONTROL!$C$27, 0, 0)</f>
        <v>472.88543800240302</v>
      </c>
    </row>
    <row r="756" spans="1:5" ht="15">
      <c r="A756" s="13">
        <v>64923</v>
      </c>
      <c r="B756" s="4">
        <f>81.5975 * CHOOSE(CONTROL!$C$8, $C$12, 100%, $E$12) + CHOOSE(CONTROL!$C$27, 0.0166, 0)</f>
        <v>81.614099999999993</v>
      </c>
      <c r="C756" s="4">
        <f>81.285 * CHOOSE(CONTROL!$C$8, $C$12, 100%, $E$12) + CHOOSE(CONTROL!$C$27, 0.0166, 0)</f>
        <v>81.301599999999993</v>
      </c>
      <c r="D756" s="4">
        <f>75.4209 * CHOOSE(CONTROL!$C$8, $C$12, 100%, $E$12) + CHOOSE(CONTROL!$C$27, 0, 0)</f>
        <v>75.420900000000003</v>
      </c>
      <c r="E756" s="4">
        <f>454.040551053344 * CHOOSE(CONTROL!$C$8, $C$12, 100%, $E$12) + CHOOSE(CONTROL!$C$27, 0, 0)</f>
        <v>454.04055105334402</v>
      </c>
    </row>
    <row r="757" spans="1:5" ht="15">
      <c r="A757" s="13">
        <v>64954</v>
      </c>
      <c r="B757" s="4">
        <f>78.9487 * CHOOSE(CONTROL!$C$8, $C$12, 100%, $E$12) + CHOOSE(CONTROL!$C$27, 0.0003, 0)</f>
        <v>78.948999999999998</v>
      </c>
      <c r="C757" s="4">
        <f>78.6362 * CHOOSE(CONTROL!$C$8, $C$12, 100%, $E$12) + CHOOSE(CONTROL!$C$27, 0.0003, 0)</f>
        <v>78.636499999999998</v>
      </c>
      <c r="D757" s="4">
        <f>74.4051 * CHOOSE(CONTROL!$C$8, $C$12, 100%, $E$12) + CHOOSE(CONTROL!$C$27, 0, 0)</f>
        <v>74.405100000000004</v>
      </c>
      <c r="E757" s="4">
        <f>438.954845581453 * CHOOSE(CONTROL!$C$8, $C$12, 100%, $E$12) + CHOOSE(CONTROL!$C$27, 0, 0)</f>
        <v>438.95484558145301</v>
      </c>
    </row>
    <row r="758" spans="1:5" ht="15">
      <c r="A758" s="13">
        <v>64984</v>
      </c>
      <c r="B758" s="4">
        <f>77.2427 * CHOOSE(CONTROL!$C$8, $C$12, 100%, $E$12) + CHOOSE(CONTROL!$C$27, 0.0003, 0)</f>
        <v>77.242999999999995</v>
      </c>
      <c r="C758" s="4">
        <f>76.9302 * CHOOSE(CONTROL!$C$8, $C$12, 100%, $E$12) + CHOOSE(CONTROL!$C$27, 0.0003, 0)</f>
        <v>76.930499999999995</v>
      </c>
      <c r="D758" s="4">
        <f>74.0559 * CHOOSE(CONTROL!$C$8, $C$12, 100%, $E$12) + CHOOSE(CONTROL!$C$27, 0, 0)</f>
        <v>74.055899999999994</v>
      </c>
      <c r="E758" s="4">
        <f>429.238524727601 * CHOOSE(CONTROL!$C$8, $C$12, 100%, $E$12) + CHOOSE(CONTROL!$C$27, 0, 0)</f>
        <v>429.23852472760097</v>
      </c>
    </row>
    <row r="759" spans="1:5" ht="15">
      <c r="A759" s="13">
        <v>65015</v>
      </c>
      <c r="B759" s="4">
        <f>76.0623 * CHOOSE(CONTROL!$C$8, $C$12, 100%, $E$12) + CHOOSE(CONTROL!$C$27, 0.0003, 0)</f>
        <v>76.062599999999989</v>
      </c>
      <c r="C759" s="4">
        <f>75.7498 * CHOOSE(CONTROL!$C$8, $C$12, 100%, $E$12) + CHOOSE(CONTROL!$C$27, 0.0003, 0)</f>
        <v>75.750099999999989</v>
      </c>
      <c r="D759" s="4">
        <f>71.485 * CHOOSE(CONTROL!$C$8, $C$12, 100%, $E$12) + CHOOSE(CONTROL!$C$27, 0, 0)</f>
        <v>71.484999999999999</v>
      </c>
      <c r="E759" s="4">
        <f>422.516079675598 * CHOOSE(CONTROL!$C$8, $C$12, 100%, $E$12) + CHOOSE(CONTROL!$C$27, 0, 0)</f>
        <v>422.51607967559801</v>
      </c>
    </row>
    <row r="760" spans="1:5" ht="15">
      <c r="A760" s="13">
        <v>65046</v>
      </c>
      <c r="B760" s="4">
        <f>74.1445 * CHOOSE(CONTROL!$C$8, $C$12, 100%, $E$12) + CHOOSE(CONTROL!$C$27, 0.0003, 0)</f>
        <v>74.144799999999989</v>
      </c>
      <c r="C760" s="4">
        <f>73.832 * CHOOSE(CONTROL!$C$8, $C$12, 100%, $E$12) + CHOOSE(CONTROL!$C$27, 0.0003, 0)</f>
        <v>73.832299999999989</v>
      </c>
      <c r="D760" s="4">
        <f>69.1222 * CHOOSE(CONTROL!$C$8, $C$12, 100%, $E$12) + CHOOSE(CONTROL!$C$27, 0, 0)</f>
        <v>69.122200000000007</v>
      </c>
      <c r="E760" s="4">
        <f>410.399928591194 * CHOOSE(CONTROL!$C$8, $C$12, 100%, $E$12) + CHOOSE(CONTROL!$C$27, 0, 0)</f>
        <v>410.399928591194</v>
      </c>
    </row>
    <row r="761" spans="1:5" ht="15">
      <c r="A761" s="13">
        <v>65074</v>
      </c>
      <c r="B761" s="4">
        <f>75.8604 * CHOOSE(CONTROL!$C$8, $C$12, 100%, $E$12) + CHOOSE(CONTROL!$C$27, 0.0003, 0)</f>
        <v>75.860699999999994</v>
      </c>
      <c r="C761" s="4">
        <f>75.5479 * CHOOSE(CONTROL!$C$8, $C$12, 100%, $E$12) + CHOOSE(CONTROL!$C$27, 0.0003, 0)</f>
        <v>75.548199999999994</v>
      </c>
      <c r="D761" s="4">
        <f>71.5016 * CHOOSE(CONTROL!$C$8, $C$12, 100%, $E$12) + CHOOSE(CONTROL!$C$27, 0, 0)</f>
        <v>71.501599999999996</v>
      </c>
      <c r="E761" s="4">
        <f>420.144440244902 * CHOOSE(CONTROL!$C$8, $C$12, 100%, $E$12) + CHOOSE(CONTROL!$C$27, 0, 0)</f>
        <v>420.144440244902</v>
      </c>
    </row>
    <row r="762" spans="1:5" ht="15">
      <c r="A762" s="13">
        <v>65105</v>
      </c>
      <c r="B762" s="4">
        <f>80.3667 * CHOOSE(CONTROL!$C$8, $C$12, 100%, $E$12) + CHOOSE(CONTROL!$C$27, 0.0003, 0)</f>
        <v>80.36699999999999</v>
      </c>
      <c r="C762" s="4">
        <f>80.0542 * CHOOSE(CONTROL!$C$8, $C$12, 100%, $E$12) + CHOOSE(CONTROL!$C$27, 0.0003, 0)</f>
        <v>80.05449999999999</v>
      </c>
      <c r="D762" s="4">
        <f>75.2264 * CHOOSE(CONTROL!$C$8, $C$12, 100%, $E$12) + CHOOSE(CONTROL!$C$27, 0, 0)</f>
        <v>75.226399999999998</v>
      </c>
      <c r="E762" s="4">
        <f>445.734045702338 * CHOOSE(CONTROL!$C$8, $C$12, 100%, $E$12) + CHOOSE(CONTROL!$C$27, 0, 0)</f>
        <v>445.73404570233799</v>
      </c>
    </row>
    <row r="763" spans="1:5" ht="15">
      <c r="A763" s="13">
        <v>65135</v>
      </c>
      <c r="B763" s="4">
        <f>83.5684 * CHOOSE(CONTROL!$C$8, $C$12, 100%, $E$12) + CHOOSE(CONTROL!$C$27, 0.0003, 0)</f>
        <v>83.568699999999993</v>
      </c>
      <c r="C763" s="4">
        <f>83.2559 * CHOOSE(CONTROL!$C$8, $C$12, 100%, $E$12) + CHOOSE(CONTROL!$C$27, 0.0003, 0)</f>
        <v>83.256199999999993</v>
      </c>
      <c r="D763" s="4">
        <f>77.372 * CHOOSE(CONTROL!$C$8, $C$12, 100%, $E$12) + CHOOSE(CONTROL!$C$27, 0, 0)</f>
        <v>77.372</v>
      </c>
      <c r="E763" s="4">
        <f>463.915801406178 * CHOOSE(CONTROL!$C$8, $C$12, 100%, $E$12) + CHOOSE(CONTROL!$C$27, 0, 0)</f>
        <v>463.91580140617799</v>
      </c>
    </row>
    <row r="764" spans="1:5" ht="15">
      <c r="A764" s="13">
        <v>65166</v>
      </c>
      <c r="B764" s="4">
        <f>85.5245 * CHOOSE(CONTROL!$C$8, $C$12, 100%, $E$12) + CHOOSE(CONTROL!$C$27, 0.0166, 0)</f>
        <v>85.5411</v>
      </c>
      <c r="C764" s="4">
        <f>85.212 * CHOOSE(CONTROL!$C$8, $C$12, 100%, $E$12) + CHOOSE(CONTROL!$C$27, 0.0166, 0)</f>
        <v>85.2286</v>
      </c>
      <c r="D764" s="4">
        <f>76.5242 * CHOOSE(CONTROL!$C$8, $C$12, 100%, $E$12) + CHOOSE(CONTROL!$C$27, 0, 0)</f>
        <v>76.524199999999993</v>
      </c>
      <c r="E764" s="4">
        <f>475.024418385357 * CHOOSE(CONTROL!$C$8, $C$12, 100%, $E$12) + CHOOSE(CONTROL!$C$27, 0, 0)</f>
        <v>475.02441838535702</v>
      </c>
    </row>
    <row r="765" spans="1:5" ht="15">
      <c r="A765" s="13">
        <v>65196</v>
      </c>
      <c r="B765" s="4">
        <f>85.7892 * CHOOSE(CONTROL!$C$8, $C$12, 100%, $E$12) + CHOOSE(CONTROL!$C$27, 0.0166, 0)</f>
        <v>85.805799999999991</v>
      </c>
      <c r="C765" s="4">
        <f>85.4767 * CHOOSE(CONTROL!$C$8, $C$12, 100%, $E$12) + CHOOSE(CONTROL!$C$27, 0.0166, 0)</f>
        <v>85.493299999999991</v>
      </c>
      <c r="D765" s="4">
        <f>77.2147 * CHOOSE(CONTROL!$C$8, $C$12, 100%, $E$12) + CHOOSE(CONTROL!$C$27, 0, 0)</f>
        <v>77.214699999999993</v>
      </c>
      <c r="E765" s="4">
        <f>476.527460364347 * CHOOSE(CONTROL!$C$8, $C$12, 100%, $E$12) + CHOOSE(CONTROL!$C$27, 0, 0)</f>
        <v>476.52746036434701</v>
      </c>
    </row>
    <row r="766" spans="1:5" ht="15">
      <c r="A766" s="13">
        <v>65227</v>
      </c>
      <c r="B766" s="4">
        <f>85.7625 * CHOOSE(CONTROL!$C$8, $C$12, 100%, $E$12) + CHOOSE(CONTROL!$C$27, 0.0166, 0)</f>
        <v>85.7791</v>
      </c>
      <c r="C766" s="4">
        <f>85.45 * CHOOSE(CONTROL!$C$8, $C$12, 100%, $E$12) + CHOOSE(CONTROL!$C$27, 0.0166, 0)</f>
        <v>85.4666</v>
      </c>
      <c r="D766" s="4">
        <f>78.4606 * CHOOSE(CONTROL!$C$8, $C$12, 100%, $E$12) + CHOOSE(CONTROL!$C$27, 0, 0)</f>
        <v>78.460599999999999</v>
      </c>
      <c r="E766" s="4">
        <f>476.375893105962 * CHOOSE(CONTROL!$C$8, $C$12, 100%, $E$12) + CHOOSE(CONTROL!$C$27, 0, 0)</f>
        <v>476.37589310596201</v>
      </c>
    </row>
    <row r="767" spans="1:5" ht="15">
      <c r="A767" s="13">
        <v>65258</v>
      </c>
      <c r="B767" s="4">
        <f>87.771 * CHOOSE(CONTROL!$C$8, $C$12, 100%, $E$12) + CHOOSE(CONTROL!$C$27, 0.0166, 0)</f>
        <v>87.787599999999998</v>
      </c>
      <c r="C767" s="4">
        <f>87.4585 * CHOOSE(CONTROL!$C$8, $C$12, 100%, $E$12) + CHOOSE(CONTROL!$C$27, 0.0166, 0)</f>
        <v>87.475099999999998</v>
      </c>
      <c r="D767" s="4">
        <f>77.6378 * CHOOSE(CONTROL!$C$8, $C$12, 100%, $E$12) + CHOOSE(CONTROL!$C$27, 0, 0)</f>
        <v>77.637799999999999</v>
      </c>
      <c r="E767" s="4">
        <f>487.781329299479 * CHOOSE(CONTROL!$C$8, $C$12, 100%, $E$12) + CHOOSE(CONTROL!$C$27, 0, 0)</f>
        <v>487.78132929947901</v>
      </c>
    </row>
    <row r="768" spans="1:5" ht="15">
      <c r="A768" s="13">
        <v>65288</v>
      </c>
      <c r="B768" s="4">
        <f>84.348 * CHOOSE(CONTROL!$C$8, $C$12, 100%, $E$12) + CHOOSE(CONTROL!$C$27, 0.0166, 0)</f>
        <v>84.364599999999996</v>
      </c>
      <c r="C768" s="4">
        <f>84.0355 * CHOOSE(CONTROL!$C$8, $C$12, 100%, $E$12) + CHOOSE(CONTROL!$C$27, 0.0166, 0)</f>
        <v>84.052099999999996</v>
      </c>
      <c r="D768" s="4">
        <f>77.249 * CHOOSE(CONTROL!$C$8, $C$12, 100%, $E$12) + CHOOSE(CONTROL!$C$27, 0, 0)</f>
        <v>77.248999999999995</v>
      </c>
      <c r="E768" s="4">
        <f>468.342828411525 * CHOOSE(CONTROL!$C$8, $C$12, 100%, $E$12) + CHOOSE(CONTROL!$C$27, 0, 0)</f>
        <v>468.34282841152498</v>
      </c>
    </row>
    <row r="769" spans="1:5" ht="15">
      <c r="A769" s="13">
        <v>65319</v>
      </c>
      <c r="B769" s="4">
        <f>81.6078 * CHOOSE(CONTROL!$C$8, $C$12, 100%, $E$12) + CHOOSE(CONTROL!$C$27, 0.0003, 0)</f>
        <v>81.608099999999993</v>
      </c>
      <c r="C769" s="4">
        <f>81.2953 * CHOOSE(CONTROL!$C$8, $C$12, 100%, $E$12) + CHOOSE(CONTROL!$C$27, 0.0003, 0)</f>
        <v>81.295599999999993</v>
      </c>
      <c r="D769" s="4">
        <f>76.2081 * CHOOSE(CONTROL!$C$8, $C$12, 100%, $E$12) + CHOOSE(CONTROL!$C$27, 0, 0)</f>
        <v>76.208100000000002</v>
      </c>
      <c r="E769" s="4">
        <f>452.781923217269 * CHOOSE(CONTROL!$C$8, $C$12, 100%, $E$12) + CHOOSE(CONTROL!$C$27, 0, 0)</f>
        <v>452.78192321726902</v>
      </c>
    </row>
    <row r="770" spans="1:5" ht="15">
      <c r="A770" s="13">
        <v>65349</v>
      </c>
      <c r="B770" s="4">
        <f>79.8429 * CHOOSE(CONTROL!$C$8, $C$12, 100%, $E$12) + CHOOSE(CONTROL!$C$27, 0.0003, 0)</f>
        <v>79.843199999999996</v>
      </c>
      <c r="C770" s="4">
        <f>79.5304 * CHOOSE(CONTROL!$C$8, $C$12, 100%, $E$12) + CHOOSE(CONTROL!$C$27, 0.0003, 0)</f>
        <v>79.530699999999996</v>
      </c>
      <c r="D770" s="4">
        <f>75.8503 * CHOOSE(CONTROL!$C$8, $C$12, 100%, $E$12) + CHOOSE(CONTROL!$C$27, 0, 0)</f>
        <v>75.850300000000004</v>
      </c>
      <c r="E770" s="4">
        <f>442.759538256521 * CHOOSE(CONTROL!$C$8, $C$12, 100%, $E$12) + CHOOSE(CONTROL!$C$27, 0, 0)</f>
        <v>442.75953825652101</v>
      </c>
    </row>
    <row r="771" spans="1:5" ht="15">
      <c r="A771" s="13">
        <v>65380</v>
      </c>
      <c r="B771" s="4">
        <f>78.6218 * CHOOSE(CONTROL!$C$8, $C$12, 100%, $E$12) + CHOOSE(CONTROL!$C$27, 0.0003, 0)</f>
        <v>78.622099999999989</v>
      </c>
      <c r="C771" s="4">
        <f>78.3093 * CHOOSE(CONTROL!$C$8, $C$12, 100%, $E$12) + CHOOSE(CONTROL!$C$27, 0.0003, 0)</f>
        <v>78.309599999999989</v>
      </c>
      <c r="D771" s="4">
        <f>73.2156 * CHOOSE(CONTROL!$C$8, $C$12, 100%, $E$12) + CHOOSE(CONTROL!$C$27, 0, 0)</f>
        <v>73.215599999999995</v>
      </c>
      <c r="E771" s="4">
        <f>435.825336185379 * CHOOSE(CONTROL!$C$8, $C$12, 100%, $E$12) + CHOOSE(CONTROL!$C$27, 0, 0)</f>
        <v>435.825336185379</v>
      </c>
    </row>
    <row r="772" spans="1:5" ht="15">
      <c r="A772" s="13">
        <v>65411</v>
      </c>
      <c r="B772" s="4">
        <f>76.6378 * CHOOSE(CONTROL!$C$8, $C$12, 100%, $E$12) + CHOOSE(CONTROL!$C$27, 0.0003, 0)</f>
        <v>76.638099999999994</v>
      </c>
      <c r="C772" s="4">
        <f>76.3253 * CHOOSE(CONTROL!$C$8, $C$12, 100%, $E$12) + CHOOSE(CONTROL!$C$27, 0.0003, 0)</f>
        <v>76.325599999999994</v>
      </c>
      <c r="D772" s="4">
        <f>70.7941 * CHOOSE(CONTROL!$C$8, $C$12, 100%, $E$12) + CHOOSE(CONTROL!$C$27, 0, 0)</f>
        <v>70.7941</v>
      </c>
      <c r="E772" s="4">
        <f>423.327526341816 * CHOOSE(CONTROL!$C$8, $C$12, 100%, $E$12) + CHOOSE(CONTROL!$C$27, 0, 0)</f>
        <v>423.327526341816</v>
      </c>
    </row>
    <row r="773" spans="1:5" ht="15">
      <c r="A773" s="13">
        <v>65439</v>
      </c>
      <c r="B773" s="4">
        <f>78.4129 * CHOOSE(CONTROL!$C$8, $C$12, 100%, $E$12) + CHOOSE(CONTROL!$C$27, 0.0003, 0)</f>
        <v>78.413199999999989</v>
      </c>
      <c r="C773" s="4">
        <f>78.1004 * CHOOSE(CONTROL!$C$8, $C$12, 100%, $E$12) + CHOOSE(CONTROL!$C$27, 0.0003, 0)</f>
        <v>78.100699999999989</v>
      </c>
      <c r="D773" s="4">
        <f>73.2326 * CHOOSE(CONTROL!$C$8, $C$12, 100%, $E$12) + CHOOSE(CONTROL!$C$27, 0, 0)</f>
        <v>73.232600000000005</v>
      </c>
      <c r="E773" s="4">
        <f>433.378990112616 * CHOOSE(CONTROL!$C$8, $C$12, 100%, $E$12) + CHOOSE(CONTROL!$C$27, 0, 0)</f>
        <v>433.37899011261601</v>
      </c>
    </row>
    <row r="774" spans="1:5" ht="15">
      <c r="A774" s="13">
        <v>65470</v>
      </c>
      <c r="B774" s="4">
        <f>83.0746 * CHOOSE(CONTROL!$C$8, $C$12, 100%, $E$12) + CHOOSE(CONTROL!$C$27, 0.0003, 0)</f>
        <v>83.0749</v>
      </c>
      <c r="C774" s="4">
        <f>82.7621 * CHOOSE(CONTROL!$C$8, $C$12, 100%, $E$12) + CHOOSE(CONTROL!$C$27, 0.0003, 0)</f>
        <v>82.7624</v>
      </c>
      <c r="D774" s="4">
        <f>77.0498 * CHOOSE(CONTROL!$C$8, $C$12, 100%, $E$12) + CHOOSE(CONTROL!$C$27, 0, 0)</f>
        <v>77.049800000000005</v>
      </c>
      <c r="E774" s="4">
        <f>459.774668141962 * CHOOSE(CONTROL!$C$8, $C$12, 100%, $E$12) + CHOOSE(CONTROL!$C$27, 0, 0)</f>
        <v>459.77466814196202</v>
      </c>
    </row>
    <row r="775" spans="1:5" ht="15">
      <c r="A775" s="13">
        <v>65500</v>
      </c>
      <c r="B775" s="4">
        <f>86.3868 * CHOOSE(CONTROL!$C$8, $C$12, 100%, $E$12) + CHOOSE(CONTROL!$C$27, 0.0003, 0)</f>
        <v>86.38709999999999</v>
      </c>
      <c r="C775" s="4">
        <f>86.0743 * CHOOSE(CONTROL!$C$8, $C$12, 100%, $E$12) + CHOOSE(CONTROL!$C$27, 0.0003, 0)</f>
        <v>86.07459999999999</v>
      </c>
      <c r="D775" s="4">
        <f>79.2486 * CHOOSE(CONTROL!$C$8, $C$12, 100%, $E$12) + CHOOSE(CONTROL!$C$27, 0, 0)</f>
        <v>79.248599999999996</v>
      </c>
      <c r="E775" s="4">
        <f>478.529149150473 * CHOOSE(CONTROL!$C$8, $C$12, 100%, $E$12) + CHOOSE(CONTROL!$C$27, 0, 0)</f>
        <v>478.52914915047302</v>
      </c>
    </row>
    <row r="776" spans="1:5" ht="15">
      <c r="A776" s="13">
        <v>65531</v>
      </c>
      <c r="B776" s="4">
        <f>88.4105 * CHOOSE(CONTROL!$C$8, $C$12, 100%, $E$12) + CHOOSE(CONTROL!$C$27, 0.0166, 0)</f>
        <v>88.427099999999996</v>
      </c>
      <c r="C776" s="4">
        <f>88.098 * CHOOSE(CONTROL!$C$8, $C$12, 100%, $E$12) + CHOOSE(CONTROL!$C$27, 0.0166, 0)</f>
        <v>88.114599999999996</v>
      </c>
      <c r="D776" s="4">
        <f>78.3797 * CHOOSE(CONTROL!$C$8, $C$12, 100%, $E$12) + CHOOSE(CONTROL!$C$27, 0, 0)</f>
        <v>78.3797</v>
      </c>
      <c r="E776" s="4">
        <f>489.987687564496 * CHOOSE(CONTROL!$C$8, $C$12, 100%, $E$12) + CHOOSE(CONTROL!$C$27, 0, 0)</f>
        <v>489.98768756449601</v>
      </c>
    </row>
    <row r="777" spans="1:5" ht="15">
      <c r="A777" s="13">
        <v>65561</v>
      </c>
      <c r="B777" s="4">
        <f>88.6843 * CHOOSE(CONTROL!$C$8, $C$12, 100%, $E$12) + CHOOSE(CONTROL!$C$27, 0.0166, 0)</f>
        <v>88.70089999999999</v>
      </c>
      <c r="C777" s="4">
        <f>88.3718 * CHOOSE(CONTROL!$C$8, $C$12, 100%, $E$12) + CHOOSE(CONTROL!$C$27, 0.0166, 0)</f>
        <v>88.38839999999999</v>
      </c>
      <c r="D777" s="4">
        <f>79.0873 * CHOOSE(CONTROL!$C$8, $C$12, 100%, $E$12) + CHOOSE(CONTROL!$C$27, 0, 0)</f>
        <v>79.087299999999999</v>
      </c>
      <c r="E777" s="4">
        <f>491.538075365824 * CHOOSE(CONTROL!$C$8, $C$12, 100%, $E$12) + CHOOSE(CONTROL!$C$27, 0, 0)</f>
        <v>491.538075365824</v>
      </c>
    </row>
    <row r="778" spans="1:5" ht="15">
      <c r="A778" s="13">
        <v>65592</v>
      </c>
      <c r="B778" s="4">
        <f>88.6567 * CHOOSE(CONTROL!$C$8, $C$12, 100%, $E$12) + CHOOSE(CONTROL!$C$27, 0.0166, 0)</f>
        <v>88.673299999999998</v>
      </c>
      <c r="C778" s="4">
        <f>88.3442 * CHOOSE(CONTROL!$C$8, $C$12, 100%, $E$12) + CHOOSE(CONTROL!$C$27, 0.0166, 0)</f>
        <v>88.360799999999998</v>
      </c>
      <c r="D778" s="4">
        <f>80.3642 * CHOOSE(CONTROL!$C$8, $C$12, 100%, $E$12) + CHOOSE(CONTROL!$C$27, 0, 0)</f>
        <v>80.364199999999997</v>
      </c>
      <c r="E778" s="4">
        <f>491.3817337388 * CHOOSE(CONTROL!$C$8, $C$12, 100%, $E$12) + CHOOSE(CONTROL!$C$27, 0, 0)</f>
        <v>491.38173373879999</v>
      </c>
    </row>
    <row r="779" spans="1:5" ht="15">
      <c r="A779" s="13">
        <v>65623</v>
      </c>
      <c r="B779" s="4">
        <f>90.7344 * CHOOSE(CONTROL!$C$8, $C$12, 100%, $E$12) + CHOOSE(CONTROL!$C$27, 0.0166, 0)</f>
        <v>90.750999999999991</v>
      </c>
      <c r="C779" s="4">
        <f>90.4219 * CHOOSE(CONTROL!$C$8, $C$12, 100%, $E$12) + CHOOSE(CONTROL!$C$27, 0.0166, 0)</f>
        <v>90.438499999999991</v>
      </c>
      <c r="D779" s="4">
        <f>79.521 * CHOOSE(CONTROL!$C$8, $C$12, 100%, $E$12) + CHOOSE(CONTROL!$C$27, 0, 0)</f>
        <v>79.521000000000001</v>
      </c>
      <c r="E779" s="4">
        <f>503.146441172412 * CHOOSE(CONTROL!$C$8, $C$12, 100%, $E$12) + CHOOSE(CONTROL!$C$27, 0, 0)</f>
        <v>503.14644117241198</v>
      </c>
    </row>
    <row r="780" spans="1:5" ht="15">
      <c r="A780" s="13">
        <v>65653</v>
      </c>
      <c r="B780" s="4">
        <f>87.1933 * CHOOSE(CONTROL!$C$8, $C$12, 100%, $E$12) + CHOOSE(CONTROL!$C$27, 0.0166, 0)</f>
        <v>87.20989999999999</v>
      </c>
      <c r="C780" s="4">
        <f>86.8808 * CHOOSE(CONTROL!$C$8, $C$12, 100%, $E$12) + CHOOSE(CONTROL!$C$27, 0.0166, 0)</f>
        <v>86.89739999999999</v>
      </c>
      <c r="D780" s="4">
        <f>79.1226 * CHOOSE(CONTROL!$C$8, $C$12, 100%, $E$12) + CHOOSE(CONTROL!$C$27, 0, 0)</f>
        <v>79.122600000000006</v>
      </c>
      <c r="E780" s="4">
        <f>483.095627506488 * CHOOSE(CONTROL!$C$8, $C$12, 100%, $E$12) + CHOOSE(CONTROL!$C$27, 0, 0)</f>
        <v>483.09562750648797</v>
      </c>
    </row>
    <row r="781" spans="1:5" ht="15">
      <c r="A781" s="13">
        <v>65684</v>
      </c>
      <c r="B781" s="4">
        <f>84.3585 * CHOOSE(CONTROL!$C$8, $C$12, 100%, $E$12) + CHOOSE(CONTROL!$C$27, 0.0003, 0)</f>
        <v>84.358800000000002</v>
      </c>
      <c r="C781" s="4">
        <f>84.046 * CHOOSE(CONTROL!$C$8, $C$12, 100%, $E$12) + CHOOSE(CONTROL!$C$27, 0.0003, 0)</f>
        <v>84.046300000000002</v>
      </c>
      <c r="D781" s="4">
        <f>78.0558 * CHOOSE(CONTROL!$C$8, $C$12, 100%, $E$12) + CHOOSE(CONTROL!$C$27, 0, 0)</f>
        <v>78.055800000000005</v>
      </c>
      <c r="E781" s="4">
        <f>467.044553798613 * CHOOSE(CONTROL!$C$8, $C$12, 100%, $E$12) + CHOOSE(CONTROL!$C$27, 0, 0)</f>
        <v>467.04455379861298</v>
      </c>
    </row>
    <row r="782" spans="1:5" ht="15">
      <c r="A782" s="13">
        <v>65714</v>
      </c>
      <c r="B782" s="4">
        <f>82.5327 * CHOOSE(CONTROL!$C$8, $C$12, 100%, $E$12) + CHOOSE(CONTROL!$C$27, 0.0003, 0)</f>
        <v>82.533000000000001</v>
      </c>
      <c r="C782" s="4">
        <f>82.2202 * CHOOSE(CONTROL!$C$8, $C$12, 100%, $E$12) + CHOOSE(CONTROL!$C$27, 0.0003, 0)</f>
        <v>82.220500000000001</v>
      </c>
      <c r="D782" s="4">
        <f>77.6891 * CHOOSE(CONTROL!$C$8, $C$12, 100%, $E$12) + CHOOSE(CONTROL!$C$27, 0, 0)</f>
        <v>77.689099999999996</v>
      </c>
      <c r="E782" s="4">
        <f>456.706463711601 * CHOOSE(CONTROL!$C$8, $C$12, 100%, $E$12) + CHOOSE(CONTROL!$C$27, 0, 0)</f>
        <v>456.70646371160097</v>
      </c>
    </row>
    <row r="783" spans="1:5" ht="15">
      <c r="A783" s="13">
        <v>65745</v>
      </c>
      <c r="B783" s="4">
        <f>81.2695 * CHOOSE(CONTROL!$C$8, $C$12, 100%, $E$12) + CHOOSE(CONTROL!$C$27, 0.0003, 0)</f>
        <v>81.269799999999989</v>
      </c>
      <c r="C783" s="4">
        <f>80.957 * CHOOSE(CONTROL!$C$8, $C$12, 100%, $E$12) + CHOOSE(CONTROL!$C$27, 0.0003, 0)</f>
        <v>80.957299999999989</v>
      </c>
      <c r="D783" s="4">
        <f>74.9891 * CHOOSE(CONTROL!$C$8, $C$12, 100%, $E$12) + CHOOSE(CONTROL!$C$27, 0, 0)</f>
        <v>74.989099999999993</v>
      </c>
      <c r="E783" s="4">
        <f>449.553834275219 * CHOOSE(CONTROL!$C$8, $C$12, 100%, $E$12) + CHOOSE(CONTROL!$C$27, 0, 0)</f>
        <v>449.553834275219</v>
      </c>
    </row>
    <row r="784" spans="1:5" ht="15">
      <c r="A784" s="13">
        <v>65776</v>
      </c>
      <c r="B784" s="4">
        <f>79.2171 * CHOOSE(CONTROL!$C$8, $C$12, 100%, $E$12) + CHOOSE(CONTROL!$C$27, 0.0003, 0)</f>
        <v>79.217399999999998</v>
      </c>
      <c r="C784" s="4">
        <f>78.9046 * CHOOSE(CONTROL!$C$8, $C$12, 100%, $E$12) + CHOOSE(CONTROL!$C$27, 0.0003, 0)</f>
        <v>78.904899999999998</v>
      </c>
      <c r="D784" s="4">
        <f>72.5075 * CHOOSE(CONTROL!$C$8, $C$12, 100%, $E$12) + CHOOSE(CONTROL!$C$27, 0, 0)</f>
        <v>72.507499999999993</v>
      </c>
      <c r="E784" s="4">
        <f>436.662343421584 * CHOOSE(CONTROL!$C$8, $C$12, 100%, $E$12) + CHOOSE(CONTROL!$C$27, 0, 0)</f>
        <v>436.66234342158401</v>
      </c>
    </row>
    <row r="785" spans="1:5" ht="15">
      <c r="A785" s="13">
        <v>65805</v>
      </c>
      <c r="B785" s="4">
        <f>81.0535 * CHOOSE(CONTROL!$C$8, $C$12, 100%, $E$12) + CHOOSE(CONTROL!$C$27, 0.0003, 0)</f>
        <v>81.053799999999995</v>
      </c>
      <c r="C785" s="4">
        <f>80.741 * CHOOSE(CONTROL!$C$8, $C$12, 100%, $E$12) + CHOOSE(CONTROL!$C$27, 0.0003, 0)</f>
        <v>80.741299999999995</v>
      </c>
      <c r="D785" s="4">
        <f>75.0065 * CHOOSE(CONTROL!$C$8, $C$12, 100%, $E$12) + CHOOSE(CONTROL!$C$27, 0, 0)</f>
        <v>75.006500000000003</v>
      </c>
      <c r="E785" s="4">
        <f>447.030428301164 * CHOOSE(CONTROL!$C$8, $C$12, 100%, $E$12) + CHOOSE(CONTROL!$C$27, 0, 0)</f>
        <v>447.03042830116402</v>
      </c>
    </row>
    <row r="786" spans="1:5" ht="15">
      <c r="A786" s="13">
        <v>65836</v>
      </c>
      <c r="B786" s="4">
        <f>85.876 * CHOOSE(CONTROL!$C$8, $C$12, 100%, $E$12) + CHOOSE(CONTROL!$C$27, 0.0003, 0)</f>
        <v>85.876300000000001</v>
      </c>
      <c r="C786" s="4">
        <f>85.5635 * CHOOSE(CONTROL!$C$8, $C$12, 100%, $E$12) + CHOOSE(CONTROL!$C$27, 0.0003, 0)</f>
        <v>85.563800000000001</v>
      </c>
      <c r="D786" s="4">
        <f>78.9183 * CHOOSE(CONTROL!$C$8, $C$12, 100%, $E$12) + CHOOSE(CONTROL!$C$27, 0, 0)</f>
        <v>78.918300000000002</v>
      </c>
      <c r="E786" s="4">
        <f>474.257570188434 * CHOOSE(CONTROL!$C$8, $C$12, 100%, $E$12) + CHOOSE(CONTROL!$C$27, 0, 0)</f>
        <v>474.25757018843399</v>
      </c>
    </row>
    <row r="787" spans="1:5" ht="15">
      <c r="A787" s="13">
        <v>65866</v>
      </c>
      <c r="B787" s="4">
        <f>89.3025 * CHOOSE(CONTROL!$C$8, $C$12, 100%, $E$12) + CHOOSE(CONTROL!$C$27, 0.0003, 0)</f>
        <v>89.302799999999991</v>
      </c>
      <c r="C787" s="4">
        <f>88.99 * CHOOSE(CONTROL!$C$8, $C$12, 100%, $E$12) + CHOOSE(CONTROL!$C$27, 0.0003, 0)</f>
        <v>88.990299999999991</v>
      </c>
      <c r="D787" s="4">
        <f>81.1717 * CHOOSE(CONTROL!$C$8, $C$12, 100%, $E$12) + CHOOSE(CONTROL!$C$27, 0, 0)</f>
        <v>81.171700000000001</v>
      </c>
      <c r="E787" s="4">
        <f>493.602817348713 * CHOOSE(CONTROL!$C$8, $C$12, 100%, $E$12) + CHOOSE(CONTROL!$C$27, 0, 0)</f>
        <v>493.60281734871302</v>
      </c>
    </row>
    <row r="788" spans="1:5" ht="15">
      <c r="A788" s="13">
        <v>65897</v>
      </c>
      <c r="B788" s="4">
        <f>91.3959 * CHOOSE(CONTROL!$C$8, $C$12, 100%, $E$12) + CHOOSE(CONTROL!$C$27, 0.0166, 0)</f>
        <v>91.412499999999994</v>
      </c>
      <c r="C788" s="4">
        <f>91.0834 * CHOOSE(CONTROL!$C$8, $C$12, 100%, $E$12) + CHOOSE(CONTROL!$C$27, 0.0166, 0)</f>
        <v>91.1</v>
      </c>
      <c r="D788" s="4">
        <f>80.2813 * CHOOSE(CONTROL!$C$8, $C$12, 100%, $E$12) + CHOOSE(CONTROL!$C$27, 0, 0)</f>
        <v>80.281300000000002</v>
      </c>
      <c r="E788" s="4">
        <f>505.422299722777 * CHOOSE(CONTROL!$C$8, $C$12, 100%, $E$12) + CHOOSE(CONTROL!$C$27, 0, 0)</f>
        <v>505.42229972277698</v>
      </c>
    </row>
    <row r="789" spans="1:5" ht="15">
      <c r="A789" s="13">
        <v>65927</v>
      </c>
      <c r="B789" s="4">
        <f>91.6792 * CHOOSE(CONTROL!$C$8, $C$12, 100%, $E$12) + CHOOSE(CONTROL!$C$27, 0.0166, 0)</f>
        <v>91.695799999999991</v>
      </c>
      <c r="C789" s="4">
        <f>91.3667 * CHOOSE(CONTROL!$C$8, $C$12, 100%, $E$12) + CHOOSE(CONTROL!$C$27, 0.0166, 0)</f>
        <v>91.383299999999991</v>
      </c>
      <c r="D789" s="4">
        <f>81.0064 * CHOOSE(CONTROL!$C$8, $C$12, 100%, $E$12) + CHOOSE(CONTROL!$C$27, 0, 0)</f>
        <v>81.006399999999999</v>
      </c>
      <c r="E789" s="4">
        <f>507.021524739848 * CHOOSE(CONTROL!$C$8, $C$12, 100%, $E$12) + CHOOSE(CONTROL!$C$27, 0, 0)</f>
        <v>507.02152473984802</v>
      </c>
    </row>
    <row r="790" spans="1:5" ht="15">
      <c r="A790" s="13">
        <v>65958</v>
      </c>
      <c r="B790" s="4">
        <f>91.6506 * CHOOSE(CONTROL!$C$8, $C$12, 100%, $E$12) + CHOOSE(CONTROL!$C$27, 0.0166, 0)</f>
        <v>91.667199999999994</v>
      </c>
      <c r="C790" s="4">
        <f>91.3381 * CHOOSE(CONTROL!$C$8, $C$12, 100%, $E$12) + CHOOSE(CONTROL!$C$27, 0.0166, 0)</f>
        <v>91.354699999999994</v>
      </c>
      <c r="D790" s="4">
        <f>82.3149 * CHOOSE(CONTROL!$C$8, $C$12, 100%, $E$12) + CHOOSE(CONTROL!$C$27, 0, 0)</f>
        <v>82.314899999999994</v>
      </c>
      <c r="E790" s="4">
        <f>506.860258351572 * CHOOSE(CONTROL!$C$8, $C$12, 100%, $E$12) + CHOOSE(CONTROL!$C$27, 0, 0)</f>
        <v>506.86025835157199</v>
      </c>
    </row>
    <row r="791" spans="1:5" ht="15">
      <c r="A791" s="13">
        <v>65989</v>
      </c>
      <c r="B791" s="4">
        <f>93.8 * CHOOSE(CONTROL!$C$8, $C$12, 100%, $E$12) + CHOOSE(CONTROL!$C$27, 0.0166, 0)</f>
        <v>93.816599999999994</v>
      </c>
      <c r="C791" s="4">
        <f>93.4875 * CHOOSE(CONTROL!$C$8, $C$12, 100%, $E$12) + CHOOSE(CONTROL!$C$27, 0.0166, 0)</f>
        <v>93.504099999999994</v>
      </c>
      <c r="D791" s="4">
        <f>81.4508 * CHOOSE(CONTROL!$C$8, $C$12, 100%, $E$12) + CHOOSE(CONTROL!$C$27, 0, 0)</f>
        <v>81.450800000000001</v>
      </c>
      <c r="E791" s="4">
        <f>518.995554069343 * CHOOSE(CONTROL!$C$8, $C$12, 100%, $E$12) + CHOOSE(CONTROL!$C$27, 0, 0)</f>
        <v>518.99555406934303</v>
      </c>
    </row>
    <row r="792" spans="1:5" ht="15">
      <c r="A792" s="13">
        <v>66019</v>
      </c>
      <c r="B792" s="4">
        <f>90.1368 * CHOOSE(CONTROL!$C$8, $C$12, 100%, $E$12) + CHOOSE(CONTROL!$C$27, 0.0166, 0)</f>
        <v>90.153399999999991</v>
      </c>
      <c r="C792" s="4">
        <f>89.8243 * CHOOSE(CONTROL!$C$8, $C$12, 100%, $E$12) + CHOOSE(CONTROL!$C$27, 0.0166, 0)</f>
        <v>89.840899999999991</v>
      </c>
      <c r="D792" s="4">
        <f>81.0425 * CHOOSE(CONTROL!$C$8, $C$12, 100%, $E$12) + CHOOSE(CONTROL!$C$27, 0, 0)</f>
        <v>81.042500000000004</v>
      </c>
      <c r="E792" s="4">
        <f>498.313139772942 * CHOOSE(CONTROL!$C$8, $C$12, 100%, $E$12) + CHOOSE(CONTROL!$C$27, 0, 0)</f>
        <v>498.31313977294201</v>
      </c>
    </row>
    <row r="793" spans="1:5" ht="15">
      <c r="A793" s="13">
        <v>66050</v>
      </c>
      <c r="B793" s="4">
        <f>87.2042 * CHOOSE(CONTROL!$C$8, $C$12, 100%, $E$12) + CHOOSE(CONTROL!$C$27, 0.0003, 0)</f>
        <v>87.204499999999996</v>
      </c>
      <c r="C793" s="4">
        <f>86.8917 * CHOOSE(CONTROL!$C$8, $C$12, 100%, $E$12) + CHOOSE(CONTROL!$C$27, 0.0003, 0)</f>
        <v>86.891999999999996</v>
      </c>
      <c r="D793" s="4">
        <f>79.9493 * CHOOSE(CONTROL!$C$8, $C$12, 100%, $E$12) + CHOOSE(CONTROL!$C$27, 0, 0)</f>
        <v>79.949299999999994</v>
      </c>
      <c r="E793" s="4">
        <f>481.756457243269 * CHOOSE(CONTROL!$C$8, $C$12, 100%, $E$12) + CHOOSE(CONTROL!$C$27, 0, 0)</f>
        <v>481.75645724326898</v>
      </c>
    </row>
    <row r="794" spans="1:5" ht="15">
      <c r="A794" s="13">
        <v>66080</v>
      </c>
      <c r="B794" s="4">
        <f>85.3154 * CHOOSE(CONTROL!$C$8, $C$12, 100%, $E$12) + CHOOSE(CONTROL!$C$27, 0.0003, 0)</f>
        <v>85.315699999999993</v>
      </c>
      <c r="C794" s="4">
        <f>85.0029 * CHOOSE(CONTROL!$C$8, $C$12, 100%, $E$12) + CHOOSE(CONTROL!$C$27, 0.0003, 0)</f>
        <v>85.003199999999993</v>
      </c>
      <c r="D794" s="4">
        <f>79.5735 * CHOOSE(CONTROL!$C$8, $C$12, 100%, $E$12) + CHOOSE(CONTROL!$C$27, 0, 0)</f>
        <v>79.573499999999996</v>
      </c>
      <c r="E794" s="4">
        <f>471.092717318517 * CHOOSE(CONTROL!$C$8, $C$12, 100%, $E$12) + CHOOSE(CONTROL!$C$27, 0, 0)</f>
        <v>471.09271731851697</v>
      </c>
    </row>
    <row r="795" spans="1:5" ht="15">
      <c r="A795" s="13">
        <v>66111</v>
      </c>
      <c r="B795" s="4">
        <f>84.0087 * CHOOSE(CONTROL!$C$8, $C$12, 100%, $E$12) + CHOOSE(CONTROL!$C$27, 0.0003, 0)</f>
        <v>84.009</v>
      </c>
      <c r="C795" s="4">
        <f>83.6962 * CHOOSE(CONTROL!$C$8, $C$12, 100%, $E$12) + CHOOSE(CONTROL!$C$27, 0.0003, 0)</f>
        <v>83.6965</v>
      </c>
      <c r="D795" s="4">
        <f>76.8065 * CHOOSE(CONTROL!$C$8, $C$12, 100%, $E$12) + CHOOSE(CONTROL!$C$27, 0, 0)</f>
        <v>76.8065</v>
      </c>
      <c r="E795" s="4">
        <f>463.714780054888 * CHOOSE(CONTROL!$C$8, $C$12, 100%, $E$12) + CHOOSE(CONTROL!$C$27, 0, 0)</f>
        <v>463.71478005488802</v>
      </c>
    </row>
    <row r="796" spans="1:5" ht="15">
      <c r="A796" s="13">
        <v>66142</v>
      </c>
      <c r="B796" s="4">
        <f>81.8854 * CHOOSE(CONTROL!$C$8, $C$12, 100%, $E$12) + CHOOSE(CONTROL!$C$27, 0.0003, 0)</f>
        <v>81.8857</v>
      </c>
      <c r="C796" s="4">
        <f>81.5729 * CHOOSE(CONTROL!$C$8, $C$12, 100%, $E$12) + CHOOSE(CONTROL!$C$27, 0.0003, 0)</f>
        <v>81.5732</v>
      </c>
      <c r="D796" s="4">
        <f>74.2635 * CHOOSE(CONTROL!$C$8, $C$12, 100%, $E$12) + CHOOSE(CONTROL!$C$27, 0, 0)</f>
        <v>74.263499999999993</v>
      </c>
      <c r="E796" s="4">
        <f>450.417207239363 * CHOOSE(CONTROL!$C$8, $C$12, 100%, $E$12) + CHOOSE(CONTROL!$C$27, 0, 0)</f>
        <v>450.41720723936299</v>
      </c>
    </row>
    <row r="797" spans="1:5" ht="15">
      <c r="A797" s="13">
        <v>66170</v>
      </c>
      <c r="B797" s="4">
        <f>83.7852 * CHOOSE(CONTROL!$C$8, $C$12, 100%, $E$12) + CHOOSE(CONTROL!$C$27, 0.0003, 0)</f>
        <v>83.785499999999999</v>
      </c>
      <c r="C797" s="4">
        <f>83.4727 * CHOOSE(CONTROL!$C$8, $C$12, 100%, $E$12) + CHOOSE(CONTROL!$C$27, 0.0003, 0)</f>
        <v>83.472999999999999</v>
      </c>
      <c r="D797" s="4">
        <f>76.8244 * CHOOSE(CONTROL!$C$8, $C$12, 100%, $E$12) + CHOOSE(CONTROL!$C$27, 0, 0)</f>
        <v>76.824399999999997</v>
      </c>
      <c r="E797" s="4">
        <f>461.11188679265 * CHOOSE(CONTROL!$C$8, $C$12, 100%, $E$12) + CHOOSE(CONTROL!$C$27, 0, 0)</f>
        <v>461.11188679265001</v>
      </c>
    </row>
    <row r="798" spans="1:5" ht="15">
      <c r="A798" s="13">
        <v>66201</v>
      </c>
      <c r="B798" s="4">
        <f>88.774 * CHOOSE(CONTROL!$C$8, $C$12, 100%, $E$12) + CHOOSE(CONTROL!$C$27, 0.0003, 0)</f>
        <v>88.774299999999997</v>
      </c>
      <c r="C798" s="4">
        <f>88.4615 * CHOOSE(CONTROL!$C$8, $C$12, 100%, $E$12) + CHOOSE(CONTROL!$C$27, 0.0003, 0)</f>
        <v>88.461799999999997</v>
      </c>
      <c r="D798" s="4">
        <f>80.8332 * CHOOSE(CONTROL!$C$8, $C$12, 100%, $E$12) + CHOOSE(CONTROL!$C$27, 0, 0)</f>
        <v>80.833200000000005</v>
      </c>
      <c r="E798" s="4">
        <f>489.196683649369 * CHOOSE(CONTROL!$C$8, $C$12, 100%, $E$12) + CHOOSE(CONTROL!$C$27, 0, 0)</f>
        <v>489.19668364936899</v>
      </c>
    </row>
    <row r="799" spans="1:5" ht="15">
      <c r="A799" s="13">
        <v>66231</v>
      </c>
      <c r="B799" s="4">
        <f>92.3187 * CHOOSE(CONTROL!$C$8, $C$12, 100%, $E$12) + CHOOSE(CONTROL!$C$27, 0.0003, 0)</f>
        <v>92.319000000000003</v>
      </c>
      <c r="C799" s="4">
        <f>92.0062 * CHOOSE(CONTROL!$C$8, $C$12, 100%, $E$12) + CHOOSE(CONTROL!$C$27, 0.0003, 0)</f>
        <v>92.006500000000003</v>
      </c>
      <c r="D799" s="4">
        <f>83.1425 * CHOOSE(CONTROL!$C$8, $C$12, 100%, $E$12) + CHOOSE(CONTROL!$C$27, 0, 0)</f>
        <v>83.142499999999998</v>
      </c>
      <c r="E799" s="4">
        <f>509.151306095197 * CHOOSE(CONTROL!$C$8, $C$12, 100%, $E$12) + CHOOSE(CONTROL!$C$27, 0, 0)</f>
        <v>509.15130609519701</v>
      </c>
    </row>
    <row r="800" spans="1:5" ht="15">
      <c r="A800" s="13">
        <v>66262</v>
      </c>
      <c r="B800" s="4">
        <f>94.4844 * CHOOSE(CONTROL!$C$8, $C$12, 100%, $E$12) + CHOOSE(CONTROL!$C$27, 0.0166, 0)</f>
        <v>94.500999999999991</v>
      </c>
      <c r="C800" s="4">
        <f>94.1719 * CHOOSE(CONTROL!$C$8, $C$12, 100%, $E$12) + CHOOSE(CONTROL!$C$27, 0.0166, 0)</f>
        <v>94.188499999999991</v>
      </c>
      <c r="D800" s="4">
        <f>82.23 * CHOOSE(CONTROL!$C$8, $C$12, 100%, $E$12) + CHOOSE(CONTROL!$C$27, 0, 0)</f>
        <v>82.23</v>
      </c>
      <c r="E800" s="4">
        <f>521.343102164045 * CHOOSE(CONTROL!$C$8, $C$12, 100%, $E$12) + CHOOSE(CONTROL!$C$27, 0, 0)</f>
        <v>521.34310216404504</v>
      </c>
    </row>
    <row r="801" spans="1:5" ht="15">
      <c r="A801" s="13">
        <v>66292</v>
      </c>
      <c r="B801" s="4">
        <f>94.7774 * CHOOSE(CONTROL!$C$8, $C$12, 100%, $E$12) + CHOOSE(CONTROL!$C$27, 0.0166, 0)</f>
        <v>94.793999999999997</v>
      </c>
      <c r="C801" s="4">
        <f>94.4649 * CHOOSE(CONTROL!$C$8, $C$12, 100%, $E$12) + CHOOSE(CONTROL!$C$27, 0.0166, 0)</f>
        <v>94.481499999999997</v>
      </c>
      <c r="D801" s="4">
        <f>82.9731 * CHOOSE(CONTROL!$C$8, $C$12, 100%, $E$12) + CHOOSE(CONTROL!$C$27, 0, 0)</f>
        <v>82.973100000000002</v>
      </c>
      <c r="E801" s="4">
        <f>522.992702769153 * CHOOSE(CONTROL!$C$8, $C$12, 100%, $E$12) + CHOOSE(CONTROL!$C$27, 0, 0)</f>
        <v>522.99270276915297</v>
      </c>
    </row>
    <row r="802" spans="1:5" ht="15">
      <c r="A802" s="13">
        <v>66323</v>
      </c>
      <c r="B802" s="4">
        <f>94.7479 * CHOOSE(CONTROL!$C$8, $C$12, 100%, $E$12) + CHOOSE(CONTROL!$C$27, 0.0166, 0)</f>
        <v>94.764499999999998</v>
      </c>
      <c r="C802" s="4">
        <f>94.4354 * CHOOSE(CONTROL!$C$8, $C$12, 100%, $E$12) + CHOOSE(CONTROL!$C$27, 0.0166, 0)</f>
        <v>94.451999999999998</v>
      </c>
      <c r="D802" s="4">
        <f>84.3141 * CHOOSE(CONTROL!$C$8, $C$12, 100%, $E$12) + CHOOSE(CONTROL!$C$27, 0, 0)</f>
        <v>84.314099999999996</v>
      </c>
      <c r="E802" s="4">
        <f>522.826356489646 * CHOOSE(CONTROL!$C$8, $C$12, 100%, $E$12) + CHOOSE(CONTROL!$C$27, 0, 0)</f>
        <v>522.82635648964595</v>
      </c>
    </row>
    <row r="803" spans="1:5" ht="15">
      <c r="A803" s="13">
        <v>66354</v>
      </c>
      <c r="B803" s="4">
        <f>96.9715 * CHOOSE(CONTROL!$C$8, $C$12, 100%, $E$12) + CHOOSE(CONTROL!$C$27, 0.0166, 0)</f>
        <v>96.988100000000003</v>
      </c>
      <c r="C803" s="4">
        <f>96.659 * CHOOSE(CONTROL!$C$8, $C$12, 100%, $E$12) + CHOOSE(CONTROL!$C$27, 0.0166, 0)</f>
        <v>96.675600000000003</v>
      </c>
      <c r="D803" s="4">
        <f>83.4285 * CHOOSE(CONTROL!$C$8, $C$12, 100%, $E$12) + CHOOSE(CONTROL!$C$27, 0, 0)</f>
        <v>83.4285</v>
      </c>
      <c r="E803" s="4">
        <f>535.343914022528 * CHOOSE(CONTROL!$C$8, $C$12, 100%, $E$12) + CHOOSE(CONTROL!$C$27, 0, 0)</f>
        <v>535.343914022528</v>
      </c>
    </row>
    <row r="804" spans="1:5" ht="15">
      <c r="A804" s="13">
        <v>66384</v>
      </c>
      <c r="B804" s="4">
        <f>93.1818 * CHOOSE(CONTROL!$C$8, $C$12, 100%, $E$12) + CHOOSE(CONTROL!$C$27, 0.0166, 0)</f>
        <v>93.198399999999992</v>
      </c>
      <c r="C804" s="4">
        <f>92.8693 * CHOOSE(CONTROL!$C$8, $C$12, 100%, $E$12) + CHOOSE(CONTROL!$C$27, 0.0166, 0)</f>
        <v>92.885899999999992</v>
      </c>
      <c r="D804" s="4">
        <f>83.0101 * CHOOSE(CONTROL!$C$8, $C$12, 100%, $E$12) + CHOOSE(CONTROL!$C$27, 0, 0)</f>
        <v>83.010099999999994</v>
      </c>
      <c r="E804" s="4">
        <f>514.01000367579 * CHOOSE(CONTROL!$C$8, $C$12, 100%, $E$12) + CHOOSE(CONTROL!$C$27, 0, 0)</f>
        <v>514.01000367579002</v>
      </c>
    </row>
    <row r="805" spans="1:5" ht="15">
      <c r="A805" s="13">
        <v>66415</v>
      </c>
      <c r="B805" s="4">
        <f>90.1481 * CHOOSE(CONTROL!$C$8, $C$12, 100%, $E$12) + CHOOSE(CONTROL!$C$27, 0.0003, 0)</f>
        <v>90.148399999999995</v>
      </c>
      <c r="C805" s="4">
        <f>89.8356 * CHOOSE(CONTROL!$C$8, $C$12, 100%, $E$12) + CHOOSE(CONTROL!$C$27, 0.0003, 0)</f>
        <v>89.835899999999995</v>
      </c>
      <c r="D805" s="4">
        <f>81.8898 * CHOOSE(CONTROL!$C$8, $C$12, 100%, $E$12) + CHOOSE(CONTROL!$C$27, 0, 0)</f>
        <v>81.889799999999994</v>
      </c>
      <c r="E805" s="4">
        <f>496.931785646432 * CHOOSE(CONTROL!$C$8, $C$12, 100%, $E$12) + CHOOSE(CONTROL!$C$27, 0, 0)</f>
        <v>496.93178564643199</v>
      </c>
    </row>
    <row r="806" spans="1:5" ht="15">
      <c r="A806" s="13">
        <v>66445</v>
      </c>
      <c r="B806" s="4">
        <f>88.1941 * CHOOSE(CONTROL!$C$8, $C$12, 100%, $E$12) + CHOOSE(CONTROL!$C$27, 0.0003, 0)</f>
        <v>88.194400000000002</v>
      </c>
      <c r="C806" s="4">
        <f>87.8816 * CHOOSE(CONTROL!$C$8, $C$12, 100%, $E$12) + CHOOSE(CONTROL!$C$27, 0.0003, 0)</f>
        <v>87.881900000000002</v>
      </c>
      <c r="D806" s="4">
        <f>81.5046 * CHOOSE(CONTROL!$C$8, $C$12, 100%, $E$12) + CHOOSE(CONTROL!$C$27, 0, 0)</f>
        <v>81.504599999999996</v>
      </c>
      <c r="E806" s="4">
        <f>485.93213791405 * CHOOSE(CONTROL!$C$8, $C$12, 100%, $E$12) + CHOOSE(CONTROL!$C$27, 0, 0)</f>
        <v>485.93213791404997</v>
      </c>
    </row>
    <row r="807" spans="1:5" ht="15">
      <c r="A807" s="13">
        <v>66476</v>
      </c>
      <c r="B807" s="4">
        <f>86.8423 * CHOOSE(CONTROL!$C$8, $C$12, 100%, $E$12) + CHOOSE(CONTROL!$C$27, 0.0003, 0)</f>
        <v>86.84259999999999</v>
      </c>
      <c r="C807" s="4">
        <f>86.5298 * CHOOSE(CONTROL!$C$8, $C$12, 100%, $E$12) + CHOOSE(CONTROL!$C$27, 0.0003, 0)</f>
        <v>86.53009999999999</v>
      </c>
      <c r="D807" s="4">
        <f>78.6691 * CHOOSE(CONTROL!$C$8, $C$12, 100%, $E$12) + CHOOSE(CONTROL!$C$27, 0, 0)</f>
        <v>78.6691</v>
      </c>
      <c r="E807" s="4">
        <f>478.321795626617 * CHOOSE(CONTROL!$C$8, $C$12, 100%, $E$12) + CHOOSE(CONTROL!$C$27, 0, 0)</f>
        <v>478.32179562661702</v>
      </c>
    </row>
    <row r="808" spans="1:5" ht="15">
      <c r="A808" s="13">
        <v>66507</v>
      </c>
      <c r="B808" s="4">
        <f>84.6458 * CHOOSE(CONTROL!$C$8, $C$12, 100%, $E$12) + CHOOSE(CONTROL!$C$27, 0.0003, 0)</f>
        <v>84.64609999999999</v>
      </c>
      <c r="C808" s="4">
        <f>84.3333 * CHOOSE(CONTROL!$C$8, $C$12, 100%, $E$12) + CHOOSE(CONTROL!$C$27, 0.0003, 0)</f>
        <v>84.33359999999999</v>
      </c>
      <c r="D808" s="4">
        <f>76.0629 * CHOOSE(CONTROL!$C$8, $C$12, 100%, $E$12) + CHOOSE(CONTROL!$C$27, 0, 0)</f>
        <v>76.062899999999999</v>
      </c>
      <c r="E808" s="4">
        <f>464.605349267403 * CHOOSE(CONTROL!$C$8, $C$12, 100%, $E$12) + CHOOSE(CONTROL!$C$27, 0, 0)</f>
        <v>464.60534926740303</v>
      </c>
    </row>
    <row r="809" spans="1:5" ht="15">
      <c r="A809" s="13">
        <v>66535</v>
      </c>
      <c r="B809" s="4">
        <f>86.6111 * CHOOSE(CONTROL!$C$8, $C$12, 100%, $E$12) + CHOOSE(CONTROL!$C$27, 0.0003, 0)</f>
        <v>86.611399999999989</v>
      </c>
      <c r="C809" s="4">
        <f>86.2986 * CHOOSE(CONTROL!$C$8, $C$12, 100%, $E$12) + CHOOSE(CONTROL!$C$27, 0.0003, 0)</f>
        <v>86.298899999999989</v>
      </c>
      <c r="D809" s="4">
        <f>78.6873 * CHOOSE(CONTROL!$C$8, $C$12, 100%, $E$12) + CHOOSE(CONTROL!$C$27, 0, 0)</f>
        <v>78.687299999999993</v>
      </c>
      <c r="E809" s="4">
        <f>475.636911226619 * CHOOSE(CONTROL!$C$8, $C$12, 100%, $E$12) + CHOOSE(CONTROL!$C$27, 0, 0)</f>
        <v>475.63691122661902</v>
      </c>
    </row>
    <row r="810" spans="1:5" ht="15">
      <c r="A810" s="13">
        <v>66566</v>
      </c>
      <c r="B810" s="4">
        <f>91.7721 * CHOOSE(CONTROL!$C$8, $C$12, 100%, $E$12) + CHOOSE(CONTROL!$C$27, 0.0003, 0)</f>
        <v>91.77239999999999</v>
      </c>
      <c r="C810" s="4">
        <f>91.4596 * CHOOSE(CONTROL!$C$8, $C$12, 100%, $E$12) + CHOOSE(CONTROL!$C$27, 0.0003, 0)</f>
        <v>91.45989999999999</v>
      </c>
      <c r="D810" s="4">
        <f>82.7956 * CHOOSE(CONTROL!$C$8, $C$12, 100%, $E$12) + CHOOSE(CONTROL!$C$27, 0, 0)</f>
        <v>82.795599999999993</v>
      </c>
      <c r="E810" s="4">
        <f>504.606379184325 * CHOOSE(CONTROL!$C$8, $C$12, 100%, $E$12) + CHOOSE(CONTROL!$C$27, 0, 0)</f>
        <v>504.60637918432502</v>
      </c>
    </row>
    <row r="811" spans="1:5" ht="15">
      <c r="A811" s="13">
        <v>66596</v>
      </c>
      <c r="B811" s="4">
        <f>95.439 * CHOOSE(CONTROL!$C$8, $C$12, 100%, $E$12) + CHOOSE(CONTROL!$C$27, 0.0003, 0)</f>
        <v>95.439299999999989</v>
      </c>
      <c r="C811" s="4">
        <f>95.1265 * CHOOSE(CONTROL!$C$8, $C$12, 100%, $E$12) + CHOOSE(CONTROL!$C$27, 0.0003, 0)</f>
        <v>95.126799999999989</v>
      </c>
      <c r="D811" s="4">
        <f>85.1621 * CHOOSE(CONTROL!$C$8, $C$12, 100%, $E$12) + CHOOSE(CONTROL!$C$27, 0, 0)</f>
        <v>85.162099999999995</v>
      </c>
      <c r="E811" s="4">
        <f>525.189572237196 * CHOOSE(CONTROL!$C$8, $C$12, 100%, $E$12) + CHOOSE(CONTROL!$C$27, 0, 0)</f>
        <v>525.18957223719599</v>
      </c>
    </row>
    <row r="812" spans="1:5" ht="15">
      <c r="A812" s="13">
        <v>66627</v>
      </c>
      <c r="B812" s="4">
        <f>97.6794 * CHOOSE(CONTROL!$C$8, $C$12, 100%, $E$12) + CHOOSE(CONTROL!$C$27, 0.0166, 0)</f>
        <v>97.695999999999998</v>
      </c>
      <c r="C812" s="4">
        <f>97.3669 * CHOOSE(CONTROL!$C$8, $C$12, 100%, $E$12) + CHOOSE(CONTROL!$C$27, 0.0166, 0)</f>
        <v>97.383499999999998</v>
      </c>
      <c r="D812" s="4">
        <f>84.227 * CHOOSE(CONTROL!$C$8, $C$12, 100%, $E$12) + CHOOSE(CONTROL!$C$27, 0, 0)</f>
        <v>84.227000000000004</v>
      </c>
      <c r="E812" s="4">
        <f>537.765409882212 * CHOOSE(CONTROL!$C$8, $C$12, 100%, $E$12) + CHOOSE(CONTROL!$C$27, 0, 0)</f>
        <v>537.765409882212</v>
      </c>
    </row>
    <row r="813" spans="1:5" ht="15">
      <c r="A813" s="13">
        <v>66657</v>
      </c>
      <c r="B813" s="4">
        <f>97.9826 * CHOOSE(CONTROL!$C$8, $C$12, 100%, $E$12) + CHOOSE(CONTROL!$C$27, 0.0166, 0)</f>
        <v>97.999200000000002</v>
      </c>
      <c r="C813" s="4">
        <f>97.6701 * CHOOSE(CONTROL!$C$8, $C$12, 100%, $E$12) + CHOOSE(CONTROL!$C$27, 0.0166, 0)</f>
        <v>97.686700000000002</v>
      </c>
      <c r="D813" s="4">
        <f>84.9886 * CHOOSE(CONTROL!$C$8, $C$12, 100%, $E$12) + CHOOSE(CONTROL!$C$27, 0, 0)</f>
        <v>84.988600000000005</v>
      </c>
      <c r="E813" s="4">
        <f>539.466972906381 * CHOOSE(CONTROL!$C$8, $C$12, 100%, $E$12) + CHOOSE(CONTROL!$C$27, 0, 0)</f>
        <v>539.46697290638099</v>
      </c>
    </row>
    <row r="814" spans="1:5" ht="15">
      <c r="A814" s="13">
        <v>66688</v>
      </c>
      <c r="B814" s="4">
        <f>97.952 * CHOOSE(CONTROL!$C$8, $C$12, 100%, $E$12) + CHOOSE(CONTROL!$C$27, 0.0166, 0)</f>
        <v>97.968599999999995</v>
      </c>
      <c r="C814" s="4">
        <f>97.6395 * CHOOSE(CONTROL!$C$8, $C$12, 100%, $E$12) + CHOOSE(CONTROL!$C$27, 0.0166, 0)</f>
        <v>97.656099999999995</v>
      </c>
      <c r="D814" s="4">
        <f>86.3628 * CHOOSE(CONTROL!$C$8, $C$12, 100%, $E$12) + CHOOSE(CONTROL!$C$27, 0, 0)</f>
        <v>86.362799999999993</v>
      </c>
      <c r="E814" s="4">
        <f>539.29538671907 * CHOOSE(CONTROL!$C$8, $C$12, 100%, $E$12) + CHOOSE(CONTROL!$C$27, 0, 0)</f>
        <v>539.29538671907005</v>
      </c>
    </row>
    <row r="815" spans="1:5" ht="15">
      <c r="A815" s="13">
        <v>66719</v>
      </c>
      <c r="B815" s="4">
        <f>100.2523 * CHOOSE(CONTROL!$C$8, $C$12, 100%, $E$12) + CHOOSE(CONTROL!$C$27, 0.0166, 0)</f>
        <v>100.2689</v>
      </c>
      <c r="C815" s="4">
        <f>99.9398 * CHOOSE(CONTROL!$C$8, $C$12, 100%, $E$12) + CHOOSE(CONTROL!$C$27, 0.0166, 0)</f>
        <v>99.956400000000002</v>
      </c>
      <c r="D815" s="4">
        <f>85.4553 * CHOOSE(CONTROL!$C$8, $C$12, 100%, $E$12) + CHOOSE(CONTROL!$C$27, 0, 0)</f>
        <v>85.455299999999994</v>
      </c>
      <c r="E815" s="4">
        <f>552.207247314237 * CHOOSE(CONTROL!$C$8, $C$12, 100%, $E$12) + CHOOSE(CONTROL!$C$27, 0, 0)</f>
        <v>552.20724731423695</v>
      </c>
    </row>
    <row r="816" spans="1:5" ht="15">
      <c r="A816" s="13">
        <v>66749</v>
      </c>
      <c r="B816" s="4">
        <f>96.3319 * CHOOSE(CONTROL!$C$8, $C$12, 100%, $E$12) + CHOOSE(CONTROL!$C$27, 0.0166, 0)</f>
        <v>96.348500000000001</v>
      </c>
      <c r="C816" s="4">
        <f>96.0194 * CHOOSE(CONTROL!$C$8, $C$12, 100%, $E$12) + CHOOSE(CONTROL!$C$27, 0.0166, 0)</f>
        <v>96.036000000000001</v>
      </c>
      <c r="D816" s="4">
        <f>85.0265 * CHOOSE(CONTROL!$C$8, $C$12, 100%, $E$12) + CHOOSE(CONTROL!$C$27, 0, 0)</f>
        <v>85.026499999999999</v>
      </c>
      <c r="E816" s="4">
        <f>530.201318791577 * CHOOSE(CONTROL!$C$8, $C$12, 100%, $E$12) + CHOOSE(CONTROL!$C$27, 0, 0)</f>
        <v>530.20131879157702</v>
      </c>
    </row>
    <row r="817" spans="1:5" ht="15">
      <c r="A817" s="13">
        <v>66780</v>
      </c>
      <c r="B817" s="4">
        <f>93.1935 * CHOOSE(CONTROL!$C$8, $C$12, 100%, $E$12) + CHOOSE(CONTROL!$C$27, 0.0003, 0)</f>
        <v>93.193799999999996</v>
      </c>
      <c r="C817" s="4">
        <f>92.881 * CHOOSE(CONTROL!$C$8, $C$12, 100%, $E$12) + CHOOSE(CONTROL!$C$27, 0.0003, 0)</f>
        <v>92.881299999999996</v>
      </c>
      <c r="D817" s="4">
        <f>83.8784 * CHOOSE(CONTROL!$C$8, $C$12, 100%, $E$12) + CHOOSE(CONTROL!$C$27, 0, 0)</f>
        <v>83.878399999999999</v>
      </c>
      <c r="E817" s="4">
        <f>512.585136894295 * CHOOSE(CONTROL!$C$8, $C$12, 100%, $E$12) + CHOOSE(CONTROL!$C$27, 0, 0)</f>
        <v>512.58513689429503</v>
      </c>
    </row>
    <row r="818" spans="1:5" ht="15">
      <c r="A818" s="13">
        <v>66810</v>
      </c>
      <c r="B818" s="4">
        <f>91.1721 * CHOOSE(CONTROL!$C$8, $C$12, 100%, $E$12) + CHOOSE(CONTROL!$C$27, 0.0003, 0)</f>
        <v>91.172399999999996</v>
      </c>
      <c r="C818" s="4">
        <f>90.8596 * CHOOSE(CONTROL!$C$8, $C$12, 100%, $E$12) + CHOOSE(CONTROL!$C$27, 0.0003, 0)</f>
        <v>90.859899999999996</v>
      </c>
      <c r="D818" s="4">
        <f>83.4837 * CHOOSE(CONTROL!$C$8, $C$12, 100%, $E$12) + CHOOSE(CONTROL!$C$27, 0, 0)</f>
        <v>83.483699999999999</v>
      </c>
      <c r="E818" s="4">
        <f>501.239000258342 * CHOOSE(CONTROL!$C$8, $C$12, 100%, $E$12) + CHOOSE(CONTROL!$C$27, 0, 0)</f>
        <v>501.239000258342</v>
      </c>
    </row>
    <row r="819" spans="1:5" ht="15">
      <c r="A819" s="13">
        <v>66841</v>
      </c>
      <c r="B819" s="4">
        <f>89.7736 * CHOOSE(CONTROL!$C$8, $C$12, 100%, $E$12) + CHOOSE(CONTROL!$C$27, 0.0003, 0)</f>
        <v>89.773899999999998</v>
      </c>
      <c r="C819" s="4">
        <f>89.4611 * CHOOSE(CONTROL!$C$8, $C$12, 100%, $E$12) + CHOOSE(CONTROL!$C$27, 0.0003, 0)</f>
        <v>89.461399999999998</v>
      </c>
      <c r="D819" s="4">
        <f>80.5778 * CHOOSE(CONTROL!$C$8, $C$12, 100%, $E$12) + CHOOSE(CONTROL!$C$27, 0, 0)</f>
        <v>80.577799999999996</v>
      </c>
      <c r="E819" s="4">
        <f>493.388932188856 * CHOOSE(CONTROL!$C$8, $C$12, 100%, $E$12) + CHOOSE(CONTROL!$C$27, 0, 0)</f>
        <v>493.38893218885602</v>
      </c>
    </row>
    <row r="820" spans="1:5" ht="15">
      <c r="A820" s="13">
        <v>66872</v>
      </c>
      <c r="B820" s="4">
        <f>87.5013 * CHOOSE(CONTROL!$C$8, $C$12, 100%, $E$12) + CHOOSE(CONTROL!$C$27, 0.0003, 0)</f>
        <v>87.501599999999996</v>
      </c>
      <c r="C820" s="4">
        <f>87.1888 * CHOOSE(CONTROL!$C$8, $C$12, 100%, $E$12) + CHOOSE(CONTROL!$C$27, 0.0003, 0)</f>
        <v>87.189099999999996</v>
      </c>
      <c r="D820" s="4">
        <f>77.907 * CHOOSE(CONTROL!$C$8, $C$12, 100%, $E$12) + CHOOSE(CONTROL!$C$27, 0, 0)</f>
        <v>77.906999999999996</v>
      </c>
      <c r="E820" s="4">
        <f>479.240417769327 * CHOOSE(CONTROL!$C$8, $C$12, 100%, $E$12) + CHOOSE(CONTROL!$C$27, 0, 0)</f>
        <v>479.240417769327</v>
      </c>
    </row>
    <row r="821" spans="1:5" ht="15">
      <c r="A821" s="13">
        <v>66900</v>
      </c>
      <c r="B821" s="4">
        <f>89.5345 * CHOOSE(CONTROL!$C$8, $C$12, 100%, $E$12) + CHOOSE(CONTROL!$C$27, 0.0003, 0)</f>
        <v>89.53479999999999</v>
      </c>
      <c r="C821" s="4">
        <f>89.222 * CHOOSE(CONTROL!$C$8, $C$12, 100%, $E$12) + CHOOSE(CONTROL!$C$27, 0.0003, 0)</f>
        <v>89.22229999999999</v>
      </c>
      <c r="D821" s="4">
        <f>80.5965 * CHOOSE(CONTROL!$C$8, $C$12, 100%, $E$12) + CHOOSE(CONTROL!$C$27, 0, 0)</f>
        <v>80.596500000000006</v>
      </c>
      <c r="E821" s="4">
        <f>490.619473930257 * CHOOSE(CONTROL!$C$8, $C$12, 100%, $E$12) + CHOOSE(CONTROL!$C$27, 0, 0)</f>
        <v>490.61947393025702</v>
      </c>
    </row>
    <row r="822" spans="1:5" ht="15">
      <c r="A822" s="13">
        <v>66931</v>
      </c>
      <c r="B822" s="4">
        <f>94.8735 * CHOOSE(CONTROL!$C$8, $C$12, 100%, $E$12) + CHOOSE(CONTROL!$C$27, 0.0003, 0)</f>
        <v>94.873800000000003</v>
      </c>
      <c r="C822" s="4">
        <f>94.561 * CHOOSE(CONTROL!$C$8, $C$12, 100%, $E$12) + CHOOSE(CONTROL!$C$27, 0.0003, 0)</f>
        <v>94.561300000000003</v>
      </c>
      <c r="D822" s="4">
        <f>84.8067 * CHOOSE(CONTROL!$C$8, $C$12, 100%, $E$12) + CHOOSE(CONTROL!$C$27, 0, 0)</f>
        <v>84.806700000000006</v>
      </c>
      <c r="E822" s="4">
        <f>520.501480128631 * CHOOSE(CONTROL!$C$8, $C$12, 100%, $E$12) + CHOOSE(CONTROL!$C$27, 0, 0)</f>
        <v>520.50148012863099</v>
      </c>
    </row>
    <row r="823" spans="1:5" ht="15">
      <c r="A823" s="13">
        <v>66961</v>
      </c>
      <c r="B823" s="4">
        <f>98.667 * CHOOSE(CONTROL!$C$8, $C$12, 100%, $E$12) + CHOOSE(CONTROL!$C$27, 0.0003, 0)</f>
        <v>98.667299999999997</v>
      </c>
      <c r="C823" s="4">
        <f>98.3545 * CHOOSE(CONTROL!$C$8, $C$12, 100%, $E$12) + CHOOSE(CONTROL!$C$27, 0.0003, 0)</f>
        <v>98.354799999999997</v>
      </c>
      <c r="D823" s="4">
        <f>87.2319 * CHOOSE(CONTROL!$C$8, $C$12, 100%, $E$12) + CHOOSE(CONTROL!$C$27, 0, 0)</f>
        <v>87.231899999999996</v>
      </c>
      <c r="E823" s="4">
        <f>541.733043762668 * CHOOSE(CONTROL!$C$8, $C$12, 100%, $E$12) + CHOOSE(CONTROL!$C$27, 0, 0)</f>
        <v>541.73304376266799</v>
      </c>
    </row>
    <row r="824" spans="1:5" ht="15">
      <c r="A824" s="13">
        <v>66992</v>
      </c>
      <c r="B824" s="4">
        <f>100.9847 * CHOOSE(CONTROL!$C$8, $C$12, 100%, $E$12) + CHOOSE(CONTROL!$C$27, 0.0166, 0)</f>
        <v>101.0013</v>
      </c>
      <c r="C824" s="4">
        <f>100.6722 * CHOOSE(CONTROL!$C$8, $C$12, 100%, $E$12) + CHOOSE(CONTROL!$C$27, 0.0166, 0)</f>
        <v>100.6888</v>
      </c>
      <c r="D824" s="4">
        <f>86.2736 * CHOOSE(CONTROL!$C$8, $C$12, 100%, $E$12) + CHOOSE(CONTROL!$C$27, 0, 0)</f>
        <v>86.273600000000002</v>
      </c>
      <c r="E824" s="4">
        <f>554.705020293502 * CHOOSE(CONTROL!$C$8, $C$12, 100%, $E$12) + CHOOSE(CONTROL!$C$27, 0, 0)</f>
        <v>554.705020293502</v>
      </c>
    </row>
    <row r="825" spans="1:5" ht="15">
      <c r="A825" s="13">
        <v>67022</v>
      </c>
      <c r="B825" s="4">
        <f>101.2983 * CHOOSE(CONTROL!$C$8, $C$12, 100%, $E$12) + CHOOSE(CONTROL!$C$27, 0.0166, 0)</f>
        <v>101.31489999999999</v>
      </c>
      <c r="C825" s="4">
        <f>100.9858 * CHOOSE(CONTROL!$C$8, $C$12, 100%, $E$12) + CHOOSE(CONTROL!$C$27, 0.0166, 0)</f>
        <v>101.00239999999999</v>
      </c>
      <c r="D825" s="4">
        <f>87.054 * CHOOSE(CONTROL!$C$8, $C$12, 100%, $E$12) + CHOOSE(CONTROL!$C$27, 0, 0)</f>
        <v>87.054000000000002</v>
      </c>
      <c r="E825" s="4">
        <f>556.460182552932 * CHOOSE(CONTROL!$C$8, $C$12, 100%, $E$12) + CHOOSE(CONTROL!$C$27, 0, 0)</f>
        <v>556.460182552932</v>
      </c>
    </row>
    <row r="826" spans="1:5" ht="15">
      <c r="A826" s="13">
        <v>67053</v>
      </c>
      <c r="B826" s="4">
        <f>101.2667 * CHOOSE(CONTROL!$C$8, $C$12, 100%, $E$12) + CHOOSE(CONTROL!$C$27, 0.0166, 0)</f>
        <v>101.2833</v>
      </c>
      <c r="C826" s="4">
        <f>100.9542 * CHOOSE(CONTROL!$C$8, $C$12, 100%, $E$12) + CHOOSE(CONTROL!$C$27, 0.0166, 0)</f>
        <v>100.9708</v>
      </c>
      <c r="D826" s="4">
        <f>88.4623 * CHOOSE(CONTROL!$C$8, $C$12, 100%, $E$12) + CHOOSE(CONTROL!$C$27, 0, 0)</f>
        <v>88.462299999999999</v>
      </c>
      <c r="E826" s="4">
        <f>556.283191400721 * CHOOSE(CONTROL!$C$8, $C$12, 100%, $E$12) + CHOOSE(CONTROL!$C$27, 0, 0)</f>
        <v>556.28319140072097</v>
      </c>
    </row>
    <row r="827" spans="1:5" ht="15">
      <c r="A827" s="13">
        <v>67084</v>
      </c>
      <c r="B827" s="4">
        <f>103.6463 * CHOOSE(CONTROL!$C$8, $C$12, 100%, $E$12) + CHOOSE(CONTROL!$C$27, 0.0166, 0)</f>
        <v>103.66289999999999</v>
      </c>
      <c r="C827" s="4">
        <f>103.3338 * CHOOSE(CONTROL!$C$8, $C$12, 100%, $E$12) + CHOOSE(CONTROL!$C$27, 0.0166, 0)</f>
        <v>103.35039999999999</v>
      </c>
      <c r="D827" s="4">
        <f>87.5323 * CHOOSE(CONTROL!$C$8, $C$12, 100%, $E$12) + CHOOSE(CONTROL!$C$27, 0, 0)</f>
        <v>87.532300000000006</v>
      </c>
      <c r="E827" s="4">
        <f>569.601775604636 * CHOOSE(CONTROL!$C$8, $C$12, 100%, $E$12) + CHOOSE(CONTROL!$C$27, 0, 0)</f>
        <v>569.60177560463603</v>
      </c>
    </row>
    <row r="828" spans="1:5" ht="15">
      <c r="A828" s="13">
        <v>67114</v>
      </c>
      <c r="B828" s="4">
        <f>99.5906 * CHOOSE(CONTROL!$C$8, $C$12, 100%, $E$12) + CHOOSE(CONTROL!$C$27, 0.0166, 0)</f>
        <v>99.607199999999992</v>
      </c>
      <c r="C828" s="4">
        <f>99.2781 * CHOOSE(CONTROL!$C$8, $C$12, 100%, $E$12) + CHOOSE(CONTROL!$C$27, 0.0166, 0)</f>
        <v>99.294699999999992</v>
      </c>
      <c r="D828" s="4">
        <f>87.0929 * CHOOSE(CONTROL!$C$8, $C$12, 100%, $E$12) + CHOOSE(CONTROL!$C$27, 0, 0)</f>
        <v>87.0929</v>
      </c>
      <c r="E828" s="4">
        <f>546.902660333512 * CHOOSE(CONTROL!$C$8, $C$12, 100%, $E$12) + CHOOSE(CONTROL!$C$27, 0, 0)</f>
        <v>546.90266033351202</v>
      </c>
    </row>
    <row r="829" spans="1:5" ht="15">
      <c r="A829" s="13">
        <v>67145</v>
      </c>
      <c r="B829" s="4">
        <f>96.344 * CHOOSE(CONTROL!$C$8, $C$12, 100%, $E$12) + CHOOSE(CONTROL!$C$27, 0.0003, 0)</f>
        <v>96.34429999999999</v>
      </c>
      <c r="C829" s="4">
        <f>96.0315 * CHOOSE(CONTROL!$C$8, $C$12, 100%, $E$12) + CHOOSE(CONTROL!$C$27, 0.0003, 0)</f>
        <v>96.03179999999999</v>
      </c>
      <c r="D829" s="4">
        <f>85.9163 * CHOOSE(CONTROL!$C$8, $C$12, 100%, $E$12) + CHOOSE(CONTROL!$C$27, 0, 0)</f>
        <v>85.916300000000007</v>
      </c>
      <c r="E829" s="4">
        <f>528.731568706465 * CHOOSE(CONTROL!$C$8, $C$12, 100%, $E$12) + CHOOSE(CONTROL!$C$27, 0, 0)</f>
        <v>528.73156870646505</v>
      </c>
    </row>
    <row r="830" spans="1:5" ht="15">
      <c r="A830" s="13">
        <v>67175</v>
      </c>
      <c r="B830" s="4">
        <f>94.2529 * CHOOSE(CONTROL!$C$8, $C$12, 100%, $E$12) + CHOOSE(CONTROL!$C$27, 0.0003, 0)</f>
        <v>94.253199999999993</v>
      </c>
      <c r="C830" s="4">
        <f>93.9404 * CHOOSE(CONTROL!$C$8, $C$12, 100%, $E$12) + CHOOSE(CONTROL!$C$27, 0.0003, 0)</f>
        <v>93.940699999999993</v>
      </c>
      <c r="D830" s="4">
        <f>85.5118 * CHOOSE(CONTROL!$C$8, $C$12, 100%, $E$12) + CHOOSE(CONTROL!$C$27, 0, 0)</f>
        <v>85.511799999999994</v>
      </c>
      <c r="E830" s="4">
        <f>517.02802876648 * CHOOSE(CONTROL!$C$8, $C$12, 100%, $E$12) + CHOOSE(CONTROL!$C$27, 0, 0)</f>
        <v>517.02802876648002</v>
      </c>
    </row>
    <row r="831" spans="1:5" ht="15">
      <c r="A831" s="13">
        <v>67206</v>
      </c>
      <c r="B831" s="4">
        <f>92.8061 * CHOOSE(CONTROL!$C$8, $C$12, 100%, $E$12) + CHOOSE(CONTROL!$C$27, 0.0003, 0)</f>
        <v>92.806399999999996</v>
      </c>
      <c r="C831" s="4">
        <f>92.4936 * CHOOSE(CONTROL!$C$8, $C$12, 100%, $E$12) + CHOOSE(CONTROL!$C$27, 0.0003, 0)</f>
        <v>92.493899999999996</v>
      </c>
      <c r="D831" s="4">
        <f>82.5338 * CHOOSE(CONTROL!$C$8, $C$12, 100%, $E$12) + CHOOSE(CONTROL!$C$27, 0, 0)</f>
        <v>82.533799999999999</v>
      </c>
      <c r="E831" s="4">
        <f>508.930683552805 * CHOOSE(CONTROL!$C$8, $C$12, 100%, $E$12) + CHOOSE(CONTROL!$C$27, 0, 0)</f>
        <v>508.93068355280502</v>
      </c>
    </row>
    <row r="832" spans="1:5" ht="15">
      <c r="A832" s="13">
        <v>67237</v>
      </c>
      <c r="B832" s="4">
        <f>90.4555 * CHOOSE(CONTROL!$C$8, $C$12, 100%, $E$12) + CHOOSE(CONTROL!$C$27, 0.0003, 0)</f>
        <v>90.455799999999996</v>
      </c>
      <c r="C832" s="4">
        <f>90.143 * CHOOSE(CONTROL!$C$8, $C$12, 100%, $E$12) + CHOOSE(CONTROL!$C$27, 0.0003, 0)</f>
        <v>90.143299999999996</v>
      </c>
      <c r="D832" s="4">
        <f>79.7968 * CHOOSE(CONTROL!$C$8, $C$12, 100%, $E$12) + CHOOSE(CONTROL!$C$27, 0, 0)</f>
        <v>79.796800000000005</v>
      </c>
      <c r="E832" s="4">
        <f>494.33649092906 * CHOOSE(CONTROL!$C$8, $C$12, 100%, $E$12) + CHOOSE(CONTROL!$C$27, 0, 0)</f>
        <v>494.33649092906001</v>
      </c>
    </row>
    <row r="833" spans="1:5" ht="15">
      <c r="A833" s="13">
        <v>67266</v>
      </c>
      <c r="B833" s="4">
        <f>92.5587 * CHOOSE(CONTROL!$C$8, $C$12, 100%, $E$12) + CHOOSE(CONTROL!$C$27, 0.0003, 0)</f>
        <v>92.558999999999997</v>
      </c>
      <c r="C833" s="4">
        <f>92.2462 * CHOOSE(CONTROL!$C$8, $C$12, 100%, $E$12) + CHOOSE(CONTROL!$C$27, 0.0003, 0)</f>
        <v>92.246499999999997</v>
      </c>
      <c r="D833" s="4">
        <f>82.553 * CHOOSE(CONTROL!$C$8, $C$12, 100%, $E$12) + CHOOSE(CONTROL!$C$27, 0, 0)</f>
        <v>82.552999999999997</v>
      </c>
      <c r="E833" s="4">
        <f>506.07398735906 * CHOOSE(CONTROL!$C$8, $C$12, 100%, $E$12) + CHOOSE(CONTROL!$C$27, 0, 0)</f>
        <v>506.07398735906003</v>
      </c>
    </row>
    <row r="834" spans="1:5" ht="15">
      <c r="A834" s="13">
        <v>67297</v>
      </c>
      <c r="B834" s="4">
        <f>98.082 * CHOOSE(CONTROL!$C$8, $C$12, 100%, $E$12) + CHOOSE(CONTROL!$C$27, 0.0003, 0)</f>
        <v>98.082299999999989</v>
      </c>
      <c r="C834" s="4">
        <f>97.7695 * CHOOSE(CONTROL!$C$8, $C$12, 100%, $E$12) + CHOOSE(CONTROL!$C$27, 0.0003, 0)</f>
        <v>97.769799999999989</v>
      </c>
      <c r="D834" s="4">
        <f>86.8676 * CHOOSE(CONTROL!$C$8, $C$12, 100%, $E$12) + CHOOSE(CONTROL!$C$27, 0, 0)</f>
        <v>86.867599999999996</v>
      </c>
      <c r="E834" s="4">
        <f>536.897276752683 * CHOOSE(CONTROL!$C$8, $C$12, 100%, $E$12) + CHOOSE(CONTROL!$C$27, 0, 0)</f>
        <v>536.89727675268296</v>
      </c>
    </row>
    <row r="835" spans="1:5" ht="15">
      <c r="A835" s="13">
        <v>67327</v>
      </c>
      <c r="B835" s="4">
        <f>102.0063 * CHOOSE(CONTROL!$C$8, $C$12, 100%, $E$12) + CHOOSE(CONTROL!$C$27, 0.0003, 0)</f>
        <v>102.00659999999999</v>
      </c>
      <c r="C835" s="4">
        <f>101.6938 * CHOOSE(CONTROL!$C$8, $C$12, 100%, $E$12) + CHOOSE(CONTROL!$C$27, 0.0003, 0)</f>
        <v>101.69409999999999</v>
      </c>
      <c r="D835" s="4">
        <f>89.353 * CHOOSE(CONTROL!$C$8, $C$12, 100%, $E$12) + CHOOSE(CONTROL!$C$27, 0, 0)</f>
        <v>89.352999999999994</v>
      </c>
      <c r="E835" s="4">
        <f>558.797634641192 * CHOOSE(CONTROL!$C$8, $C$12, 100%, $E$12) + CHOOSE(CONTROL!$C$27, 0, 0)</f>
        <v>558.79763464119196</v>
      </c>
    </row>
    <row r="836" spans="1:5" ht="15">
      <c r="A836" s="13">
        <v>67358</v>
      </c>
      <c r="B836" s="4">
        <f>104.404 * CHOOSE(CONTROL!$C$8, $C$12, 100%, $E$12) + CHOOSE(CONTROL!$C$27, 0.0166, 0)</f>
        <v>104.42059999999999</v>
      </c>
      <c r="C836" s="4">
        <f>104.0915 * CHOOSE(CONTROL!$C$8, $C$12, 100%, $E$12) + CHOOSE(CONTROL!$C$27, 0.0166, 0)</f>
        <v>104.10809999999999</v>
      </c>
      <c r="D836" s="4">
        <f>88.3709 * CHOOSE(CONTROL!$C$8, $C$12, 100%, $E$12) + CHOOSE(CONTROL!$C$27, 0, 0)</f>
        <v>88.370900000000006</v>
      </c>
      <c r="E836" s="4">
        <f>572.178228432747 * CHOOSE(CONTROL!$C$8, $C$12, 100%, $E$12) + CHOOSE(CONTROL!$C$27, 0, 0)</f>
        <v>572.17822843274701</v>
      </c>
    </row>
    <row r="837" spans="1:5" ht="15">
      <c r="A837" s="13">
        <v>67388</v>
      </c>
      <c r="B837" s="4">
        <f>104.7284 * CHOOSE(CONTROL!$C$8, $C$12, 100%, $E$12) + CHOOSE(CONTROL!$C$27, 0.0166, 0)</f>
        <v>104.74499999999999</v>
      </c>
      <c r="C837" s="4">
        <f>104.4159 * CHOOSE(CONTROL!$C$8, $C$12, 100%, $E$12) + CHOOSE(CONTROL!$C$27, 0.0166, 0)</f>
        <v>104.43249999999999</v>
      </c>
      <c r="D837" s="4">
        <f>89.1707 * CHOOSE(CONTROL!$C$8, $C$12, 100%, $E$12) + CHOOSE(CONTROL!$C$27, 0, 0)</f>
        <v>89.170699999999997</v>
      </c>
      <c r="E837" s="4">
        <f>573.98867830335 * CHOOSE(CONTROL!$C$8, $C$12, 100%, $E$12) + CHOOSE(CONTROL!$C$27, 0, 0)</f>
        <v>573.98867830334996</v>
      </c>
    </row>
    <row r="838" spans="1:5" ht="15">
      <c r="A838" s="13">
        <v>67419</v>
      </c>
      <c r="B838" s="4">
        <f>104.6957 * CHOOSE(CONTROL!$C$8, $C$12, 100%, $E$12) + CHOOSE(CONTROL!$C$27, 0.0166, 0)</f>
        <v>104.7123</v>
      </c>
      <c r="C838" s="4">
        <f>104.3832 * CHOOSE(CONTROL!$C$8, $C$12, 100%, $E$12) + CHOOSE(CONTROL!$C$27, 0.0166, 0)</f>
        <v>104.3998</v>
      </c>
      <c r="D838" s="4">
        <f>90.6139 * CHOOSE(CONTROL!$C$8, $C$12, 100%, $E$12) + CHOOSE(CONTROL!$C$27, 0, 0)</f>
        <v>90.613900000000001</v>
      </c>
      <c r="E838" s="4">
        <f>573.806111929844 * CHOOSE(CONTROL!$C$8, $C$12, 100%, $E$12) + CHOOSE(CONTROL!$C$27, 0, 0)</f>
        <v>573.80611192984395</v>
      </c>
    </row>
    <row r="839" spans="1:5" ht="15">
      <c r="A839" s="13">
        <v>67450</v>
      </c>
      <c r="B839" s="4">
        <f>107.1574 * CHOOSE(CONTROL!$C$8, $C$12, 100%, $E$12) + CHOOSE(CONTROL!$C$27, 0.0166, 0)</f>
        <v>107.17399999999999</v>
      </c>
      <c r="C839" s="4">
        <f>106.8449 * CHOOSE(CONTROL!$C$8, $C$12, 100%, $E$12) + CHOOSE(CONTROL!$C$27, 0.0166, 0)</f>
        <v>106.86149999999999</v>
      </c>
      <c r="D839" s="4">
        <f>89.6608 * CHOOSE(CONTROL!$C$8, $C$12, 100%, $E$12) + CHOOSE(CONTROL!$C$27, 0, 0)</f>
        <v>89.660799999999995</v>
      </c>
      <c r="E839" s="4">
        <f>587.544231536182 * CHOOSE(CONTROL!$C$8, $C$12, 100%, $E$12) + CHOOSE(CONTROL!$C$27, 0, 0)</f>
        <v>587.544231536182</v>
      </c>
    </row>
    <row r="840" spans="1:5" ht="15">
      <c r="A840" s="13">
        <v>67480</v>
      </c>
      <c r="B840" s="4">
        <f>102.9618 * CHOOSE(CONTROL!$C$8, $C$12, 100%, $E$12) + CHOOSE(CONTROL!$C$27, 0.0166, 0)</f>
        <v>102.97839999999999</v>
      </c>
      <c r="C840" s="4">
        <f>102.6493 * CHOOSE(CONTROL!$C$8, $C$12, 100%, $E$12) + CHOOSE(CONTROL!$C$27, 0.0166, 0)</f>
        <v>102.66589999999999</v>
      </c>
      <c r="D840" s="4">
        <f>89.2105 * CHOOSE(CONTROL!$C$8, $C$12, 100%, $E$12) + CHOOSE(CONTROL!$C$27, 0, 0)</f>
        <v>89.210499999999996</v>
      </c>
      <c r="E840" s="4">
        <f>564.130094134018 * CHOOSE(CONTROL!$C$8, $C$12, 100%, $E$12) + CHOOSE(CONTROL!$C$27, 0, 0)</f>
        <v>564.13009413401801</v>
      </c>
    </row>
    <row r="841" spans="1:5" ht="15">
      <c r="A841" s="13">
        <v>67511</v>
      </c>
      <c r="B841" s="4">
        <f>99.6032 * CHOOSE(CONTROL!$C$8, $C$12, 100%, $E$12) + CHOOSE(CONTROL!$C$27, 0.0003, 0)</f>
        <v>99.603499999999997</v>
      </c>
      <c r="C841" s="4">
        <f>99.2907 * CHOOSE(CONTROL!$C$8, $C$12, 100%, $E$12) + CHOOSE(CONTROL!$C$27, 0.0003, 0)</f>
        <v>99.290999999999997</v>
      </c>
      <c r="D841" s="4">
        <f>88.0048 * CHOOSE(CONTROL!$C$8, $C$12, 100%, $E$12) + CHOOSE(CONTROL!$C$27, 0, 0)</f>
        <v>88.004800000000003</v>
      </c>
      <c r="E841" s="4">
        <f>545.386613120719 * CHOOSE(CONTROL!$C$8, $C$12, 100%, $E$12) + CHOOSE(CONTROL!$C$27, 0, 0)</f>
        <v>545.38661312071895</v>
      </c>
    </row>
    <row r="842" spans="1:5" ht="15">
      <c r="A842" s="13">
        <v>67541</v>
      </c>
      <c r="B842" s="4">
        <f>97.4399 * CHOOSE(CONTROL!$C$8, $C$12, 100%, $E$12) + CHOOSE(CONTROL!$C$27, 0.0003, 0)</f>
        <v>97.44019999999999</v>
      </c>
      <c r="C842" s="4">
        <f>97.1274 * CHOOSE(CONTROL!$C$8, $C$12, 100%, $E$12) + CHOOSE(CONTROL!$C$27, 0.0003, 0)</f>
        <v>97.12769999999999</v>
      </c>
      <c r="D842" s="4">
        <f>87.5902 * CHOOSE(CONTROL!$C$8, $C$12, 100%, $E$12) + CHOOSE(CONTROL!$C$27, 0, 0)</f>
        <v>87.590199999999996</v>
      </c>
      <c r="E842" s="4">
        <f>533.314411672624 * CHOOSE(CONTROL!$C$8, $C$12, 100%, $E$12) + CHOOSE(CONTROL!$C$27, 0, 0)</f>
        <v>533.31441167262403</v>
      </c>
    </row>
    <row r="843" spans="1:5" ht="15">
      <c r="A843" s="13">
        <v>67572</v>
      </c>
      <c r="B843" s="4">
        <f>95.9433 * CHOOSE(CONTROL!$C$8, $C$12, 100%, $E$12) + CHOOSE(CONTROL!$C$27, 0.0003, 0)</f>
        <v>95.943599999999989</v>
      </c>
      <c r="C843" s="4">
        <f>95.6308 * CHOOSE(CONTROL!$C$8, $C$12, 100%, $E$12) + CHOOSE(CONTROL!$C$27, 0.0003, 0)</f>
        <v>95.631099999999989</v>
      </c>
      <c r="D843" s="4">
        <f>84.5384 * CHOOSE(CONTROL!$C$8, $C$12, 100%, $E$12) + CHOOSE(CONTROL!$C$27, 0, 0)</f>
        <v>84.538399999999996</v>
      </c>
      <c r="E843" s="4">
        <f>524.962000084718 * CHOOSE(CONTROL!$C$8, $C$12, 100%, $E$12) + CHOOSE(CONTROL!$C$27, 0, 0)</f>
        <v>524.96200008471806</v>
      </c>
    </row>
    <row r="844" spans="1:5" ht="15">
      <c r="A844" s="13">
        <v>67603</v>
      </c>
      <c r="B844" s="4">
        <f>93.5115 * CHOOSE(CONTROL!$C$8, $C$12, 100%, $E$12) + CHOOSE(CONTROL!$C$27, 0.0003, 0)</f>
        <v>93.511799999999994</v>
      </c>
      <c r="C844" s="4">
        <f>93.199 * CHOOSE(CONTROL!$C$8, $C$12, 100%, $E$12) + CHOOSE(CONTROL!$C$27, 0.0003, 0)</f>
        <v>93.199299999999994</v>
      </c>
      <c r="D844" s="4">
        <f>81.7335 * CHOOSE(CONTROL!$C$8, $C$12, 100%, $E$12) + CHOOSE(CONTROL!$C$27, 0, 0)</f>
        <v>81.733500000000006</v>
      </c>
      <c r="E844" s="4">
        <f>509.908090393326 * CHOOSE(CONTROL!$C$8, $C$12, 100%, $E$12) + CHOOSE(CONTROL!$C$27, 0, 0)</f>
        <v>509.90809039332601</v>
      </c>
    </row>
    <row r="845" spans="1:5" ht="15">
      <c r="A845" s="13">
        <v>67631</v>
      </c>
      <c r="B845" s="4">
        <f>95.6873 * CHOOSE(CONTROL!$C$8, $C$12, 100%, $E$12) + CHOOSE(CONTROL!$C$27, 0.0003, 0)</f>
        <v>95.687599999999989</v>
      </c>
      <c r="C845" s="4">
        <f>95.3748 * CHOOSE(CONTROL!$C$8, $C$12, 100%, $E$12) + CHOOSE(CONTROL!$C$27, 0.0003, 0)</f>
        <v>95.375099999999989</v>
      </c>
      <c r="D845" s="4">
        <f>84.5581 * CHOOSE(CONTROL!$C$8, $C$12, 100%, $E$12) + CHOOSE(CONTROL!$C$27, 0, 0)</f>
        <v>84.558099999999996</v>
      </c>
      <c r="E845" s="4">
        <f>522.015317960871 * CHOOSE(CONTROL!$C$8, $C$12, 100%, $E$12) + CHOOSE(CONTROL!$C$27, 0, 0)</f>
        <v>522.01531796087102</v>
      </c>
    </row>
    <row r="846" spans="1:5" ht="15">
      <c r="A846" s="13">
        <v>67662</v>
      </c>
      <c r="B846" s="4">
        <f>101.4011 * CHOOSE(CONTROL!$C$8, $C$12, 100%, $E$12) + CHOOSE(CONTROL!$C$27, 0.0003, 0)</f>
        <v>101.4014</v>
      </c>
      <c r="C846" s="4">
        <f>101.0886 * CHOOSE(CONTROL!$C$8, $C$12, 100%, $E$12) + CHOOSE(CONTROL!$C$27, 0.0003, 0)</f>
        <v>101.0889</v>
      </c>
      <c r="D846" s="4">
        <f>88.9797 * CHOOSE(CONTROL!$C$8, $C$12, 100%, $E$12) + CHOOSE(CONTROL!$C$27, 0, 0)</f>
        <v>88.979699999999994</v>
      </c>
      <c r="E846" s="4">
        <f>553.809540970392 * CHOOSE(CONTROL!$C$8, $C$12, 100%, $E$12) + CHOOSE(CONTROL!$C$27, 0, 0)</f>
        <v>553.80954097039205</v>
      </c>
    </row>
    <row r="847" spans="1:5" ht="15">
      <c r="A847" s="13">
        <v>67692</v>
      </c>
      <c r="B847" s="4">
        <f>105.4608 * CHOOSE(CONTROL!$C$8, $C$12, 100%, $E$12) + CHOOSE(CONTROL!$C$27, 0.0003, 0)</f>
        <v>105.4611</v>
      </c>
      <c r="C847" s="4">
        <f>105.1483 * CHOOSE(CONTROL!$C$8, $C$12, 100%, $E$12) + CHOOSE(CONTROL!$C$27, 0.0003, 0)</f>
        <v>105.1486</v>
      </c>
      <c r="D847" s="4">
        <f>91.5266 * CHOOSE(CONTROL!$C$8, $C$12, 100%, $E$12) + CHOOSE(CONTROL!$C$27, 0, 0)</f>
        <v>91.526600000000002</v>
      </c>
      <c r="E847" s="4">
        <f>576.39976013239 * CHOOSE(CONTROL!$C$8, $C$12, 100%, $E$12) + CHOOSE(CONTROL!$C$27, 0, 0)</f>
        <v>576.39976013239004</v>
      </c>
    </row>
    <row r="848" spans="1:5" ht="15">
      <c r="A848" s="13">
        <v>67723</v>
      </c>
      <c r="B848" s="4">
        <f>107.9412 * CHOOSE(CONTROL!$C$8, $C$12, 100%, $E$12) + CHOOSE(CONTROL!$C$27, 0.0166, 0)</f>
        <v>107.95779999999999</v>
      </c>
      <c r="C848" s="4">
        <f>107.6287 * CHOOSE(CONTROL!$C$8, $C$12, 100%, $E$12) + CHOOSE(CONTROL!$C$27, 0.0166, 0)</f>
        <v>107.64529999999999</v>
      </c>
      <c r="D848" s="4">
        <f>90.5202 * CHOOSE(CONTROL!$C$8, $C$12, 100%, $E$12) + CHOOSE(CONTROL!$C$27, 0, 0)</f>
        <v>90.520200000000003</v>
      </c>
      <c r="E848" s="4">
        <f>590.201842628379 * CHOOSE(CONTROL!$C$8, $C$12, 100%, $E$12) + CHOOSE(CONTROL!$C$27, 0, 0)</f>
        <v>590.20184262837904</v>
      </c>
    </row>
    <row r="849" spans="1:5" ht="15">
      <c r="A849" s="13">
        <v>67753</v>
      </c>
      <c r="B849" s="4">
        <f>108.2768 * CHOOSE(CONTROL!$C$8, $C$12, 100%, $E$12) + CHOOSE(CONTROL!$C$27, 0.0166, 0)</f>
        <v>108.29339999999999</v>
      </c>
      <c r="C849" s="4">
        <f>107.9643 * CHOOSE(CONTROL!$C$8, $C$12, 100%, $E$12) + CHOOSE(CONTROL!$C$27, 0.0166, 0)</f>
        <v>107.98089999999999</v>
      </c>
      <c r="D849" s="4">
        <f>91.3399 * CHOOSE(CONTROL!$C$8, $C$12, 100%, $E$12) + CHOOSE(CONTROL!$C$27, 0, 0)</f>
        <v>91.3399</v>
      </c>
      <c r="E849" s="4">
        <f>592.069321669905 * CHOOSE(CONTROL!$C$8, $C$12, 100%, $E$12) + CHOOSE(CONTROL!$C$27, 0, 0)</f>
        <v>592.06932166990498</v>
      </c>
    </row>
    <row r="850" spans="1:5" ht="15">
      <c r="A850" s="13">
        <v>67784</v>
      </c>
      <c r="B850" s="4">
        <f>108.243 * CHOOSE(CONTROL!$C$8, $C$12, 100%, $E$12) + CHOOSE(CONTROL!$C$27, 0.0166, 0)</f>
        <v>108.25959999999999</v>
      </c>
      <c r="C850" s="4">
        <f>107.9305 * CHOOSE(CONTROL!$C$8, $C$12, 100%, $E$12) + CHOOSE(CONTROL!$C$27, 0.0166, 0)</f>
        <v>107.94709999999999</v>
      </c>
      <c r="D850" s="4">
        <f>92.8189 * CHOOSE(CONTROL!$C$8, $C$12, 100%, $E$12) + CHOOSE(CONTROL!$C$27, 0, 0)</f>
        <v>92.818899999999999</v>
      </c>
      <c r="E850" s="4">
        <f>591.881004455634 * CHOOSE(CONTROL!$C$8, $C$12, 100%, $E$12) + CHOOSE(CONTROL!$C$27, 0, 0)</f>
        <v>591.88100445563396</v>
      </c>
    </row>
    <row r="851" spans="1:5" ht="15">
      <c r="A851" s="13">
        <v>67815</v>
      </c>
      <c r="B851" s="4">
        <f>110.7897 * CHOOSE(CONTROL!$C$8, $C$12, 100%, $E$12) + CHOOSE(CONTROL!$C$27, 0.0166, 0)</f>
        <v>110.80629999999999</v>
      </c>
      <c r="C851" s="4">
        <f>110.4772 * CHOOSE(CONTROL!$C$8, $C$12, 100%, $E$12) + CHOOSE(CONTROL!$C$27, 0.0166, 0)</f>
        <v>110.49379999999999</v>
      </c>
      <c r="D851" s="4">
        <f>91.8421 * CHOOSE(CONTROL!$C$8, $C$12, 100%, $E$12) + CHOOSE(CONTROL!$C$27, 0, 0)</f>
        <v>91.842100000000002</v>
      </c>
      <c r="E851" s="4">
        <f>606.051874829572 * CHOOSE(CONTROL!$C$8, $C$12, 100%, $E$12) + CHOOSE(CONTROL!$C$27, 0, 0)</f>
        <v>606.05187482957194</v>
      </c>
    </row>
    <row r="852" spans="1:5" ht="15">
      <c r="A852" s="13">
        <v>67845</v>
      </c>
      <c r="B852" s="4">
        <f>106.4493 * CHOOSE(CONTROL!$C$8, $C$12, 100%, $E$12) + CHOOSE(CONTROL!$C$27, 0.0166, 0)</f>
        <v>106.46589999999999</v>
      </c>
      <c r="C852" s="4">
        <f>106.1368 * CHOOSE(CONTROL!$C$8, $C$12, 100%, $E$12) + CHOOSE(CONTROL!$C$27, 0.0166, 0)</f>
        <v>106.15339999999999</v>
      </c>
      <c r="D852" s="4">
        <f>91.3806 * CHOOSE(CONTROL!$C$8, $C$12, 100%, $E$12) + CHOOSE(CONTROL!$C$27, 0, 0)</f>
        <v>91.380600000000001</v>
      </c>
      <c r="E852" s="4">
        <f>581.900192099239 * CHOOSE(CONTROL!$C$8, $C$12, 100%, $E$12) + CHOOSE(CONTROL!$C$27, 0, 0)</f>
        <v>581.90019209923901</v>
      </c>
    </row>
    <row r="853" spans="1:5" ht="15">
      <c r="A853" s="13">
        <v>67876</v>
      </c>
      <c r="B853" s="4">
        <f>102.9748 * CHOOSE(CONTROL!$C$8, $C$12, 100%, $E$12) + CHOOSE(CONTROL!$C$27, 0.0003, 0)</f>
        <v>102.9751</v>
      </c>
      <c r="C853" s="4">
        <f>102.6623 * CHOOSE(CONTROL!$C$8, $C$12, 100%, $E$12) + CHOOSE(CONTROL!$C$27, 0.0003, 0)</f>
        <v>102.6626</v>
      </c>
      <c r="D853" s="4">
        <f>90.145 * CHOOSE(CONTROL!$C$8, $C$12, 100%, $E$12) + CHOOSE(CONTROL!$C$27, 0, 0)</f>
        <v>90.144999999999996</v>
      </c>
      <c r="E853" s="4">
        <f>562.566291434022 * CHOOSE(CONTROL!$C$8, $C$12, 100%, $E$12) + CHOOSE(CONTROL!$C$27, 0, 0)</f>
        <v>562.56629143402199</v>
      </c>
    </row>
    <row r="854" spans="1:5" ht="15">
      <c r="A854" s="13">
        <v>67906</v>
      </c>
      <c r="B854" s="4">
        <f>100.7369 * CHOOSE(CONTROL!$C$8, $C$12, 100%, $E$12) + CHOOSE(CONTROL!$C$27, 0.0003, 0)</f>
        <v>100.7372</v>
      </c>
      <c r="C854" s="4">
        <f>100.4244 * CHOOSE(CONTROL!$C$8, $C$12, 100%, $E$12) + CHOOSE(CONTROL!$C$27, 0.0003, 0)</f>
        <v>100.4247</v>
      </c>
      <c r="D854" s="4">
        <f>89.7202 * CHOOSE(CONTROL!$C$8, $C$12, 100%, $E$12) + CHOOSE(CONTROL!$C$27, 0, 0)</f>
        <v>89.720200000000006</v>
      </c>
      <c r="E854" s="4">
        <f>550.113815640312 * CHOOSE(CONTROL!$C$8, $C$12, 100%, $E$12) + CHOOSE(CONTROL!$C$27, 0, 0)</f>
        <v>550.11381564031205</v>
      </c>
    </row>
    <row r="855" spans="1:5" ht="15">
      <c r="A855" s="13">
        <v>67937</v>
      </c>
      <c r="B855" s="4">
        <f>99.1886 * CHOOSE(CONTROL!$C$8, $C$12, 100%, $E$12) + CHOOSE(CONTROL!$C$27, 0.0003, 0)</f>
        <v>99.18889999999999</v>
      </c>
      <c r="C855" s="4">
        <f>98.8761 * CHOOSE(CONTROL!$C$8, $C$12, 100%, $E$12) + CHOOSE(CONTROL!$C$27, 0.0003, 0)</f>
        <v>98.87639999999999</v>
      </c>
      <c r="D855" s="4">
        <f>86.5927 * CHOOSE(CONTROL!$C$8, $C$12, 100%, $E$12) + CHOOSE(CONTROL!$C$27, 0, 0)</f>
        <v>86.592699999999994</v>
      </c>
      <c r="E855" s="4">
        <f>541.498303087387 * CHOOSE(CONTROL!$C$8, $C$12, 100%, $E$12) + CHOOSE(CONTROL!$C$27, 0, 0)</f>
        <v>541.49830308738694</v>
      </c>
    </row>
    <row r="856" spans="1:5" ht="15">
      <c r="A856" s="13">
        <v>67968</v>
      </c>
      <c r="B856" s="4">
        <f>96.6729 * CHOOSE(CONTROL!$C$8, $C$12, 100%, $E$12) + CHOOSE(CONTROL!$C$27, 0.0003, 0)</f>
        <v>96.673199999999994</v>
      </c>
      <c r="C856" s="4">
        <f>96.3604 * CHOOSE(CONTROL!$C$8, $C$12, 100%, $E$12) + CHOOSE(CONTROL!$C$27, 0.0003, 0)</f>
        <v>96.360699999999994</v>
      </c>
      <c r="D856" s="4">
        <f>83.7182 * CHOOSE(CONTROL!$C$8, $C$12, 100%, $E$12) + CHOOSE(CONTROL!$C$27, 0, 0)</f>
        <v>83.718199999999996</v>
      </c>
      <c r="E856" s="4">
        <f>525.970195240716 * CHOOSE(CONTROL!$C$8, $C$12, 100%, $E$12) + CHOOSE(CONTROL!$C$27, 0, 0)</f>
        <v>525.97019524071595</v>
      </c>
    </row>
    <row r="857" spans="1:5" ht="15">
      <c r="A857" s="13">
        <v>67996</v>
      </c>
      <c r="B857" s="4">
        <f>98.9238 * CHOOSE(CONTROL!$C$8, $C$12, 100%, $E$12) + CHOOSE(CONTROL!$C$27, 0.0003, 0)</f>
        <v>98.924099999999996</v>
      </c>
      <c r="C857" s="4">
        <f>98.6113 * CHOOSE(CONTROL!$C$8, $C$12, 100%, $E$12) + CHOOSE(CONTROL!$C$27, 0.0003, 0)</f>
        <v>98.611599999999996</v>
      </c>
      <c r="D857" s="4">
        <f>86.6128 * CHOOSE(CONTROL!$C$8, $C$12, 100%, $E$12) + CHOOSE(CONTROL!$C$27, 0, 0)</f>
        <v>86.612799999999993</v>
      </c>
      <c r="E857" s="4">
        <f>538.458800476638 * CHOOSE(CONTROL!$C$8, $C$12, 100%, $E$12) + CHOOSE(CONTROL!$C$27, 0, 0)</f>
        <v>538.45880047663798</v>
      </c>
    </row>
    <row r="858" spans="1:5" ht="15">
      <c r="A858" s="13">
        <v>68027</v>
      </c>
      <c r="B858" s="4">
        <f>104.8347 * CHOOSE(CONTROL!$C$8, $C$12, 100%, $E$12) + CHOOSE(CONTROL!$C$27, 0.0003, 0)</f>
        <v>104.83499999999999</v>
      </c>
      <c r="C858" s="4">
        <f>104.5222 * CHOOSE(CONTROL!$C$8, $C$12, 100%, $E$12) + CHOOSE(CONTROL!$C$27, 0.0003, 0)</f>
        <v>104.52249999999999</v>
      </c>
      <c r="D858" s="4">
        <f>91.1441 * CHOOSE(CONTROL!$C$8, $C$12, 100%, $E$12) + CHOOSE(CONTROL!$C$27, 0, 0)</f>
        <v>91.144099999999995</v>
      </c>
      <c r="E858" s="4">
        <f>571.25454151096 * CHOOSE(CONTROL!$C$8, $C$12, 100%, $E$12) + CHOOSE(CONTROL!$C$27, 0, 0)</f>
        <v>571.25454151096005</v>
      </c>
    </row>
    <row r="859" spans="1:5" ht="15">
      <c r="A859" s="13">
        <v>68057</v>
      </c>
      <c r="B859" s="4">
        <f>109.0345 * CHOOSE(CONTROL!$C$8, $C$12, 100%, $E$12) + CHOOSE(CONTROL!$C$27, 0.0003, 0)</f>
        <v>109.03479999999999</v>
      </c>
      <c r="C859" s="4">
        <f>108.722 * CHOOSE(CONTROL!$C$8, $C$12, 100%, $E$12) + CHOOSE(CONTROL!$C$27, 0.0003, 0)</f>
        <v>108.72229999999999</v>
      </c>
      <c r="D859" s="4">
        <f>93.7542 * CHOOSE(CONTROL!$C$8, $C$12, 100%, $E$12) + CHOOSE(CONTROL!$C$27, 0, 0)</f>
        <v>93.754199999999997</v>
      </c>
      <c r="E859" s="4">
        <f>594.55635257656 * CHOOSE(CONTROL!$C$8, $C$12, 100%, $E$12) + CHOOSE(CONTROL!$C$27, 0, 0)</f>
        <v>594.55635257656002</v>
      </c>
    </row>
    <row r="860" spans="1:5" ht="15">
      <c r="A860" s="13">
        <v>68088</v>
      </c>
      <c r="B860" s="4">
        <f>111.6005 * CHOOSE(CONTROL!$C$8, $C$12, 100%, $E$12) + CHOOSE(CONTROL!$C$27, 0.0166, 0)</f>
        <v>111.61709999999999</v>
      </c>
      <c r="C860" s="4">
        <f>111.288 * CHOOSE(CONTROL!$C$8, $C$12, 100%, $E$12) + CHOOSE(CONTROL!$C$27, 0.0166, 0)</f>
        <v>111.30459999999999</v>
      </c>
      <c r="D860" s="4">
        <f>92.7228 * CHOOSE(CONTROL!$C$8, $C$12, 100%, $E$12) + CHOOSE(CONTROL!$C$27, 0, 0)</f>
        <v>92.722800000000007</v>
      </c>
      <c r="E860" s="4">
        <f>608.793200671173 * CHOOSE(CONTROL!$C$8, $C$12, 100%, $E$12) + CHOOSE(CONTROL!$C$27, 0, 0)</f>
        <v>608.79320067117305</v>
      </c>
    </row>
    <row r="861" spans="1:5" ht="15">
      <c r="A861" s="13">
        <v>68118</v>
      </c>
      <c r="B861" s="4">
        <f>111.9477 * CHOOSE(CONTROL!$C$8, $C$12, 100%, $E$12) + CHOOSE(CONTROL!$C$27, 0.0166, 0)</f>
        <v>111.96429999999999</v>
      </c>
      <c r="C861" s="4">
        <f>111.6352 * CHOOSE(CONTROL!$C$8, $C$12, 100%, $E$12) + CHOOSE(CONTROL!$C$27, 0.0166, 0)</f>
        <v>111.65179999999999</v>
      </c>
      <c r="D861" s="4">
        <f>93.5628 * CHOOSE(CONTROL!$C$8, $C$12, 100%, $E$12) + CHOOSE(CONTROL!$C$27, 0, 0)</f>
        <v>93.562799999999996</v>
      </c>
      <c r="E861" s="4">
        <f>610.719505302508 * CHOOSE(CONTROL!$C$8, $C$12, 100%, $E$12) + CHOOSE(CONTROL!$C$27, 0, 0)</f>
        <v>610.71950530250797</v>
      </c>
    </row>
    <row r="862" spans="1:5" ht="15">
      <c r="A862" s="13">
        <v>68149</v>
      </c>
      <c r="B862" s="4">
        <f>111.9127 * CHOOSE(CONTROL!$C$8, $C$12, 100%, $E$12) + CHOOSE(CONTROL!$C$27, 0.0166, 0)</f>
        <v>111.9293</v>
      </c>
      <c r="C862" s="4">
        <f>111.6002 * CHOOSE(CONTROL!$C$8, $C$12, 100%, $E$12) + CHOOSE(CONTROL!$C$27, 0.0166, 0)</f>
        <v>111.6168</v>
      </c>
      <c r="D862" s="4">
        <f>95.0785 * CHOOSE(CONTROL!$C$8, $C$12, 100%, $E$12) + CHOOSE(CONTROL!$C$27, 0, 0)</f>
        <v>95.078500000000005</v>
      </c>
      <c r="E862" s="4">
        <f>610.525256095986 * CHOOSE(CONTROL!$C$8, $C$12, 100%, $E$12) + CHOOSE(CONTROL!$C$27, 0, 0)</f>
        <v>610.52525609598604</v>
      </c>
    </row>
    <row r="863" spans="1:5" ht="15">
      <c r="A863" s="13">
        <v>68180</v>
      </c>
      <c r="B863" s="4">
        <f>114.5472 * CHOOSE(CONTROL!$C$8, $C$12, 100%, $E$12) + CHOOSE(CONTROL!$C$27, 0.0166, 0)</f>
        <v>114.5638</v>
      </c>
      <c r="C863" s="4">
        <f>114.2347 * CHOOSE(CONTROL!$C$8, $C$12, 100%, $E$12) + CHOOSE(CONTROL!$C$27, 0.0166, 0)</f>
        <v>114.2513</v>
      </c>
      <c r="D863" s="4">
        <f>94.0775 * CHOOSE(CONTROL!$C$8, $C$12, 100%, $E$12) + CHOOSE(CONTROL!$C$27, 0, 0)</f>
        <v>94.077500000000001</v>
      </c>
      <c r="E863" s="4">
        <f>625.142508886703 * CHOOSE(CONTROL!$C$8, $C$12, 100%, $E$12) + CHOOSE(CONTROL!$C$27, 0, 0)</f>
        <v>625.14250888670301</v>
      </c>
    </row>
    <row r="864" spans="1:5" ht="15">
      <c r="A864" s="13">
        <v>68210</v>
      </c>
      <c r="B864" s="4">
        <f>110.0571 * CHOOSE(CONTROL!$C$8, $C$12, 100%, $E$12) + CHOOSE(CONTROL!$C$27, 0.0166, 0)</f>
        <v>110.0737</v>
      </c>
      <c r="C864" s="4">
        <f>109.7446 * CHOOSE(CONTROL!$C$8, $C$12, 100%, $E$12) + CHOOSE(CONTROL!$C$27, 0.0166, 0)</f>
        <v>109.7612</v>
      </c>
      <c r="D864" s="4">
        <f>93.6046 * CHOOSE(CONTROL!$C$8, $C$12, 100%, $E$12) + CHOOSE(CONTROL!$C$27, 0, 0)</f>
        <v>93.604600000000005</v>
      </c>
      <c r="E864" s="4">
        <f>600.230048150365 * CHOOSE(CONTROL!$C$8, $C$12, 100%, $E$12) + CHOOSE(CONTROL!$C$27, 0, 0)</f>
        <v>600.23004815036495</v>
      </c>
    </row>
    <row r="865" spans="1:5" ht="15">
      <c r="A865" s="13">
        <v>68241</v>
      </c>
      <c r="B865" s="4">
        <f>106.4627 * CHOOSE(CONTROL!$C$8, $C$12, 100%, $E$12) + CHOOSE(CONTROL!$C$27, 0.0003, 0)</f>
        <v>106.46299999999999</v>
      </c>
      <c r="C865" s="4">
        <f>106.1502 * CHOOSE(CONTROL!$C$8, $C$12, 100%, $E$12) + CHOOSE(CONTROL!$C$27, 0.0003, 0)</f>
        <v>106.15049999999999</v>
      </c>
      <c r="D865" s="4">
        <f>92.3383 * CHOOSE(CONTROL!$C$8, $C$12, 100%, $E$12) + CHOOSE(CONTROL!$C$27, 0, 0)</f>
        <v>92.338300000000004</v>
      </c>
      <c r="E865" s="4">
        <f>580.287129614193 * CHOOSE(CONTROL!$C$8, $C$12, 100%, $E$12) + CHOOSE(CONTROL!$C$27, 0, 0)</f>
        <v>580.28712961419296</v>
      </c>
    </row>
    <row r="866" spans="1:5" ht="15">
      <c r="A866" s="13">
        <v>68271</v>
      </c>
      <c r="B866" s="4">
        <f>104.1477 * CHOOSE(CONTROL!$C$8, $C$12, 100%, $E$12) + CHOOSE(CONTROL!$C$27, 0.0003, 0)</f>
        <v>104.148</v>
      </c>
      <c r="C866" s="4">
        <f>103.8352 * CHOOSE(CONTROL!$C$8, $C$12, 100%, $E$12) + CHOOSE(CONTROL!$C$27, 0.0003, 0)</f>
        <v>103.8355</v>
      </c>
      <c r="D866" s="4">
        <f>91.903 * CHOOSE(CONTROL!$C$8, $C$12, 100%, $E$12) + CHOOSE(CONTROL!$C$27, 0, 0)</f>
        <v>91.903000000000006</v>
      </c>
      <c r="E866" s="4">
        <f>567.442400832982 * CHOOSE(CONTROL!$C$8, $C$12, 100%, $E$12) + CHOOSE(CONTROL!$C$27, 0, 0)</f>
        <v>567.442400832982</v>
      </c>
    </row>
    <row r="867" spans="1:5" ht="15">
      <c r="A867" s="13">
        <v>68302</v>
      </c>
      <c r="B867" s="4">
        <f>102.5459 * CHOOSE(CONTROL!$C$8, $C$12, 100%, $E$12) + CHOOSE(CONTROL!$C$27, 0.0003, 0)</f>
        <v>102.5462</v>
      </c>
      <c r="C867" s="4">
        <f>102.2334 * CHOOSE(CONTROL!$C$8, $C$12, 100%, $E$12) + CHOOSE(CONTROL!$C$27, 0.0003, 0)</f>
        <v>102.2337</v>
      </c>
      <c r="D867" s="4">
        <f>88.6979 * CHOOSE(CONTROL!$C$8, $C$12, 100%, $E$12) + CHOOSE(CONTROL!$C$27, 0, 0)</f>
        <v>88.697900000000004</v>
      </c>
      <c r="E867" s="4">
        <f>558.555499634639 * CHOOSE(CONTROL!$C$8, $C$12, 100%, $E$12) + CHOOSE(CONTROL!$C$27, 0, 0)</f>
        <v>558.55549963463898</v>
      </c>
    </row>
    <row r="868" spans="1:5" ht="15">
      <c r="A868" s="13">
        <v>68333</v>
      </c>
      <c r="B868" s="4">
        <f>99.9435 * CHOOSE(CONTROL!$C$8, $C$12, 100%, $E$12) + CHOOSE(CONTROL!$C$27, 0.0003, 0)</f>
        <v>99.943799999999996</v>
      </c>
      <c r="C868" s="4">
        <f>99.631 * CHOOSE(CONTROL!$C$8, $C$12, 100%, $E$12) + CHOOSE(CONTROL!$C$27, 0.0003, 0)</f>
        <v>99.631299999999996</v>
      </c>
      <c r="D868" s="4">
        <f>85.7522 * CHOOSE(CONTROL!$C$8, $C$12, 100%, $E$12) + CHOOSE(CONTROL!$C$27, 0, 0)</f>
        <v>85.752200000000002</v>
      </c>
      <c r="E868" s="4">
        <f>542.538256390798 * CHOOSE(CONTROL!$C$8, $C$12, 100%, $E$12) + CHOOSE(CONTROL!$C$27, 0, 0)</f>
        <v>542.53825639079798</v>
      </c>
    </row>
    <row r="869" spans="1:5" ht="15">
      <c r="A869" s="13">
        <v>68361</v>
      </c>
      <c r="B869" s="4">
        <f>102.272 * CHOOSE(CONTROL!$C$8, $C$12, 100%, $E$12) + CHOOSE(CONTROL!$C$27, 0.0003, 0)</f>
        <v>102.2723</v>
      </c>
      <c r="C869" s="4">
        <f>101.9595 * CHOOSE(CONTROL!$C$8, $C$12, 100%, $E$12) + CHOOSE(CONTROL!$C$27, 0.0003, 0)</f>
        <v>101.9598</v>
      </c>
      <c r="D869" s="4">
        <f>88.7186 * CHOOSE(CONTROL!$C$8, $C$12, 100%, $E$12) + CHOOSE(CONTROL!$C$27, 0, 0)</f>
        <v>88.718599999999995</v>
      </c>
      <c r="E869" s="4">
        <f>555.420252691653 * CHOOSE(CONTROL!$C$8, $C$12, 100%, $E$12) + CHOOSE(CONTROL!$C$27, 0, 0)</f>
        <v>555.42025269165299</v>
      </c>
    </row>
    <row r="870" spans="1:5" ht="15">
      <c r="A870" s="13">
        <v>68392</v>
      </c>
      <c r="B870" s="4">
        <f>108.3869 * CHOOSE(CONTROL!$C$8, $C$12, 100%, $E$12) + CHOOSE(CONTROL!$C$27, 0.0003, 0)</f>
        <v>108.38719999999999</v>
      </c>
      <c r="C870" s="4">
        <f>108.0744 * CHOOSE(CONTROL!$C$8, $C$12, 100%, $E$12) + CHOOSE(CONTROL!$C$27, 0.0003, 0)</f>
        <v>108.07469999999999</v>
      </c>
      <c r="D870" s="4">
        <f>93.3622 * CHOOSE(CONTROL!$C$8, $C$12, 100%, $E$12) + CHOOSE(CONTROL!$C$27, 0, 0)</f>
        <v>93.362200000000001</v>
      </c>
      <c r="E870" s="4">
        <f>589.249059568555 * CHOOSE(CONTROL!$C$8, $C$12, 100%, $E$12) + CHOOSE(CONTROL!$C$27, 0, 0)</f>
        <v>589.24905956855503</v>
      </c>
    </row>
    <row r="871" spans="1:5" ht="15">
      <c r="A871" s="13">
        <v>68422</v>
      </c>
      <c r="B871" s="4">
        <f>112.7315 * CHOOSE(CONTROL!$C$8, $C$12, 100%, $E$12) + CHOOSE(CONTROL!$C$27, 0.0003, 0)</f>
        <v>112.73179999999999</v>
      </c>
      <c r="C871" s="4">
        <f>112.419 * CHOOSE(CONTROL!$C$8, $C$12, 100%, $E$12) + CHOOSE(CONTROL!$C$27, 0.0003, 0)</f>
        <v>112.41929999999999</v>
      </c>
      <c r="D871" s="4">
        <f>96.0371 * CHOOSE(CONTROL!$C$8, $C$12, 100%, $E$12) + CHOOSE(CONTROL!$C$27, 0, 0)</f>
        <v>96.037099999999995</v>
      </c>
      <c r="E871" s="4">
        <f>613.284877682722 * CHOOSE(CONTROL!$C$8, $C$12, 100%, $E$12) + CHOOSE(CONTROL!$C$27, 0, 0)</f>
        <v>613.28487768272203</v>
      </c>
    </row>
    <row r="872" spans="1:5" ht="15">
      <c r="A872" s="13">
        <v>68453</v>
      </c>
      <c r="B872" s="4">
        <f>115.386 * CHOOSE(CONTROL!$C$8, $C$12, 100%, $E$12) + CHOOSE(CONTROL!$C$27, 0.0166, 0)</f>
        <v>115.40259999999999</v>
      </c>
      <c r="C872" s="4">
        <f>115.0735 * CHOOSE(CONTROL!$C$8, $C$12, 100%, $E$12) + CHOOSE(CONTROL!$C$27, 0.0166, 0)</f>
        <v>115.09009999999999</v>
      </c>
      <c r="D872" s="4">
        <f>94.9801 * CHOOSE(CONTROL!$C$8, $C$12, 100%, $E$12) + CHOOSE(CONTROL!$C$27, 0, 0)</f>
        <v>94.980099999999993</v>
      </c>
      <c r="E872" s="4">
        <f>627.970186492315 * CHOOSE(CONTROL!$C$8, $C$12, 100%, $E$12) + CHOOSE(CONTROL!$C$27, 0, 0)</f>
        <v>627.97018649231495</v>
      </c>
    </row>
    <row r="873" spans="1:5" ht="15">
      <c r="A873" s="13">
        <v>68483</v>
      </c>
      <c r="B873" s="4">
        <f>115.7452 * CHOOSE(CONTROL!$C$8, $C$12, 100%, $E$12) + CHOOSE(CONTROL!$C$27, 0.0166, 0)</f>
        <v>115.76179999999999</v>
      </c>
      <c r="C873" s="4">
        <f>115.4327 * CHOOSE(CONTROL!$C$8, $C$12, 100%, $E$12) + CHOOSE(CONTROL!$C$27, 0.0166, 0)</f>
        <v>115.44929999999999</v>
      </c>
      <c r="D873" s="4">
        <f>95.8409 * CHOOSE(CONTROL!$C$8, $C$12, 100%, $E$12) + CHOOSE(CONTROL!$C$27, 0, 0)</f>
        <v>95.840900000000005</v>
      </c>
      <c r="E873" s="4">
        <f>629.957169719537 * CHOOSE(CONTROL!$C$8, $C$12, 100%, $E$12) + CHOOSE(CONTROL!$C$27, 0, 0)</f>
        <v>629.95716971953698</v>
      </c>
    </row>
    <row r="874" spans="1:5" ht="15">
      <c r="A874" s="13">
        <v>68514</v>
      </c>
      <c r="B874" s="4">
        <f>115.709 * CHOOSE(CONTROL!$C$8, $C$12, 100%, $E$12) + CHOOSE(CONTROL!$C$27, 0.0166, 0)</f>
        <v>115.7256</v>
      </c>
      <c r="C874" s="4">
        <f>115.3965 * CHOOSE(CONTROL!$C$8, $C$12, 100%, $E$12) + CHOOSE(CONTROL!$C$27, 0.0166, 0)</f>
        <v>115.4131</v>
      </c>
      <c r="D874" s="4">
        <f>97.3942 * CHOOSE(CONTROL!$C$8, $C$12, 100%, $E$12) + CHOOSE(CONTROL!$C$27, 0, 0)</f>
        <v>97.394199999999998</v>
      </c>
      <c r="E874" s="4">
        <f>629.75680166301 * CHOOSE(CONTROL!$C$8, $C$12, 100%, $E$12) + CHOOSE(CONTROL!$C$27, 0, 0)</f>
        <v>629.75680166301004</v>
      </c>
    </row>
    <row r="875" spans="1:5" ht="15">
      <c r="A875" s="13">
        <v>68545</v>
      </c>
      <c r="B875" s="4">
        <f>118.4344 * CHOOSE(CONTROL!$C$8, $C$12, 100%, $E$12) + CHOOSE(CONTROL!$C$27, 0.0166, 0)</f>
        <v>118.45099999999999</v>
      </c>
      <c r="C875" s="4">
        <f>118.1219 * CHOOSE(CONTROL!$C$8, $C$12, 100%, $E$12) + CHOOSE(CONTROL!$C$27, 0.0166, 0)</f>
        <v>118.13849999999999</v>
      </c>
      <c r="D875" s="4">
        <f>96.3684 * CHOOSE(CONTROL!$C$8, $C$12, 100%, $E$12) + CHOOSE(CONTROL!$C$27, 0, 0)</f>
        <v>96.368399999999994</v>
      </c>
      <c r="E875" s="4">
        <f>644.834497916634 * CHOOSE(CONTROL!$C$8, $C$12, 100%, $E$12) + CHOOSE(CONTROL!$C$27, 0, 0)</f>
        <v>644.83449791663395</v>
      </c>
    </row>
    <row r="876" spans="1:5" ht="15">
      <c r="A876" s="13">
        <v>68575</v>
      </c>
      <c r="B876" s="4">
        <f>113.7894 * CHOOSE(CONTROL!$C$8, $C$12, 100%, $E$12) + CHOOSE(CONTROL!$C$27, 0.0166, 0)</f>
        <v>113.806</v>
      </c>
      <c r="C876" s="4">
        <f>113.4769 * CHOOSE(CONTROL!$C$8, $C$12, 100%, $E$12) + CHOOSE(CONTROL!$C$27, 0.0166, 0)</f>
        <v>113.4935</v>
      </c>
      <c r="D876" s="4">
        <f>95.8837 * CHOOSE(CONTROL!$C$8, $C$12, 100%, $E$12) + CHOOSE(CONTROL!$C$27, 0, 0)</f>
        <v>95.883700000000005</v>
      </c>
      <c r="E876" s="4">
        <f>619.137294667102 * CHOOSE(CONTROL!$C$8, $C$12, 100%, $E$12) + CHOOSE(CONTROL!$C$27, 0, 0)</f>
        <v>619.13729466710197</v>
      </c>
    </row>
    <row r="877" spans="1:5" ht="15">
      <c r="A877" s="13">
        <v>68606</v>
      </c>
      <c r="B877" s="4">
        <f>110.071 * CHOOSE(CONTROL!$C$8, $C$12, 100%, $E$12) + CHOOSE(CONTROL!$C$27, 0.0003, 0)</f>
        <v>110.07129999999999</v>
      </c>
      <c r="C877" s="4">
        <f>109.7585 * CHOOSE(CONTROL!$C$8, $C$12, 100%, $E$12) + CHOOSE(CONTROL!$C$27, 0.0003, 0)</f>
        <v>109.75879999999999</v>
      </c>
      <c r="D877" s="4">
        <f>94.5861 * CHOOSE(CONTROL!$C$8, $C$12, 100%, $E$12) + CHOOSE(CONTROL!$C$27, 0, 0)</f>
        <v>94.586100000000002</v>
      </c>
      <c r="E877" s="4">
        <f>598.566174197041 * CHOOSE(CONTROL!$C$8, $C$12, 100%, $E$12) + CHOOSE(CONTROL!$C$27, 0, 0)</f>
        <v>598.56617419704105</v>
      </c>
    </row>
    <row r="878" spans="1:5" ht="15">
      <c r="A878" s="13">
        <v>68636</v>
      </c>
      <c r="B878" s="4">
        <f>107.6761 * CHOOSE(CONTROL!$C$8, $C$12, 100%, $E$12) + CHOOSE(CONTROL!$C$27, 0.0003, 0)</f>
        <v>107.6764</v>
      </c>
      <c r="C878" s="4">
        <f>107.3636 * CHOOSE(CONTROL!$C$8, $C$12, 100%, $E$12) + CHOOSE(CONTROL!$C$27, 0.0003, 0)</f>
        <v>107.3639</v>
      </c>
      <c r="D878" s="4">
        <f>94.1399 * CHOOSE(CONTROL!$C$8, $C$12, 100%, $E$12) + CHOOSE(CONTROL!$C$27, 0, 0)</f>
        <v>94.139899999999997</v>
      </c>
      <c r="E878" s="4">
        <f>585.316836459221 * CHOOSE(CONTROL!$C$8, $C$12, 100%, $E$12) + CHOOSE(CONTROL!$C$27, 0, 0)</f>
        <v>585.31683645922101</v>
      </c>
    </row>
    <row r="879" spans="1:5" ht="15">
      <c r="A879" s="13">
        <v>68667</v>
      </c>
      <c r="B879" s="4">
        <f>106.0191 * CHOOSE(CONTROL!$C$8, $C$12, 100%, $E$12) + CHOOSE(CONTROL!$C$27, 0.0003, 0)</f>
        <v>106.01939999999999</v>
      </c>
      <c r="C879" s="4">
        <f>105.7066 * CHOOSE(CONTROL!$C$8, $C$12, 100%, $E$12) + CHOOSE(CONTROL!$C$27, 0.0003, 0)</f>
        <v>105.70689999999999</v>
      </c>
      <c r="D879" s="4">
        <f>90.8554 * CHOOSE(CONTROL!$C$8, $C$12, 100%, $E$12) + CHOOSE(CONTROL!$C$27, 0, 0)</f>
        <v>90.855400000000003</v>
      </c>
      <c r="E879" s="4">
        <f>576.149997873131 * CHOOSE(CONTROL!$C$8, $C$12, 100%, $E$12) + CHOOSE(CONTROL!$C$27, 0, 0)</f>
        <v>576.14999787313104</v>
      </c>
    </row>
    <row r="880" spans="1:5" ht="15">
      <c r="A880" s="13">
        <v>68698</v>
      </c>
      <c r="B880" s="4">
        <f>103.3268 * CHOOSE(CONTROL!$C$8, $C$12, 100%, $E$12) + CHOOSE(CONTROL!$C$27, 0.0003, 0)</f>
        <v>103.3271</v>
      </c>
      <c r="C880" s="4">
        <f>103.0143 * CHOOSE(CONTROL!$C$8, $C$12, 100%, $E$12) + CHOOSE(CONTROL!$C$27, 0.0003, 0)</f>
        <v>103.0146</v>
      </c>
      <c r="D880" s="4">
        <f>87.8366 * CHOOSE(CONTROL!$C$8, $C$12, 100%, $E$12) + CHOOSE(CONTROL!$C$27, 0, 0)</f>
        <v>87.836600000000004</v>
      </c>
      <c r="E880" s="4">
        <f>559.628211467109 * CHOOSE(CONTROL!$C$8, $C$12, 100%, $E$12) + CHOOSE(CONTROL!$C$27, 0, 0)</f>
        <v>559.62821146710905</v>
      </c>
    </row>
    <row r="881" spans="1:5" ht="15">
      <c r="A881" s="13">
        <v>68727</v>
      </c>
      <c r="B881" s="4">
        <f>105.7357 * CHOOSE(CONTROL!$C$8, $C$12, 100%, $E$12) + CHOOSE(CONTROL!$C$27, 0.0003, 0)</f>
        <v>105.73599999999999</v>
      </c>
      <c r="C881" s="4">
        <f>105.4232 * CHOOSE(CONTROL!$C$8, $C$12, 100%, $E$12) + CHOOSE(CONTROL!$C$27, 0.0003, 0)</f>
        <v>105.42349999999999</v>
      </c>
      <c r="D881" s="4">
        <f>90.8765 * CHOOSE(CONTROL!$C$8, $C$12, 100%, $E$12) + CHOOSE(CONTROL!$C$27, 0, 0)</f>
        <v>90.876499999999993</v>
      </c>
      <c r="E881" s="4">
        <f>572.91599065144 * CHOOSE(CONTROL!$C$8, $C$12, 100%, $E$12) + CHOOSE(CONTROL!$C$27, 0, 0)</f>
        <v>572.91599065143998</v>
      </c>
    </row>
    <row r="882" spans="1:5" ht="15">
      <c r="A882" s="13">
        <v>68758</v>
      </c>
      <c r="B882" s="4">
        <f>112.0615 * CHOOSE(CONTROL!$C$8, $C$12, 100%, $E$12) + CHOOSE(CONTROL!$C$27, 0.0003, 0)</f>
        <v>112.06179999999999</v>
      </c>
      <c r="C882" s="4">
        <f>111.749 * CHOOSE(CONTROL!$C$8, $C$12, 100%, $E$12) + CHOOSE(CONTROL!$C$27, 0.0003, 0)</f>
        <v>111.74929999999999</v>
      </c>
      <c r="D882" s="4">
        <f>95.6353 * CHOOSE(CONTROL!$C$8, $C$12, 100%, $E$12) + CHOOSE(CONTROL!$C$27, 0, 0)</f>
        <v>95.635300000000001</v>
      </c>
      <c r="E882" s="4">
        <f>607.810404944965 * CHOOSE(CONTROL!$C$8, $C$12, 100%, $E$12) + CHOOSE(CONTROL!$C$27, 0, 0)</f>
        <v>607.81040494496494</v>
      </c>
    </row>
    <row r="883" spans="1:5" ht="15">
      <c r="A883" s="13">
        <v>68788</v>
      </c>
      <c r="B883" s="4">
        <f>116.5561 * CHOOSE(CONTROL!$C$8, $C$12, 100%, $E$12) + CHOOSE(CONTROL!$C$27, 0.0003, 0)</f>
        <v>116.5564</v>
      </c>
      <c r="C883" s="4">
        <f>116.2436 * CHOOSE(CONTROL!$C$8, $C$12, 100%, $E$12) + CHOOSE(CONTROL!$C$27, 0.0003, 0)</f>
        <v>116.2439</v>
      </c>
      <c r="D883" s="4">
        <f>98.3765 * CHOOSE(CONTROL!$C$8, $C$12, 100%, $E$12) + CHOOSE(CONTROL!$C$27, 0, 0)</f>
        <v>98.376499999999993</v>
      </c>
      <c r="E883" s="4">
        <f>632.603351329727 * CHOOSE(CONTROL!$C$8, $C$12, 100%, $E$12) + CHOOSE(CONTROL!$C$27, 0, 0)</f>
        <v>632.60335132972705</v>
      </c>
    </row>
    <row r="884" spans="1:5" ht="15">
      <c r="A884" s="13">
        <v>68819</v>
      </c>
      <c r="B884" s="4">
        <f>119.3022 * CHOOSE(CONTROL!$C$8, $C$12, 100%, $E$12) + CHOOSE(CONTROL!$C$27, 0.0166, 0)</f>
        <v>119.3188</v>
      </c>
      <c r="C884" s="4">
        <f>118.9897 * CHOOSE(CONTROL!$C$8, $C$12, 100%, $E$12) + CHOOSE(CONTROL!$C$27, 0.0166, 0)</f>
        <v>119.0063</v>
      </c>
      <c r="D884" s="4">
        <f>97.2933 * CHOOSE(CONTROL!$C$8, $C$12, 100%, $E$12) + CHOOSE(CONTROL!$C$27, 0, 0)</f>
        <v>97.293300000000002</v>
      </c>
      <c r="E884" s="4">
        <f>647.751247366823 * CHOOSE(CONTROL!$C$8, $C$12, 100%, $E$12) + CHOOSE(CONTROL!$C$27, 0, 0)</f>
        <v>647.75124736682301</v>
      </c>
    </row>
    <row r="885" spans="1:5" ht="15">
      <c r="A885" s="13">
        <v>68849</v>
      </c>
      <c r="B885" s="4">
        <f>119.6737 * CHOOSE(CONTROL!$C$8, $C$12, 100%, $E$12) + CHOOSE(CONTROL!$C$27, 0.0166, 0)</f>
        <v>119.69029999999999</v>
      </c>
      <c r="C885" s="4">
        <f>119.3612 * CHOOSE(CONTROL!$C$8, $C$12, 100%, $E$12) + CHOOSE(CONTROL!$C$27, 0.0166, 0)</f>
        <v>119.37779999999999</v>
      </c>
      <c r="D885" s="4">
        <f>98.1755 * CHOOSE(CONTROL!$C$8, $C$12, 100%, $E$12) + CHOOSE(CONTROL!$C$27, 0, 0)</f>
        <v>98.1755</v>
      </c>
      <c r="E885" s="4">
        <f>649.800820565702 * CHOOSE(CONTROL!$C$8, $C$12, 100%, $E$12) + CHOOSE(CONTROL!$C$27, 0, 0)</f>
        <v>649.800820565702</v>
      </c>
    </row>
    <row r="886" spans="1:5" ht="15">
      <c r="A886" s="13">
        <v>68880</v>
      </c>
      <c r="B886" s="4">
        <f>119.6362 * CHOOSE(CONTROL!$C$8, $C$12, 100%, $E$12) + CHOOSE(CONTROL!$C$27, 0.0166, 0)</f>
        <v>119.6528</v>
      </c>
      <c r="C886" s="4">
        <f>119.3237 * CHOOSE(CONTROL!$C$8, $C$12, 100%, $E$12) + CHOOSE(CONTROL!$C$27, 0.0166, 0)</f>
        <v>119.3403</v>
      </c>
      <c r="D886" s="4">
        <f>99.7673 * CHOOSE(CONTROL!$C$8, $C$12, 100%, $E$12) + CHOOSE(CONTROL!$C$27, 0, 0)</f>
        <v>99.767300000000006</v>
      </c>
      <c r="E886" s="4">
        <f>649.594140915395 * CHOOSE(CONTROL!$C$8, $C$12, 100%, $E$12) + CHOOSE(CONTROL!$C$27, 0, 0)</f>
        <v>649.59414091539497</v>
      </c>
    </row>
    <row r="887" spans="1:5" ht="15">
      <c r="A887" s="13">
        <v>68911</v>
      </c>
      <c r="B887" s="4">
        <f>122.4557 * CHOOSE(CONTROL!$C$8, $C$12, 100%, $E$12) + CHOOSE(CONTROL!$C$27, 0.0166, 0)</f>
        <v>122.47229999999999</v>
      </c>
      <c r="C887" s="4">
        <f>122.1432 * CHOOSE(CONTROL!$C$8, $C$12, 100%, $E$12) + CHOOSE(CONTROL!$C$27, 0.0166, 0)</f>
        <v>122.15979999999999</v>
      </c>
      <c r="D887" s="4">
        <f>98.7161 * CHOOSE(CONTROL!$C$8, $C$12, 100%, $E$12) + CHOOSE(CONTROL!$C$27, 0, 0)</f>
        <v>98.716099999999997</v>
      </c>
      <c r="E887" s="4">
        <f>665.146784601008 * CHOOSE(CONTROL!$C$8, $C$12, 100%, $E$12) + CHOOSE(CONTROL!$C$27, 0, 0)</f>
        <v>665.14678460100799</v>
      </c>
    </row>
    <row r="888" spans="1:5" ht="15">
      <c r="A888" s="13">
        <v>68941</v>
      </c>
      <c r="B888" s="4">
        <f>117.6505 * CHOOSE(CONTROL!$C$8, $C$12, 100%, $E$12) + CHOOSE(CONTROL!$C$27, 0.0166, 0)</f>
        <v>117.66709999999999</v>
      </c>
      <c r="C888" s="4">
        <f>117.338 * CHOOSE(CONTROL!$C$8, $C$12, 100%, $E$12) + CHOOSE(CONTROL!$C$27, 0.0166, 0)</f>
        <v>117.35459999999999</v>
      </c>
      <c r="D888" s="4">
        <f>98.2194 * CHOOSE(CONTROL!$C$8, $C$12, 100%, $E$12) + CHOOSE(CONTROL!$C$27, 0, 0)</f>
        <v>98.219399999999993</v>
      </c>
      <c r="E888" s="4">
        <f>638.640119449116 * CHOOSE(CONTROL!$C$8, $C$12, 100%, $E$12) + CHOOSE(CONTROL!$C$27, 0, 0)</f>
        <v>638.64011944911601</v>
      </c>
    </row>
    <row r="889" spans="1:5" ht="15">
      <c r="A889" s="13">
        <v>68972</v>
      </c>
      <c r="B889" s="4">
        <f>113.8038 * CHOOSE(CONTROL!$C$8, $C$12, 100%, $E$12) + CHOOSE(CONTROL!$C$27, 0.0003, 0)</f>
        <v>113.80409999999999</v>
      </c>
      <c r="C889" s="4">
        <f>113.4913 * CHOOSE(CONTROL!$C$8, $C$12, 100%, $E$12) + CHOOSE(CONTROL!$C$27, 0.0003, 0)</f>
        <v>113.49159999999999</v>
      </c>
      <c r="D889" s="4">
        <f>96.8895 * CHOOSE(CONTROL!$C$8, $C$12, 100%, $E$12) + CHOOSE(CONTROL!$C$27, 0, 0)</f>
        <v>96.889499999999998</v>
      </c>
      <c r="E889" s="4">
        <f>617.421008684247 * CHOOSE(CONTROL!$C$8, $C$12, 100%, $E$12) + CHOOSE(CONTROL!$C$27, 0, 0)</f>
        <v>617.421008684247</v>
      </c>
    </row>
    <row r="890" spans="1:5" ht="15">
      <c r="A890" s="13">
        <v>69002</v>
      </c>
      <c r="B890" s="4">
        <f>111.3262 * CHOOSE(CONTROL!$C$8, $C$12, 100%, $E$12) + CHOOSE(CONTROL!$C$27, 0.0003, 0)</f>
        <v>111.3265</v>
      </c>
      <c r="C890" s="4">
        <f>111.0137 * CHOOSE(CONTROL!$C$8, $C$12, 100%, $E$12) + CHOOSE(CONTROL!$C$27, 0.0003, 0)</f>
        <v>111.014</v>
      </c>
      <c r="D890" s="4">
        <f>96.4323 * CHOOSE(CONTROL!$C$8, $C$12, 100%, $E$12) + CHOOSE(CONTROL!$C$27, 0, 0)</f>
        <v>96.432299999999998</v>
      </c>
      <c r="E890" s="4">
        <f>603.754316807687 * CHOOSE(CONTROL!$C$8, $C$12, 100%, $E$12) + CHOOSE(CONTROL!$C$27, 0, 0)</f>
        <v>603.75431680768702</v>
      </c>
    </row>
    <row r="891" spans="1:5" ht="15">
      <c r="A891" s="13">
        <v>69033</v>
      </c>
      <c r="B891" s="4">
        <f>109.6121 * CHOOSE(CONTROL!$C$8, $C$12, 100%, $E$12) + CHOOSE(CONTROL!$C$27, 0.0003, 0)</f>
        <v>109.61239999999999</v>
      </c>
      <c r="C891" s="4">
        <f>109.2996 * CHOOSE(CONTROL!$C$8, $C$12, 100%, $E$12) + CHOOSE(CONTROL!$C$27, 0.0003, 0)</f>
        <v>109.29989999999999</v>
      </c>
      <c r="D891" s="4">
        <f>93.0663 * CHOOSE(CONTROL!$C$8, $C$12, 100%, $E$12) + CHOOSE(CONTROL!$C$27, 0, 0)</f>
        <v>93.066299999999998</v>
      </c>
      <c r="E891" s="4">
        <f>594.298722806134 * CHOOSE(CONTROL!$C$8, $C$12, 100%, $E$12) + CHOOSE(CONTROL!$C$27, 0, 0)</f>
        <v>594.29872280613404</v>
      </c>
    </row>
    <row r="892" spans="1:5" ht="15">
      <c r="A892" s="13">
        <v>69064</v>
      </c>
      <c r="B892" s="4">
        <f>106.8269 * CHOOSE(CONTROL!$C$8, $C$12, 100%, $E$12) + CHOOSE(CONTROL!$C$27, 0.0003, 0)</f>
        <v>106.82719999999999</v>
      </c>
      <c r="C892" s="4">
        <f>106.5144 * CHOOSE(CONTROL!$C$8, $C$12, 100%, $E$12) + CHOOSE(CONTROL!$C$27, 0.0003, 0)</f>
        <v>106.51469999999999</v>
      </c>
      <c r="D892" s="4">
        <f>89.9726 * CHOOSE(CONTROL!$C$8, $C$12, 100%, $E$12) + CHOOSE(CONTROL!$C$27, 0, 0)</f>
        <v>89.9726</v>
      </c>
      <c r="E892" s="4">
        <f>577.256500128323 * CHOOSE(CONTROL!$C$8, $C$12, 100%, $E$12) + CHOOSE(CONTROL!$C$27, 0, 0)</f>
        <v>577.25650012832295</v>
      </c>
    </row>
    <row r="893" spans="1:5" ht="15">
      <c r="A893" s="13">
        <v>69092</v>
      </c>
      <c r="B893" s="4">
        <f>109.3189 * CHOOSE(CONTROL!$C$8, $C$12, 100%, $E$12) + CHOOSE(CONTROL!$C$27, 0.0003, 0)</f>
        <v>109.3192</v>
      </c>
      <c r="C893" s="4">
        <f>109.0064 * CHOOSE(CONTROL!$C$8, $C$12, 100%, $E$12) + CHOOSE(CONTROL!$C$27, 0.0003, 0)</f>
        <v>109.0067</v>
      </c>
      <c r="D893" s="4">
        <f>93.088 * CHOOSE(CONTROL!$C$8, $C$12, 100%, $E$12) + CHOOSE(CONTROL!$C$27, 0, 0)</f>
        <v>93.087999999999994</v>
      </c>
      <c r="E893" s="4">
        <f>590.96284435696 * CHOOSE(CONTROL!$C$8, $C$12, 100%, $E$12) + CHOOSE(CONTROL!$C$27, 0, 0)</f>
        <v>590.96284435695998</v>
      </c>
    </row>
    <row r="894" spans="1:5" ht="15">
      <c r="A894" s="13">
        <v>69123</v>
      </c>
      <c r="B894" s="4">
        <f>115.8629 * CHOOSE(CONTROL!$C$8, $C$12, 100%, $E$12) + CHOOSE(CONTROL!$C$27, 0.0003, 0)</f>
        <v>115.86319999999999</v>
      </c>
      <c r="C894" s="4">
        <f>115.5504 * CHOOSE(CONTROL!$C$8, $C$12, 100%, $E$12) + CHOOSE(CONTROL!$C$27, 0.0003, 0)</f>
        <v>115.55069999999999</v>
      </c>
      <c r="D894" s="4">
        <f>97.9648 * CHOOSE(CONTROL!$C$8, $C$12, 100%, $E$12) + CHOOSE(CONTROL!$C$27, 0, 0)</f>
        <v>97.964799999999997</v>
      </c>
      <c r="E894" s="4">
        <f>626.956432700731 * CHOOSE(CONTROL!$C$8, $C$12, 100%, $E$12) + CHOOSE(CONTROL!$C$27, 0, 0)</f>
        <v>626.95643270073106</v>
      </c>
    </row>
    <row r="895" spans="1:5" ht="15">
      <c r="A895" s="13">
        <v>69153</v>
      </c>
      <c r="B895" s="4">
        <f>120.5126 * CHOOSE(CONTROL!$C$8, $C$12, 100%, $E$12) + CHOOSE(CONTROL!$C$27, 0.0003, 0)</f>
        <v>120.5129</v>
      </c>
      <c r="C895" s="4">
        <f>120.2001 * CHOOSE(CONTROL!$C$8, $C$12, 100%, $E$12) + CHOOSE(CONTROL!$C$27, 0.0003, 0)</f>
        <v>120.2004</v>
      </c>
      <c r="D895" s="4">
        <f>100.774 * CHOOSE(CONTROL!$C$8, $C$12, 100%, $E$12) + CHOOSE(CONTROL!$C$27, 0, 0)</f>
        <v>100.774</v>
      </c>
      <c r="E895" s="4">
        <f>652.530356896614 * CHOOSE(CONTROL!$C$8, $C$12, 100%, $E$12) + CHOOSE(CONTROL!$C$27, 0, 0)</f>
        <v>652.53035689661397</v>
      </c>
    </row>
    <row r="896" spans="1:5" ht="15">
      <c r="A896" s="13">
        <v>69184</v>
      </c>
      <c r="B896" s="4">
        <f>123.3534 * CHOOSE(CONTROL!$C$8, $C$12, 100%, $E$12) + CHOOSE(CONTROL!$C$27, 0.0166, 0)</f>
        <v>123.36999999999999</v>
      </c>
      <c r="C896" s="4">
        <f>123.0409 * CHOOSE(CONTROL!$C$8, $C$12, 100%, $E$12) + CHOOSE(CONTROL!$C$27, 0.0166, 0)</f>
        <v>123.05749999999999</v>
      </c>
      <c r="D896" s="4">
        <f>99.6639 * CHOOSE(CONTROL!$C$8, $C$12, 100%, $E$12) + CHOOSE(CONTROL!$C$27, 0, 0)</f>
        <v>99.663899999999998</v>
      </c>
      <c r="E896" s="4">
        <f>668.155411658878 * CHOOSE(CONTROL!$C$8, $C$12, 100%, $E$12) + CHOOSE(CONTROL!$C$27, 0, 0)</f>
        <v>668.15541165887805</v>
      </c>
    </row>
    <row r="897" spans="1:5" ht="15">
      <c r="A897" s="13">
        <v>69214</v>
      </c>
      <c r="B897" s="4">
        <f>123.7378 * CHOOSE(CONTROL!$C$8, $C$12, 100%, $E$12) + CHOOSE(CONTROL!$C$27, 0.0166, 0)</f>
        <v>123.75439999999999</v>
      </c>
      <c r="C897" s="4">
        <f>123.4253 * CHOOSE(CONTROL!$C$8, $C$12, 100%, $E$12) + CHOOSE(CONTROL!$C$27, 0.0166, 0)</f>
        <v>123.44189999999999</v>
      </c>
      <c r="D897" s="4">
        <f>100.568 * CHOOSE(CONTROL!$C$8, $C$12, 100%, $E$12) + CHOOSE(CONTROL!$C$27, 0, 0)</f>
        <v>100.568</v>
      </c>
      <c r="E897" s="4">
        <f>670.269546413522 * CHOOSE(CONTROL!$C$8, $C$12, 100%, $E$12) + CHOOSE(CONTROL!$C$27, 0, 0)</f>
        <v>670.26954641352199</v>
      </c>
    </row>
    <row r="898" spans="1:5" ht="15">
      <c r="A898" s="13">
        <v>69245</v>
      </c>
      <c r="B898" s="4">
        <f>123.699 * CHOOSE(CONTROL!$C$8, $C$12, 100%, $E$12) + CHOOSE(CONTROL!$C$27, 0.0166, 0)</f>
        <v>123.71559999999999</v>
      </c>
      <c r="C898" s="4">
        <f>123.3865 * CHOOSE(CONTROL!$C$8, $C$12, 100%, $E$12) + CHOOSE(CONTROL!$C$27, 0.0166, 0)</f>
        <v>123.40309999999999</v>
      </c>
      <c r="D898" s="4">
        <f>102.1992 * CHOOSE(CONTROL!$C$8, $C$12, 100%, $E$12) + CHOOSE(CONTROL!$C$27, 0, 0)</f>
        <v>102.1992</v>
      </c>
      <c r="E898" s="4">
        <f>670.05635635423 * CHOOSE(CONTROL!$C$8, $C$12, 100%, $E$12) + CHOOSE(CONTROL!$C$27, 0, 0)</f>
        <v>670.05635635423005</v>
      </c>
    </row>
    <row r="899" spans="1:5" ht="15">
      <c r="A899" s="13">
        <v>69276</v>
      </c>
      <c r="B899" s="4">
        <f>126.6157 * CHOOSE(CONTROL!$C$8, $C$12, 100%, $E$12) + CHOOSE(CONTROL!$C$27, 0.0166, 0)</f>
        <v>126.6323</v>
      </c>
      <c r="C899" s="4">
        <f>126.3032 * CHOOSE(CONTROL!$C$8, $C$12, 100%, $E$12) + CHOOSE(CONTROL!$C$27, 0.0166, 0)</f>
        <v>126.3198</v>
      </c>
      <c r="D899" s="4">
        <f>101.1219 * CHOOSE(CONTROL!$C$8, $C$12, 100%, $E$12) + CHOOSE(CONTROL!$C$27, 0, 0)</f>
        <v>101.1219</v>
      </c>
      <c r="E899" s="4">
        <f>686.09890831594 * CHOOSE(CONTROL!$C$8, $C$12, 100%, $E$12) + CHOOSE(CONTROL!$C$27, 0, 0)</f>
        <v>686.09890831593998</v>
      </c>
    </row>
    <row r="900" spans="1:5" ht="15">
      <c r="A900" s="13">
        <v>69306</v>
      </c>
      <c r="B900" s="4">
        <f>121.6447 * CHOOSE(CONTROL!$C$8, $C$12, 100%, $E$12) + CHOOSE(CONTROL!$C$27, 0.0166, 0)</f>
        <v>121.6613</v>
      </c>
      <c r="C900" s="4">
        <f>121.3322 * CHOOSE(CONTROL!$C$8, $C$12, 100%, $E$12) + CHOOSE(CONTROL!$C$27, 0.0166, 0)</f>
        <v>121.3488</v>
      </c>
      <c r="D900" s="4">
        <f>100.613 * CHOOSE(CONTROL!$C$8, $C$12, 100%, $E$12) + CHOOSE(CONTROL!$C$27, 0, 0)</f>
        <v>100.613</v>
      </c>
      <c r="E900" s="4">
        <f>658.757283211763 * CHOOSE(CONTROL!$C$8, $C$12, 100%, $E$12) + CHOOSE(CONTROL!$C$27, 0, 0)</f>
        <v>658.75728321176302</v>
      </c>
    </row>
    <row r="901" spans="1:5" ht="15">
      <c r="A901" s="13">
        <v>69337</v>
      </c>
      <c r="B901" s="4">
        <f>117.6653 * CHOOSE(CONTROL!$C$8, $C$12, 100%, $E$12) + CHOOSE(CONTROL!$C$27, 0.0003, 0)</f>
        <v>117.6656</v>
      </c>
      <c r="C901" s="4">
        <f>117.3528 * CHOOSE(CONTROL!$C$8, $C$12, 100%, $E$12) + CHOOSE(CONTROL!$C$27, 0.0003, 0)</f>
        <v>117.3531</v>
      </c>
      <c r="D901" s="4">
        <f>99.2501 * CHOOSE(CONTROL!$C$8, $C$12, 100%, $E$12) + CHOOSE(CONTROL!$C$27, 0, 0)</f>
        <v>99.250100000000003</v>
      </c>
      <c r="E901" s="4">
        <f>636.869770457801 * CHOOSE(CONTROL!$C$8, $C$12, 100%, $E$12) + CHOOSE(CONTROL!$C$27, 0, 0)</f>
        <v>636.869770457801</v>
      </c>
    </row>
    <row r="902" spans="1:5" ht="15">
      <c r="A902" s="13">
        <v>69367</v>
      </c>
      <c r="B902" s="4">
        <f>115.1023 * CHOOSE(CONTROL!$C$8, $C$12, 100%, $E$12) + CHOOSE(CONTROL!$C$27, 0.0003, 0)</f>
        <v>115.1026</v>
      </c>
      <c r="C902" s="4">
        <f>114.7898 * CHOOSE(CONTROL!$C$8, $C$12, 100%, $E$12) + CHOOSE(CONTROL!$C$27, 0.0003, 0)</f>
        <v>114.7901</v>
      </c>
      <c r="D902" s="4">
        <f>98.7816 * CHOOSE(CONTROL!$C$8, $C$12, 100%, $E$12) + CHOOSE(CONTROL!$C$27, 0, 0)</f>
        <v>98.781599999999997</v>
      </c>
      <c r="E902" s="4">
        <f>622.772577787129 * CHOOSE(CONTROL!$C$8, $C$12, 100%, $E$12) + CHOOSE(CONTROL!$C$27, 0, 0)</f>
        <v>622.77257778712897</v>
      </c>
    </row>
    <row r="903" spans="1:5" ht="15">
      <c r="A903" s="13">
        <v>69398</v>
      </c>
      <c r="B903" s="4">
        <f>113.329 * CHOOSE(CONTROL!$C$8, $C$12, 100%, $E$12) + CHOOSE(CONTROL!$C$27, 0.0003, 0)</f>
        <v>113.32929999999999</v>
      </c>
      <c r="C903" s="4">
        <f>113.0165 * CHOOSE(CONTROL!$C$8, $C$12, 100%, $E$12) + CHOOSE(CONTROL!$C$27, 0.0003, 0)</f>
        <v>113.01679999999999</v>
      </c>
      <c r="D903" s="4">
        <f>95.3321 * CHOOSE(CONTROL!$C$8, $C$12, 100%, $E$12) + CHOOSE(CONTROL!$C$27, 0, 0)</f>
        <v>95.332099999999997</v>
      </c>
      <c r="E903" s="4">
        <f>613.019132574528 * CHOOSE(CONTROL!$C$8, $C$12, 100%, $E$12) + CHOOSE(CONTROL!$C$27, 0, 0)</f>
        <v>613.01913257452804</v>
      </c>
    </row>
    <row r="904" spans="1:5" ht="15">
      <c r="A904" s="13">
        <v>69429</v>
      </c>
      <c r="B904" s="4">
        <f>110.4478 * CHOOSE(CONTROL!$C$8, $C$12, 100%, $E$12) + CHOOSE(CONTROL!$C$27, 0.0003, 0)</f>
        <v>110.4481</v>
      </c>
      <c r="C904" s="4">
        <f>110.1353 * CHOOSE(CONTROL!$C$8, $C$12, 100%, $E$12) + CHOOSE(CONTROL!$C$27, 0.0003, 0)</f>
        <v>110.1356</v>
      </c>
      <c r="D904" s="4">
        <f>92.1617 * CHOOSE(CONTROL!$C$8, $C$12, 100%, $E$12) + CHOOSE(CONTROL!$C$27, 0, 0)</f>
        <v>92.161699999999996</v>
      </c>
      <c r="E904" s="4">
        <f>595.440079882365 * CHOOSE(CONTROL!$C$8, $C$12, 100%, $E$12) + CHOOSE(CONTROL!$C$27, 0, 0)</f>
        <v>595.44007988236501</v>
      </c>
    </row>
    <row r="905" spans="1:5" ht="15">
      <c r="A905" s="13">
        <v>69457</v>
      </c>
      <c r="B905" s="4">
        <f>113.0257 * CHOOSE(CONTROL!$C$8, $C$12, 100%, $E$12) + CHOOSE(CONTROL!$C$27, 0.0003, 0)</f>
        <v>113.026</v>
      </c>
      <c r="C905" s="4">
        <f>112.7132 * CHOOSE(CONTROL!$C$8, $C$12, 100%, $E$12) + CHOOSE(CONTROL!$C$27, 0.0003, 0)</f>
        <v>112.7135</v>
      </c>
      <c r="D905" s="4">
        <f>95.3543 * CHOOSE(CONTROL!$C$8, $C$12, 100%, $E$12) + CHOOSE(CONTROL!$C$27, 0, 0)</f>
        <v>95.354299999999995</v>
      </c>
      <c r="E905" s="4">
        <f>609.578173954204 * CHOOSE(CONTROL!$C$8, $C$12, 100%, $E$12) + CHOOSE(CONTROL!$C$27, 0, 0)</f>
        <v>609.57817395420398</v>
      </c>
    </row>
    <row r="906" spans="1:5" ht="15">
      <c r="A906" s="13">
        <v>69488</v>
      </c>
      <c r="B906" s="4">
        <f>119.7955 * CHOOSE(CONTROL!$C$8, $C$12, 100%, $E$12) + CHOOSE(CONTROL!$C$27, 0.0003, 0)</f>
        <v>119.7958</v>
      </c>
      <c r="C906" s="4">
        <f>119.483 * CHOOSE(CONTROL!$C$8, $C$12, 100%, $E$12) + CHOOSE(CONTROL!$C$27, 0.0003, 0)</f>
        <v>119.4833</v>
      </c>
      <c r="D906" s="4">
        <f>100.352 * CHOOSE(CONTROL!$C$8, $C$12, 100%, $E$12) + CHOOSE(CONTROL!$C$27, 0, 0)</f>
        <v>100.352</v>
      </c>
      <c r="E906" s="4">
        <f>646.705560330804 * CHOOSE(CONTROL!$C$8, $C$12, 100%, $E$12) + CHOOSE(CONTROL!$C$27, 0, 0)</f>
        <v>646.70556033080402</v>
      </c>
    </row>
    <row r="907" spans="1:5" ht="15">
      <c r="A907" s="13">
        <v>69518</v>
      </c>
      <c r="B907" s="4">
        <f>124.6056 * CHOOSE(CONTROL!$C$8, $C$12, 100%, $E$12) + CHOOSE(CONTROL!$C$27, 0.0003, 0)</f>
        <v>124.60589999999999</v>
      </c>
      <c r="C907" s="4">
        <f>124.2931 * CHOOSE(CONTROL!$C$8, $C$12, 100%, $E$12) + CHOOSE(CONTROL!$C$27, 0.0003, 0)</f>
        <v>124.29339999999999</v>
      </c>
      <c r="D907" s="4">
        <f>103.2309 * CHOOSE(CONTROL!$C$8, $C$12, 100%, $E$12) + CHOOSE(CONTROL!$C$27, 0, 0)</f>
        <v>103.23090000000001</v>
      </c>
      <c r="E907" s="4">
        <f>673.085063138857 * CHOOSE(CONTROL!$C$8, $C$12, 100%, $E$12) + CHOOSE(CONTROL!$C$27, 0, 0)</f>
        <v>673.08506313885698</v>
      </c>
    </row>
    <row r="908" spans="1:5" ht="15">
      <c r="A908" s="13">
        <v>69549</v>
      </c>
      <c r="B908" s="4">
        <f>127.5444 * CHOOSE(CONTROL!$C$8, $C$12, 100%, $E$12) + CHOOSE(CONTROL!$C$27, 0.0166, 0)</f>
        <v>127.56099999999999</v>
      </c>
      <c r="C908" s="4">
        <f>127.2319 * CHOOSE(CONTROL!$C$8, $C$12, 100%, $E$12) + CHOOSE(CONTROL!$C$27, 0.0166, 0)</f>
        <v>127.24849999999999</v>
      </c>
      <c r="D908" s="4">
        <f>102.0933 * CHOOSE(CONTROL!$C$8, $C$12, 100%, $E$12) + CHOOSE(CONTROL!$C$27, 0, 0)</f>
        <v>102.0933</v>
      </c>
      <c r="E908" s="4">
        <f>689.202307126133 * CHOOSE(CONTROL!$C$8, $C$12, 100%, $E$12) + CHOOSE(CONTROL!$C$27, 0, 0)</f>
        <v>689.20230712613295</v>
      </c>
    </row>
    <row r="909" spans="1:5" ht="15">
      <c r="A909" s="13">
        <v>69579</v>
      </c>
      <c r="B909" s="4">
        <f>127.942 * CHOOSE(CONTROL!$C$8, $C$12, 100%, $E$12) + CHOOSE(CONTROL!$C$27, 0.0166, 0)</f>
        <v>127.95859999999999</v>
      </c>
      <c r="C909" s="4">
        <f>127.6295 * CHOOSE(CONTROL!$C$8, $C$12, 100%, $E$12) + CHOOSE(CONTROL!$C$27, 0.0166, 0)</f>
        <v>127.64609999999999</v>
      </c>
      <c r="D909" s="4">
        <f>103.0198 * CHOOSE(CONTROL!$C$8, $C$12, 100%, $E$12) + CHOOSE(CONTROL!$C$27, 0, 0)</f>
        <v>103.0198</v>
      </c>
      <c r="E909" s="4">
        <f>691.383037125548 * CHOOSE(CONTROL!$C$8, $C$12, 100%, $E$12) + CHOOSE(CONTROL!$C$27, 0, 0)</f>
        <v>691.38303712554796</v>
      </c>
    </row>
    <row r="910" spans="1:5" ht="15">
      <c r="A910" s="13">
        <v>69610</v>
      </c>
      <c r="B910" s="4">
        <f>127.9019 * CHOOSE(CONTROL!$C$8, $C$12, 100%, $E$12) + CHOOSE(CONTROL!$C$27, 0.0166, 0)</f>
        <v>127.91849999999999</v>
      </c>
      <c r="C910" s="4">
        <f>127.5894 * CHOOSE(CONTROL!$C$8, $C$12, 100%, $E$12) + CHOOSE(CONTROL!$C$27, 0.0166, 0)</f>
        <v>127.60599999999999</v>
      </c>
      <c r="D910" s="4">
        <f>104.6915 * CHOOSE(CONTROL!$C$8, $C$12, 100%, $E$12) + CHOOSE(CONTROL!$C$27, 0, 0)</f>
        <v>104.6915</v>
      </c>
      <c r="E910" s="4">
        <f>691.163131579388 * CHOOSE(CONTROL!$C$8, $C$12, 100%, $E$12) + CHOOSE(CONTROL!$C$27, 0, 0)</f>
        <v>691.16313157938805</v>
      </c>
    </row>
    <row r="911" spans="1:5" ht="15">
      <c r="A911" s="13">
        <v>69641</v>
      </c>
      <c r="B911" s="4">
        <f>130.9193 * CHOOSE(CONTROL!$C$8, $C$12, 100%, $E$12) + CHOOSE(CONTROL!$C$27, 0.0166, 0)</f>
        <v>130.9359</v>
      </c>
      <c r="C911" s="4">
        <f>130.6068 * CHOOSE(CONTROL!$C$8, $C$12, 100%, $E$12) + CHOOSE(CONTROL!$C$27, 0.0166, 0)</f>
        <v>130.6234</v>
      </c>
      <c r="D911" s="4">
        <f>103.5875 * CHOOSE(CONTROL!$C$8, $C$12, 100%, $E$12) + CHOOSE(CONTROL!$C$27, 0, 0)</f>
        <v>103.58750000000001</v>
      </c>
      <c r="E911" s="4">
        <f>707.711023927892 * CHOOSE(CONTROL!$C$8, $C$12, 100%, $E$12) + CHOOSE(CONTROL!$C$27, 0, 0)</f>
        <v>707.71102392789203</v>
      </c>
    </row>
    <row r="912" spans="1:5" ht="15">
      <c r="A912" s="13">
        <v>69671</v>
      </c>
      <c r="B912" s="4">
        <f>125.7768 * CHOOSE(CONTROL!$C$8, $C$12, 100%, $E$12) + CHOOSE(CONTROL!$C$27, 0.0166, 0)</f>
        <v>125.79339999999999</v>
      </c>
      <c r="C912" s="4">
        <f>125.4643 * CHOOSE(CONTROL!$C$8, $C$12, 100%, $E$12) + CHOOSE(CONTROL!$C$27, 0.0166, 0)</f>
        <v>125.48089999999999</v>
      </c>
      <c r="D912" s="4">
        <f>103.0659 * CHOOSE(CONTROL!$C$8, $C$12, 100%, $E$12) + CHOOSE(CONTROL!$C$27, 0, 0)</f>
        <v>103.0659</v>
      </c>
      <c r="E912" s="4">
        <f>679.508137632934 * CHOOSE(CONTROL!$C$8, $C$12, 100%, $E$12) + CHOOSE(CONTROL!$C$27, 0, 0)</f>
        <v>679.50813763293399</v>
      </c>
    </row>
    <row r="913" spans="1:5" ht="15">
      <c r="A913" s="13">
        <v>69702</v>
      </c>
      <c r="B913" s="4">
        <f>121.6601 * CHOOSE(CONTROL!$C$8, $C$12, 100%, $E$12) + CHOOSE(CONTROL!$C$27, 0.0003, 0)</f>
        <v>121.6604</v>
      </c>
      <c r="C913" s="4">
        <f>121.3476 * CHOOSE(CONTROL!$C$8, $C$12, 100%, $E$12) + CHOOSE(CONTROL!$C$27, 0.0003, 0)</f>
        <v>121.3479</v>
      </c>
      <c r="D913" s="4">
        <f>101.6692 * CHOOSE(CONTROL!$C$8, $C$12, 100%, $E$12) + CHOOSE(CONTROL!$C$27, 0, 0)</f>
        <v>101.6692</v>
      </c>
      <c r="E913" s="4">
        <f>656.931168227222 * CHOOSE(CONTROL!$C$8, $C$12, 100%, $E$12) + CHOOSE(CONTROL!$C$27, 0, 0)</f>
        <v>656.93116822722197</v>
      </c>
    </row>
    <row r="914" spans="1:5" ht="15">
      <c r="A914" s="13">
        <v>69732</v>
      </c>
      <c r="B914" s="4">
        <f>119.0086 * CHOOSE(CONTROL!$C$8, $C$12, 100%, $E$12) + CHOOSE(CONTROL!$C$27, 0.0003, 0)</f>
        <v>119.0089</v>
      </c>
      <c r="C914" s="4">
        <f>118.6961 * CHOOSE(CONTROL!$C$8, $C$12, 100%, $E$12) + CHOOSE(CONTROL!$C$27, 0.0003, 0)</f>
        <v>118.6964</v>
      </c>
      <c r="D914" s="4">
        <f>101.1891 * CHOOSE(CONTROL!$C$8, $C$12, 100%, $E$12) + CHOOSE(CONTROL!$C$27, 0, 0)</f>
        <v>101.1891</v>
      </c>
      <c r="E914" s="4">
        <f>642.389913987423 * CHOOSE(CONTROL!$C$8, $C$12, 100%, $E$12) + CHOOSE(CONTROL!$C$27, 0, 0)</f>
        <v>642.38991398742303</v>
      </c>
    </row>
    <row r="915" spans="1:5" ht="15">
      <c r="A915" s="13">
        <v>69763</v>
      </c>
      <c r="B915" s="4">
        <f>117.1741 * CHOOSE(CONTROL!$C$8, $C$12, 100%, $E$12) + CHOOSE(CONTROL!$C$27, 0.0003, 0)</f>
        <v>117.17439999999999</v>
      </c>
      <c r="C915" s="4">
        <f>116.8616 * CHOOSE(CONTROL!$C$8, $C$12, 100%, $E$12) + CHOOSE(CONTROL!$C$27, 0.0003, 0)</f>
        <v>116.86189999999999</v>
      </c>
      <c r="D915" s="4">
        <f>97.654 * CHOOSE(CONTROL!$C$8, $C$12, 100%, $E$12) + CHOOSE(CONTROL!$C$27, 0, 0)</f>
        <v>97.653999999999996</v>
      </c>
      <c r="E915" s="4">
        <f>632.329235250625 * CHOOSE(CONTROL!$C$8, $C$12, 100%, $E$12) + CHOOSE(CONTROL!$C$27, 0, 0)</f>
        <v>632.32923525062495</v>
      </c>
    </row>
    <row r="916" spans="1:5" ht="15">
      <c r="A916" s="13">
        <v>69794</v>
      </c>
      <c r="B916" s="4">
        <f>114.1935 * CHOOSE(CONTROL!$C$8, $C$12, 100%, $E$12) + CHOOSE(CONTROL!$C$27, 0.0003, 0)</f>
        <v>114.1938</v>
      </c>
      <c r="C916" s="4">
        <f>113.881 * CHOOSE(CONTROL!$C$8, $C$12, 100%, $E$12) + CHOOSE(CONTROL!$C$27, 0.0003, 0)</f>
        <v>113.8813</v>
      </c>
      <c r="D916" s="4">
        <f>94.405 * CHOOSE(CONTROL!$C$8, $C$12, 100%, $E$12) + CHOOSE(CONTROL!$C$27, 0, 0)</f>
        <v>94.405000000000001</v>
      </c>
      <c r="E916" s="4">
        <f>614.196442398659 * CHOOSE(CONTROL!$C$8, $C$12, 100%, $E$12) + CHOOSE(CONTROL!$C$27, 0, 0)</f>
        <v>614.19644239865897</v>
      </c>
    </row>
    <row r="917" spans="1:5" ht="15">
      <c r="A917" s="13">
        <v>69822</v>
      </c>
      <c r="B917" s="4">
        <f>116.8604 * CHOOSE(CONTROL!$C$8, $C$12, 100%, $E$12) + CHOOSE(CONTROL!$C$27, 0.0003, 0)</f>
        <v>116.86069999999999</v>
      </c>
      <c r="C917" s="4">
        <f>116.5479 * CHOOSE(CONTROL!$C$8, $C$12, 100%, $E$12) + CHOOSE(CONTROL!$C$27, 0.0003, 0)</f>
        <v>116.54819999999999</v>
      </c>
      <c r="D917" s="4">
        <f>97.6768 * CHOOSE(CONTROL!$C$8, $C$12, 100%, $E$12) + CHOOSE(CONTROL!$C$27, 0, 0)</f>
        <v>97.6768</v>
      </c>
      <c r="E917" s="4">
        <f>628.779886433762 * CHOOSE(CONTROL!$C$8, $C$12, 100%, $E$12) + CHOOSE(CONTROL!$C$27, 0, 0)</f>
        <v>628.77988643376204</v>
      </c>
    </row>
    <row r="918" spans="1:5" ht="15">
      <c r="A918" s="13">
        <v>69853</v>
      </c>
      <c r="B918" s="4">
        <f>123.8638 * CHOOSE(CONTROL!$C$8, $C$12, 100%, $E$12) + CHOOSE(CONTROL!$C$27, 0.0003, 0)</f>
        <v>123.86409999999999</v>
      </c>
      <c r="C918" s="4">
        <f>123.5513 * CHOOSE(CONTROL!$C$8, $C$12, 100%, $E$12) + CHOOSE(CONTROL!$C$27, 0.0003, 0)</f>
        <v>123.55159999999999</v>
      </c>
      <c r="D918" s="4">
        <f>102.7985 * CHOOSE(CONTROL!$C$8, $C$12, 100%, $E$12) + CHOOSE(CONTROL!$C$27, 0, 0)</f>
        <v>102.7985</v>
      </c>
      <c r="E918" s="4">
        <f>667.076785481225 * CHOOSE(CONTROL!$C$8, $C$12, 100%, $E$12) + CHOOSE(CONTROL!$C$27, 0, 0)</f>
        <v>667.07678548122499</v>
      </c>
    </row>
    <row r="919" spans="1:5" ht="15">
      <c r="A919" s="13">
        <v>69883</v>
      </c>
      <c r="B919" s="4">
        <f>128.8398 * CHOOSE(CONTROL!$C$8, $C$12, 100%, $E$12) + CHOOSE(CONTROL!$C$27, 0.0003, 0)</f>
        <v>128.84010000000001</v>
      </c>
      <c r="C919" s="4">
        <f>128.5273 * CHOOSE(CONTROL!$C$8, $C$12, 100%, $E$12) + CHOOSE(CONTROL!$C$27, 0.0003, 0)</f>
        <v>128.52760000000001</v>
      </c>
      <c r="D919" s="4">
        <f>105.7488 * CHOOSE(CONTROL!$C$8, $C$12, 100%, $E$12) + CHOOSE(CONTROL!$C$27, 0, 0)</f>
        <v>105.7488</v>
      </c>
      <c r="E919" s="4">
        <f>694.287242627731 * CHOOSE(CONTROL!$C$8, $C$12, 100%, $E$12) + CHOOSE(CONTROL!$C$27, 0, 0)</f>
        <v>694.28724262773096</v>
      </c>
    </row>
    <row r="920" spans="1:5" ht="15">
      <c r="A920" s="13">
        <v>69914</v>
      </c>
      <c r="B920" s="4">
        <f>131.88 * CHOOSE(CONTROL!$C$8, $C$12, 100%, $E$12) + CHOOSE(CONTROL!$C$27, 0.0166, 0)</f>
        <v>131.89660000000001</v>
      </c>
      <c r="C920" s="4">
        <f>131.5675 * CHOOSE(CONTROL!$C$8, $C$12, 100%, $E$12) + CHOOSE(CONTROL!$C$27, 0.0166, 0)</f>
        <v>131.58410000000001</v>
      </c>
      <c r="D920" s="4">
        <f>104.583 * CHOOSE(CONTROL!$C$8, $C$12, 100%, $E$12) + CHOOSE(CONTROL!$C$27, 0, 0)</f>
        <v>104.583</v>
      </c>
      <c r="E920" s="4">
        <f>710.912179800606 * CHOOSE(CONTROL!$C$8, $C$12, 100%, $E$12) + CHOOSE(CONTROL!$C$27, 0, 0)</f>
        <v>710.91217980060605</v>
      </c>
    </row>
    <row r="921" spans="1:5" ht="15">
      <c r="A921" s="13">
        <v>69944</v>
      </c>
      <c r="B921" s="4">
        <f>132.2913 * CHOOSE(CONTROL!$C$8, $C$12, 100%, $E$12) + CHOOSE(CONTROL!$C$27, 0.0166, 0)</f>
        <v>132.30790000000002</v>
      </c>
      <c r="C921" s="4">
        <f>131.9788 * CHOOSE(CONTROL!$C$8, $C$12, 100%, $E$12) + CHOOSE(CONTROL!$C$27, 0.0166, 0)</f>
        <v>131.99540000000002</v>
      </c>
      <c r="D921" s="4">
        <f>105.5324 * CHOOSE(CONTROL!$C$8, $C$12, 100%, $E$12) + CHOOSE(CONTROL!$C$27, 0, 0)</f>
        <v>105.5324</v>
      </c>
      <c r="E921" s="4">
        <f>713.161602795002 * CHOOSE(CONTROL!$C$8, $C$12, 100%, $E$12) + CHOOSE(CONTROL!$C$27, 0, 0)</f>
        <v>713.16160279500195</v>
      </c>
    </row>
    <row r="922" spans="1:5" ht="15">
      <c r="A922" s="13">
        <v>69975</v>
      </c>
      <c r="B922" s="4">
        <f>132.2499 * CHOOSE(CONTROL!$C$8, $C$12, 100%, $E$12) + CHOOSE(CONTROL!$C$27, 0.0166, 0)</f>
        <v>132.26650000000001</v>
      </c>
      <c r="C922" s="4">
        <f>131.9374 * CHOOSE(CONTROL!$C$8, $C$12, 100%, $E$12) + CHOOSE(CONTROL!$C$27, 0.0166, 0)</f>
        <v>131.95400000000001</v>
      </c>
      <c r="D922" s="4">
        <f>107.2456 * CHOOSE(CONTROL!$C$8, $C$12, 100%, $E$12) + CHOOSE(CONTROL!$C$27, 0, 0)</f>
        <v>107.2456</v>
      </c>
      <c r="E922" s="4">
        <f>712.934770224139 * CHOOSE(CONTROL!$C$8, $C$12, 100%, $E$12) + CHOOSE(CONTROL!$C$27, 0, 0)</f>
        <v>712.93477022413902</v>
      </c>
    </row>
    <row r="923" spans="1:5" ht="15">
      <c r="A923" s="13">
        <v>70006</v>
      </c>
      <c r="B923" s="4">
        <f>135.3713 * CHOOSE(CONTROL!$C$8, $C$12, 100%, $E$12) + CHOOSE(CONTROL!$C$27, 0.0166, 0)</f>
        <v>135.3879</v>
      </c>
      <c r="C923" s="4">
        <f>135.0588 * CHOOSE(CONTROL!$C$8, $C$12, 100%, $E$12) + CHOOSE(CONTROL!$C$27, 0.0166, 0)</f>
        <v>135.0754</v>
      </c>
      <c r="D923" s="4">
        <f>106.1142 * CHOOSE(CONTROL!$C$8, $C$12, 100%, $E$12) + CHOOSE(CONTROL!$C$27, 0, 0)</f>
        <v>106.1142</v>
      </c>
      <c r="E923" s="4">
        <f>730.003921181621 * CHOOSE(CONTROL!$C$8, $C$12, 100%, $E$12) + CHOOSE(CONTROL!$C$27, 0, 0)</f>
        <v>730.00392118162097</v>
      </c>
    </row>
    <row r="924" spans="1:5" ht="15">
      <c r="A924" s="13">
        <v>70036</v>
      </c>
      <c r="B924" s="4">
        <f>130.0514 * CHOOSE(CONTROL!$C$8, $C$12, 100%, $E$12) + CHOOSE(CONTROL!$C$27, 0.0166, 0)</f>
        <v>130.06800000000001</v>
      </c>
      <c r="C924" s="4">
        <f>129.7389 * CHOOSE(CONTROL!$C$8, $C$12, 100%, $E$12) + CHOOSE(CONTROL!$C$27, 0.0166, 0)</f>
        <v>129.75550000000001</v>
      </c>
      <c r="D924" s="4">
        <f>105.5796 * CHOOSE(CONTROL!$C$8, $C$12, 100%, $E$12) + CHOOSE(CONTROL!$C$27, 0, 0)</f>
        <v>105.5796</v>
      </c>
      <c r="E924" s="4">
        <f>700.912643968371 * CHOOSE(CONTROL!$C$8, $C$12, 100%, $E$12) + CHOOSE(CONTROL!$C$27, 0, 0)</f>
        <v>700.91264396837096</v>
      </c>
    </row>
    <row r="925" spans="1:5" ht="15">
      <c r="A925" s="13">
        <v>70067</v>
      </c>
      <c r="B925" s="4">
        <f>125.7927 * CHOOSE(CONTROL!$C$8, $C$12, 100%, $E$12) + CHOOSE(CONTROL!$C$27, 0.0003, 0)</f>
        <v>125.79299999999999</v>
      </c>
      <c r="C925" s="4">
        <f>125.4802 * CHOOSE(CONTROL!$C$8, $C$12, 100%, $E$12) + CHOOSE(CONTROL!$C$27, 0.0003, 0)</f>
        <v>125.48049999999999</v>
      </c>
      <c r="D925" s="4">
        <f>104.1484 * CHOOSE(CONTROL!$C$8, $C$12, 100%, $E$12) + CHOOSE(CONTROL!$C$27, 0, 0)</f>
        <v>104.1484</v>
      </c>
      <c r="E925" s="4">
        <f>677.62450002638 * CHOOSE(CONTROL!$C$8, $C$12, 100%, $E$12) + CHOOSE(CONTROL!$C$27, 0, 0)</f>
        <v>677.62450002638002</v>
      </c>
    </row>
    <row r="926" spans="1:5" ht="15">
      <c r="A926" s="13">
        <v>70097</v>
      </c>
      <c r="B926" s="4">
        <f>123.0497 * CHOOSE(CONTROL!$C$8, $C$12, 100%, $E$12) + CHOOSE(CONTROL!$C$27, 0.0003, 0)</f>
        <v>123.05</v>
      </c>
      <c r="C926" s="4">
        <f>122.7372 * CHOOSE(CONTROL!$C$8, $C$12, 100%, $E$12) + CHOOSE(CONTROL!$C$27, 0.0003, 0)</f>
        <v>122.7375</v>
      </c>
      <c r="D926" s="4">
        <f>103.6563 * CHOOSE(CONTROL!$C$8, $C$12, 100%, $E$12) + CHOOSE(CONTROL!$C$27, 0, 0)</f>
        <v>103.6563</v>
      </c>
      <c r="E926" s="4">
        <f>662.625196278027 * CHOOSE(CONTROL!$C$8, $C$12, 100%, $E$12) + CHOOSE(CONTROL!$C$27, 0, 0)</f>
        <v>662.62519627802703</v>
      </c>
    </row>
    <row r="927" spans="1:5" ht="15">
      <c r="A927" s="13">
        <v>70128</v>
      </c>
      <c r="B927" s="4">
        <f>121.152 * CHOOSE(CONTROL!$C$8, $C$12, 100%, $E$12) + CHOOSE(CONTROL!$C$27, 0.0003, 0)</f>
        <v>121.1523</v>
      </c>
      <c r="C927" s="4">
        <f>120.8395 * CHOOSE(CONTROL!$C$8, $C$12, 100%, $E$12) + CHOOSE(CONTROL!$C$27, 0.0003, 0)</f>
        <v>120.8398</v>
      </c>
      <c r="D927" s="4">
        <f>100.0336 * CHOOSE(CONTROL!$C$8, $C$12, 100%, $E$12) + CHOOSE(CONTROL!$C$27, 0, 0)</f>
        <v>100.03360000000001</v>
      </c>
      <c r="E927" s="4">
        <f>652.24760616102 * CHOOSE(CONTROL!$C$8, $C$12, 100%, $E$12) + CHOOSE(CONTROL!$C$27, 0, 0)</f>
        <v>652.24760616102003</v>
      </c>
    </row>
    <row r="928" spans="1:5" ht="15">
      <c r="A928" s="13">
        <v>70159</v>
      </c>
      <c r="B928" s="4">
        <f>118.0685 * CHOOSE(CONTROL!$C$8, $C$12, 100%, $E$12) + CHOOSE(CONTROL!$C$27, 0.0003, 0)</f>
        <v>118.0688</v>
      </c>
      <c r="C928" s="4">
        <f>117.756 * CHOOSE(CONTROL!$C$8, $C$12, 100%, $E$12) + CHOOSE(CONTROL!$C$27, 0.0003, 0)</f>
        <v>117.7563</v>
      </c>
      <c r="D928" s="4">
        <f>96.704 * CHOOSE(CONTROL!$C$8, $C$12, 100%, $E$12) + CHOOSE(CONTROL!$C$27, 0, 0)</f>
        <v>96.703999999999994</v>
      </c>
      <c r="E928" s="4">
        <f>633.543630334217 * CHOOSE(CONTROL!$C$8, $C$12, 100%, $E$12) + CHOOSE(CONTROL!$C$27, 0, 0)</f>
        <v>633.54363033421703</v>
      </c>
    </row>
    <row r="929" spans="1:5" ht="15">
      <c r="A929" s="13">
        <v>70188</v>
      </c>
      <c r="B929" s="4">
        <f>120.8274 * CHOOSE(CONTROL!$C$8, $C$12, 100%, $E$12) + CHOOSE(CONTROL!$C$27, 0.0003, 0)</f>
        <v>120.82769999999999</v>
      </c>
      <c r="C929" s="4">
        <f>120.5149 * CHOOSE(CONTROL!$C$8, $C$12, 100%, $E$12) + CHOOSE(CONTROL!$C$27, 0.0003, 0)</f>
        <v>120.51519999999999</v>
      </c>
      <c r="D929" s="4">
        <f>100.0569 * CHOOSE(CONTROL!$C$8, $C$12, 100%, $E$12) + CHOOSE(CONTROL!$C$27, 0, 0)</f>
        <v>100.0569</v>
      </c>
      <c r="E929" s="4">
        <f>648.586452856425 * CHOOSE(CONTROL!$C$8, $C$12, 100%, $E$12) + CHOOSE(CONTROL!$C$27, 0, 0)</f>
        <v>648.58645285642501</v>
      </c>
    </row>
    <row r="930" spans="1:5" ht="15">
      <c r="A930" s="13">
        <v>70219</v>
      </c>
      <c r="B930" s="4">
        <f>128.0724 * CHOOSE(CONTROL!$C$8, $C$12, 100%, $E$12) + CHOOSE(CONTROL!$C$27, 0.0003, 0)</f>
        <v>128.0727</v>
      </c>
      <c r="C930" s="4">
        <f>127.7599 * CHOOSE(CONTROL!$C$8, $C$12, 100%, $E$12) + CHOOSE(CONTROL!$C$27, 0.0003, 0)</f>
        <v>127.7602</v>
      </c>
      <c r="D930" s="4">
        <f>105.3056 * CHOOSE(CONTROL!$C$8, $C$12, 100%, $E$12) + CHOOSE(CONTROL!$C$27, 0, 0)</f>
        <v>105.3056</v>
      </c>
      <c r="E930" s="4">
        <f>688.089704223883 * CHOOSE(CONTROL!$C$8, $C$12, 100%, $E$12) + CHOOSE(CONTROL!$C$27, 0, 0)</f>
        <v>688.08970422388302</v>
      </c>
    </row>
    <row r="931" spans="1:5" ht="15">
      <c r="A931" s="13">
        <v>70249</v>
      </c>
      <c r="B931" s="4">
        <f>133.2201 * CHOOSE(CONTROL!$C$8, $C$12, 100%, $E$12) + CHOOSE(CONTROL!$C$27, 0.0003, 0)</f>
        <v>133.22040000000001</v>
      </c>
      <c r="C931" s="4">
        <f>132.9076 * CHOOSE(CONTROL!$C$8, $C$12, 100%, $E$12) + CHOOSE(CONTROL!$C$27, 0.0003, 0)</f>
        <v>132.90790000000001</v>
      </c>
      <c r="D931" s="4">
        <f>108.3291 * CHOOSE(CONTROL!$C$8, $C$12, 100%, $E$12) + CHOOSE(CONTROL!$C$27, 0, 0)</f>
        <v>108.3291</v>
      </c>
      <c r="E931" s="4">
        <f>716.157290770505 * CHOOSE(CONTROL!$C$8, $C$12, 100%, $E$12) + CHOOSE(CONTROL!$C$27, 0, 0)</f>
        <v>716.15729077050503</v>
      </c>
    </row>
    <row r="932" spans="1:5" ht="15">
      <c r="A932" s="13">
        <v>70280</v>
      </c>
      <c r="B932" s="4">
        <f>136.3652 * CHOOSE(CONTROL!$C$8, $C$12, 100%, $E$12) + CHOOSE(CONTROL!$C$27, 0.0166, 0)</f>
        <v>136.3818</v>
      </c>
      <c r="C932" s="4">
        <f>136.0527 * CHOOSE(CONTROL!$C$8, $C$12, 100%, $E$12) + CHOOSE(CONTROL!$C$27, 0.0166, 0)</f>
        <v>136.0693</v>
      </c>
      <c r="D932" s="4">
        <f>107.1343 * CHOOSE(CONTROL!$C$8, $C$12, 100%, $E$12) + CHOOSE(CONTROL!$C$27, 0, 0)</f>
        <v>107.1343</v>
      </c>
      <c r="E932" s="4">
        <f>733.305913464325 * CHOOSE(CONTROL!$C$8, $C$12, 100%, $E$12) + CHOOSE(CONTROL!$C$27, 0, 0)</f>
        <v>733.30591346432504</v>
      </c>
    </row>
    <row r="933" spans="1:5" ht="15">
      <c r="A933" s="13">
        <v>70310</v>
      </c>
      <c r="B933" s="4">
        <f>136.7907 * CHOOSE(CONTROL!$C$8, $C$12, 100%, $E$12) + CHOOSE(CONTROL!$C$27, 0.0166, 0)</f>
        <v>136.8073</v>
      </c>
      <c r="C933" s="4">
        <f>136.4782 * CHOOSE(CONTROL!$C$8, $C$12, 100%, $E$12) + CHOOSE(CONTROL!$C$27, 0.0166, 0)</f>
        <v>136.4948</v>
      </c>
      <c r="D933" s="4">
        <f>108.1073 * CHOOSE(CONTROL!$C$8, $C$12, 100%, $E$12) + CHOOSE(CONTROL!$C$27, 0, 0)</f>
        <v>108.1073</v>
      </c>
      <c r="E933" s="4">
        <f>735.626193283045 * CHOOSE(CONTROL!$C$8, $C$12, 100%, $E$12) + CHOOSE(CONTROL!$C$27, 0, 0)</f>
        <v>735.62619328304504</v>
      </c>
    </row>
    <row r="934" spans="1:5" ht="15">
      <c r="A934" s="13">
        <v>70341</v>
      </c>
      <c r="B934" s="4">
        <f>136.7478 * CHOOSE(CONTROL!$C$8, $C$12, 100%, $E$12) + CHOOSE(CONTROL!$C$27, 0.0166, 0)</f>
        <v>136.76440000000002</v>
      </c>
      <c r="C934" s="4">
        <f>136.4353 * CHOOSE(CONTROL!$C$8, $C$12, 100%, $E$12) + CHOOSE(CONTROL!$C$27, 0.0166, 0)</f>
        <v>136.45190000000002</v>
      </c>
      <c r="D934" s="4">
        <f>109.863 * CHOOSE(CONTROL!$C$8, $C$12, 100%, $E$12) + CHOOSE(CONTROL!$C$27, 0, 0)</f>
        <v>109.863</v>
      </c>
      <c r="E934" s="4">
        <f>735.392215486199 * CHOOSE(CONTROL!$C$8, $C$12, 100%, $E$12) + CHOOSE(CONTROL!$C$27, 0, 0)</f>
        <v>735.39221548619901</v>
      </c>
    </row>
    <row r="935" spans="1:5" ht="15">
      <c r="A935" s="13">
        <v>70372</v>
      </c>
      <c r="B935" s="4">
        <f>139.9769 * CHOOSE(CONTROL!$C$8, $C$12, 100%, $E$12) + CHOOSE(CONTROL!$C$27, 0.0166, 0)</f>
        <v>139.99350000000001</v>
      </c>
      <c r="C935" s="4">
        <f>139.6644 * CHOOSE(CONTROL!$C$8, $C$12, 100%, $E$12) + CHOOSE(CONTROL!$C$27, 0.0166, 0)</f>
        <v>139.68100000000001</v>
      </c>
      <c r="D935" s="4">
        <f>108.7036 * CHOOSE(CONTROL!$C$8, $C$12, 100%, $E$12) + CHOOSE(CONTROL!$C$27, 0, 0)</f>
        <v>108.70359999999999</v>
      </c>
      <c r="E935" s="4">
        <f>752.999044698842 * CHOOSE(CONTROL!$C$8, $C$12, 100%, $E$12) + CHOOSE(CONTROL!$C$27, 0, 0)</f>
        <v>752.999044698842</v>
      </c>
    </row>
    <row r="936" spans="1:5" ht="15">
      <c r="A936" s="13">
        <v>70402</v>
      </c>
      <c r="B936" s="4">
        <f>134.4735 * CHOOSE(CONTROL!$C$8, $C$12, 100%, $E$12) + CHOOSE(CONTROL!$C$27, 0.0166, 0)</f>
        <v>134.49010000000001</v>
      </c>
      <c r="C936" s="4">
        <f>134.161 * CHOOSE(CONTROL!$C$8, $C$12, 100%, $E$12) + CHOOSE(CONTROL!$C$27, 0.0166, 0)</f>
        <v>134.17760000000001</v>
      </c>
      <c r="D936" s="4">
        <f>108.1557 * CHOOSE(CONTROL!$C$8, $C$12, 100%, $E$12) + CHOOSE(CONTROL!$C$27, 0, 0)</f>
        <v>108.1557</v>
      </c>
      <c r="E936" s="4">
        <f>722.991392253375 * CHOOSE(CONTROL!$C$8, $C$12, 100%, $E$12) + CHOOSE(CONTROL!$C$27, 0, 0)</f>
        <v>722.99139225337501</v>
      </c>
    </row>
    <row r="937" spans="1:5" ht="15">
      <c r="A937" s="13">
        <v>70433</v>
      </c>
      <c r="B937" s="4">
        <f>130.0678 * CHOOSE(CONTROL!$C$8, $C$12, 100%, $E$12) + CHOOSE(CONTROL!$C$27, 0.0003, 0)</f>
        <v>130.06810000000002</v>
      </c>
      <c r="C937" s="4">
        <f>129.7553 * CHOOSE(CONTROL!$C$8, $C$12, 100%, $E$12) + CHOOSE(CONTROL!$C$27, 0.0003, 0)</f>
        <v>129.75560000000002</v>
      </c>
      <c r="D937" s="4">
        <f>106.689 * CHOOSE(CONTROL!$C$8, $C$12, 100%, $E$12) + CHOOSE(CONTROL!$C$27, 0, 0)</f>
        <v>106.68899999999999</v>
      </c>
      <c r="E937" s="4">
        <f>698.969671777211 * CHOOSE(CONTROL!$C$8, $C$12, 100%, $E$12) + CHOOSE(CONTROL!$C$27, 0, 0)</f>
        <v>698.96967177721103</v>
      </c>
    </row>
    <row r="938" spans="1:5" ht="15">
      <c r="A938" s="13">
        <v>70463</v>
      </c>
      <c r="B938" s="4">
        <f>127.2303 * CHOOSE(CONTROL!$C$8, $C$12, 100%, $E$12) + CHOOSE(CONTROL!$C$27, 0.0003, 0)</f>
        <v>127.2306</v>
      </c>
      <c r="C938" s="4">
        <f>126.9178 * CHOOSE(CONTROL!$C$8, $C$12, 100%, $E$12) + CHOOSE(CONTROL!$C$27, 0.0003, 0)</f>
        <v>126.9181</v>
      </c>
      <c r="D938" s="4">
        <f>106.1847 * CHOOSE(CONTROL!$C$8, $C$12, 100%, $E$12) + CHOOSE(CONTROL!$C$27, 0, 0)</f>
        <v>106.18470000000001</v>
      </c>
      <c r="E938" s="4">
        <f>683.497889960785 * CHOOSE(CONTROL!$C$8, $C$12, 100%, $E$12) + CHOOSE(CONTROL!$C$27, 0, 0)</f>
        <v>683.49788996078496</v>
      </c>
    </row>
    <row r="939" spans="1:5" ht="15">
      <c r="A939" s="13">
        <v>70494</v>
      </c>
      <c r="B939" s="4">
        <f>125.267 * CHOOSE(CONTROL!$C$8, $C$12, 100%, $E$12) + CHOOSE(CONTROL!$C$27, 0.0003, 0)</f>
        <v>125.26729999999999</v>
      </c>
      <c r="C939" s="4">
        <f>124.9545 * CHOOSE(CONTROL!$C$8, $C$12, 100%, $E$12) + CHOOSE(CONTROL!$C$27, 0.0003, 0)</f>
        <v>124.95479999999999</v>
      </c>
      <c r="D939" s="4">
        <f>102.4721 * CHOOSE(CONTROL!$C$8, $C$12, 100%, $E$12) + CHOOSE(CONTROL!$C$27, 0, 0)</f>
        <v>102.4721</v>
      </c>
      <c r="E939" s="4">
        <f>672.793405755092 * CHOOSE(CONTROL!$C$8, $C$12, 100%, $E$12) + CHOOSE(CONTROL!$C$27, 0, 0)</f>
        <v>672.79340575509195</v>
      </c>
    </row>
    <row r="940" spans="1:5" ht="15">
      <c r="A940" s="13">
        <v>70525</v>
      </c>
      <c r="B940" s="4">
        <f>122.0772 * CHOOSE(CONTROL!$C$8, $C$12, 100%, $E$12) + CHOOSE(CONTROL!$C$27, 0.0003, 0)</f>
        <v>122.0775</v>
      </c>
      <c r="C940" s="4">
        <f>121.7647 * CHOOSE(CONTROL!$C$8, $C$12, 100%, $E$12) + CHOOSE(CONTROL!$C$27, 0.0003, 0)</f>
        <v>121.765</v>
      </c>
      <c r="D940" s="4">
        <f>99.06 * CHOOSE(CONTROL!$C$8, $C$12, 100%, $E$12) + CHOOSE(CONTROL!$C$27, 0, 0)</f>
        <v>99.06</v>
      </c>
      <c r="E940" s="4">
        <f>653.500254689745 * CHOOSE(CONTROL!$C$8, $C$12, 100%, $E$12) + CHOOSE(CONTROL!$C$27, 0, 0)</f>
        <v>653.50025468974502</v>
      </c>
    </row>
    <row r="941" spans="1:5" ht="15">
      <c r="A941" s="13">
        <v>70553</v>
      </c>
      <c r="B941" s="4">
        <f>124.9313 * CHOOSE(CONTROL!$C$8, $C$12, 100%, $E$12) + CHOOSE(CONTROL!$C$27, 0.0003, 0)</f>
        <v>124.93159999999999</v>
      </c>
      <c r="C941" s="4">
        <f>124.6188 * CHOOSE(CONTROL!$C$8, $C$12, 100%, $E$12) + CHOOSE(CONTROL!$C$27, 0.0003, 0)</f>
        <v>124.61909999999999</v>
      </c>
      <c r="D941" s="4">
        <f>102.4961 * CHOOSE(CONTROL!$C$8, $C$12, 100%, $E$12) + CHOOSE(CONTROL!$C$27, 0, 0)</f>
        <v>102.4961</v>
      </c>
      <c r="E941" s="4">
        <f>669.016926121403 * CHOOSE(CONTROL!$C$8, $C$12, 100%, $E$12) + CHOOSE(CONTROL!$C$27, 0, 0)</f>
        <v>669.016926121403</v>
      </c>
    </row>
    <row r="942" spans="1:5" ht="15">
      <c r="A942" s="13">
        <v>70584</v>
      </c>
      <c r="B942" s="4">
        <f>132.4262 * CHOOSE(CONTROL!$C$8, $C$12, 100%, $E$12) + CHOOSE(CONTROL!$C$27, 0.0003, 0)</f>
        <v>132.4265</v>
      </c>
      <c r="C942" s="4">
        <f>132.1137 * CHOOSE(CONTROL!$C$8, $C$12, 100%, $E$12) + CHOOSE(CONTROL!$C$27, 0.0003, 0)</f>
        <v>132.114</v>
      </c>
      <c r="D942" s="4">
        <f>107.8749 * CHOOSE(CONTROL!$C$8, $C$12, 100%, $E$12) + CHOOSE(CONTROL!$C$27, 0, 0)</f>
        <v>107.8749</v>
      </c>
      <c r="E942" s="4">
        <f>709.764529906935 * CHOOSE(CONTROL!$C$8, $C$12, 100%, $E$12) + CHOOSE(CONTROL!$C$27, 0, 0)</f>
        <v>709.76452990693497</v>
      </c>
    </row>
    <row r="943" spans="1:5" ht="15">
      <c r="A943" s="13">
        <v>70614</v>
      </c>
      <c r="B943" s="4">
        <f>137.7515 * CHOOSE(CONTROL!$C$8, $C$12, 100%, $E$12) + CHOOSE(CONTROL!$C$27, 0.0003, 0)</f>
        <v>137.7518</v>
      </c>
      <c r="C943" s="4">
        <f>137.439 * CHOOSE(CONTROL!$C$8, $C$12, 100%, $E$12) + CHOOSE(CONTROL!$C$27, 0.0003, 0)</f>
        <v>137.4393</v>
      </c>
      <c r="D943" s="4">
        <f>110.9733 * CHOOSE(CONTROL!$C$8, $C$12, 100%, $E$12) + CHOOSE(CONTROL!$C$27, 0, 0)</f>
        <v>110.97329999999999</v>
      </c>
      <c r="E943" s="4">
        <f>738.716245429776 * CHOOSE(CONTROL!$C$8, $C$12, 100%, $E$12) + CHOOSE(CONTROL!$C$27, 0, 0)</f>
        <v>738.716245429776</v>
      </c>
    </row>
    <row r="944" spans="1:5" ht="15">
      <c r="A944" s="13">
        <v>70645</v>
      </c>
      <c r="B944" s="4">
        <f>141.0051 * CHOOSE(CONTROL!$C$8, $C$12, 100%, $E$12) + CHOOSE(CONTROL!$C$27, 0.0166, 0)</f>
        <v>141.02170000000001</v>
      </c>
      <c r="C944" s="4">
        <f>140.6926 * CHOOSE(CONTROL!$C$8, $C$12, 100%, $E$12) + CHOOSE(CONTROL!$C$27, 0.0166, 0)</f>
        <v>140.70920000000001</v>
      </c>
      <c r="D944" s="4">
        <f>109.749 * CHOOSE(CONTROL!$C$8, $C$12, 100%, $E$12) + CHOOSE(CONTROL!$C$27, 0, 0)</f>
        <v>109.749</v>
      </c>
      <c r="E944" s="4">
        <f>756.405049738451 * CHOOSE(CONTROL!$C$8, $C$12, 100%, $E$12) + CHOOSE(CONTROL!$C$27, 0, 0)</f>
        <v>756.405049738451</v>
      </c>
    </row>
    <row r="945" spans="1:5" ht="15">
      <c r="A945" s="13">
        <v>70675</v>
      </c>
      <c r="B945" s="4">
        <f>141.4453 * CHOOSE(CONTROL!$C$8, $C$12, 100%, $E$12) + CHOOSE(CONTROL!$C$27, 0.0166, 0)</f>
        <v>141.46190000000001</v>
      </c>
      <c r="C945" s="4">
        <f>141.1328 * CHOOSE(CONTROL!$C$8, $C$12, 100%, $E$12) + CHOOSE(CONTROL!$C$27, 0.0166, 0)</f>
        <v>141.14940000000001</v>
      </c>
      <c r="D945" s="4">
        <f>110.7461 * CHOOSE(CONTROL!$C$8, $C$12, 100%, $E$12) + CHOOSE(CONTROL!$C$27, 0, 0)</f>
        <v>110.7461</v>
      </c>
      <c r="E945" s="4">
        <f>758.798418371461 * CHOOSE(CONTROL!$C$8, $C$12, 100%, $E$12) + CHOOSE(CONTROL!$C$27, 0, 0)</f>
        <v>758.79841837146103</v>
      </c>
    </row>
    <row r="946" spans="1:5" ht="15">
      <c r="A946" s="13">
        <v>70706</v>
      </c>
      <c r="B946" s="4">
        <f>141.4009 * CHOOSE(CONTROL!$C$8, $C$12, 100%, $E$12) + CHOOSE(CONTROL!$C$27, 0.0166, 0)</f>
        <v>141.41750000000002</v>
      </c>
      <c r="C946" s="4">
        <f>141.0884 * CHOOSE(CONTROL!$C$8, $C$12, 100%, $E$12) + CHOOSE(CONTROL!$C$27, 0.0166, 0)</f>
        <v>141.10500000000002</v>
      </c>
      <c r="D946" s="4">
        <f>112.5453 * CHOOSE(CONTROL!$C$8, $C$12, 100%, $E$12) + CHOOSE(CONTROL!$C$27, 0, 0)</f>
        <v>112.5453</v>
      </c>
      <c r="E946" s="4">
        <f>758.557070274015 * CHOOSE(CONTROL!$C$8, $C$12, 100%, $E$12) + CHOOSE(CONTROL!$C$27, 0, 0)</f>
        <v>758.55707027401502</v>
      </c>
    </row>
    <row r="947" spans="1:5" ht="15">
      <c r="A947" s="13">
        <v>70737</v>
      </c>
      <c r="B947" s="4">
        <f>144.7415 * CHOOSE(CONTROL!$C$8, $C$12, 100%, $E$12) + CHOOSE(CONTROL!$C$27, 0.0166, 0)</f>
        <v>144.75810000000001</v>
      </c>
      <c r="C947" s="4">
        <f>144.429 * CHOOSE(CONTROL!$C$8, $C$12, 100%, $E$12) + CHOOSE(CONTROL!$C$27, 0.0166, 0)</f>
        <v>144.44560000000001</v>
      </c>
      <c r="D947" s="4">
        <f>111.3571 * CHOOSE(CONTROL!$C$8, $C$12, 100%, $E$12) + CHOOSE(CONTROL!$C$27, 0, 0)</f>
        <v>111.3571</v>
      </c>
      <c r="E947" s="4">
        <f>776.718514606856 * CHOOSE(CONTROL!$C$8, $C$12, 100%, $E$12) + CHOOSE(CONTROL!$C$27, 0, 0)</f>
        <v>776.71851460685605</v>
      </c>
    </row>
    <row r="948" spans="1:5" ht="15">
      <c r="A948" s="13">
        <v>70767</v>
      </c>
      <c r="B948" s="4">
        <f>139.0481 * CHOOSE(CONTROL!$C$8, $C$12, 100%, $E$12) + CHOOSE(CONTROL!$C$27, 0.0166, 0)</f>
        <v>139.06470000000002</v>
      </c>
      <c r="C948" s="4">
        <f>138.7356 * CHOOSE(CONTROL!$C$8, $C$12, 100%, $E$12) + CHOOSE(CONTROL!$C$27, 0.0166, 0)</f>
        <v>138.75220000000002</v>
      </c>
      <c r="D948" s="4">
        <f>110.7957 * CHOOSE(CONTROL!$C$8, $C$12, 100%, $E$12) + CHOOSE(CONTROL!$C$27, 0, 0)</f>
        <v>110.7957</v>
      </c>
      <c r="E948" s="4">
        <f>745.765621109356 * CHOOSE(CONTROL!$C$8, $C$12, 100%, $E$12) + CHOOSE(CONTROL!$C$27, 0, 0)</f>
        <v>745.76562110935595</v>
      </c>
    </row>
    <row r="949" spans="1:5" ht="15">
      <c r="A949" s="13">
        <v>70798</v>
      </c>
      <c r="B949" s="4">
        <f>134.4905 * CHOOSE(CONTROL!$C$8, $C$12, 100%, $E$12) + CHOOSE(CONTROL!$C$27, 0.0003, 0)</f>
        <v>134.49080000000001</v>
      </c>
      <c r="C949" s="4">
        <f>134.178 * CHOOSE(CONTROL!$C$8, $C$12, 100%, $E$12) + CHOOSE(CONTROL!$C$27, 0.0003, 0)</f>
        <v>134.17830000000001</v>
      </c>
      <c r="D949" s="4">
        <f>109.2926 * CHOOSE(CONTROL!$C$8, $C$12, 100%, $E$12) + CHOOSE(CONTROL!$C$27, 0, 0)</f>
        <v>109.29259999999999</v>
      </c>
      <c r="E949" s="4">
        <f>720.987216438193 * CHOOSE(CONTROL!$C$8, $C$12, 100%, $E$12) + CHOOSE(CONTROL!$C$27, 0, 0)</f>
        <v>720.98721643819295</v>
      </c>
    </row>
    <row r="950" spans="1:5" ht="15">
      <c r="A950" s="13">
        <v>70828</v>
      </c>
      <c r="B950" s="4">
        <f>131.555 * CHOOSE(CONTROL!$C$8, $C$12, 100%, $E$12) + CHOOSE(CONTROL!$C$27, 0.0003, 0)</f>
        <v>131.55530000000002</v>
      </c>
      <c r="C950" s="4">
        <f>131.2425 * CHOOSE(CONTROL!$C$8, $C$12, 100%, $E$12) + CHOOSE(CONTROL!$C$27, 0.0003, 0)</f>
        <v>131.24280000000002</v>
      </c>
      <c r="D950" s="4">
        <f>108.7758 * CHOOSE(CONTROL!$C$8, $C$12, 100%, $E$12) + CHOOSE(CONTROL!$C$27, 0, 0)</f>
        <v>108.7758</v>
      </c>
      <c r="E950" s="4">
        <f>705.02807349455 * CHOOSE(CONTROL!$C$8, $C$12, 100%, $E$12) + CHOOSE(CONTROL!$C$27, 0, 0)</f>
        <v>705.02807349454997</v>
      </c>
    </row>
    <row r="951" spans="1:5" ht="15">
      <c r="A951" s="13">
        <v>70859</v>
      </c>
      <c r="B951" s="4">
        <f>129.524 * CHOOSE(CONTROL!$C$8, $C$12, 100%, $E$12) + CHOOSE(CONTROL!$C$27, 0.0003, 0)</f>
        <v>129.52430000000001</v>
      </c>
      <c r="C951" s="4">
        <f>129.2115 * CHOOSE(CONTROL!$C$8, $C$12, 100%, $E$12) + CHOOSE(CONTROL!$C$27, 0.0003, 0)</f>
        <v>129.21180000000001</v>
      </c>
      <c r="D951" s="4">
        <f>104.9712 * CHOOSE(CONTROL!$C$8, $C$12, 100%, $E$12) + CHOOSE(CONTROL!$C$27, 0, 0)</f>
        <v>104.9712</v>
      </c>
      <c r="E951" s="4">
        <f>693.986398036378 * CHOOSE(CONTROL!$C$8, $C$12, 100%, $E$12) + CHOOSE(CONTROL!$C$27, 0, 0)</f>
        <v>693.98639803637798</v>
      </c>
    </row>
    <row r="952" spans="1:5" ht="15">
      <c r="A952" s="13">
        <v>70890</v>
      </c>
      <c r="B952" s="4">
        <f>126.2242 * CHOOSE(CONTROL!$C$8, $C$12, 100%, $E$12) + CHOOSE(CONTROL!$C$27, 0.0003, 0)</f>
        <v>126.22449999999999</v>
      </c>
      <c r="C952" s="4">
        <f>125.9117 * CHOOSE(CONTROL!$C$8, $C$12, 100%, $E$12) + CHOOSE(CONTROL!$C$27, 0.0003, 0)</f>
        <v>125.91199999999999</v>
      </c>
      <c r="D952" s="4">
        <f>101.4744 * CHOOSE(CONTROL!$C$8, $C$12, 100%, $E$12) + CHOOSE(CONTROL!$C$27, 0, 0)</f>
        <v>101.4744</v>
      </c>
      <c r="E952" s="4">
        <f>674.085512712472 * CHOOSE(CONTROL!$C$8, $C$12, 100%, $E$12) + CHOOSE(CONTROL!$C$27, 0, 0)</f>
        <v>674.085512712472</v>
      </c>
    </row>
    <row r="953" spans="1:5" ht="15">
      <c r="A953" s="13">
        <v>70918</v>
      </c>
      <c r="B953" s="4">
        <f>129.1767 * CHOOSE(CONTROL!$C$8, $C$12, 100%, $E$12) + CHOOSE(CONTROL!$C$27, 0.0003, 0)</f>
        <v>129.17700000000002</v>
      </c>
      <c r="C953" s="4">
        <f>128.8642 * CHOOSE(CONTROL!$C$8, $C$12, 100%, $E$12) + CHOOSE(CONTROL!$C$27, 0.0003, 0)</f>
        <v>128.86450000000002</v>
      </c>
      <c r="D953" s="4">
        <f>104.9957 * CHOOSE(CONTROL!$C$8, $C$12, 100%, $E$12) + CHOOSE(CONTROL!$C$27, 0, 0)</f>
        <v>104.9957</v>
      </c>
      <c r="E953" s="4">
        <f>690.090959294227 * CHOOSE(CONTROL!$C$8, $C$12, 100%, $E$12) + CHOOSE(CONTROL!$C$27, 0, 0)</f>
        <v>690.09095929422699</v>
      </c>
    </row>
    <row r="954" spans="1:5" ht="15">
      <c r="A954" s="13">
        <v>70949</v>
      </c>
      <c r="B954" s="4">
        <f>136.9302 * CHOOSE(CONTROL!$C$8, $C$12, 100%, $E$12) + CHOOSE(CONTROL!$C$27, 0.0003, 0)</f>
        <v>136.93050000000002</v>
      </c>
      <c r="C954" s="4">
        <f>136.6177 * CHOOSE(CONTROL!$C$8, $C$12, 100%, $E$12) + CHOOSE(CONTROL!$C$27, 0.0003, 0)</f>
        <v>136.61800000000002</v>
      </c>
      <c r="D954" s="4">
        <f>110.508 * CHOOSE(CONTROL!$C$8, $C$12, 100%, $E$12) + CHOOSE(CONTROL!$C$27, 0, 0)</f>
        <v>110.508</v>
      </c>
      <c r="E954" s="4">
        <f>732.122112599004 * CHOOSE(CONTROL!$C$8, $C$12, 100%, $E$12) + CHOOSE(CONTROL!$C$27, 0, 0)</f>
        <v>732.12211259900403</v>
      </c>
    </row>
    <row r="955" spans="1:5" ht="15">
      <c r="A955" s="13">
        <v>70979</v>
      </c>
      <c r="B955" s="4">
        <f>142.4392 * CHOOSE(CONTROL!$C$8, $C$12, 100%, $E$12) + CHOOSE(CONTROL!$C$27, 0.0003, 0)</f>
        <v>142.43950000000001</v>
      </c>
      <c r="C955" s="4">
        <f>142.1267 * CHOOSE(CONTROL!$C$8, $C$12, 100%, $E$12) + CHOOSE(CONTROL!$C$27, 0.0003, 0)</f>
        <v>142.12700000000001</v>
      </c>
      <c r="D955" s="4">
        <f>113.6832 * CHOOSE(CONTROL!$C$8, $C$12, 100%, $E$12) + CHOOSE(CONTROL!$C$27, 0, 0)</f>
        <v>113.6832</v>
      </c>
      <c r="E955" s="4">
        <f>761.985807160814 * CHOOSE(CONTROL!$C$8, $C$12, 100%, $E$12) + CHOOSE(CONTROL!$C$27, 0, 0)</f>
        <v>761.98580716081403</v>
      </c>
    </row>
    <row r="956" spans="1:5" ht="15">
      <c r="A956" s="13">
        <v>71010</v>
      </c>
      <c r="B956" s="4">
        <f>145.8051 * CHOOSE(CONTROL!$C$8, $C$12, 100%, $E$12) + CHOOSE(CONTROL!$C$27, 0.0166, 0)</f>
        <v>145.82170000000002</v>
      </c>
      <c r="C956" s="4">
        <f>145.4926 * CHOOSE(CONTROL!$C$8, $C$12, 100%, $E$12) + CHOOSE(CONTROL!$C$27, 0.0166, 0)</f>
        <v>145.50920000000002</v>
      </c>
      <c r="D956" s="4">
        <f>112.4285 * CHOOSE(CONTROL!$C$8, $C$12, 100%, $E$12) + CHOOSE(CONTROL!$C$27, 0, 0)</f>
        <v>112.4285</v>
      </c>
      <c r="E956" s="4">
        <f>780.231808805212 * CHOOSE(CONTROL!$C$8, $C$12, 100%, $E$12) + CHOOSE(CONTROL!$C$27, 0, 0)</f>
        <v>780.23180880521204</v>
      </c>
    </row>
    <row r="957" spans="1:5" ht="15">
      <c r="A957" s="13">
        <v>71040</v>
      </c>
      <c r="B957" s="4">
        <f>146.2605 * CHOOSE(CONTROL!$C$8, $C$12, 100%, $E$12) + CHOOSE(CONTROL!$C$27, 0.0166, 0)</f>
        <v>146.27710000000002</v>
      </c>
      <c r="C957" s="4">
        <f>145.948 * CHOOSE(CONTROL!$C$8, $C$12, 100%, $E$12) + CHOOSE(CONTROL!$C$27, 0.0166, 0)</f>
        <v>145.96460000000002</v>
      </c>
      <c r="D957" s="4">
        <f>113.4504 * CHOOSE(CONTROL!$C$8, $C$12, 100%, $E$12) + CHOOSE(CONTROL!$C$27, 0, 0)</f>
        <v>113.4504</v>
      </c>
      <c r="E957" s="4">
        <f>782.700568550162 * CHOOSE(CONTROL!$C$8, $C$12, 100%, $E$12) + CHOOSE(CONTROL!$C$27, 0, 0)</f>
        <v>782.70056855016196</v>
      </c>
    </row>
    <row r="958" spans="1:5" ht="15">
      <c r="A958" s="13">
        <v>71071</v>
      </c>
      <c r="B958" s="4">
        <f>146.2146 * CHOOSE(CONTROL!$C$8, $C$12, 100%, $E$12) + CHOOSE(CONTROL!$C$27, 0.0166, 0)</f>
        <v>146.2312</v>
      </c>
      <c r="C958" s="4">
        <f>145.9021 * CHOOSE(CONTROL!$C$8, $C$12, 100%, $E$12) + CHOOSE(CONTROL!$C$27, 0.0166, 0)</f>
        <v>145.9187</v>
      </c>
      <c r="D958" s="4">
        <f>115.2942 * CHOOSE(CONTROL!$C$8, $C$12, 100%, $E$12) + CHOOSE(CONTROL!$C$27, 0, 0)</f>
        <v>115.2942</v>
      </c>
      <c r="E958" s="4">
        <f>782.451617987646 * CHOOSE(CONTROL!$C$8, $C$12, 100%, $E$12) + CHOOSE(CONTROL!$C$27, 0, 0)</f>
        <v>782.45161798764605</v>
      </c>
    </row>
    <row r="959" spans="1:5" ht="15">
      <c r="A959" s="13">
        <v>71102</v>
      </c>
      <c r="B959" s="4">
        <f>149.6703 * CHOOSE(CONTROL!$C$8, $C$12, 100%, $E$12) + CHOOSE(CONTROL!$C$27, 0.0166, 0)</f>
        <v>149.68690000000001</v>
      </c>
      <c r="C959" s="4">
        <f>149.3578 * CHOOSE(CONTROL!$C$8, $C$12, 100%, $E$12) + CHOOSE(CONTROL!$C$27, 0.0166, 0)</f>
        <v>149.37440000000001</v>
      </c>
      <c r="D959" s="4">
        <f>114.0765 * CHOOSE(CONTROL!$C$8, $C$12, 100%, $E$12) + CHOOSE(CONTROL!$C$27, 0, 0)</f>
        <v>114.0765</v>
      </c>
      <c r="E959" s="4">
        <f>801.185147816972 * CHOOSE(CONTROL!$C$8, $C$12, 100%, $E$12) + CHOOSE(CONTROL!$C$27, 0, 0)</f>
        <v>801.18514781697195</v>
      </c>
    </row>
    <row r="960" spans="1:5" ht="15">
      <c r="A960" s="13">
        <v>71132</v>
      </c>
      <c r="B960" s="4">
        <f>143.7806 * CHOOSE(CONTROL!$C$8, $C$12, 100%, $E$12) + CHOOSE(CONTROL!$C$27, 0.0166, 0)</f>
        <v>143.7972</v>
      </c>
      <c r="C960" s="4">
        <f>143.4681 * CHOOSE(CONTROL!$C$8, $C$12, 100%, $E$12) + CHOOSE(CONTROL!$C$27, 0.0166, 0)</f>
        <v>143.4847</v>
      </c>
      <c r="D960" s="4">
        <f>113.5012 * CHOOSE(CONTROL!$C$8, $C$12, 100%, $E$12) + CHOOSE(CONTROL!$C$27, 0, 0)</f>
        <v>113.5012</v>
      </c>
      <c r="E960" s="4">
        <f>769.257238174301 * CHOOSE(CONTROL!$C$8, $C$12, 100%, $E$12) + CHOOSE(CONTROL!$C$27, 0, 0)</f>
        <v>769.25723817430105</v>
      </c>
    </row>
    <row r="961" spans="1:5" ht="15">
      <c r="A961" s="13">
        <v>71163</v>
      </c>
      <c r="B961" s="4">
        <f>139.0657 * CHOOSE(CONTROL!$C$8, $C$12, 100%, $E$12) + CHOOSE(CONTROL!$C$27, 0.0003, 0)</f>
        <v>139.066</v>
      </c>
      <c r="C961" s="4">
        <f>138.7532 * CHOOSE(CONTROL!$C$8, $C$12, 100%, $E$12) + CHOOSE(CONTROL!$C$27, 0.0003, 0)</f>
        <v>138.7535</v>
      </c>
      <c r="D961" s="4">
        <f>111.9608 * CHOOSE(CONTROL!$C$8, $C$12, 100%, $E$12) + CHOOSE(CONTROL!$C$27, 0, 0)</f>
        <v>111.96080000000001</v>
      </c>
      <c r="E961" s="4">
        <f>743.698313755996 * CHOOSE(CONTROL!$C$8, $C$12, 100%, $E$12) + CHOOSE(CONTROL!$C$27, 0, 0)</f>
        <v>743.69831375599597</v>
      </c>
    </row>
    <row r="962" spans="1:5" ht="15">
      <c r="A962" s="13">
        <v>71193</v>
      </c>
      <c r="B962" s="4">
        <f>136.029 * CHOOSE(CONTROL!$C$8, $C$12, 100%, $E$12) + CHOOSE(CONTROL!$C$27, 0.0003, 0)</f>
        <v>136.02930000000001</v>
      </c>
      <c r="C962" s="4">
        <f>135.7165 * CHOOSE(CONTROL!$C$8, $C$12, 100%, $E$12) + CHOOSE(CONTROL!$C$27, 0.0003, 0)</f>
        <v>135.71680000000001</v>
      </c>
      <c r="D962" s="4">
        <f>111.4312 * CHOOSE(CONTROL!$C$8, $C$12, 100%, $E$12) + CHOOSE(CONTROL!$C$27, 0, 0)</f>
        <v>111.4312</v>
      </c>
      <c r="E962" s="4">
        <f>727.236457809628 * CHOOSE(CONTROL!$C$8, $C$12, 100%, $E$12) + CHOOSE(CONTROL!$C$27, 0, 0)</f>
        <v>727.23645780962795</v>
      </c>
    </row>
    <row r="963" spans="1:5" ht="15">
      <c r="A963" s="13">
        <v>71224</v>
      </c>
      <c r="B963" s="4">
        <f>133.9279 * CHOOSE(CONTROL!$C$8, $C$12, 100%, $E$12) + CHOOSE(CONTROL!$C$27, 0.0003, 0)</f>
        <v>133.9282</v>
      </c>
      <c r="C963" s="4">
        <f>133.6154 * CHOOSE(CONTROL!$C$8, $C$12, 100%, $E$12) + CHOOSE(CONTROL!$C$27, 0.0003, 0)</f>
        <v>133.6157</v>
      </c>
      <c r="D963" s="4">
        <f>107.5322 * CHOOSE(CONTROL!$C$8, $C$12, 100%, $E$12) + CHOOSE(CONTROL!$C$27, 0, 0)</f>
        <v>107.5322</v>
      </c>
      <c r="E963" s="4">
        <f>715.846969574523 * CHOOSE(CONTROL!$C$8, $C$12, 100%, $E$12) + CHOOSE(CONTROL!$C$27, 0, 0)</f>
        <v>715.84696957452297</v>
      </c>
    </row>
    <row r="964" spans="1:5" ht="15">
      <c r="A964" s="13">
        <v>71255</v>
      </c>
      <c r="B964" s="4">
        <f>130.5142 * CHOOSE(CONTROL!$C$8, $C$12, 100%, $E$12) + CHOOSE(CONTROL!$C$27, 0.0003, 0)</f>
        <v>130.5145</v>
      </c>
      <c r="C964" s="4">
        <f>130.2017 * CHOOSE(CONTROL!$C$8, $C$12, 100%, $E$12) + CHOOSE(CONTROL!$C$27, 0.0003, 0)</f>
        <v>130.202</v>
      </c>
      <c r="D964" s="4">
        <f>103.9487 * CHOOSE(CONTROL!$C$8, $C$12, 100%, $E$12) + CHOOSE(CONTROL!$C$27, 0, 0)</f>
        <v>103.9487</v>
      </c>
      <c r="E964" s="4">
        <f>695.319206362915 * CHOOSE(CONTROL!$C$8, $C$12, 100%, $E$12) + CHOOSE(CONTROL!$C$27, 0, 0)</f>
        <v>695.319206362915</v>
      </c>
    </row>
    <row r="965" spans="1:5" ht="15">
      <c r="A965" s="13">
        <v>71283</v>
      </c>
      <c r="B965" s="4">
        <f>133.5686 * CHOOSE(CONTROL!$C$8, $C$12, 100%, $E$12) + CHOOSE(CONTROL!$C$27, 0.0003, 0)</f>
        <v>133.56890000000001</v>
      </c>
      <c r="C965" s="4">
        <f>133.2561 * CHOOSE(CONTROL!$C$8, $C$12, 100%, $E$12) + CHOOSE(CONTROL!$C$27, 0.0003, 0)</f>
        <v>133.25640000000001</v>
      </c>
      <c r="D965" s="4">
        <f>107.5573 * CHOOSE(CONTROL!$C$8, $C$12, 100%, $E$12) + CHOOSE(CONTROL!$C$27, 0, 0)</f>
        <v>107.5573</v>
      </c>
      <c r="E965" s="4">
        <f>711.828824511995 * CHOOSE(CONTROL!$C$8, $C$12, 100%, $E$12) + CHOOSE(CONTROL!$C$27, 0, 0)</f>
        <v>711.82882451199498</v>
      </c>
    </row>
    <row r="966" spans="1:5" ht="15">
      <c r="A966" s="13">
        <v>71314</v>
      </c>
      <c r="B966" s="4">
        <f>141.5896 * CHOOSE(CONTROL!$C$8, $C$12, 100%, $E$12) + CHOOSE(CONTROL!$C$27, 0.0003, 0)</f>
        <v>141.5899</v>
      </c>
      <c r="C966" s="4">
        <f>141.2771 * CHOOSE(CONTROL!$C$8, $C$12, 100%, $E$12) + CHOOSE(CONTROL!$C$27, 0.0003, 0)</f>
        <v>141.2774</v>
      </c>
      <c r="D966" s="4">
        <f>113.2063 * CHOOSE(CONTROL!$C$8, $C$12, 100%, $E$12) + CHOOSE(CONTROL!$C$27, 0, 0)</f>
        <v>113.2063</v>
      </c>
      <c r="E966" s="4">
        <f>755.183959145873 * CHOOSE(CONTROL!$C$8, $C$12, 100%, $E$12) + CHOOSE(CONTROL!$C$27, 0, 0)</f>
        <v>755.18395914587302</v>
      </c>
    </row>
    <row r="967" spans="1:5" ht="15">
      <c r="A967" s="13">
        <v>71344</v>
      </c>
      <c r="B967" s="4">
        <f>147.2887 * CHOOSE(CONTROL!$C$8, $C$12, 100%, $E$12) + CHOOSE(CONTROL!$C$27, 0.0003, 0)</f>
        <v>147.28900000000002</v>
      </c>
      <c r="C967" s="4">
        <f>146.9762 * CHOOSE(CONTROL!$C$8, $C$12, 100%, $E$12) + CHOOSE(CONTROL!$C$27, 0.0003, 0)</f>
        <v>146.97650000000002</v>
      </c>
      <c r="D967" s="4">
        <f>116.4603 * CHOOSE(CONTROL!$C$8, $C$12, 100%, $E$12) + CHOOSE(CONTROL!$C$27, 0, 0)</f>
        <v>116.4603</v>
      </c>
      <c r="E967" s="4">
        <f>785.98836008638 * CHOOSE(CONTROL!$C$8, $C$12, 100%, $E$12) + CHOOSE(CONTROL!$C$27, 0, 0)</f>
        <v>785.98836008638</v>
      </c>
    </row>
    <row r="968" spans="1:5" ht="15">
      <c r="A968" s="13">
        <v>71375</v>
      </c>
      <c r="B968" s="4">
        <f>150.7707 * CHOOSE(CONTROL!$C$8, $C$12, 100%, $E$12) + CHOOSE(CONTROL!$C$27, 0.0166, 0)</f>
        <v>150.78730000000002</v>
      </c>
      <c r="C968" s="4">
        <f>150.4582 * CHOOSE(CONTROL!$C$8, $C$12, 100%, $E$12) + CHOOSE(CONTROL!$C$27, 0.0166, 0)</f>
        <v>150.47480000000002</v>
      </c>
      <c r="D968" s="4">
        <f>115.1745 * CHOOSE(CONTROL!$C$8, $C$12, 100%, $E$12) + CHOOSE(CONTROL!$C$27, 0, 0)</f>
        <v>115.17449999999999</v>
      </c>
      <c r="E968" s="4">
        <f>804.809110782576 * CHOOSE(CONTROL!$C$8, $C$12, 100%, $E$12) + CHOOSE(CONTROL!$C$27, 0, 0)</f>
        <v>804.809110782576</v>
      </c>
    </row>
    <row r="969" spans="1:5" ht="15">
      <c r="A969" s="13">
        <v>71405</v>
      </c>
      <c r="B969" s="4">
        <f>151.2418 * CHOOSE(CONTROL!$C$8, $C$12, 100%, $E$12) + CHOOSE(CONTROL!$C$27, 0.0166, 0)</f>
        <v>151.25840000000002</v>
      </c>
      <c r="C969" s="4">
        <f>150.9293 * CHOOSE(CONTROL!$C$8, $C$12, 100%, $E$12) + CHOOSE(CONTROL!$C$27, 0.0166, 0)</f>
        <v>150.94590000000002</v>
      </c>
      <c r="D969" s="4">
        <f>116.2217 * CHOOSE(CONTROL!$C$8, $C$12, 100%, $E$12) + CHOOSE(CONTROL!$C$27, 0, 0)</f>
        <v>116.2217</v>
      </c>
      <c r="E969" s="4">
        <f>807.355636459492 * CHOOSE(CONTROL!$C$8, $C$12, 100%, $E$12) + CHOOSE(CONTROL!$C$27, 0, 0)</f>
        <v>807.35563645949196</v>
      </c>
    </row>
    <row r="970" spans="1:5" ht="15">
      <c r="A970" s="13">
        <v>71436</v>
      </c>
      <c r="B970" s="4">
        <f>151.1943 * CHOOSE(CONTROL!$C$8, $C$12, 100%, $E$12) + CHOOSE(CONTROL!$C$27, 0.0166, 0)</f>
        <v>151.21090000000001</v>
      </c>
      <c r="C970" s="4">
        <f>150.8818 * CHOOSE(CONTROL!$C$8, $C$12, 100%, $E$12) + CHOOSE(CONTROL!$C$27, 0.0166, 0)</f>
        <v>150.89840000000001</v>
      </c>
      <c r="D970" s="4">
        <f>118.1112 * CHOOSE(CONTROL!$C$8, $C$12, 100%, $E$12) + CHOOSE(CONTROL!$C$27, 0, 0)</f>
        <v>118.1112</v>
      </c>
      <c r="E970" s="4">
        <f>807.098843954257 * CHOOSE(CONTROL!$C$8, $C$12, 100%, $E$12) + CHOOSE(CONTROL!$C$27, 0, 0)</f>
        <v>807.09884395425695</v>
      </c>
    </row>
    <row r="971" spans="1:5" ht="15">
      <c r="A971" s="13">
        <v>71467</v>
      </c>
      <c r="B971" s="4">
        <f>154.7693 * CHOOSE(CONTROL!$C$8, $C$12, 100%, $E$12) + CHOOSE(CONTROL!$C$27, 0.0166, 0)</f>
        <v>154.7859</v>
      </c>
      <c r="C971" s="4">
        <f>154.4568 * CHOOSE(CONTROL!$C$8, $C$12, 100%, $E$12) + CHOOSE(CONTROL!$C$27, 0.0166, 0)</f>
        <v>154.4734</v>
      </c>
      <c r="D971" s="4">
        <f>116.8633 * CHOOSE(CONTROL!$C$8, $C$12, 100%, $E$12) + CHOOSE(CONTROL!$C$27, 0, 0)</f>
        <v>116.8633</v>
      </c>
      <c r="E971" s="4">
        <f>826.422479973206 * CHOOSE(CONTROL!$C$8, $C$12, 100%, $E$12) + CHOOSE(CONTROL!$C$27, 0, 0)</f>
        <v>826.42247997320601</v>
      </c>
    </row>
    <row r="972" spans="1:5" ht="15">
      <c r="A972" s="13">
        <v>71497</v>
      </c>
      <c r="B972" s="4">
        <f>148.6763 * CHOOSE(CONTROL!$C$8, $C$12, 100%, $E$12) + CHOOSE(CONTROL!$C$27, 0.0166, 0)</f>
        <v>148.69290000000001</v>
      </c>
      <c r="C972" s="4">
        <f>148.3638 * CHOOSE(CONTROL!$C$8, $C$12, 100%, $E$12) + CHOOSE(CONTROL!$C$27, 0.0166, 0)</f>
        <v>148.38040000000001</v>
      </c>
      <c r="D972" s="4">
        <f>116.2738 * CHOOSE(CONTROL!$C$8, $C$12, 100%, $E$12) + CHOOSE(CONTROL!$C$27, 0, 0)</f>
        <v>116.27379999999999</v>
      </c>
      <c r="E972" s="4">
        <f>793.488841176791 * CHOOSE(CONTROL!$C$8, $C$12, 100%, $E$12) + CHOOSE(CONTROL!$C$27, 0, 0)</f>
        <v>793.48884117679097</v>
      </c>
    </row>
    <row r="973" spans="1:5" ht="15">
      <c r="A973" s="13">
        <v>71528</v>
      </c>
      <c r="B973" s="4">
        <f>143.7988 * CHOOSE(CONTROL!$C$8, $C$12, 100%, $E$12) + CHOOSE(CONTROL!$C$27, 0.0003, 0)</f>
        <v>143.79910000000001</v>
      </c>
      <c r="C973" s="4">
        <f>143.4863 * CHOOSE(CONTROL!$C$8, $C$12, 100%, $E$12) + CHOOSE(CONTROL!$C$27, 0.0003, 0)</f>
        <v>143.48660000000001</v>
      </c>
      <c r="D973" s="4">
        <f>114.6951 * CHOOSE(CONTROL!$C$8, $C$12, 100%, $E$12) + CHOOSE(CONTROL!$C$27, 0, 0)</f>
        <v>114.6951</v>
      </c>
      <c r="E973" s="4">
        <f>767.12481063931 * CHOOSE(CONTROL!$C$8, $C$12, 100%, $E$12) + CHOOSE(CONTROL!$C$27, 0, 0)</f>
        <v>767.12481063931</v>
      </c>
    </row>
    <row r="974" spans="1:5" ht="15">
      <c r="A974" s="13">
        <v>71558</v>
      </c>
      <c r="B974" s="4">
        <f>140.6573 * CHOOSE(CONTROL!$C$8, $C$12, 100%, $E$12) + CHOOSE(CONTROL!$C$27, 0.0003, 0)</f>
        <v>140.6576</v>
      </c>
      <c r="C974" s="4">
        <f>140.3448 * CHOOSE(CONTROL!$C$8, $C$12, 100%, $E$12) + CHOOSE(CONTROL!$C$27, 0.0003, 0)</f>
        <v>140.3451</v>
      </c>
      <c r="D974" s="4">
        <f>114.1524 * CHOOSE(CONTROL!$C$8, $C$12, 100%, $E$12) + CHOOSE(CONTROL!$C$27, 0, 0)</f>
        <v>114.1524</v>
      </c>
      <c r="E974" s="4">
        <f>750.144406230632 * CHOOSE(CONTROL!$C$8, $C$12, 100%, $E$12) + CHOOSE(CONTROL!$C$27, 0, 0)</f>
        <v>750.14440623063194</v>
      </c>
    </row>
    <row r="975" spans="1:5" ht="15">
      <c r="A975" s="13">
        <v>71589</v>
      </c>
      <c r="B975" s="4">
        <f>138.4838 * CHOOSE(CONTROL!$C$8, $C$12, 100%, $E$12) + CHOOSE(CONTROL!$C$27, 0.0003, 0)</f>
        <v>138.48410000000001</v>
      </c>
      <c r="C975" s="4">
        <f>138.1713 * CHOOSE(CONTROL!$C$8, $C$12, 100%, $E$12) + CHOOSE(CONTROL!$C$27, 0.0003, 0)</f>
        <v>138.17160000000001</v>
      </c>
      <c r="D975" s="4">
        <f>110.1567 * CHOOSE(CONTROL!$C$8, $C$12, 100%, $E$12) + CHOOSE(CONTROL!$C$27, 0, 0)</f>
        <v>110.1567</v>
      </c>
      <c r="E975" s="4">
        <f>738.396149116121 * CHOOSE(CONTROL!$C$8, $C$12, 100%, $E$12) + CHOOSE(CONTROL!$C$27, 0, 0)</f>
        <v>738.39614911612102</v>
      </c>
    </row>
    <row r="976" spans="1:5" ht="15">
      <c r="A976" s="13">
        <v>71620</v>
      </c>
      <c r="B976" s="4">
        <f>134.9523 * CHOOSE(CONTROL!$C$8, $C$12, 100%, $E$12) + CHOOSE(CONTROL!$C$27, 0.0003, 0)</f>
        <v>134.95260000000002</v>
      </c>
      <c r="C976" s="4">
        <f>134.6398 * CHOOSE(CONTROL!$C$8, $C$12, 100%, $E$12) + CHOOSE(CONTROL!$C$27, 0.0003, 0)</f>
        <v>134.64010000000002</v>
      </c>
      <c r="D976" s="4">
        <f>106.4844 * CHOOSE(CONTROL!$C$8, $C$12, 100%, $E$12) + CHOOSE(CONTROL!$C$27, 0, 0)</f>
        <v>106.48439999999999</v>
      </c>
      <c r="E976" s="4">
        <f>717.221761363347 * CHOOSE(CONTROL!$C$8, $C$12, 100%, $E$12) + CHOOSE(CONTROL!$C$27, 0, 0)</f>
        <v>717.22176136334701</v>
      </c>
    </row>
    <row r="977" spans="1:5" ht="15">
      <c r="A977" s="13">
        <v>71649</v>
      </c>
      <c r="B977" s="4">
        <f>138.112 * CHOOSE(CONTROL!$C$8, $C$12, 100%, $E$12) + CHOOSE(CONTROL!$C$27, 0.0003, 0)</f>
        <v>138.1123</v>
      </c>
      <c r="C977" s="4">
        <f>137.7995 * CHOOSE(CONTROL!$C$8, $C$12, 100%, $E$12) + CHOOSE(CONTROL!$C$27, 0.0003, 0)</f>
        <v>137.7998</v>
      </c>
      <c r="D977" s="4">
        <f>110.1825 * CHOOSE(CONTROL!$C$8, $C$12, 100%, $E$12) + CHOOSE(CONTROL!$C$27, 0, 0)</f>
        <v>110.1825</v>
      </c>
      <c r="E977" s="4">
        <f>734.251432484123 * CHOOSE(CONTROL!$C$8, $C$12, 100%, $E$12) + CHOOSE(CONTROL!$C$27, 0, 0)</f>
        <v>734.25143248412303</v>
      </c>
    </row>
    <row r="978" spans="1:5" ht="15">
      <c r="A978" s="13">
        <v>71680</v>
      </c>
      <c r="B978" s="4">
        <f>146.4098 * CHOOSE(CONTROL!$C$8, $C$12, 100%, $E$12) + CHOOSE(CONTROL!$C$27, 0.0003, 0)</f>
        <v>146.4101</v>
      </c>
      <c r="C978" s="4">
        <f>146.0973 * CHOOSE(CONTROL!$C$8, $C$12, 100%, $E$12) + CHOOSE(CONTROL!$C$27, 0.0003, 0)</f>
        <v>146.0976</v>
      </c>
      <c r="D978" s="4">
        <f>115.9715 * CHOOSE(CONTROL!$C$8, $C$12, 100%, $E$12) + CHOOSE(CONTROL!$C$27, 0, 0)</f>
        <v>115.97150000000001</v>
      </c>
      <c r="E978" s="4">
        <f>778.972253858968 * CHOOSE(CONTROL!$C$8, $C$12, 100%, $E$12) + CHOOSE(CONTROL!$C$27, 0, 0)</f>
        <v>778.97225385896797</v>
      </c>
    </row>
    <row r="979" spans="1:5" ht="15">
      <c r="A979" s="13">
        <v>71710</v>
      </c>
      <c r="B979" s="4">
        <f>152.3054 * CHOOSE(CONTROL!$C$8, $C$12, 100%, $E$12) + CHOOSE(CONTROL!$C$27, 0.0003, 0)</f>
        <v>152.3057</v>
      </c>
      <c r="C979" s="4">
        <f>151.9929 * CHOOSE(CONTROL!$C$8, $C$12, 100%, $E$12) + CHOOSE(CONTROL!$C$27, 0.0003, 0)</f>
        <v>151.9932</v>
      </c>
      <c r="D979" s="4">
        <f>119.3062 * CHOOSE(CONTROL!$C$8, $C$12, 100%, $E$12) + CHOOSE(CONTROL!$C$27, 0, 0)</f>
        <v>119.3062</v>
      </c>
      <c r="E979" s="4">
        <f>810.7469934291 * CHOOSE(CONTROL!$C$8, $C$12, 100%, $E$12) + CHOOSE(CONTROL!$C$27, 0, 0)</f>
        <v>810.74699342910003</v>
      </c>
    </row>
    <row r="980" spans="1:5" ht="15">
      <c r="A980" s="13">
        <v>71741</v>
      </c>
      <c r="B980" s="4">
        <f>155.9076 * CHOOSE(CONTROL!$C$8, $C$12, 100%, $E$12) + CHOOSE(CONTROL!$C$27, 0.0166, 0)</f>
        <v>155.92420000000001</v>
      </c>
      <c r="C980" s="4">
        <f>155.5951 * CHOOSE(CONTROL!$C$8, $C$12, 100%, $E$12) + CHOOSE(CONTROL!$C$27, 0.0166, 0)</f>
        <v>155.61170000000001</v>
      </c>
      <c r="D980" s="4">
        <f>117.9885 * CHOOSE(CONTROL!$C$8, $C$12, 100%, $E$12) + CHOOSE(CONTROL!$C$27, 0, 0)</f>
        <v>117.9885</v>
      </c>
      <c r="E980" s="4">
        <f>830.160597772228 * CHOOSE(CONTROL!$C$8, $C$12, 100%, $E$12) + CHOOSE(CONTROL!$C$27, 0, 0)</f>
        <v>830.16059777222802</v>
      </c>
    </row>
    <row r="981" spans="1:5" ht="15">
      <c r="A981" s="13">
        <v>71771</v>
      </c>
      <c r="B981" s="4">
        <f>156.3949 * CHOOSE(CONTROL!$C$8, $C$12, 100%, $E$12) + CHOOSE(CONTROL!$C$27, 0.0166, 0)</f>
        <v>156.41150000000002</v>
      </c>
      <c r="C981" s="4">
        <f>156.0824 * CHOOSE(CONTROL!$C$8, $C$12, 100%, $E$12) + CHOOSE(CONTROL!$C$27, 0.0166, 0)</f>
        <v>156.09900000000002</v>
      </c>
      <c r="D981" s="4">
        <f>119.0617 * CHOOSE(CONTROL!$C$8, $C$12, 100%, $E$12) + CHOOSE(CONTROL!$C$27, 0, 0)</f>
        <v>119.0617</v>
      </c>
      <c r="E981" s="4">
        <f>832.787339007966 * CHOOSE(CONTROL!$C$8, $C$12, 100%, $E$12) + CHOOSE(CONTROL!$C$27, 0, 0)</f>
        <v>832.78733900796601</v>
      </c>
    </row>
    <row r="982" spans="1:5" ht="15">
      <c r="A982" s="13">
        <v>71802</v>
      </c>
      <c r="B982" s="4">
        <f>156.3458 * CHOOSE(CONTROL!$C$8, $C$12, 100%, $E$12) + CHOOSE(CONTROL!$C$27, 0.0166, 0)</f>
        <v>156.36240000000001</v>
      </c>
      <c r="C982" s="4">
        <f>156.0333 * CHOOSE(CONTROL!$C$8, $C$12, 100%, $E$12) + CHOOSE(CONTROL!$C$27, 0.0166, 0)</f>
        <v>156.04990000000001</v>
      </c>
      <c r="D982" s="4">
        <f>120.9981 * CHOOSE(CONTROL!$C$8, $C$12, 100%, $E$12) + CHOOSE(CONTROL!$C$27, 0, 0)</f>
        <v>120.99809999999999</v>
      </c>
      <c r="E982" s="4">
        <f>832.522457538816 * CHOOSE(CONTROL!$C$8, $C$12, 100%, $E$12) + CHOOSE(CONTROL!$C$27, 0, 0)</f>
        <v>832.52245753881596</v>
      </c>
    </row>
    <row r="983" spans="1:5" ht="15">
      <c r="A983" s="13">
        <v>71833</v>
      </c>
      <c r="B983" s="4">
        <f>160.0441 * CHOOSE(CONTROL!$C$8, $C$12, 100%, $E$12) + CHOOSE(CONTROL!$C$27, 0.0166, 0)</f>
        <v>160.0607</v>
      </c>
      <c r="C983" s="4">
        <f>159.7316 * CHOOSE(CONTROL!$C$8, $C$12, 100%, $E$12) + CHOOSE(CONTROL!$C$27, 0.0166, 0)</f>
        <v>159.7482</v>
      </c>
      <c r="D983" s="4">
        <f>119.7193 * CHOOSE(CONTROL!$C$8, $C$12, 100%, $E$12) + CHOOSE(CONTROL!$C$27, 0, 0)</f>
        <v>119.7193</v>
      </c>
      <c r="E983" s="4">
        <f>852.454788092362 * CHOOSE(CONTROL!$C$8, $C$12, 100%, $E$12) + CHOOSE(CONTROL!$C$27, 0, 0)</f>
        <v>852.45478809236204</v>
      </c>
    </row>
    <row r="984" spans="1:5" ht="15">
      <c r="A984" s="13">
        <v>71863</v>
      </c>
      <c r="B984" s="4">
        <f>153.741 * CHOOSE(CONTROL!$C$8, $C$12, 100%, $E$12) + CHOOSE(CONTROL!$C$27, 0.0166, 0)</f>
        <v>153.75760000000002</v>
      </c>
      <c r="C984" s="4">
        <f>153.4285 * CHOOSE(CONTROL!$C$8, $C$12, 100%, $E$12) + CHOOSE(CONTROL!$C$27, 0.0166, 0)</f>
        <v>153.44510000000002</v>
      </c>
      <c r="D984" s="4">
        <f>119.1151 * CHOOSE(CONTROL!$C$8, $C$12, 100%, $E$12) + CHOOSE(CONTROL!$C$27, 0, 0)</f>
        <v>119.1151</v>
      </c>
      <c r="E984" s="4">
        <f>818.48373967386 * CHOOSE(CONTROL!$C$8, $C$12, 100%, $E$12) + CHOOSE(CONTROL!$C$27, 0, 0)</f>
        <v>818.48373967385999</v>
      </c>
    </row>
    <row r="985" spans="1:5" ht="15">
      <c r="A985" s="13">
        <v>71894</v>
      </c>
      <c r="B985" s="4">
        <f>148.6951 * CHOOSE(CONTROL!$C$8, $C$12, 100%, $E$12) + CHOOSE(CONTROL!$C$27, 0.0003, 0)</f>
        <v>148.69540000000001</v>
      </c>
      <c r="C985" s="4">
        <f>148.3826 * CHOOSE(CONTROL!$C$8, $C$12, 100%, $E$12) + CHOOSE(CONTROL!$C$27, 0.0003, 0)</f>
        <v>148.38290000000001</v>
      </c>
      <c r="D985" s="4">
        <f>117.4973 * CHOOSE(CONTROL!$C$8, $C$12, 100%, $E$12) + CHOOSE(CONTROL!$C$27, 0, 0)</f>
        <v>117.4973</v>
      </c>
      <c r="E985" s="4">
        <f>791.289242174448 * CHOOSE(CONTROL!$C$8, $C$12, 100%, $E$12) + CHOOSE(CONTROL!$C$27, 0, 0)</f>
        <v>791.28924217444796</v>
      </c>
    </row>
    <row r="986" spans="1:5" ht="15">
      <c r="A986" s="13">
        <v>71924</v>
      </c>
      <c r="B986" s="4">
        <f>145.4453 * CHOOSE(CONTROL!$C$8, $C$12, 100%, $E$12) + CHOOSE(CONTROL!$C$27, 0.0003, 0)</f>
        <v>145.44560000000001</v>
      </c>
      <c r="C986" s="4">
        <f>145.1328 * CHOOSE(CONTROL!$C$8, $C$12, 100%, $E$12) + CHOOSE(CONTROL!$C$27, 0.0003, 0)</f>
        <v>145.13310000000001</v>
      </c>
      <c r="D986" s="4">
        <f>116.9411 * CHOOSE(CONTROL!$C$8, $C$12, 100%, $E$12) + CHOOSE(CONTROL!$C$27, 0, 0)</f>
        <v>116.94110000000001</v>
      </c>
      <c r="E986" s="4">
        <f>773.773955026896 * CHOOSE(CONTROL!$C$8, $C$12, 100%, $E$12) + CHOOSE(CONTROL!$C$27, 0, 0)</f>
        <v>773.77395502689603</v>
      </c>
    </row>
    <row r="987" spans="1:5" ht="15">
      <c r="A987" s="13">
        <v>71955</v>
      </c>
      <c r="B987" s="4">
        <f>143.1968 * CHOOSE(CONTROL!$C$8, $C$12, 100%, $E$12) + CHOOSE(CONTROL!$C$27, 0.0003, 0)</f>
        <v>143.19710000000001</v>
      </c>
      <c r="C987" s="4">
        <f>142.8843 * CHOOSE(CONTROL!$C$8, $C$12, 100%, $E$12) + CHOOSE(CONTROL!$C$27, 0.0003, 0)</f>
        <v>142.88460000000001</v>
      </c>
      <c r="D987" s="4">
        <f>112.8463 * CHOOSE(CONTROL!$C$8, $C$12, 100%, $E$12) + CHOOSE(CONTROL!$C$27, 0, 0)</f>
        <v>112.8463</v>
      </c>
      <c r="E987" s="4">
        <f>761.655627813279 * CHOOSE(CONTROL!$C$8, $C$12, 100%, $E$12) + CHOOSE(CONTROL!$C$27, 0, 0)</f>
        <v>761.65562781327901</v>
      </c>
    </row>
    <row r="988" spans="1:5" ht="15">
      <c r="A988" s="13">
        <v>71986</v>
      </c>
      <c r="B988" s="4">
        <f>139.5434 * CHOOSE(CONTROL!$C$8, $C$12, 100%, $E$12) + CHOOSE(CONTROL!$C$27, 0.0003, 0)</f>
        <v>139.5437</v>
      </c>
      <c r="C988" s="4">
        <f>139.2309 * CHOOSE(CONTROL!$C$8, $C$12, 100%, $E$12) + CHOOSE(CONTROL!$C$27, 0.0003, 0)</f>
        <v>139.2312</v>
      </c>
      <c r="D988" s="4">
        <f>109.0829 * CHOOSE(CONTROL!$C$8, $C$12, 100%, $E$12) + CHOOSE(CONTROL!$C$27, 0, 0)</f>
        <v>109.0829</v>
      </c>
      <c r="E988" s="4">
        <f>739.814246846292 * CHOOSE(CONTROL!$C$8, $C$12, 100%, $E$12) + CHOOSE(CONTROL!$C$27, 0, 0)</f>
        <v>739.81424684629201</v>
      </c>
    </row>
    <row r="989" spans="1:5" ht="15">
      <c r="A989" s="13">
        <v>72014</v>
      </c>
      <c r="B989" s="4">
        <f>142.8122 * CHOOSE(CONTROL!$C$8, $C$12, 100%, $E$12) + CHOOSE(CONTROL!$C$27, 0.0003, 0)</f>
        <v>142.8125</v>
      </c>
      <c r="C989" s="4">
        <f>142.4997 * CHOOSE(CONTROL!$C$8, $C$12, 100%, $E$12) + CHOOSE(CONTROL!$C$27, 0.0003, 0)</f>
        <v>142.5</v>
      </c>
      <c r="D989" s="4">
        <f>112.8727 * CHOOSE(CONTROL!$C$8, $C$12, 100%, $E$12) + CHOOSE(CONTROL!$C$27, 0, 0)</f>
        <v>112.87269999999999</v>
      </c>
      <c r="E989" s="4">
        <f>757.380352607373 * CHOOSE(CONTROL!$C$8, $C$12, 100%, $E$12) + CHOOSE(CONTROL!$C$27, 0, 0)</f>
        <v>757.38035260737297</v>
      </c>
    </row>
    <row r="990" spans="1:5" ht="15">
      <c r="A990" s="13">
        <v>72045</v>
      </c>
      <c r="B990" s="4">
        <f>151.3962 * CHOOSE(CONTROL!$C$8, $C$12, 100%, $E$12) + CHOOSE(CONTROL!$C$27, 0.0003, 0)</f>
        <v>151.3965</v>
      </c>
      <c r="C990" s="4">
        <f>151.0837 * CHOOSE(CONTROL!$C$8, $C$12, 100%, $E$12) + CHOOSE(CONTROL!$C$27, 0.0003, 0)</f>
        <v>151.084</v>
      </c>
      <c r="D990" s="4">
        <f>118.8054 * CHOOSE(CONTROL!$C$8, $C$12, 100%, $E$12) + CHOOSE(CONTROL!$C$27, 0, 0)</f>
        <v>118.80540000000001</v>
      </c>
      <c r="E990" s="4">
        <f>803.509879855525 * CHOOSE(CONTROL!$C$8, $C$12, 100%, $E$12) + CHOOSE(CONTROL!$C$27, 0, 0)</f>
        <v>803.50987985552501</v>
      </c>
    </row>
    <row r="991" spans="1:5" ht="15">
      <c r="A991" s="13">
        <v>72075</v>
      </c>
      <c r="B991" s="4">
        <f>157.4953 * CHOOSE(CONTROL!$C$8, $C$12, 100%, $E$12) + CHOOSE(CONTROL!$C$27, 0.0003, 0)</f>
        <v>157.4956</v>
      </c>
      <c r="C991" s="4">
        <f>157.1828 * CHOOSE(CONTROL!$C$8, $C$12, 100%, $E$12) + CHOOSE(CONTROL!$C$27, 0.0003, 0)</f>
        <v>157.1831</v>
      </c>
      <c r="D991" s="4">
        <f>122.2228 * CHOOSE(CONTROL!$C$8, $C$12, 100%, $E$12) + CHOOSE(CONTROL!$C$27, 0, 0)</f>
        <v>122.22280000000001</v>
      </c>
      <c r="E991" s="4">
        <f>836.285523722117 * CHOOSE(CONTROL!$C$8, $C$12, 100%, $E$12) + CHOOSE(CONTROL!$C$27, 0, 0)</f>
        <v>836.28552372211698</v>
      </c>
    </row>
    <row r="992" spans="1:5" ht="15">
      <c r="A992" s="13">
        <v>72106</v>
      </c>
      <c r="B992" s="4">
        <f>161.2217 * CHOOSE(CONTROL!$C$8, $C$12, 100%, $E$12) + CHOOSE(CONTROL!$C$27, 0.0166, 0)</f>
        <v>161.23830000000001</v>
      </c>
      <c r="C992" s="4">
        <f>160.9092 * CHOOSE(CONTROL!$C$8, $C$12, 100%, $E$12) + CHOOSE(CONTROL!$C$27, 0.0166, 0)</f>
        <v>160.92580000000001</v>
      </c>
      <c r="D992" s="4">
        <f>120.8724 * CHOOSE(CONTROL!$C$8, $C$12, 100%, $E$12) + CHOOSE(CONTROL!$C$27, 0, 0)</f>
        <v>120.8724</v>
      </c>
      <c r="E992" s="4">
        <f>856.310656602053 * CHOOSE(CONTROL!$C$8, $C$12, 100%, $E$12) + CHOOSE(CONTROL!$C$27, 0, 0)</f>
        <v>856.31065660205297</v>
      </c>
    </row>
    <row r="993" spans="1:5" ht="15">
      <c r="A993" s="13">
        <v>72136</v>
      </c>
      <c r="B993" s="4">
        <f>161.7259 * CHOOSE(CONTROL!$C$8, $C$12, 100%, $E$12) + CHOOSE(CONTROL!$C$27, 0.0166, 0)</f>
        <v>161.74250000000001</v>
      </c>
      <c r="C993" s="4">
        <f>161.4134 * CHOOSE(CONTROL!$C$8, $C$12, 100%, $E$12) + CHOOSE(CONTROL!$C$27, 0.0166, 0)</f>
        <v>161.43</v>
      </c>
      <c r="D993" s="4">
        <f>121.9722 * CHOOSE(CONTROL!$C$8, $C$12, 100%, $E$12) + CHOOSE(CONTROL!$C$27, 0, 0)</f>
        <v>121.9722</v>
      </c>
      <c r="E993" s="4">
        <f>859.020140186717 * CHOOSE(CONTROL!$C$8, $C$12, 100%, $E$12) + CHOOSE(CONTROL!$C$27, 0, 0)</f>
        <v>859.02014018671696</v>
      </c>
    </row>
    <row r="994" spans="1:5" ht="15">
      <c r="A994" s="13">
        <v>72167</v>
      </c>
      <c r="B994" s="4">
        <f>161.675 * CHOOSE(CONTROL!$C$8, $C$12, 100%, $E$12) + CHOOSE(CONTROL!$C$27, 0.0166, 0)</f>
        <v>161.69160000000002</v>
      </c>
      <c r="C994" s="4">
        <f>161.3625 * CHOOSE(CONTROL!$C$8, $C$12, 100%, $E$12) + CHOOSE(CONTROL!$C$27, 0.0166, 0)</f>
        <v>161.37910000000002</v>
      </c>
      <c r="D994" s="4">
        <f>123.9566 * CHOOSE(CONTROL!$C$8, $C$12, 100%, $E$12) + CHOOSE(CONTROL!$C$27, 0, 0)</f>
        <v>123.95659999999999</v>
      </c>
      <c r="E994" s="4">
        <f>858.746914951289 * CHOOSE(CONTROL!$C$8, $C$12, 100%, $E$12) + CHOOSE(CONTROL!$C$27, 0, 0)</f>
        <v>858.746914951289</v>
      </c>
    </row>
    <row r="995" spans="1:5" ht="15">
      <c r="A995" s="13">
        <v>72198</v>
      </c>
      <c r="B995" s="4">
        <f>165.501 * CHOOSE(CONTROL!$C$8, $C$12, 100%, $E$12) + CHOOSE(CONTROL!$C$27, 0.0166, 0)</f>
        <v>165.51760000000002</v>
      </c>
      <c r="C995" s="4">
        <f>165.1885 * CHOOSE(CONTROL!$C$8, $C$12, 100%, $E$12) + CHOOSE(CONTROL!$C$27, 0.0166, 0)</f>
        <v>165.20510000000002</v>
      </c>
      <c r="D995" s="4">
        <f>122.6461 * CHOOSE(CONTROL!$C$8, $C$12, 100%, $E$12) + CHOOSE(CONTROL!$C$27, 0, 0)</f>
        <v>122.6461</v>
      </c>
      <c r="E995" s="4">
        <f>879.307113917272 * CHOOSE(CONTROL!$C$8, $C$12, 100%, $E$12) + CHOOSE(CONTROL!$C$27, 0, 0)</f>
        <v>879.30711391727198</v>
      </c>
    </row>
    <row r="996" spans="1:5" ht="15">
      <c r="A996" s="13">
        <v>72228</v>
      </c>
      <c r="B996" s="4">
        <f>158.9803 * CHOOSE(CONTROL!$C$8, $C$12, 100%, $E$12) + CHOOSE(CONTROL!$C$27, 0.0166, 0)</f>
        <v>158.99690000000001</v>
      </c>
      <c r="C996" s="4">
        <f>158.6678 * CHOOSE(CONTROL!$C$8, $C$12, 100%, $E$12) + CHOOSE(CONTROL!$C$27, 0.0166, 0)</f>
        <v>158.68440000000001</v>
      </c>
      <c r="D996" s="4">
        <f>122.0269 * CHOOSE(CONTROL!$C$8, $C$12, 100%, $E$12) + CHOOSE(CONTROL!$C$27, 0, 0)</f>
        <v>122.0269</v>
      </c>
      <c r="E996" s="4">
        <f>844.265977473587 * CHOOSE(CONTROL!$C$8, $C$12, 100%, $E$12) + CHOOSE(CONTROL!$C$27, 0, 0)</f>
        <v>844.26597747358699</v>
      </c>
    </row>
    <row r="997" spans="1:5" ht="15">
      <c r="A997" s="13">
        <v>72259</v>
      </c>
      <c r="B997" s="4">
        <f>153.7604 * CHOOSE(CONTROL!$C$8, $C$12, 100%, $E$12) + CHOOSE(CONTROL!$C$27, 0.0003, 0)</f>
        <v>153.76070000000001</v>
      </c>
      <c r="C997" s="4">
        <f>153.4479 * CHOOSE(CONTROL!$C$8, $C$12, 100%, $E$12) + CHOOSE(CONTROL!$C$27, 0.0003, 0)</f>
        <v>153.44820000000001</v>
      </c>
      <c r="D997" s="4">
        <f>120.369 * CHOOSE(CONTROL!$C$8, $C$12, 100%, $E$12) + CHOOSE(CONTROL!$C$27, 0, 0)</f>
        <v>120.369</v>
      </c>
      <c r="E997" s="4">
        <f>816.214853302943 * CHOOSE(CONTROL!$C$8, $C$12, 100%, $E$12) + CHOOSE(CONTROL!$C$27, 0, 0)</f>
        <v>816.21485330294297</v>
      </c>
    </row>
    <row r="998" spans="1:5" ht="15">
      <c r="A998" s="13">
        <v>72289</v>
      </c>
      <c r="B998" s="4">
        <f>150.3984 * CHOOSE(CONTROL!$C$8, $C$12, 100%, $E$12) + CHOOSE(CONTROL!$C$27, 0.0003, 0)</f>
        <v>150.39870000000002</v>
      </c>
      <c r="C998" s="4">
        <f>150.0859 * CHOOSE(CONTROL!$C$8, $C$12, 100%, $E$12) + CHOOSE(CONTROL!$C$27, 0.0003, 0)</f>
        <v>150.08620000000002</v>
      </c>
      <c r="D998" s="4">
        <f>119.799 * CHOOSE(CONTROL!$C$8, $C$12, 100%, $E$12) + CHOOSE(CONTROL!$C$27, 0, 0)</f>
        <v>119.79900000000001</v>
      </c>
      <c r="E998" s="4">
        <f>798.147834610244 * CHOOSE(CONTROL!$C$8, $C$12, 100%, $E$12) + CHOOSE(CONTROL!$C$27, 0, 0)</f>
        <v>798.14783461024399</v>
      </c>
    </row>
    <row r="999" spans="1:5" ht="15">
      <c r="A999" s="13">
        <v>72320</v>
      </c>
      <c r="B999" s="4">
        <f>148.0724 * CHOOSE(CONTROL!$C$8, $C$12, 100%, $E$12) + CHOOSE(CONTROL!$C$27, 0.0003, 0)</f>
        <v>148.0727</v>
      </c>
      <c r="C999" s="4">
        <f>147.7599 * CHOOSE(CONTROL!$C$8, $C$12, 100%, $E$12) + CHOOSE(CONTROL!$C$27, 0.0003, 0)</f>
        <v>147.7602</v>
      </c>
      <c r="D999" s="4">
        <f>115.6027 * CHOOSE(CONTROL!$C$8, $C$12, 100%, $E$12) + CHOOSE(CONTROL!$C$27, 0, 0)</f>
        <v>115.6027</v>
      </c>
      <c r="E999" s="4">
        <f>785.647780089397 * CHOOSE(CONTROL!$C$8, $C$12, 100%, $E$12) + CHOOSE(CONTROL!$C$27, 0, 0)</f>
        <v>785.64778008939697</v>
      </c>
    </row>
    <row r="1000" spans="1:5" ht="15">
      <c r="A1000" s="13">
        <v>72351</v>
      </c>
      <c r="B1000" s="4">
        <f>144.293 * CHOOSE(CONTROL!$C$8, $C$12, 100%, $E$12) + CHOOSE(CONTROL!$C$27, 0.0003, 0)</f>
        <v>144.29330000000002</v>
      </c>
      <c r="C1000" s="4">
        <f>143.9805 * CHOOSE(CONTROL!$C$8, $C$12, 100%, $E$12) + CHOOSE(CONTROL!$C$27, 0.0003, 0)</f>
        <v>143.98080000000002</v>
      </c>
      <c r="D1000" s="4">
        <f>111.7459 * CHOOSE(CONTROL!$C$8, $C$12, 100%, $E$12) + CHOOSE(CONTROL!$C$27, 0, 0)</f>
        <v>111.74590000000001</v>
      </c>
      <c r="E1000" s="4">
        <f>763.11839562195 * CHOOSE(CONTROL!$C$8, $C$12, 100%, $E$12) + CHOOSE(CONTROL!$C$27, 0, 0)</f>
        <v>763.11839562194996</v>
      </c>
    </row>
    <row r="1001" spans="1:5" ht="15">
      <c r="A1001" s="13">
        <v>72379</v>
      </c>
      <c r="B1001" s="4">
        <f>147.6746 * CHOOSE(CONTROL!$C$8, $C$12, 100%, $E$12) + CHOOSE(CONTROL!$C$27, 0.0003, 0)</f>
        <v>147.67490000000001</v>
      </c>
      <c r="C1001" s="4">
        <f>147.3621 * CHOOSE(CONTROL!$C$8, $C$12, 100%, $E$12) + CHOOSE(CONTROL!$C$27, 0.0003, 0)</f>
        <v>147.36240000000001</v>
      </c>
      <c r="D1001" s="4">
        <f>115.6297 * CHOOSE(CONTROL!$C$8, $C$12, 100%, $E$12) + CHOOSE(CONTROL!$C$27, 0, 0)</f>
        <v>115.6297</v>
      </c>
      <c r="E1001" s="4">
        <f>781.237833714505 * CHOOSE(CONTROL!$C$8, $C$12, 100%, $E$12) + CHOOSE(CONTROL!$C$27, 0, 0)</f>
        <v>781.23783371450497</v>
      </c>
    </row>
    <row r="1002" spans="1:5" ht="15">
      <c r="A1002" s="13">
        <v>72410</v>
      </c>
      <c r="B1002" s="4">
        <f>156.5547 * CHOOSE(CONTROL!$C$8, $C$12, 100%, $E$12) + CHOOSE(CONTROL!$C$27, 0.0003, 0)</f>
        <v>156.55500000000001</v>
      </c>
      <c r="C1002" s="4">
        <f>156.2422 * CHOOSE(CONTROL!$C$8, $C$12, 100%, $E$12) + CHOOSE(CONTROL!$C$27, 0.0003, 0)</f>
        <v>156.24250000000001</v>
      </c>
      <c r="D1002" s="4">
        <f>121.7095 * CHOOSE(CONTROL!$C$8, $C$12, 100%, $E$12) + CHOOSE(CONTROL!$C$27, 0, 0)</f>
        <v>121.70950000000001</v>
      </c>
      <c r="E1002" s="4">
        <f>828.820441070974 * CHOOSE(CONTROL!$C$8, $C$12, 100%, $E$12) + CHOOSE(CONTROL!$C$27, 0, 0)</f>
        <v>828.82044107097397</v>
      </c>
    </row>
    <row r="1003" spans="1:5" ht="15">
      <c r="A1003" s="13">
        <v>72440</v>
      </c>
      <c r="B1003" s="4">
        <f>162.8642 * CHOOSE(CONTROL!$C$8, $C$12, 100%, $E$12) + CHOOSE(CONTROL!$C$27, 0.0003, 0)</f>
        <v>162.86450000000002</v>
      </c>
      <c r="C1003" s="4">
        <f>162.5517 * CHOOSE(CONTROL!$C$8, $C$12, 100%, $E$12) + CHOOSE(CONTROL!$C$27, 0.0003, 0)</f>
        <v>162.55200000000002</v>
      </c>
      <c r="D1003" s="4">
        <f>125.2116 * CHOOSE(CONTROL!$C$8, $C$12, 100%, $E$12) + CHOOSE(CONTROL!$C$27, 0, 0)</f>
        <v>125.2116</v>
      </c>
      <c r="E1003" s="4">
        <f>862.628517719364 * CHOOSE(CONTROL!$C$8, $C$12, 100%, $E$12) + CHOOSE(CONTROL!$C$27, 0, 0)</f>
        <v>862.62851771936403</v>
      </c>
    </row>
    <row r="1004" spans="1:5" ht="15">
      <c r="A1004" s="13">
        <v>72471</v>
      </c>
      <c r="B1004" s="4">
        <f>166.7191 * CHOOSE(CONTROL!$C$8, $C$12, 100%, $E$12) + CHOOSE(CONTROL!$C$27, 0.0166, 0)</f>
        <v>166.73570000000001</v>
      </c>
      <c r="C1004" s="4">
        <f>166.4066 * CHOOSE(CONTROL!$C$8, $C$12, 100%, $E$12) + CHOOSE(CONTROL!$C$27, 0.0166, 0)</f>
        <v>166.42320000000001</v>
      </c>
      <c r="D1004" s="4">
        <f>123.8277 * CHOOSE(CONTROL!$C$8, $C$12, 100%, $E$12) + CHOOSE(CONTROL!$C$27, 0, 0)</f>
        <v>123.82769999999999</v>
      </c>
      <c r="E1004" s="4">
        <f>883.284442285018 * CHOOSE(CONTROL!$C$8, $C$12, 100%, $E$12) + CHOOSE(CONTROL!$C$27, 0, 0)</f>
        <v>883.28444228501803</v>
      </c>
    </row>
    <row r="1005" spans="1:5" ht="15">
      <c r="A1005" s="13">
        <v>72501</v>
      </c>
      <c r="B1005" s="4">
        <f>167.2407 * CHOOSE(CONTROL!$C$8, $C$12, 100%, $E$12) + CHOOSE(CONTROL!$C$27, 0.0166, 0)</f>
        <v>167.25730000000001</v>
      </c>
      <c r="C1005" s="4">
        <f>166.9282 * CHOOSE(CONTROL!$C$8, $C$12, 100%, $E$12) + CHOOSE(CONTROL!$C$27, 0.0166, 0)</f>
        <v>166.94480000000001</v>
      </c>
      <c r="D1005" s="4">
        <f>124.9548 * CHOOSE(CONTROL!$C$8, $C$12, 100%, $E$12) + CHOOSE(CONTROL!$C$27, 0, 0)</f>
        <v>124.95480000000001</v>
      </c>
      <c r="E1005" s="4">
        <f>886.079274602599 * CHOOSE(CONTROL!$C$8, $C$12, 100%, $E$12) + CHOOSE(CONTROL!$C$27, 0, 0)</f>
        <v>886.07927460259896</v>
      </c>
    </row>
    <row r="1006" spans="1:5" ht="15">
      <c r="A1006" s="13">
        <v>72532</v>
      </c>
      <c r="B1006" s="4">
        <f>167.1881 * CHOOSE(CONTROL!$C$8, $C$12, 100%, $E$12) + CHOOSE(CONTROL!$C$27, 0.0166, 0)</f>
        <v>167.2047</v>
      </c>
      <c r="C1006" s="4">
        <f>166.8756 * CHOOSE(CONTROL!$C$8, $C$12, 100%, $E$12) + CHOOSE(CONTROL!$C$27, 0.0166, 0)</f>
        <v>166.8922</v>
      </c>
      <c r="D1006" s="4">
        <f>126.9884 * CHOOSE(CONTROL!$C$8, $C$12, 100%, $E$12) + CHOOSE(CONTROL!$C$27, 0, 0)</f>
        <v>126.9884</v>
      </c>
      <c r="E1006" s="4">
        <f>885.797442772255 * CHOOSE(CONTROL!$C$8, $C$12, 100%, $E$12) + CHOOSE(CONTROL!$C$27, 0, 0)</f>
        <v>885.79744277225495</v>
      </c>
    </row>
    <row r="1007" spans="1:5" ht="15">
      <c r="A1007" s="13">
        <v>72563</v>
      </c>
      <c r="B1007" s="4">
        <f>171.1461 * CHOOSE(CONTROL!$C$8, $C$12, 100%, $E$12) + CHOOSE(CONTROL!$C$27, 0.0166, 0)</f>
        <v>171.1627</v>
      </c>
      <c r="C1007" s="4">
        <f>170.8336 * CHOOSE(CONTROL!$C$8, $C$12, 100%, $E$12) + CHOOSE(CONTROL!$C$27, 0.0166, 0)</f>
        <v>170.8502</v>
      </c>
      <c r="D1007" s="4">
        <f>125.6454 * CHOOSE(CONTROL!$C$8, $C$12, 100%, $E$12) + CHOOSE(CONTROL!$C$27, 0, 0)</f>
        <v>125.6454</v>
      </c>
      <c r="E1007" s="4">
        <f>907.005288005666 * CHOOSE(CONTROL!$C$8, $C$12, 100%, $E$12) + CHOOSE(CONTROL!$C$27, 0, 0)</f>
        <v>907.00528800566599</v>
      </c>
    </row>
    <row r="1008" spans="1:5" ht="15">
      <c r="A1008" s="13">
        <v>72593</v>
      </c>
      <c r="B1008" s="4">
        <f>164.4005 * CHOOSE(CONTROL!$C$8, $C$12, 100%, $E$12) + CHOOSE(CONTROL!$C$27, 0.0166, 0)</f>
        <v>164.4171</v>
      </c>
      <c r="C1008" s="4">
        <f>164.088 * CHOOSE(CONTROL!$C$8, $C$12, 100%, $E$12) + CHOOSE(CONTROL!$C$27, 0.0166, 0)</f>
        <v>164.1046</v>
      </c>
      <c r="D1008" s="4">
        <f>125.0109 * CHOOSE(CONTROL!$C$8, $C$12, 100%, $E$12) + CHOOSE(CONTROL!$C$27, 0, 0)</f>
        <v>125.01090000000001</v>
      </c>
      <c r="E1008" s="4">
        <f>870.860355764005 * CHOOSE(CONTROL!$C$8, $C$12, 100%, $E$12) + CHOOSE(CONTROL!$C$27, 0, 0)</f>
        <v>870.86035576400502</v>
      </c>
    </row>
    <row r="1009" spans="1:5" ht="15">
      <c r="A1009" s="13">
        <v>72624</v>
      </c>
      <c r="B1009" s="4">
        <f>159.0005 * CHOOSE(CONTROL!$C$8, $C$12, 100%, $E$12) + CHOOSE(CONTROL!$C$27, 0.0003, 0)</f>
        <v>159.0008</v>
      </c>
      <c r="C1009" s="4">
        <f>158.688 * CHOOSE(CONTROL!$C$8, $C$12, 100%, $E$12) + CHOOSE(CONTROL!$C$27, 0.0003, 0)</f>
        <v>158.6883</v>
      </c>
      <c r="D1009" s="4">
        <f>123.3118 * CHOOSE(CONTROL!$C$8, $C$12, 100%, $E$12) + CHOOSE(CONTROL!$C$27, 0, 0)</f>
        <v>123.31180000000001</v>
      </c>
      <c r="E1009" s="4">
        <f>841.925621181986 * CHOOSE(CONTROL!$C$8, $C$12, 100%, $E$12) + CHOOSE(CONTROL!$C$27, 0, 0)</f>
        <v>841.925621181986</v>
      </c>
    </row>
    <row r="1010" spans="1:5" ht="15">
      <c r="A1010" s="13">
        <v>72654</v>
      </c>
      <c r="B1010" s="4">
        <f>155.5225 * CHOOSE(CONTROL!$C$8, $C$12, 100%, $E$12) + CHOOSE(CONTROL!$C$27, 0.0003, 0)</f>
        <v>155.52280000000002</v>
      </c>
      <c r="C1010" s="4">
        <f>155.21 * CHOOSE(CONTROL!$C$8, $C$12, 100%, $E$12) + CHOOSE(CONTROL!$C$27, 0.0003, 0)</f>
        <v>155.21030000000002</v>
      </c>
      <c r="D1010" s="4">
        <f>122.7277 * CHOOSE(CONTROL!$C$8, $C$12, 100%, $E$12) + CHOOSE(CONTROL!$C$27, 0, 0)</f>
        <v>122.7277</v>
      </c>
      <c r="E1010" s="4">
        <f>823.289491400467 * CHOOSE(CONTROL!$C$8, $C$12, 100%, $E$12) + CHOOSE(CONTROL!$C$27, 0, 0)</f>
        <v>823.289491400467</v>
      </c>
    </row>
    <row r="1011" spans="1:5" ht="15">
      <c r="A1011" s="13">
        <v>72685</v>
      </c>
      <c r="B1011" s="4">
        <f>153.1162 * CHOOSE(CONTROL!$C$8, $C$12, 100%, $E$12) + CHOOSE(CONTROL!$C$27, 0.0003, 0)</f>
        <v>153.1165</v>
      </c>
      <c r="C1011" s="4">
        <f>152.8037 * CHOOSE(CONTROL!$C$8, $C$12, 100%, $E$12) + CHOOSE(CONTROL!$C$27, 0.0003, 0)</f>
        <v>152.804</v>
      </c>
      <c r="D1011" s="4">
        <f>118.4273 * CHOOSE(CONTROL!$C$8, $C$12, 100%, $E$12) + CHOOSE(CONTROL!$C$27, 0, 0)</f>
        <v>118.4273</v>
      </c>
      <c r="E1011" s="4">
        <f>810.395685162213 * CHOOSE(CONTROL!$C$8, $C$12, 100%, $E$12) + CHOOSE(CONTROL!$C$27, 0, 0)</f>
        <v>810.395685162213</v>
      </c>
    </row>
    <row r="1012" spans="1:5" ht="15">
      <c r="A1012" s="13">
        <v>72716</v>
      </c>
      <c r="B1012" s="4">
        <f>149.2064 * CHOOSE(CONTROL!$C$8, $C$12, 100%, $E$12) + CHOOSE(CONTROL!$C$27, 0.0003, 0)</f>
        <v>149.20670000000001</v>
      </c>
      <c r="C1012" s="4">
        <f>148.8939 * CHOOSE(CONTROL!$C$8, $C$12, 100%, $E$12) + CHOOSE(CONTROL!$C$27, 0.0003, 0)</f>
        <v>148.89420000000001</v>
      </c>
      <c r="D1012" s="4">
        <f>114.4749 * CHOOSE(CONTROL!$C$8, $C$12, 100%, $E$12) + CHOOSE(CONTROL!$C$27, 0, 0)</f>
        <v>114.47490000000001</v>
      </c>
      <c r="E1012" s="4">
        <f>787.156625084042 * CHOOSE(CONTROL!$C$8, $C$12, 100%, $E$12) + CHOOSE(CONTROL!$C$27, 0, 0)</f>
        <v>787.15662508404205</v>
      </c>
    </row>
    <row r="1013" spans="1:5" ht="15">
      <c r="A1013" s="13">
        <v>72744</v>
      </c>
      <c r="B1013" s="4">
        <f>152.7046 * CHOOSE(CONTROL!$C$8, $C$12, 100%, $E$12) + CHOOSE(CONTROL!$C$27, 0.0003, 0)</f>
        <v>152.70490000000001</v>
      </c>
      <c r="C1013" s="4">
        <f>152.3921 * CHOOSE(CONTROL!$C$8, $C$12, 100%, $E$12) + CHOOSE(CONTROL!$C$27, 0.0003, 0)</f>
        <v>152.39240000000001</v>
      </c>
      <c r="D1013" s="4">
        <f>118.455 * CHOOSE(CONTROL!$C$8, $C$12, 100%, $E$12) + CHOOSE(CONTROL!$C$27, 0, 0)</f>
        <v>118.455</v>
      </c>
      <c r="E1013" s="4">
        <f>805.846825476512 * CHOOSE(CONTROL!$C$8, $C$12, 100%, $E$12) + CHOOSE(CONTROL!$C$27, 0, 0)</f>
        <v>805.84682547651198</v>
      </c>
    </row>
    <row r="1014" spans="1:5" ht="15">
      <c r="A1014" s="13">
        <v>72775</v>
      </c>
      <c r="B1014" s="4">
        <f>161.8912 * CHOOSE(CONTROL!$C$8, $C$12, 100%, $E$12) + CHOOSE(CONTROL!$C$27, 0.0003, 0)</f>
        <v>161.89150000000001</v>
      </c>
      <c r="C1014" s="4">
        <f>161.5787 * CHOOSE(CONTROL!$C$8, $C$12, 100%, $E$12) + CHOOSE(CONTROL!$C$27, 0.0003, 0)</f>
        <v>161.57900000000001</v>
      </c>
      <c r="D1014" s="4">
        <f>124.6856 * CHOOSE(CONTROL!$C$8, $C$12, 100%, $E$12) + CHOOSE(CONTROL!$C$27, 0, 0)</f>
        <v>124.68559999999999</v>
      </c>
      <c r="E1014" s="4">
        <f>854.92828496471 * CHOOSE(CONTROL!$C$8, $C$12, 100%, $E$12) + CHOOSE(CONTROL!$C$27, 0, 0)</f>
        <v>854.92828496470997</v>
      </c>
    </row>
    <row r="1015" spans="1:5" ht="15">
      <c r="A1015" s="13">
        <v>72805</v>
      </c>
      <c r="B1015" s="4">
        <f>168.4183 * CHOOSE(CONTROL!$C$8, $C$12, 100%, $E$12) + CHOOSE(CONTROL!$C$27, 0.0003, 0)</f>
        <v>168.4186</v>
      </c>
      <c r="C1015" s="4">
        <f>168.1058 * CHOOSE(CONTROL!$C$8, $C$12, 100%, $E$12) + CHOOSE(CONTROL!$C$27, 0.0003, 0)</f>
        <v>168.1061</v>
      </c>
      <c r="D1015" s="4">
        <f>128.2746 * CHOOSE(CONTROL!$C$8, $C$12, 100%, $E$12) + CHOOSE(CONTROL!$C$27, 0, 0)</f>
        <v>128.27459999999999</v>
      </c>
      <c r="E1015" s="4">
        <f>889.801316027524 * CHOOSE(CONTROL!$C$8, $C$12, 100%, $E$12) + CHOOSE(CONTROL!$C$27, 0, 0)</f>
        <v>889.80131602752397</v>
      </c>
    </row>
    <row r="1016" spans="1:5" ht="15">
      <c r="A1016" s="13">
        <v>72836</v>
      </c>
      <c r="B1016" s="4">
        <f>172.4063 * CHOOSE(CONTROL!$C$8, $C$12, 100%, $E$12) + CHOOSE(CONTROL!$C$27, 0.0166, 0)</f>
        <v>172.4229</v>
      </c>
      <c r="C1016" s="4">
        <f>172.0938 * CHOOSE(CONTROL!$C$8, $C$12, 100%, $E$12) + CHOOSE(CONTROL!$C$27, 0.0166, 0)</f>
        <v>172.1104</v>
      </c>
      <c r="D1016" s="4">
        <f>126.8564 * CHOOSE(CONTROL!$C$8, $C$12, 100%, $E$12) + CHOOSE(CONTROL!$C$27, 0, 0)</f>
        <v>126.85639999999999</v>
      </c>
      <c r="E1016" s="4">
        <f>911.107902216996 * CHOOSE(CONTROL!$C$8, $C$12, 100%, $E$12) + CHOOSE(CONTROL!$C$27, 0, 0)</f>
        <v>911.10790221699597</v>
      </c>
    </row>
    <row r="1017" spans="1:5" ht="15">
      <c r="A1017" s="13">
        <v>72866</v>
      </c>
      <c r="B1017" s="4">
        <f>172.9458 * CHOOSE(CONTROL!$C$8, $C$12, 100%, $E$12) + CHOOSE(CONTROL!$C$27, 0.0166, 0)</f>
        <v>172.9624</v>
      </c>
      <c r="C1017" s="4">
        <f>172.6333 * CHOOSE(CONTROL!$C$8, $C$12, 100%, $E$12) + CHOOSE(CONTROL!$C$27, 0.0166, 0)</f>
        <v>172.6499</v>
      </c>
      <c r="D1017" s="4">
        <f>128.0114 * CHOOSE(CONTROL!$C$8, $C$12, 100%, $E$12) + CHOOSE(CONTROL!$C$27, 0, 0)</f>
        <v>128.01140000000001</v>
      </c>
      <c r="E1017" s="4">
        <f>913.990771752581 * CHOOSE(CONTROL!$C$8, $C$12, 100%, $E$12) + CHOOSE(CONTROL!$C$27, 0, 0)</f>
        <v>913.99077175258105</v>
      </c>
    </row>
    <row r="1018" spans="1:5" ht="15">
      <c r="A1018" s="13">
        <v>72897</v>
      </c>
      <c r="B1018" s="4">
        <f>172.8914 * CHOOSE(CONTROL!$C$8, $C$12, 100%, $E$12) + CHOOSE(CONTROL!$C$27, 0.0166, 0)</f>
        <v>172.90800000000002</v>
      </c>
      <c r="C1018" s="4">
        <f>172.5789 * CHOOSE(CONTROL!$C$8, $C$12, 100%, $E$12) + CHOOSE(CONTROL!$C$27, 0.0166, 0)</f>
        <v>172.59550000000002</v>
      </c>
      <c r="D1018" s="4">
        <f>130.0955 * CHOOSE(CONTROL!$C$8, $C$12, 100%, $E$12) + CHOOSE(CONTROL!$C$27, 0, 0)</f>
        <v>130.09549999999999</v>
      </c>
      <c r="E1018" s="4">
        <f>913.700062219581 * CHOOSE(CONTROL!$C$8, $C$12, 100%, $E$12) + CHOOSE(CONTROL!$C$27, 0, 0)</f>
        <v>913.70006221958101</v>
      </c>
    </row>
    <row r="1019" spans="1:5" ht="15">
      <c r="A1019" s="13">
        <v>72928</v>
      </c>
      <c r="B1019" s="4">
        <f>176.9859 * CHOOSE(CONTROL!$C$8, $C$12, 100%, $E$12) + CHOOSE(CONTROL!$C$27, 0.0166, 0)</f>
        <v>177.0025</v>
      </c>
      <c r="C1019" s="4">
        <f>176.6734 * CHOOSE(CONTROL!$C$8, $C$12, 100%, $E$12) + CHOOSE(CONTROL!$C$27, 0.0166, 0)</f>
        <v>176.69</v>
      </c>
      <c r="D1019" s="4">
        <f>128.7191 * CHOOSE(CONTROL!$C$8, $C$12, 100%, $E$12) + CHOOSE(CONTROL!$C$27, 0, 0)</f>
        <v>128.7191</v>
      </c>
      <c r="E1019" s="4">
        <f>935.575954577844 * CHOOSE(CONTROL!$C$8, $C$12, 100%, $E$12) + CHOOSE(CONTROL!$C$27, 0, 0)</f>
        <v>935.57595457784396</v>
      </c>
    </row>
    <row r="1020" spans="1:5" ht="15">
      <c r="A1020" s="13">
        <v>72958</v>
      </c>
      <c r="B1020" s="4">
        <f>170.0076 * CHOOSE(CONTROL!$C$8, $C$12, 100%, $E$12) + CHOOSE(CONTROL!$C$27, 0.0166, 0)</f>
        <v>170.02420000000001</v>
      </c>
      <c r="C1020" s="4">
        <f>169.6951 * CHOOSE(CONTROL!$C$8, $C$12, 100%, $E$12) + CHOOSE(CONTROL!$C$27, 0.0166, 0)</f>
        <v>169.71170000000001</v>
      </c>
      <c r="D1020" s="4">
        <f>128.0689 * CHOOSE(CONTROL!$C$8, $C$12, 100%, $E$12) + CHOOSE(CONTROL!$C$27, 0, 0)</f>
        <v>128.06890000000001</v>
      </c>
      <c r="E1020" s="4">
        <f>898.292456970571 * CHOOSE(CONTROL!$C$8, $C$12, 100%, $E$12) + CHOOSE(CONTROL!$C$27, 0, 0)</f>
        <v>898.29245697057104</v>
      </c>
    </row>
    <row r="1021" spans="1:5" ht="15">
      <c r="A1021" s="13">
        <v>72989</v>
      </c>
      <c r="B1021" s="4">
        <f>164.4213 * CHOOSE(CONTROL!$C$8, $C$12, 100%, $E$12) + CHOOSE(CONTROL!$C$27, 0.0003, 0)</f>
        <v>164.42160000000001</v>
      </c>
      <c r="C1021" s="4">
        <f>164.1088 * CHOOSE(CONTROL!$C$8, $C$12, 100%, $E$12) + CHOOSE(CONTROL!$C$27, 0.0003, 0)</f>
        <v>164.10910000000001</v>
      </c>
      <c r="D1021" s="4">
        <f>126.3277 * CHOOSE(CONTROL!$C$8, $C$12, 100%, $E$12) + CHOOSE(CONTROL!$C$27, 0, 0)</f>
        <v>126.32769999999999</v>
      </c>
      <c r="E1021" s="4">
        <f>868.446278249218 * CHOOSE(CONTROL!$C$8, $C$12, 100%, $E$12) + CHOOSE(CONTROL!$C$27, 0, 0)</f>
        <v>868.44627824921804</v>
      </c>
    </row>
    <row r="1022" spans="1:5" ht="15">
      <c r="A1022" s="13">
        <v>73019</v>
      </c>
      <c r="B1022" s="4">
        <f>160.8233 * CHOOSE(CONTROL!$C$8, $C$12, 100%, $E$12) + CHOOSE(CONTROL!$C$27, 0.0003, 0)</f>
        <v>160.8236</v>
      </c>
      <c r="C1022" s="4">
        <f>160.5108 * CHOOSE(CONTROL!$C$8, $C$12, 100%, $E$12) + CHOOSE(CONTROL!$C$27, 0.0003, 0)</f>
        <v>160.5111</v>
      </c>
      <c r="D1022" s="4">
        <f>125.7291 * CHOOSE(CONTROL!$C$8, $C$12, 100%, $E$12) + CHOOSE(CONTROL!$C$27, 0, 0)</f>
        <v>125.7291</v>
      </c>
      <c r="E1022" s="4">
        <f>849.223110379581 * CHOOSE(CONTROL!$C$8, $C$12, 100%, $E$12) + CHOOSE(CONTROL!$C$27, 0, 0)</f>
        <v>849.22311037958104</v>
      </c>
    </row>
    <row r="1023" spans="1:5" ht="15">
      <c r="A1023" s="13">
        <v>73050</v>
      </c>
      <c r="B1023" s="4">
        <f>158.334 * CHOOSE(CONTROL!$C$8, $C$12, 100%, $E$12) + CHOOSE(CONTROL!$C$27, 0.0003, 0)</f>
        <v>158.33430000000001</v>
      </c>
      <c r="C1023" s="4">
        <f>158.0215 * CHOOSE(CONTROL!$C$8, $C$12, 100%, $E$12) + CHOOSE(CONTROL!$C$27, 0.0003, 0)</f>
        <v>158.02180000000001</v>
      </c>
      <c r="D1023" s="4">
        <f>121.3221 * CHOOSE(CONTROL!$C$8, $C$12, 100%, $E$12) + CHOOSE(CONTROL!$C$27, 0, 0)</f>
        <v>121.32210000000001</v>
      </c>
      <c r="E1023" s="4">
        <f>835.923149244823 * CHOOSE(CONTROL!$C$8, $C$12, 100%, $E$12) + CHOOSE(CONTROL!$C$27, 0, 0)</f>
        <v>835.92314924482298</v>
      </c>
    </row>
    <row r="1024" spans="1:5" ht="15">
      <c r="A1024" s="13">
        <v>73081</v>
      </c>
      <c r="B1024" s="4">
        <f>154.2893 * CHOOSE(CONTROL!$C$8, $C$12, 100%, $E$12) + CHOOSE(CONTROL!$C$27, 0.0003, 0)</f>
        <v>154.28960000000001</v>
      </c>
      <c r="C1024" s="4">
        <f>153.9768 * CHOOSE(CONTROL!$C$8, $C$12, 100%, $E$12) + CHOOSE(CONTROL!$C$27, 0.0003, 0)</f>
        <v>153.97710000000001</v>
      </c>
      <c r="D1024" s="4">
        <f>117.2716 * CHOOSE(CONTROL!$C$8, $C$12, 100%, $E$12) + CHOOSE(CONTROL!$C$27, 0, 0)</f>
        <v>117.27160000000001</v>
      </c>
      <c r="E1024" s="4">
        <f>811.952058774189 * CHOOSE(CONTROL!$C$8, $C$12, 100%, $E$12) + CHOOSE(CONTROL!$C$27, 0, 0)</f>
        <v>811.95205877418903</v>
      </c>
    </row>
    <row r="1025" spans="1:5" ht="15">
      <c r="A1025" s="13">
        <v>73109</v>
      </c>
      <c r="B1025" s="4">
        <f>157.9083 * CHOOSE(CONTROL!$C$8, $C$12, 100%, $E$12) + CHOOSE(CONTROL!$C$27, 0.0003, 0)</f>
        <v>157.90860000000001</v>
      </c>
      <c r="C1025" s="4">
        <f>157.5958 * CHOOSE(CONTROL!$C$8, $C$12, 100%, $E$12) + CHOOSE(CONTROL!$C$27, 0.0003, 0)</f>
        <v>157.59610000000001</v>
      </c>
      <c r="D1025" s="4">
        <f>121.3504 * CHOOSE(CONTROL!$C$8, $C$12, 100%, $E$12) + CHOOSE(CONTROL!$C$27, 0, 0)</f>
        <v>121.35039999999999</v>
      </c>
      <c r="E1025" s="4">
        <f>831.231000479022 * CHOOSE(CONTROL!$C$8, $C$12, 100%, $E$12) + CHOOSE(CONTROL!$C$27, 0, 0)</f>
        <v>831.23100047902199</v>
      </c>
    </row>
    <row r="1026" spans="1:5" ht="15">
      <c r="A1026" s="13">
        <v>73140</v>
      </c>
      <c r="B1026" s="4">
        <f>167.4117 * CHOOSE(CONTROL!$C$8, $C$12, 100%, $E$12) + CHOOSE(CONTROL!$C$27, 0.0003, 0)</f>
        <v>167.41200000000001</v>
      </c>
      <c r="C1026" s="4">
        <f>167.0992 * CHOOSE(CONTROL!$C$8, $C$12, 100%, $E$12) + CHOOSE(CONTROL!$C$27, 0.0003, 0)</f>
        <v>167.09950000000001</v>
      </c>
      <c r="D1026" s="4">
        <f>127.7355 * CHOOSE(CONTROL!$C$8, $C$12, 100%, $E$12) + CHOOSE(CONTROL!$C$27, 0, 0)</f>
        <v>127.7355</v>
      </c>
      <c r="E1026" s="4">
        <f>881.858525941098 * CHOOSE(CONTROL!$C$8, $C$12, 100%, $E$12) + CHOOSE(CONTROL!$C$27, 0, 0)</f>
        <v>881.85852594109804</v>
      </c>
    </row>
    <row r="1027" spans="1:5" ht="15">
      <c r="A1027" s="13">
        <v>73170</v>
      </c>
      <c r="B1027" s="4">
        <f>174.1641 * CHOOSE(CONTROL!$C$8, $C$12, 100%, $E$12) + CHOOSE(CONTROL!$C$27, 0.0003, 0)</f>
        <v>174.1644</v>
      </c>
      <c r="C1027" s="4">
        <f>173.8516 * CHOOSE(CONTROL!$C$8, $C$12, 100%, $E$12) + CHOOSE(CONTROL!$C$27, 0.0003, 0)</f>
        <v>173.8519</v>
      </c>
      <c r="D1027" s="4">
        <f>131.4135 * CHOOSE(CONTROL!$C$8, $C$12, 100%, $E$12) + CHOOSE(CONTROL!$C$27, 0, 0)</f>
        <v>131.4135</v>
      </c>
      <c r="E1027" s="4">
        <f>917.830057482391 * CHOOSE(CONTROL!$C$8, $C$12, 100%, $E$12) + CHOOSE(CONTROL!$C$27, 0, 0)</f>
        <v>917.830057482391</v>
      </c>
    </row>
    <row r="1028" spans="1:5" ht="15">
      <c r="A1028" s="13">
        <v>73201</v>
      </c>
      <c r="B1028" s="4">
        <f>178.2896 * CHOOSE(CONTROL!$C$8, $C$12, 100%, $E$12) + CHOOSE(CONTROL!$C$27, 0.0166, 0)</f>
        <v>178.30620000000002</v>
      </c>
      <c r="C1028" s="4">
        <f>177.9771 * CHOOSE(CONTROL!$C$8, $C$12, 100%, $E$12) + CHOOSE(CONTROL!$C$27, 0.0166, 0)</f>
        <v>177.99370000000002</v>
      </c>
      <c r="D1028" s="4">
        <f>129.9602 * CHOOSE(CONTROL!$C$8, $C$12, 100%, $E$12) + CHOOSE(CONTROL!$C$27, 0, 0)</f>
        <v>129.96019999999999</v>
      </c>
      <c r="E1028" s="4">
        <f>939.807801136831 * CHOOSE(CONTROL!$C$8, $C$12, 100%, $E$12) + CHOOSE(CONTROL!$C$27, 0, 0)</f>
        <v>939.80780113683102</v>
      </c>
    </row>
    <row r="1029" spans="1:5" ht="15">
      <c r="A1029" s="13">
        <v>73231</v>
      </c>
      <c r="B1029" s="4">
        <f>178.8478 * CHOOSE(CONTROL!$C$8, $C$12, 100%, $E$12) + CHOOSE(CONTROL!$C$27, 0.0166, 0)</f>
        <v>178.86440000000002</v>
      </c>
      <c r="C1029" s="4">
        <f>178.5353 * CHOOSE(CONTROL!$C$8, $C$12, 100%, $E$12) + CHOOSE(CONTROL!$C$27, 0.0166, 0)</f>
        <v>178.55190000000002</v>
      </c>
      <c r="D1029" s="4">
        <f>131.1438 * CHOOSE(CONTROL!$C$8, $C$12, 100%, $E$12) + CHOOSE(CONTROL!$C$27, 0, 0)</f>
        <v>131.1438</v>
      </c>
      <c r="E1029" s="4">
        <f>942.781481062787 * CHOOSE(CONTROL!$C$8, $C$12, 100%, $E$12) + CHOOSE(CONTROL!$C$27, 0, 0)</f>
        <v>942.78148106278695</v>
      </c>
    </row>
    <row r="1030" spans="1:5" ht="15">
      <c r="A1030" s="13">
        <v>73262</v>
      </c>
      <c r="B1030" s="4">
        <f>178.7915 * CHOOSE(CONTROL!$C$8, $C$12, 100%, $E$12) + CHOOSE(CONTROL!$C$27, 0.0166, 0)</f>
        <v>178.80810000000002</v>
      </c>
      <c r="C1030" s="4">
        <f>178.479 * CHOOSE(CONTROL!$C$8, $C$12, 100%, $E$12) + CHOOSE(CONTROL!$C$27, 0.0166, 0)</f>
        <v>178.49560000000002</v>
      </c>
      <c r="D1030" s="4">
        <f>133.2796 * CHOOSE(CONTROL!$C$8, $C$12, 100%, $E$12) + CHOOSE(CONTROL!$C$27, 0, 0)</f>
        <v>133.27959999999999</v>
      </c>
      <c r="E1030" s="4">
        <f>942.481614179497 * CHOOSE(CONTROL!$C$8, $C$12, 100%, $E$12) + CHOOSE(CONTROL!$C$27, 0, 0)</f>
        <v>942.481614179497</v>
      </c>
    </row>
    <row r="1031" spans="1:5" ht="15">
      <c r="A1031" s="13">
        <v>73293</v>
      </c>
      <c r="B1031" s="4">
        <f>183.0273 * CHOOSE(CONTROL!$C$8, $C$12, 100%, $E$12) + CHOOSE(CONTROL!$C$27, 0.0166, 0)</f>
        <v>183.04390000000001</v>
      </c>
      <c r="C1031" s="4">
        <f>182.7148 * CHOOSE(CONTROL!$C$8, $C$12, 100%, $E$12) + CHOOSE(CONTROL!$C$27, 0.0166, 0)</f>
        <v>182.73140000000001</v>
      </c>
      <c r="D1031" s="4">
        <f>131.8691 * CHOOSE(CONTROL!$C$8, $C$12, 100%, $E$12) + CHOOSE(CONTROL!$C$27, 0, 0)</f>
        <v>131.8691</v>
      </c>
      <c r="E1031" s="4">
        <f>965.046597147047 * CHOOSE(CONTROL!$C$8, $C$12, 100%, $E$12) + CHOOSE(CONTROL!$C$27, 0, 0)</f>
        <v>965.04659714704701</v>
      </c>
    </row>
    <row r="1032" spans="1:5" ht="15">
      <c r="A1032" s="13">
        <v>73323</v>
      </c>
      <c r="B1032" s="4">
        <f>175.8082 * CHOOSE(CONTROL!$C$8, $C$12, 100%, $E$12) + CHOOSE(CONTROL!$C$27, 0.0166, 0)</f>
        <v>175.82480000000001</v>
      </c>
      <c r="C1032" s="4">
        <f>175.4957 * CHOOSE(CONTROL!$C$8, $C$12, 100%, $E$12) + CHOOSE(CONTROL!$C$27, 0.0166, 0)</f>
        <v>175.51230000000001</v>
      </c>
      <c r="D1032" s="4">
        <f>131.2027 * CHOOSE(CONTROL!$C$8, $C$12, 100%, $E$12) + CHOOSE(CONTROL!$C$27, 0, 0)</f>
        <v>131.20269999999999</v>
      </c>
      <c r="E1032" s="4">
        <f>926.588669365144 * CHOOSE(CONTROL!$C$8, $C$12, 100%, $E$12) + CHOOSE(CONTROL!$C$27, 0, 0)</f>
        <v>926.58866936514403</v>
      </c>
    </row>
    <row r="1033" spans="1:5" ht="15">
      <c r="A1033" s="13">
        <v>73354</v>
      </c>
      <c r="B1033" s="4">
        <f>170.0292 * CHOOSE(CONTROL!$C$8, $C$12, 100%, $E$12) + CHOOSE(CONTROL!$C$27, 0.0003, 0)</f>
        <v>170.02950000000001</v>
      </c>
      <c r="C1033" s="4">
        <f>169.7167 * CHOOSE(CONTROL!$C$8, $C$12, 100%, $E$12) + CHOOSE(CONTROL!$C$27, 0.0003, 0)</f>
        <v>169.71700000000001</v>
      </c>
      <c r="D1033" s="4">
        <f>129.4183 * CHOOSE(CONTROL!$C$8, $C$12, 100%, $E$12) + CHOOSE(CONTROL!$C$27, 0, 0)</f>
        <v>129.41829999999999</v>
      </c>
      <c r="E1033" s="4">
        <f>895.802336014069 * CHOOSE(CONTROL!$C$8, $C$12, 100%, $E$12) + CHOOSE(CONTROL!$C$27, 0, 0)</f>
        <v>895.80233601406906</v>
      </c>
    </row>
    <row r="1034" spans="1:5" ht="15">
      <c r="A1034" s="13">
        <v>73384</v>
      </c>
      <c r="B1034" s="4">
        <f>166.3071 * CHOOSE(CONTROL!$C$8, $C$12, 100%, $E$12) + CHOOSE(CONTROL!$C$27, 0.0003, 0)</f>
        <v>166.3074</v>
      </c>
      <c r="C1034" s="4">
        <f>165.9946 * CHOOSE(CONTROL!$C$8, $C$12, 100%, $E$12) + CHOOSE(CONTROL!$C$27, 0.0003, 0)</f>
        <v>165.9949</v>
      </c>
      <c r="D1034" s="4">
        <f>128.8049 * CHOOSE(CONTROL!$C$8, $C$12, 100%, $E$12) + CHOOSE(CONTROL!$C$27, 0, 0)</f>
        <v>128.8049</v>
      </c>
      <c r="E1034" s="4">
        <f>875.973638356538 * CHOOSE(CONTROL!$C$8, $C$12, 100%, $E$12) + CHOOSE(CONTROL!$C$27, 0, 0)</f>
        <v>875.973638356538</v>
      </c>
    </row>
    <row r="1035" spans="1:5" ht="15">
      <c r="A1035" s="13">
        <v>73415</v>
      </c>
      <c r="B1035" s="4">
        <f>163.7318 * CHOOSE(CONTROL!$C$8, $C$12, 100%, $E$12) + CHOOSE(CONTROL!$C$27, 0.0003, 0)</f>
        <v>163.7321</v>
      </c>
      <c r="C1035" s="4">
        <f>163.4193 * CHOOSE(CONTROL!$C$8, $C$12, 100%, $E$12) + CHOOSE(CONTROL!$C$27, 0.0003, 0)</f>
        <v>163.4196</v>
      </c>
      <c r="D1035" s="4">
        <f>124.2886 * CHOOSE(CONTROL!$C$8, $C$12, 100%, $E$12) + CHOOSE(CONTROL!$C$27, 0, 0)</f>
        <v>124.2886</v>
      </c>
      <c r="E1035" s="4">
        <f>862.254728446035 * CHOOSE(CONTROL!$C$8, $C$12, 100%, $E$12) + CHOOSE(CONTROL!$C$27, 0, 0)</f>
        <v>862.25472844603496</v>
      </c>
    </row>
    <row r="1036" spans="1:5" ht="15">
      <c r="A1036" s="10"/>
      <c r="B1036" s="4"/>
      <c r="C1036" s="4"/>
      <c r="D1036" s="4"/>
      <c r="E1036" s="4"/>
    </row>
    <row r="1037" spans="1:5" ht="15">
      <c r="A1037" s="3">
        <v>2016</v>
      </c>
      <c r="B1037" s="4">
        <f>AVERAGE(B16:B27)</f>
        <v>6.8129416666666671</v>
      </c>
      <c r="C1037" s="4">
        <f>AVERAGE(C16:C27)</f>
        <v>6.500441666666668</v>
      </c>
      <c r="D1037" s="4">
        <f>AVERAGE(D16:D27)</f>
        <v>10.526166666666667</v>
      </c>
      <c r="E1037" s="4">
        <f>AVERAGE(E16:E27)</f>
        <v>40.305833333333339</v>
      </c>
    </row>
    <row r="1038" spans="1:5" ht="15">
      <c r="A1038" s="3">
        <v>2017</v>
      </c>
      <c r="B1038" s="4">
        <f>AVERAGE(B28:B39)</f>
        <v>7.893816666666666</v>
      </c>
      <c r="C1038" s="4">
        <f>AVERAGE(C28:C39)</f>
        <v>7.5813166666666669</v>
      </c>
      <c r="D1038" s="4">
        <f>AVERAGE(D28:D39)</f>
        <v>12.011433333333335</v>
      </c>
      <c r="E1038" s="4">
        <f>AVERAGE(E28:E39)</f>
        <v>45.972499999999997</v>
      </c>
    </row>
    <row r="1039" spans="1:5" ht="15">
      <c r="A1039" s="3">
        <v>2018</v>
      </c>
      <c r="B1039" s="4">
        <f>AVERAGE(B40:B51)</f>
        <v>8.4049999999999994</v>
      </c>
      <c r="C1039" s="4">
        <f>AVERAGE(C40:C51)</f>
        <v>8.092508333333333</v>
      </c>
      <c r="D1039" s="4">
        <f>AVERAGE(D40:D51)</f>
        <v>12.906049999999999</v>
      </c>
      <c r="E1039" s="4">
        <f>AVERAGE(E40:E51)</f>
        <v>49.244166666666672</v>
      </c>
    </row>
    <row r="1040" spans="1:5" ht="15">
      <c r="A1040" s="3">
        <v>2019</v>
      </c>
      <c r="B1040" s="4">
        <f>AVERAGE(B52:B63)</f>
        <v>10.497766666666665</v>
      </c>
      <c r="C1040" s="4">
        <f>AVERAGE(C52:C63)</f>
        <v>10.185266666666665</v>
      </c>
      <c r="D1040" s="4">
        <f>AVERAGE(D52:D63)</f>
        <v>15.462375</v>
      </c>
      <c r="E1040" s="4">
        <f>AVERAGE(E52:E63)</f>
        <v>61.284027913411478</v>
      </c>
    </row>
    <row r="1041" spans="1:5" ht="15">
      <c r="A1041" s="3">
        <v>2020</v>
      </c>
      <c r="B1041" s="4">
        <f>AVERAGE(B64:B75)</f>
        <v>11.061674999999999</v>
      </c>
      <c r="C1041" s="4">
        <f>AVERAGE(C64:C75)</f>
        <v>10.749174999999999</v>
      </c>
      <c r="D1041" s="4">
        <f>AVERAGE(D64:D75)</f>
        <v>16.10916666666667</v>
      </c>
      <c r="E1041" s="4">
        <f>AVERAGE(E64:E75)</f>
        <v>64.567494506835942</v>
      </c>
    </row>
    <row r="1042" spans="1:5" ht="15">
      <c r="A1042" s="3">
        <v>2021</v>
      </c>
      <c r="B1042" s="4">
        <f>AVERAGE(B76:B87)</f>
        <v>13.851691666666667</v>
      </c>
      <c r="C1042" s="4">
        <f>AVERAGE(C76:C87)</f>
        <v>13.539191666666667</v>
      </c>
      <c r="D1042" s="4">
        <f>AVERAGE(D76:D87)</f>
        <v>19.050191666666667</v>
      </c>
      <c r="E1042" s="4">
        <f>AVERAGE(E76:E87)</f>
        <v>79.433403015136733</v>
      </c>
    </row>
    <row r="1043" spans="1:5" ht="15">
      <c r="A1043" s="3">
        <v>2022</v>
      </c>
      <c r="B1043" s="4">
        <f>AVERAGE(B88:B99)</f>
        <v>14.462275</v>
      </c>
      <c r="C1043" s="4">
        <f>AVERAGE(C88:C99)</f>
        <v>14.149775</v>
      </c>
      <c r="D1043" s="4">
        <f>AVERAGE(D88:D99)</f>
        <v>19.873333333333331</v>
      </c>
      <c r="E1043" s="4">
        <f>AVERAGE(E88:E99)</f>
        <v>83.260375976562514</v>
      </c>
    </row>
    <row r="1044" spans="1:5" ht="15">
      <c r="A1044" s="3">
        <v>2023</v>
      </c>
      <c r="B1044" s="4">
        <f>AVERAGE(B100:B111)</f>
        <v>15.164308333333333</v>
      </c>
      <c r="C1044" s="4">
        <f>AVERAGE(C100:C111)</f>
        <v>14.851808333333333</v>
      </c>
      <c r="D1044" s="4">
        <f>AVERAGE(D100:D111)</f>
        <v>20.794133333333335</v>
      </c>
      <c r="E1044" s="4">
        <f>AVERAGE(E100:E111)</f>
        <v>87.259902954101563</v>
      </c>
    </row>
    <row r="1045" spans="1:5" ht="15">
      <c r="A1045" s="3">
        <v>2024</v>
      </c>
      <c r="B1045" s="4">
        <f>AVERAGE(B112:B123)</f>
        <v>15.844116666666665</v>
      </c>
      <c r="C1045" s="4">
        <f>AVERAGE(C112:C123)</f>
        <v>15.531616666666665</v>
      </c>
      <c r="D1045" s="4">
        <f>AVERAGE(D112:D123)</f>
        <v>22.079558333333335</v>
      </c>
      <c r="E1045" s="4">
        <f>AVERAGE(E112:E123)</f>
        <v>91.379600524902358</v>
      </c>
    </row>
    <row r="1046" spans="1:5" ht="15">
      <c r="A1046" s="3">
        <v>2025</v>
      </c>
      <c r="B1046" s="4">
        <f>AVERAGE(B124:B135)</f>
        <v>16.618666666666666</v>
      </c>
      <c r="C1046" s="4">
        <f>AVERAGE(C124:C135)</f>
        <v>16.306166666666666</v>
      </c>
      <c r="D1046" s="4">
        <f>AVERAGE(D124:D135)</f>
        <v>22.952024999999995</v>
      </c>
      <c r="E1046" s="4">
        <f>AVERAGE(E124:E135)</f>
        <v>94.367088317871094</v>
      </c>
    </row>
    <row r="1047" spans="1:5" ht="15">
      <c r="A1047" s="3">
        <v>2026</v>
      </c>
      <c r="B1047" s="4">
        <f>AVERAGE(B136:B147)</f>
        <v>17.07085</v>
      </c>
      <c r="C1047" s="4">
        <f>AVERAGE(C136:C147)</f>
        <v>16.75835</v>
      </c>
      <c r="D1047" s="4">
        <f>AVERAGE(D136:D147)</f>
        <v>23.597300000000001</v>
      </c>
      <c r="E1047" s="4">
        <f>AVERAGE(E136:E147)</f>
        <v>97.621452331543026</v>
      </c>
    </row>
    <row r="1048" spans="1:5" ht="15">
      <c r="A1048" s="3">
        <v>2027</v>
      </c>
      <c r="B1048" s="4">
        <f>AVERAGE(B148:B159)</f>
        <v>17.473491666666664</v>
      </c>
      <c r="C1048" s="4">
        <f>AVERAGE(C148:C159)</f>
        <v>17.160991666666664</v>
      </c>
      <c r="D1048" s="4">
        <f>AVERAGE(D148:D159)</f>
        <v>24.135999999999999</v>
      </c>
      <c r="E1048" s="4">
        <f>AVERAGE(E148:E159)</f>
        <v>100.26343536376947</v>
      </c>
    </row>
    <row r="1049" spans="1:5" ht="15">
      <c r="A1049" s="3">
        <v>2028</v>
      </c>
      <c r="B1049" s="4">
        <f>AVERAGE(B160:B171)</f>
        <v>17.852241666666668</v>
      </c>
      <c r="C1049" s="4">
        <f>AVERAGE(C160:C171)</f>
        <v>17.539741666666668</v>
      </c>
      <c r="D1049" s="4">
        <f>AVERAGE(D160:D171)</f>
        <v>24.598058333333331</v>
      </c>
      <c r="E1049" s="4">
        <f>AVERAGE(E160:E171)</f>
        <v>102.80760955810551</v>
      </c>
    </row>
    <row r="1050" spans="1:5" ht="15">
      <c r="A1050" s="3">
        <v>2029</v>
      </c>
      <c r="B1050" s="4">
        <f>AVERAGE(B172:B183)</f>
        <v>18.297858333333334</v>
      </c>
      <c r="C1050" s="4">
        <f>AVERAGE(C172:C183)</f>
        <v>17.985358333333334</v>
      </c>
      <c r="D1050" s="4">
        <f>AVERAGE(D172:D183)</f>
        <v>25.065816666666663</v>
      </c>
      <c r="E1050" s="4">
        <f>AVERAGE(E172:E183)</f>
        <v>105.67950439453124</v>
      </c>
    </row>
    <row r="1051" spans="1:5" ht="15">
      <c r="A1051" s="3">
        <v>2030</v>
      </c>
      <c r="B1051" s="4">
        <f>AVERAGE(B184:B195)</f>
        <v>18.744674999999997</v>
      </c>
      <c r="C1051" s="4">
        <f>AVERAGE(C184:C195)</f>
        <v>18.432174999999997</v>
      </c>
      <c r="D1051" s="4">
        <f>AVERAGE(D184:D195)</f>
        <v>25.542666666666666</v>
      </c>
      <c r="E1051" s="4">
        <f>AVERAGE(E184:E195)</f>
        <v>108.57302093505869</v>
      </c>
    </row>
    <row r="1052" spans="1:5" ht="15">
      <c r="A1052" s="3">
        <v>2031</v>
      </c>
      <c r="B1052" s="4">
        <f>AVERAGE(B196:B207)</f>
        <v>19.079550000000001</v>
      </c>
      <c r="C1052" s="4">
        <f>AVERAGE(C196:C207)</f>
        <v>18.767050000000001</v>
      </c>
      <c r="D1052" s="4">
        <f>AVERAGE(D196:D207)</f>
        <v>25.909708333333327</v>
      </c>
      <c r="E1052" s="4">
        <f>AVERAGE(E196:E207)</f>
        <v>110.79463195800783</v>
      </c>
    </row>
    <row r="1053" spans="1:5" ht="15">
      <c r="A1053" s="3">
        <v>2032</v>
      </c>
      <c r="B1053" s="4">
        <f>AVERAGE(B208:B219)</f>
        <v>19.433608333333336</v>
      </c>
      <c r="C1053" s="4">
        <f>AVERAGE(C208:C219)</f>
        <v>19.121108333333336</v>
      </c>
      <c r="D1053" s="4">
        <f>AVERAGE(D208:D219)</f>
        <v>26.280650000000005</v>
      </c>
      <c r="E1053" s="4">
        <f>AVERAGE(E208:E219)</f>
        <v>113.02646636962892</v>
      </c>
    </row>
    <row r="1054" spans="1:5" ht="15">
      <c r="A1054" s="3">
        <v>2033</v>
      </c>
      <c r="B1054" s="4">
        <f>AVERAGE(B220:B231)</f>
        <v>19.783491666666666</v>
      </c>
      <c r="C1054" s="4">
        <f>AVERAGE(C220:C231)</f>
        <v>19.470991666666666</v>
      </c>
      <c r="D1054" s="4">
        <f>AVERAGE(D220:D231)</f>
        <v>26.647008333333332</v>
      </c>
      <c r="E1054" s="4">
        <f>AVERAGE(E220:E231)</f>
        <v>115.24274444580067</v>
      </c>
    </row>
    <row r="1055" spans="1:5" ht="15">
      <c r="A1055" s="3">
        <v>2034</v>
      </c>
      <c r="B1055" s="4">
        <f>AVERAGE(B232:B243)</f>
        <v>20.139283333333328</v>
      </c>
      <c r="C1055" s="4">
        <f>AVERAGE(C232:C243)</f>
        <v>19.826783333333328</v>
      </c>
      <c r="D1055" s="4">
        <f>AVERAGE(D232:D243)</f>
        <v>27.019858333333332</v>
      </c>
      <c r="E1055" s="4">
        <f>AVERAGE(E232:E243)</f>
        <v>117.50201416015641</v>
      </c>
    </row>
    <row r="1056" spans="1:5" ht="15">
      <c r="A1056" s="3">
        <v>2035</v>
      </c>
      <c r="B1056" s="4">
        <f>AVERAGE(B244:B255)</f>
        <v>20.5029</v>
      </c>
      <c r="C1056" s="4">
        <f>AVERAGE(C244:C255)</f>
        <v>20.1904</v>
      </c>
      <c r="D1056" s="4">
        <f>AVERAGE(D244:D255)</f>
        <v>27.428775000000002</v>
      </c>
      <c r="E1056" s="4">
        <f>AVERAGE(E244:E255)</f>
        <v>119.80786132812501</v>
      </c>
    </row>
    <row r="1057" spans="1:5" ht="15">
      <c r="A1057" s="3">
        <v>2036</v>
      </c>
      <c r="B1057" s="4">
        <f>AVERAGE(B256:B267)</f>
        <v>21.145333333333337</v>
      </c>
      <c r="C1057" s="4">
        <f>AVERAGE(C256:C267)</f>
        <v>20.832833333333337</v>
      </c>
      <c r="D1057" s="4">
        <f>AVERAGE(D256:D267)</f>
        <v>28.066716666666665</v>
      </c>
      <c r="E1057" s="4">
        <f>AVERAGE(E256:E267)</f>
        <v>123.58180895996094</v>
      </c>
    </row>
    <row r="1058" spans="1:5" ht="15">
      <c r="A1058" s="3">
        <v>2037</v>
      </c>
      <c r="B1058" s="4">
        <f>AVERAGE(B268:B279)</f>
        <v>21.809899999999999</v>
      </c>
      <c r="C1058" s="4">
        <f>AVERAGE(C268:C279)</f>
        <v>21.497399999999999</v>
      </c>
      <c r="D1058" s="4">
        <f>AVERAGE(D268:D279)</f>
        <v>28.720524999999995</v>
      </c>
      <c r="E1058" s="4">
        <f>AVERAGE(E268:E279)</f>
        <v>127.47463594219975</v>
      </c>
    </row>
    <row r="1059" spans="1:5" ht="15">
      <c r="A1059" s="3">
        <f t="shared" ref="A1059:A1090" si="0">A1058+1</f>
        <v>2038</v>
      </c>
      <c r="B1059" s="4">
        <f>AVERAGE(B280:B291)</f>
        <v>22.497416666666666</v>
      </c>
      <c r="C1059" s="4">
        <f>AVERAGE(C280:C291)</f>
        <v>22.184916666666666</v>
      </c>
      <c r="D1059" s="4">
        <f>AVERAGE(D280:D291)</f>
        <v>29.39051666666667</v>
      </c>
      <c r="E1059" s="4">
        <f>AVERAGE(E280:E291)</f>
        <v>131.49008697437901</v>
      </c>
    </row>
    <row r="1060" spans="1:5" ht="15">
      <c r="A1060" s="3">
        <f t="shared" si="0"/>
        <v>2039</v>
      </c>
      <c r="B1060" s="4">
        <f>AVERAGE(B292:B303)</f>
        <v>23.208624999999998</v>
      </c>
      <c r="C1060" s="4">
        <f>AVERAGE(C292:C303)</f>
        <v>22.896124999999998</v>
      </c>
      <c r="D1060" s="4">
        <f>AVERAGE(D292:D303)</f>
        <v>30.077124999999999</v>
      </c>
      <c r="E1060" s="4">
        <f>AVERAGE(E292:E303)</f>
        <v>135.63202471407195</v>
      </c>
    </row>
    <row r="1061" spans="1:5" ht="15">
      <c r="A1061" s="3">
        <f t="shared" si="0"/>
        <v>2040</v>
      </c>
      <c r="B1061" s="4">
        <f>AVERAGE(B304:B315)</f>
        <v>23.944416666666669</v>
      </c>
      <c r="C1061" s="4">
        <f>AVERAGE(C304:C315)</f>
        <v>23.631916666666669</v>
      </c>
      <c r="D1061" s="4">
        <f>AVERAGE(D304:D315)</f>
        <v>30.780750000000001</v>
      </c>
      <c r="E1061" s="4">
        <f>AVERAGE(E304:E315)</f>
        <v>139.90443349256523</v>
      </c>
    </row>
    <row r="1062" spans="1:5" ht="15">
      <c r="A1062" s="3">
        <f t="shared" si="0"/>
        <v>2041</v>
      </c>
      <c r="B1062" s="4">
        <f>AVERAGE(B316:B327)</f>
        <v>24.705558333333332</v>
      </c>
      <c r="C1062" s="4">
        <f>AVERAGE(C316:C327)</f>
        <v>24.393058333333332</v>
      </c>
      <c r="D1062" s="4">
        <f>AVERAGE(D316:D327)</f>
        <v>31.501866666666661</v>
      </c>
      <c r="E1062" s="4">
        <f>AVERAGE(E316:E327)</f>
        <v>144.31142314758108</v>
      </c>
    </row>
    <row r="1063" spans="1:5" ht="15">
      <c r="A1063" s="3">
        <f t="shared" si="0"/>
        <v>2042</v>
      </c>
      <c r="B1063" s="4">
        <f>AVERAGE(B328:B339)</f>
        <v>25.492975000000001</v>
      </c>
      <c r="C1063" s="4">
        <f>AVERAGE(C328:C339)</f>
        <v>25.180475000000001</v>
      </c>
      <c r="D1063" s="4">
        <f>AVERAGE(D328:D339)</f>
        <v>32.240825000000008</v>
      </c>
      <c r="E1063" s="4">
        <f>AVERAGE(E328:E339)</f>
        <v>148.85723297672993</v>
      </c>
    </row>
    <row r="1064" spans="1:5" ht="15">
      <c r="A1064" s="3">
        <f t="shared" si="0"/>
        <v>2043</v>
      </c>
      <c r="B1064" s="4">
        <f>AVERAGE(B340:B351)</f>
        <v>26.307541666666662</v>
      </c>
      <c r="C1064" s="4">
        <f>AVERAGE(C340:C351)</f>
        <v>25.995041666666662</v>
      </c>
      <c r="D1064" s="4">
        <f>AVERAGE(D340:D351)</f>
        <v>32.998124999999995</v>
      </c>
      <c r="E1064" s="4">
        <f>AVERAGE(E340:E351)</f>
        <v>153.546235815497</v>
      </c>
    </row>
    <row r="1065" spans="1:5" ht="15">
      <c r="A1065" s="3">
        <f t="shared" si="0"/>
        <v>2044</v>
      </c>
      <c r="B1065" s="4">
        <f>AVERAGE(B352:B363)</f>
        <v>27.150216666666669</v>
      </c>
      <c r="C1065" s="4">
        <f>AVERAGE(C352:C363)</f>
        <v>26.837716666666669</v>
      </c>
      <c r="D1065" s="4">
        <f>AVERAGE(D352:D363)</f>
        <v>33.774216666666668</v>
      </c>
      <c r="E1065" s="4">
        <f>AVERAGE(E352:E363)</f>
        <v>158.38294224368528</v>
      </c>
    </row>
    <row r="1066" spans="1:5" ht="15">
      <c r="A1066" s="3">
        <f t="shared" si="0"/>
        <v>2045</v>
      </c>
      <c r="B1066" s="4">
        <f>AVERAGE(B364:B375)</f>
        <v>28.021966666666668</v>
      </c>
      <c r="C1066" s="4">
        <f>AVERAGE(C364:C375)</f>
        <v>27.709466666666668</v>
      </c>
      <c r="D1066" s="4">
        <f>AVERAGE(D364:D375)</f>
        <v>34.56955</v>
      </c>
      <c r="E1066" s="4">
        <f>AVERAGE(E364:E375)</f>
        <v>163.37200492436116</v>
      </c>
    </row>
    <row r="1067" spans="1:5" ht="15">
      <c r="A1067" s="3">
        <f t="shared" si="0"/>
        <v>2046</v>
      </c>
      <c r="B1067" s="4">
        <f>AVERAGE(B376:B387)</f>
        <v>28.923791666666663</v>
      </c>
      <c r="C1067" s="4">
        <f>AVERAGE(C376:C387)</f>
        <v>28.611291666666663</v>
      </c>
      <c r="D1067" s="4">
        <f>AVERAGE(D376:D387)</f>
        <v>35.384591666666665</v>
      </c>
      <c r="E1067" s="4">
        <f>AVERAGE(E376:E387)</f>
        <v>168.51822307947847</v>
      </c>
    </row>
    <row r="1068" spans="1:5" ht="15">
      <c r="A1068" s="3">
        <f t="shared" si="0"/>
        <v>2047</v>
      </c>
      <c r="B1068" s="4">
        <f>AVERAGE(B388:B399)</f>
        <v>29.856758333333335</v>
      </c>
      <c r="C1068" s="4">
        <f>AVERAGE(C388:C399)</f>
        <v>29.544258333333335</v>
      </c>
      <c r="D1068" s="4">
        <f>AVERAGE(D388:D399)</f>
        <v>36.219849999999994</v>
      </c>
      <c r="E1068" s="4">
        <f>AVERAGE(E388:E399)</f>
        <v>173.82654710648217</v>
      </c>
    </row>
    <row r="1069" spans="1:5" ht="15">
      <c r="A1069" s="3">
        <f t="shared" si="0"/>
        <v>2048</v>
      </c>
      <c r="B1069" s="4">
        <f>AVERAGE(B400:B411)</f>
        <v>30.821866666666665</v>
      </c>
      <c r="C1069" s="4">
        <f>AVERAGE(C400:C411)</f>
        <v>30.509366666666665</v>
      </c>
      <c r="D1069" s="4">
        <f>AVERAGE(D400:D411)</f>
        <v>37.075849999999996</v>
      </c>
      <c r="E1069" s="4">
        <f>AVERAGE(E400:E411)</f>
        <v>179.30208334033617</v>
      </c>
    </row>
    <row r="1070" spans="1:5" ht="15">
      <c r="A1070" s="3">
        <f t="shared" si="0"/>
        <v>2049</v>
      </c>
      <c r="B1070" s="4">
        <f>AVERAGE(B412:B423)</f>
        <v>31.820291666666666</v>
      </c>
      <c r="C1070" s="4">
        <f>AVERAGE(C412:C423)</f>
        <v>31.507791666666666</v>
      </c>
      <c r="D1070" s="4">
        <f>AVERAGE(D412:D423)</f>
        <v>37.953049999999998</v>
      </c>
      <c r="E1070" s="4">
        <f>AVERAGE(E412:E423)</f>
        <v>184.9500989655568</v>
      </c>
    </row>
    <row r="1071" spans="1:5" ht="15">
      <c r="A1071" s="3">
        <f t="shared" si="0"/>
        <v>2050</v>
      </c>
      <c r="B1071" s="4">
        <f>AVERAGE(B424:B435)</f>
        <v>32.853149999999999</v>
      </c>
      <c r="C1071" s="4">
        <f>AVERAGE(C424:C435)</f>
        <v>32.540649999999999</v>
      </c>
      <c r="D1071" s="4">
        <f>AVERAGE(D424:D435)</f>
        <v>38.852024999999998</v>
      </c>
      <c r="E1071" s="4">
        <f>AVERAGE(E424:E435)</f>
        <v>190.77602708297198</v>
      </c>
    </row>
    <row r="1072" spans="1:5" ht="15">
      <c r="A1072" s="3">
        <f t="shared" si="0"/>
        <v>2051</v>
      </c>
      <c r="B1072" s="4">
        <f>AVERAGE(B436:B447)</f>
        <v>33.921641666666666</v>
      </c>
      <c r="C1072" s="4">
        <f>AVERAGE(C436:C447)</f>
        <v>33.609141666666666</v>
      </c>
      <c r="D1072" s="4">
        <f>AVERAGE(D436:D447)</f>
        <v>39.773266666666672</v>
      </c>
      <c r="E1072" s="4">
        <f>AVERAGE(E436:E447)</f>
        <v>196.7854719360856</v>
      </c>
    </row>
    <row r="1073" spans="1:5" ht="15">
      <c r="A1073" s="3">
        <f t="shared" si="0"/>
        <v>2052</v>
      </c>
      <c r="B1073" s="4">
        <f>AVERAGE(B448:B459)</f>
        <v>35.027033333333335</v>
      </c>
      <c r="C1073" s="4">
        <f>AVERAGE(C448:C459)</f>
        <v>34.714533333333335</v>
      </c>
      <c r="D1073" s="4">
        <f>AVERAGE(D448:D459)</f>
        <v>40.717383333333338</v>
      </c>
      <c r="E1073" s="4">
        <f>AVERAGE(E448:E459)</f>
        <v>202.98421430207244</v>
      </c>
    </row>
    <row r="1074" spans="1:5" ht="15">
      <c r="A1074" s="3">
        <f t="shared" si="0"/>
        <v>2053</v>
      </c>
      <c r="B1074" s="4">
        <f>AVERAGE(B460:B471)</f>
        <v>36.170524999999991</v>
      </c>
      <c r="C1074" s="4">
        <f>AVERAGE(C460:C471)</f>
        <v>35.858024999999991</v>
      </c>
      <c r="D1074" s="4">
        <f>AVERAGE(D460:D471)</f>
        <v>41.684908333333333</v>
      </c>
      <c r="E1074" s="4">
        <f>AVERAGE(E460:E471)</f>
        <v>209.37821705258753</v>
      </c>
    </row>
    <row r="1075" spans="1:5" ht="15">
      <c r="A1075" s="3">
        <f t="shared" si="0"/>
        <v>2054</v>
      </c>
      <c r="B1075" s="4">
        <f>AVERAGE(B472:B483)</f>
        <v>37.353466666666677</v>
      </c>
      <c r="C1075" s="4">
        <f>AVERAGE(C472:C483)</f>
        <v>37.040966666666677</v>
      </c>
      <c r="D1075" s="4">
        <f>AVERAGE(D472:D483)</f>
        <v>42.676408333333335</v>
      </c>
      <c r="E1075" s="4">
        <f>AVERAGE(E472:E483)</f>
        <v>215.97363088974407</v>
      </c>
    </row>
    <row r="1076" spans="1:5" ht="15">
      <c r="A1076" s="3">
        <f t="shared" si="0"/>
        <v>2055</v>
      </c>
      <c r="B1076" s="4">
        <f>AVERAGE(B484:B495)</f>
        <v>38.577233333333332</v>
      </c>
      <c r="C1076" s="4">
        <f>AVERAGE(C484:C495)</f>
        <v>38.264733333333332</v>
      </c>
      <c r="D1076" s="4">
        <f>AVERAGE(D484:D495)</f>
        <v>43.692516666666677</v>
      </c>
      <c r="E1076" s="4">
        <f>AVERAGE(E484:E495)</f>
        <v>222.77680026277119</v>
      </c>
    </row>
    <row r="1077" spans="1:5" ht="15">
      <c r="A1077" s="3">
        <f t="shared" si="0"/>
        <v>2056</v>
      </c>
      <c r="B1077" s="4">
        <f>AVERAGE(B496:B507)</f>
        <v>39.843224999999997</v>
      </c>
      <c r="C1077" s="4">
        <f>AVERAGE(C496:C507)</f>
        <v>39.530724999999997</v>
      </c>
      <c r="D1077" s="4">
        <f>AVERAGE(D496:D507)</f>
        <v>44.733808333333336</v>
      </c>
      <c r="E1077" s="4">
        <f>AVERAGE(E496:E507)</f>
        <v>229.79426947104824</v>
      </c>
    </row>
    <row r="1078" spans="1:5" ht="15">
      <c r="A1078" s="3">
        <f t="shared" si="0"/>
        <v>2057</v>
      </c>
      <c r="B1078" s="4">
        <f>AVERAGE(B508:B519)</f>
        <v>41.152883333333335</v>
      </c>
      <c r="C1078" s="4">
        <f>AVERAGE(C508:C519)</f>
        <v>40.840383333333335</v>
      </c>
      <c r="D1078" s="4">
        <f>AVERAGE(D508:D519)</f>
        <v>45.80095</v>
      </c>
      <c r="E1078" s="4">
        <f>AVERAGE(E508:E519)</f>
        <v>237.03278895938658</v>
      </c>
    </row>
    <row r="1079" spans="1:5" ht="15">
      <c r="A1079" s="3">
        <f t="shared" si="0"/>
        <v>2058</v>
      </c>
      <c r="B1079" s="4">
        <f>AVERAGE(B520:B531)</f>
        <v>42.507725000000001</v>
      </c>
      <c r="C1079" s="4">
        <f>AVERAGE(C520:C531)</f>
        <v>42.195225000000001</v>
      </c>
      <c r="D1079" s="4">
        <f>AVERAGE(D520:D531)</f>
        <v>46.894533333333328</v>
      </c>
      <c r="E1079" s="4">
        <f>AVERAGE(E520:E531)</f>
        <v>244.49932181160727</v>
      </c>
    </row>
    <row r="1080" spans="1:5" ht="15">
      <c r="A1080" s="3">
        <f t="shared" si="0"/>
        <v>2059</v>
      </c>
      <c r="B1080" s="4">
        <f>AVERAGE(B532:B543)</f>
        <v>43.909300000000002</v>
      </c>
      <c r="C1080" s="4">
        <f>AVERAGE(C532:C543)</f>
        <v>43.596800000000002</v>
      </c>
      <c r="D1080" s="4">
        <f>AVERAGE(D532:D543)</f>
        <v>48.015250000000002</v>
      </c>
      <c r="E1080" s="4">
        <f>AVERAGE(E532:E543)</f>
        <v>252.20105044867276</v>
      </c>
    </row>
    <row r="1081" spans="1:5" ht="15">
      <c r="A1081" s="3">
        <f t="shared" si="0"/>
        <v>2060</v>
      </c>
      <c r="B1081" s="4">
        <f>AVERAGE(B544:B555)</f>
        <v>45.359233333333343</v>
      </c>
      <c r="C1081" s="4">
        <f>AVERAGE(C544:C555)</f>
        <v>45.046733333333343</v>
      </c>
      <c r="D1081" s="4">
        <f>AVERAGE(D544:D555)</f>
        <v>49.163766666666675</v>
      </c>
      <c r="E1081" s="4">
        <f>AVERAGE(E544:E555)</f>
        <v>260.14538353780608</v>
      </c>
    </row>
    <row r="1082" spans="1:5" ht="15">
      <c r="A1082" s="3">
        <f t="shared" si="0"/>
        <v>2061</v>
      </c>
      <c r="B1082" s="4">
        <f>AVERAGE(B556:B567)</f>
        <v>46.859191666666675</v>
      </c>
      <c r="C1082" s="4">
        <f>AVERAGE(C556:C567)</f>
        <v>46.546691666666675</v>
      </c>
      <c r="D1082" s="4">
        <f>AVERAGE(D556:D567)</f>
        <v>50.340749999999993</v>
      </c>
      <c r="E1082" s="4">
        <f>AVERAGE(E556:E567)</f>
        <v>268.33996311924687</v>
      </c>
    </row>
    <row r="1083" spans="1:5" ht="15">
      <c r="A1083" s="3">
        <f t="shared" si="0"/>
        <v>2062</v>
      </c>
      <c r="B1083" s="4">
        <f t="shared" ref="B1083:E1102" ca="1" si="1">AVERAGE(OFFSET(B$568,($A1083-$A$1083)*12,0,12,1))</f>
        <v>48.410899999999998</v>
      </c>
      <c r="C1083" s="4">
        <f t="shared" ca="1" si="1"/>
        <v>48.098399999999998</v>
      </c>
      <c r="D1083" s="4">
        <f t="shared" ca="1" si="1"/>
        <v>51.546916666666668</v>
      </c>
      <c r="E1083" s="4">
        <f t="shared" ca="1" si="1"/>
        <v>276.79267195750305</v>
      </c>
    </row>
    <row r="1084" spans="1:5" ht="15">
      <c r="A1084" s="3">
        <f t="shared" si="0"/>
        <v>2063</v>
      </c>
      <c r="B1084" s="4">
        <f t="shared" ca="1" si="1"/>
        <v>50.016150000000003</v>
      </c>
      <c r="C1084" s="4">
        <f t="shared" ca="1" si="1"/>
        <v>49.703650000000003</v>
      </c>
      <c r="D1084" s="4">
        <f t="shared" ca="1" si="1"/>
        <v>52.783033333333329</v>
      </c>
      <c r="E1084" s="4">
        <f t="shared" ca="1" si="1"/>
        <v>285.51164112416478</v>
      </c>
    </row>
    <row r="1085" spans="1:5" ht="15">
      <c r="A1085" s="3">
        <f t="shared" si="0"/>
        <v>2064</v>
      </c>
      <c r="B1085" s="4">
        <f t="shared" ca="1" si="1"/>
        <v>51.676791666666674</v>
      </c>
      <c r="C1085" s="4">
        <f t="shared" ca="1" si="1"/>
        <v>51.364291666666674</v>
      </c>
      <c r="D1085" s="4">
        <f t="shared" ca="1" si="1"/>
        <v>54.049766666666663</v>
      </c>
      <c r="E1085" s="4">
        <f t="shared" ca="1" si="1"/>
        <v>294.50525781957595</v>
      </c>
    </row>
    <row r="1086" spans="1:5" ht="15">
      <c r="A1086" s="3">
        <f t="shared" si="0"/>
        <v>2065</v>
      </c>
      <c r="B1086" s="4">
        <f t="shared" ca="1" si="1"/>
        <v>53.394675000000007</v>
      </c>
      <c r="C1086" s="4">
        <f t="shared" ca="1" si="1"/>
        <v>53.082175000000007</v>
      </c>
      <c r="D1086" s="4">
        <f t="shared" ca="1" si="1"/>
        <v>55.347950000000004</v>
      </c>
      <c r="E1086" s="4">
        <f t="shared" ca="1" si="1"/>
        <v>303.78217344089256</v>
      </c>
    </row>
    <row r="1087" spans="1:5" ht="15">
      <c r="A1087" s="3">
        <f t="shared" si="0"/>
        <v>2066</v>
      </c>
      <c r="B1087" s="4">
        <f t="shared" ca="1" si="1"/>
        <v>55.171891666666674</v>
      </c>
      <c r="C1087" s="4">
        <f t="shared" ca="1" si="1"/>
        <v>54.859391666666674</v>
      </c>
      <c r="D1087" s="4">
        <f t="shared" ca="1" si="1"/>
        <v>56.6783</v>
      </c>
      <c r="E1087" s="4">
        <f t="shared" ca="1" si="1"/>
        <v>313.35131190428064</v>
      </c>
    </row>
    <row r="1088" spans="1:5" ht="15">
      <c r="A1088" s="3">
        <f t="shared" si="0"/>
        <v>2067</v>
      </c>
      <c r="B1088" s="4">
        <f t="shared" ca="1" si="1"/>
        <v>57.01038333333333</v>
      </c>
      <c r="C1088" s="4">
        <f t="shared" ca="1" si="1"/>
        <v>56.69788333333333</v>
      </c>
      <c r="D1088" s="4">
        <f t="shared" ca="1" si="1"/>
        <v>58.041641666666663</v>
      </c>
      <c r="E1088" s="4">
        <f t="shared" ca="1" si="1"/>
        <v>323.2218782292656</v>
      </c>
    </row>
    <row r="1089" spans="1:5" ht="15">
      <c r="A1089" s="3">
        <f t="shared" si="0"/>
        <v>2068</v>
      </c>
      <c r="B1089" s="4">
        <f t="shared" ca="1" si="1"/>
        <v>58.912299999999988</v>
      </c>
      <c r="C1089" s="4">
        <f t="shared" ca="1" si="1"/>
        <v>58.599799999999988</v>
      </c>
      <c r="D1089" s="4">
        <f t="shared" ca="1" si="1"/>
        <v>59.438808333333327</v>
      </c>
      <c r="E1089" s="4">
        <f t="shared" ca="1" si="1"/>
        <v>333.40336739348754</v>
      </c>
    </row>
    <row r="1090" spans="1:5" ht="15">
      <c r="A1090" s="3">
        <f t="shared" si="0"/>
        <v>2069</v>
      </c>
      <c r="B1090" s="4">
        <f t="shared" ca="1" si="1"/>
        <v>60.879858333333324</v>
      </c>
      <c r="C1090" s="4">
        <f t="shared" ca="1" si="1"/>
        <v>60.567358333333324</v>
      </c>
      <c r="D1090" s="4">
        <f t="shared" ca="1" si="1"/>
        <v>60.87060833333333</v>
      </c>
      <c r="E1090" s="4">
        <f t="shared" ca="1" si="1"/>
        <v>343.90557346638224</v>
      </c>
    </row>
    <row r="1091" spans="1:5" ht="15">
      <c r="A1091" s="3">
        <f t="shared" ref="A1091:A1121" si="2">A1090+1</f>
        <v>2070</v>
      </c>
      <c r="B1091" s="4">
        <f t="shared" ca="1" si="1"/>
        <v>62.915266666666668</v>
      </c>
      <c r="C1091" s="4">
        <f t="shared" ca="1" si="1"/>
        <v>62.602766666666668</v>
      </c>
      <c r="D1091" s="4">
        <f t="shared" ca="1" si="1"/>
        <v>62.337933333333332</v>
      </c>
      <c r="E1091" s="4">
        <f t="shared" ca="1" si="1"/>
        <v>354.7385990305732</v>
      </c>
    </row>
    <row r="1092" spans="1:5" ht="15">
      <c r="A1092" s="3">
        <f t="shared" si="2"/>
        <v>2071</v>
      </c>
      <c r="B1092" s="4">
        <f t="shared" ca="1" si="1"/>
        <v>65.020925000000005</v>
      </c>
      <c r="C1092" s="4">
        <f t="shared" ca="1" si="1"/>
        <v>64.708425000000005</v>
      </c>
      <c r="D1092" s="4">
        <f t="shared" ca="1" si="1"/>
        <v>63.841641666666668</v>
      </c>
      <c r="E1092" s="4">
        <f t="shared" ca="1" si="1"/>
        <v>365.91286490003648</v>
      </c>
    </row>
    <row r="1093" spans="1:5" ht="15">
      <c r="A1093" s="3">
        <f t="shared" si="2"/>
        <v>2072</v>
      </c>
      <c r="B1093" s="4">
        <f t="shared" ca="1" si="1"/>
        <v>67.199216666666672</v>
      </c>
      <c r="C1093" s="4">
        <f t="shared" ca="1" si="1"/>
        <v>66.886716666666672</v>
      </c>
      <c r="D1093" s="4">
        <f t="shared" ca="1" si="1"/>
        <v>65.382641666666672</v>
      </c>
      <c r="E1093" s="4">
        <f t="shared" ca="1" si="1"/>
        <v>377.43912014438769</v>
      </c>
    </row>
    <row r="1094" spans="1:5" ht="15">
      <c r="A1094" s="3">
        <f t="shared" si="2"/>
        <v>2073</v>
      </c>
      <c r="B1094" s="4">
        <f t="shared" ca="1" si="1"/>
        <v>69.452633333333324</v>
      </c>
      <c r="C1094" s="4">
        <f t="shared" ca="1" si="1"/>
        <v>69.140133333333324</v>
      </c>
      <c r="D1094" s="4">
        <f t="shared" ca="1" si="1"/>
        <v>66.961875000000006</v>
      </c>
      <c r="E1094" s="4">
        <f t="shared" ca="1" si="1"/>
        <v>389.32845242893586</v>
      </c>
    </row>
    <row r="1095" spans="1:5" ht="15">
      <c r="A1095" s="3">
        <f t="shared" si="2"/>
        <v>2074</v>
      </c>
      <c r="B1095" s="4">
        <f t="shared" ca="1" si="1"/>
        <v>71.783841666666675</v>
      </c>
      <c r="C1095" s="4">
        <f t="shared" ca="1" si="1"/>
        <v>71.471341666666675</v>
      </c>
      <c r="D1095" s="4">
        <f t="shared" ca="1" si="1"/>
        <v>68.580249999999992</v>
      </c>
      <c r="E1095" s="4">
        <f t="shared" ca="1" si="1"/>
        <v>401.59229868044753</v>
      </c>
    </row>
    <row r="1096" spans="1:5" ht="15">
      <c r="A1096" s="3">
        <f t="shared" si="2"/>
        <v>2075</v>
      </c>
      <c r="B1096" s="4">
        <f t="shared" ca="1" si="1"/>
        <v>74.195441666666667</v>
      </c>
      <c r="C1096" s="4">
        <f t="shared" ca="1" si="1"/>
        <v>73.882941666666667</v>
      </c>
      <c r="D1096" s="4">
        <f t="shared" ca="1" si="1"/>
        <v>70.238766666666663</v>
      </c>
      <c r="E1096" s="4">
        <f t="shared" ca="1" si="1"/>
        <v>414.24245608888168</v>
      </c>
    </row>
    <row r="1097" spans="1:5" ht="15">
      <c r="A1097" s="3">
        <f t="shared" si="2"/>
        <v>2076</v>
      </c>
      <c r="B1097" s="4">
        <f t="shared" ca="1" si="1"/>
        <v>76.690249999999992</v>
      </c>
      <c r="C1097" s="4">
        <f t="shared" ca="1" si="1"/>
        <v>76.377749999999992</v>
      </c>
      <c r="D1097" s="4">
        <f t="shared" ca="1" si="1"/>
        <v>71.938416666666669</v>
      </c>
      <c r="E1097" s="4">
        <f t="shared" ca="1" si="1"/>
        <v>427.29109345568151</v>
      </c>
    </row>
    <row r="1098" spans="1:5" ht="15">
      <c r="A1098" s="3">
        <f t="shared" si="2"/>
        <v>2077</v>
      </c>
      <c r="B1098" s="4">
        <f t="shared" ca="1" si="1"/>
        <v>79.271124999999984</v>
      </c>
      <c r="C1098" s="4">
        <f t="shared" ca="1" si="1"/>
        <v>78.958624999999984</v>
      </c>
      <c r="D1098" s="4">
        <f t="shared" ca="1" si="1"/>
        <v>73.680208333333326</v>
      </c>
      <c r="E1098" s="4">
        <f t="shared" ca="1" si="1"/>
        <v>440.75076289953535</v>
      </c>
    </row>
    <row r="1099" spans="1:5" ht="15">
      <c r="A1099" s="3">
        <f t="shared" si="2"/>
        <v>2078</v>
      </c>
      <c r="B1099" s="4">
        <f t="shared" ca="1" si="1"/>
        <v>81.941066666666657</v>
      </c>
      <c r="C1099" s="4">
        <f t="shared" ca="1" si="1"/>
        <v>81.628566666666657</v>
      </c>
      <c r="D1099" s="4">
        <f t="shared" ca="1" si="1"/>
        <v>75.465208333333351</v>
      </c>
      <c r="E1099" s="4">
        <f t="shared" ca="1" si="1"/>
        <v>454.63441193087101</v>
      </c>
    </row>
    <row r="1100" spans="1:5" ht="15">
      <c r="A1100" s="3">
        <f t="shared" si="2"/>
        <v>2079</v>
      </c>
      <c r="B1100" s="4">
        <f t="shared" ca="1" si="1"/>
        <v>84.703091666666651</v>
      </c>
      <c r="C1100" s="4">
        <f t="shared" ca="1" si="1"/>
        <v>84.390591666666651</v>
      </c>
      <c r="D1100" s="4">
        <f t="shared" ca="1" si="1"/>
        <v>77.294491666666659</v>
      </c>
      <c r="E1100" s="4">
        <f t="shared" ca="1" si="1"/>
        <v>468.95539590669335</v>
      </c>
    </row>
    <row r="1101" spans="1:5" ht="15">
      <c r="A1101" s="3">
        <f t="shared" si="2"/>
        <v>2080</v>
      </c>
      <c r="B1101" s="4">
        <f t="shared" ca="1" si="1"/>
        <v>87.560416666666654</v>
      </c>
      <c r="C1101" s="4">
        <f t="shared" ca="1" si="1"/>
        <v>87.247916666666654</v>
      </c>
      <c r="D1101" s="4">
        <f t="shared" ca="1" si="1"/>
        <v>79.1691</v>
      </c>
      <c r="E1101" s="4">
        <f t="shared" ca="1" si="1"/>
        <v>483.72749087775429</v>
      </c>
    </row>
    <row r="1102" spans="1:5" ht="15">
      <c r="A1102" s="3">
        <f t="shared" si="2"/>
        <v>2081</v>
      </c>
      <c r="B1102" s="4">
        <f t="shared" ca="1" si="1"/>
        <v>90.516324999999995</v>
      </c>
      <c r="C1102" s="4">
        <f t="shared" ca="1" si="1"/>
        <v>90.203824999999995</v>
      </c>
      <c r="D1102" s="4">
        <f t="shared" ca="1" si="1"/>
        <v>81.090241666666657</v>
      </c>
      <c r="E1102" s="4">
        <f t="shared" ca="1" si="1"/>
        <v>498.96490684040344</v>
      </c>
    </row>
    <row r="1103" spans="1:5" ht="15">
      <c r="A1103" s="3">
        <f t="shared" si="2"/>
        <v>2082</v>
      </c>
      <c r="B1103" s="4">
        <f t="shared" ref="B1103:E1121" ca="1" si="3">AVERAGE(OFFSET(B$568,($A1103-$A$1083)*12,0,12,1))</f>
        <v>93.574208333333331</v>
      </c>
      <c r="C1103" s="4">
        <f t="shared" ca="1" si="3"/>
        <v>93.261708333333331</v>
      </c>
      <c r="D1103" s="4">
        <f t="shared" ca="1" si="3"/>
        <v>83.059000000000012</v>
      </c>
      <c r="E1103" s="4">
        <f t="shared" ca="1" si="3"/>
        <v>514.68230140587605</v>
      </c>
    </row>
    <row r="1104" spans="1:5" ht="15">
      <c r="A1104" s="3">
        <f t="shared" si="2"/>
        <v>2083</v>
      </c>
      <c r="B1104" s="4">
        <f t="shared" ca="1" si="3"/>
        <v>96.737583333333319</v>
      </c>
      <c r="C1104" s="4">
        <f t="shared" ca="1" si="3"/>
        <v>96.425083333333319</v>
      </c>
      <c r="D1104" s="4">
        <f t="shared" ca="1" si="3"/>
        <v>85.076591666666658</v>
      </c>
      <c r="E1104" s="4">
        <f t="shared" ca="1" si="3"/>
        <v>530.89479390016129</v>
      </c>
    </row>
    <row r="1105" spans="1:5" ht="15">
      <c r="A1105" s="3">
        <f t="shared" si="2"/>
        <v>2084</v>
      </c>
      <c r="B1105" s="4">
        <f t="shared" ca="1" si="3"/>
        <v>100.01010833333333</v>
      </c>
      <c r="C1105" s="4">
        <f t="shared" ca="1" si="3"/>
        <v>99.697608333333335</v>
      </c>
      <c r="D1105" s="4">
        <f t="shared" ca="1" si="3"/>
        <v>87.144216666666651</v>
      </c>
      <c r="E1105" s="4">
        <f t="shared" ca="1" si="3"/>
        <v>547.61797990801631</v>
      </c>
    </row>
    <row r="1106" spans="1:5" ht="15">
      <c r="A1106" s="3">
        <f t="shared" si="2"/>
        <v>2085</v>
      </c>
      <c r="B1106" s="4">
        <f t="shared" ca="1" si="3"/>
        <v>103.39550833333332</v>
      </c>
      <c r="C1106" s="4">
        <f t="shared" ca="1" si="3"/>
        <v>103.08300833333332</v>
      </c>
      <c r="D1106" s="4">
        <f t="shared" ca="1" si="3"/>
        <v>89.263124999999988</v>
      </c>
      <c r="E1106" s="4">
        <f t="shared" ca="1" si="3"/>
        <v>564.86794627511904</v>
      </c>
    </row>
    <row r="1107" spans="1:5" ht="15">
      <c r="A1107" s="3">
        <f t="shared" si="2"/>
        <v>2086</v>
      </c>
      <c r="B1107" s="4">
        <f t="shared" ca="1" si="3"/>
        <v>106.89770833333334</v>
      </c>
      <c r="C1107" s="4">
        <f t="shared" ca="1" si="3"/>
        <v>106.58520833333334</v>
      </c>
      <c r="D1107" s="4">
        <f t="shared" ca="1" si="3"/>
        <v>91.434558333333328</v>
      </c>
      <c r="E1107" s="4">
        <f t="shared" ca="1" si="3"/>
        <v>582.66128658278535</v>
      </c>
    </row>
    <row r="1108" spans="1:5" ht="15">
      <c r="A1108" s="3">
        <f t="shared" si="2"/>
        <v>2087</v>
      </c>
      <c r="B1108" s="4">
        <f t="shared" ca="1" si="3"/>
        <v>110.52076666666666</v>
      </c>
      <c r="C1108" s="4">
        <f t="shared" ca="1" si="3"/>
        <v>110.20826666666666</v>
      </c>
      <c r="D1108" s="4">
        <f t="shared" ca="1" si="3"/>
        <v>93.659899999999979</v>
      </c>
      <c r="E1108" s="4">
        <f t="shared" ca="1" si="3"/>
        <v>601.01511711014325</v>
      </c>
    </row>
    <row r="1109" spans="1:5" ht="15">
      <c r="A1109" s="3">
        <f t="shared" si="2"/>
        <v>2088</v>
      </c>
      <c r="B1109" s="4">
        <f t="shared" ca="1" si="3"/>
        <v>114.26879999999998</v>
      </c>
      <c r="C1109" s="4">
        <f t="shared" ca="1" si="3"/>
        <v>113.95629999999998</v>
      </c>
      <c r="D1109" s="4">
        <f t="shared" ca="1" si="3"/>
        <v>95.940383333333315</v>
      </c>
      <c r="E1109" s="4">
        <f t="shared" ca="1" si="3"/>
        <v>619.94709329911279</v>
      </c>
    </row>
    <row r="1110" spans="1:5" ht="15">
      <c r="A1110" s="3">
        <f t="shared" si="2"/>
        <v>2089</v>
      </c>
      <c r="B1110" s="4">
        <f t="shared" ca="1" si="3"/>
        <v>118.14613333333334</v>
      </c>
      <c r="C1110" s="4">
        <f t="shared" ca="1" si="3"/>
        <v>117.83363333333334</v>
      </c>
      <c r="D1110" s="4">
        <f t="shared" ca="1" si="3"/>
        <v>98.277433333333349</v>
      </c>
      <c r="E1110" s="4">
        <f t="shared" ca="1" si="3"/>
        <v>639.47542673803491</v>
      </c>
    </row>
    <row r="1111" spans="1:5" ht="15">
      <c r="A1111" s="3">
        <f t="shared" si="2"/>
        <v>2090</v>
      </c>
      <c r="B1111" s="4">
        <f t="shared" ca="1" si="3"/>
        <v>122.15724166666666</v>
      </c>
      <c r="C1111" s="4">
        <f t="shared" ca="1" si="3"/>
        <v>121.84474166666666</v>
      </c>
      <c r="D1111" s="4">
        <f t="shared" ca="1" si="3"/>
        <v>100.67243333333334</v>
      </c>
      <c r="E1111" s="4">
        <f t="shared" ca="1" si="3"/>
        <v>659.61890268028299</v>
      </c>
    </row>
    <row r="1112" spans="1:5" ht="15">
      <c r="A1112" s="3">
        <f t="shared" si="2"/>
        <v>2091</v>
      </c>
      <c r="B1112" s="4">
        <f t="shared" ca="1" si="3"/>
        <v>126.30674166666665</v>
      </c>
      <c r="C1112" s="4">
        <f t="shared" ca="1" si="3"/>
        <v>125.99424166666665</v>
      </c>
      <c r="D1112" s="4">
        <f t="shared" ca="1" si="3"/>
        <v>103.12685</v>
      </c>
      <c r="E1112" s="4">
        <f t="shared" ca="1" si="3"/>
        <v>680.39689811471192</v>
      </c>
    </row>
    <row r="1113" spans="1:5" ht="15">
      <c r="A1113" s="3">
        <f t="shared" si="2"/>
        <v>2092</v>
      </c>
      <c r="B1113" s="4">
        <f t="shared" ca="1" si="3"/>
        <v>130.59939166666666</v>
      </c>
      <c r="C1113" s="4">
        <f t="shared" ca="1" si="3"/>
        <v>130.28689166666666</v>
      </c>
      <c r="D1113" s="4">
        <f t="shared" ca="1" si="3"/>
        <v>105.64210833333334</v>
      </c>
      <c r="E1113" s="4">
        <f t="shared" ca="1" si="3"/>
        <v>701.82940040532537</v>
      </c>
    </row>
    <row r="1114" spans="1:5" ht="15">
      <c r="A1114" s="3">
        <f t="shared" si="2"/>
        <v>2093</v>
      </c>
      <c r="B1114" s="4">
        <f t="shared" ca="1" si="3"/>
        <v>135.0401416666667</v>
      </c>
      <c r="C1114" s="4">
        <f t="shared" ca="1" si="3"/>
        <v>134.7276416666667</v>
      </c>
      <c r="D1114" s="4">
        <f t="shared" ca="1" si="3"/>
        <v>108.21975833333333</v>
      </c>
      <c r="E1114" s="4">
        <f t="shared" ca="1" si="3"/>
        <v>723.93702651809326</v>
      </c>
    </row>
    <row r="1115" spans="1:5" ht="15">
      <c r="A1115" s="3">
        <f t="shared" si="2"/>
        <v>2094</v>
      </c>
      <c r="B1115" s="4">
        <f t="shared" ca="1" si="3"/>
        <v>139.63409166666665</v>
      </c>
      <c r="C1115" s="4">
        <f t="shared" ca="1" si="3"/>
        <v>139.32159166666665</v>
      </c>
      <c r="D1115" s="4">
        <f t="shared" ca="1" si="3"/>
        <v>110.86135833333334</v>
      </c>
      <c r="E1115" s="4">
        <f t="shared" ca="1" si="3"/>
        <v>746.74104285341309</v>
      </c>
    </row>
    <row r="1116" spans="1:5" ht="15">
      <c r="A1116" s="3">
        <f t="shared" si="2"/>
        <v>2095</v>
      </c>
      <c r="B1116" s="4">
        <f t="shared" ca="1" si="3"/>
        <v>144.38654166666666</v>
      </c>
      <c r="C1116" s="4">
        <f t="shared" ca="1" si="3"/>
        <v>144.07404166666666</v>
      </c>
      <c r="D1116" s="4">
        <f t="shared" ca="1" si="3"/>
        <v>113.56844166666666</v>
      </c>
      <c r="E1116" s="4">
        <f t="shared" ca="1" si="3"/>
        <v>770.26338570329563</v>
      </c>
    </row>
    <row r="1117" spans="1:5" ht="15">
      <c r="A1117" s="3">
        <f t="shared" si="2"/>
        <v>2096</v>
      </c>
      <c r="B1117" s="4">
        <f t="shared" ca="1" si="3"/>
        <v>149.30293333333336</v>
      </c>
      <c r="C1117" s="4">
        <f t="shared" ca="1" si="3"/>
        <v>148.99043333333336</v>
      </c>
      <c r="D1117" s="4">
        <f t="shared" ca="1" si="3"/>
        <v>116.34266666666666</v>
      </c>
      <c r="E1117" s="4">
        <f t="shared" ca="1" si="3"/>
        <v>794.52668235294948</v>
      </c>
    </row>
    <row r="1118" spans="1:5" ht="15">
      <c r="A1118" s="3">
        <f t="shared" si="2"/>
        <v>2097</v>
      </c>
      <c r="B1118" s="4">
        <f t="shared" ca="1" si="3"/>
        <v>154.38894166666668</v>
      </c>
      <c r="C1118" s="4">
        <f t="shared" ca="1" si="3"/>
        <v>154.07644166666668</v>
      </c>
      <c r="D1118" s="4">
        <f t="shared" ca="1" si="3"/>
        <v>119.18572499999999</v>
      </c>
      <c r="E1118" s="4">
        <f t="shared" ca="1" si="3"/>
        <v>819.55427284706741</v>
      </c>
    </row>
    <row r="1119" spans="1:5" ht="15">
      <c r="A1119" s="3">
        <f t="shared" si="2"/>
        <v>2098</v>
      </c>
      <c r="B1119" s="4">
        <f t="shared" ca="1" si="3"/>
        <v>159.65044166666667</v>
      </c>
      <c r="C1119" s="4">
        <f t="shared" ca="1" si="3"/>
        <v>159.33794166666667</v>
      </c>
      <c r="D1119" s="4">
        <f t="shared" ca="1" si="3"/>
        <v>122.09922499999999</v>
      </c>
      <c r="E1119" s="4">
        <f t="shared" ca="1" si="3"/>
        <v>845.37023244175009</v>
      </c>
    </row>
    <row r="1120" spans="1:5" ht="15">
      <c r="A1120" s="3">
        <f t="shared" si="2"/>
        <v>2099</v>
      </c>
      <c r="B1120" s="4">
        <f t="shared" ca="1" si="3"/>
        <v>165.09343333333337</v>
      </c>
      <c r="C1120" s="4">
        <f t="shared" ca="1" si="3"/>
        <v>164.78093333333337</v>
      </c>
      <c r="D1120" s="4">
        <f t="shared" ca="1" si="3"/>
        <v>125.08502500000002</v>
      </c>
      <c r="E1120" s="4">
        <f t="shared" ca="1" si="3"/>
        <v>871.99939476366524</v>
      </c>
    </row>
    <row r="1121" spans="1:5" ht="15">
      <c r="A1121" s="3">
        <f t="shared" si="2"/>
        <v>2100</v>
      </c>
      <c r="B1121" s="4">
        <f t="shared" ca="1" si="3"/>
        <v>170.72425000000001</v>
      </c>
      <c r="C1121" s="4">
        <f t="shared" ca="1" si="3"/>
        <v>170.41175000000001</v>
      </c>
      <c r="D1121" s="4">
        <f t="shared" ca="1" si="3"/>
        <v>128.14485000000002</v>
      </c>
      <c r="E1121" s="4">
        <f t="shared" ca="1" si="3"/>
        <v>899.4673756987205</v>
      </c>
    </row>
    <row r="1122" spans="1:5">
      <c r="A1122" s="29"/>
    </row>
    <row r="1123" spans="1:5">
      <c r="A1123" s="29"/>
    </row>
    <row r="1124" spans="1:5">
      <c r="A1124" s="29"/>
    </row>
    <row r="1125" spans="1:5">
      <c r="A1125" s="29"/>
    </row>
    <row r="1126" spans="1:5">
      <c r="A1126" s="29"/>
    </row>
    <row r="1127" spans="1:5">
      <c r="A1127" s="29"/>
    </row>
    <row r="1128" spans="1:5">
      <c r="A1128" s="29"/>
    </row>
    <row r="1129" spans="1:5">
      <c r="A1129" s="29"/>
    </row>
    <row r="1130" spans="1:5">
      <c r="A1130" s="29"/>
    </row>
    <row r="1131" spans="1:5">
      <c r="A1131" s="29"/>
    </row>
    <row r="1132" spans="1:5">
      <c r="A1132" s="29"/>
    </row>
    <row r="1133" spans="1:5">
      <c r="A1133" s="29"/>
    </row>
    <row r="1134" spans="1:5">
      <c r="A1134" s="29"/>
    </row>
    <row r="1135" spans="1:5">
      <c r="A1135" s="29"/>
    </row>
    <row r="1136" spans="1:5">
      <c r="A1136" s="29"/>
    </row>
    <row r="1137" spans="1:1">
      <c r="A1137" s="29"/>
    </row>
    <row r="1138" spans="1:1">
      <c r="A1138" s="29"/>
    </row>
    <row r="1139" spans="1:1">
      <c r="A1139" s="29"/>
    </row>
    <row r="1140" spans="1:1">
      <c r="A1140" s="29"/>
    </row>
    <row r="1141" spans="1:1">
      <c r="A1141" s="29"/>
    </row>
  </sheetData>
  <mergeCells count="1">
    <mergeCell ref="B13:C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133350</xdr:colOff>
                    <xdr:row>8</xdr:row>
                    <xdr:rowOff>180975</xdr:rowOff>
                  </from>
                  <to>
                    <xdr:col>2</xdr:col>
                    <xdr:colOff>666750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19050</xdr:colOff>
                    <xdr:row>8</xdr:row>
                    <xdr:rowOff>180975</xdr:rowOff>
                  </from>
                  <to>
                    <xdr:col>4</xdr:col>
                    <xdr:colOff>371475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21"/>
  <sheetViews>
    <sheetView zoomScale="70" workbookViewId="0">
      <pane xSplit="1" ySplit="15" topLeftCell="B16" activePane="bottomRight" state="frozen"/>
      <selection activeCell="C1056" sqref="C1056"/>
      <selection pane="topRight" activeCell="C1056" sqref="C1056"/>
      <selection pane="bottomLeft" activeCell="C1056" sqref="C1056"/>
      <selection pane="bottomRight" activeCell="C4" sqref="C4"/>
    </sheetView>
  </sheetViews>
  <sheetFormatPr defaultColWidth="7.109375" defaultRowHeight="12.75"/>
  <cols>
    <col min="1" max="1" width="14.5546875" style="29" customWidth="1"/>
    <col min="2" max="2" width="19" style="29" customWidth="1"/>
    <col min="3" max="3" width="16.109375" style="29" customWidth="1"/>
    <col min="4" max="4" width="20.21875" style="29" customWidth="1"/>
    <col min="5" max="5" width="20.6640625" style="29" customWidth="1"/>
    <col min="6" max="6" width="16.109375" style="29" customWidth="1"/>
    <col min="7" max="9" width="20" style="29" customWidth="1"/>
    <col min="10" max="11" width="19.109375" style="29" customWidth="1"/>
    <col min="12" max="12" width="16.109375" style="29" customWidth="1"/>
    <col min="13" max="15" width="17.6640625" style="29" customWidth="1"/>
    <col min="16" max="16384" width="7.109375" style="29"/>
  </cols>
  <sheetData>
    <row r="1" spans="1:15" ht="15.75">
      <c r="A1" s="81" t="s">
        <v>64</v>
      </c>
    </row>
    <row r="2" spans="1:15" ht="15.75">
      <c r="A2" s="81" t="s">
        <v>65</v>
      </c>
    </row>
    <row r="3" spans="1:15" ht="15.75">
      <c r="A3" s="81" t="s">
        <v>70</v>
      </c>
    </row>
    <row r="4" spans="1:15" ht="15.75">
      <c r="A4" s="81" t="s">
        <v>66</v>
      </c>
    </row>
    <row r="5" spans="1:15" ht="15.75">
      <c r="A5" s="81" t="s">
        <v>67</v>
      </c>
    </row>
    <row r="6" spans="1:15" ht="15.75">
      <c r="A6" s="81" t="s">
        <v>71</v>
      </c>
    </row>
    <row r="8" spans="1:15" ht="15" customHeight="1">
      <c r="A8" s="71" t="s">
        <v>25</v>
      </c>
    </row>
    <row r="9" spans="1:15" ht="15" customHeight="1">
      <c r="A9" s="72"/>
    </row>
    <row r="10" spans="1:15" ht="15" customHeight="1">
      <c r="A10" s="72"/>
    </row>
    <row r="11" spans="1:15" ht="15" customHeight="1">
      <c r="B11" s="71"/>
      <c r="H11" s="68" t="s">
        <v>51</v>
      </c>
    </row>
    <row r="12" spans="1:15" ht="15" customHeight="1">
      <c r="A12" s="71"/>
      <c r="B12" s="70" t="s">
        <v>24</v>
      </c>
      <c r="C12" s="69">
        <f>1-0.141</f>
        <v>0.85899999999999999</v>
      </c>
      <c r="D12" s="70" t="s">
        <v>23</v>
      </c>
      <c r="E12" s="69">
        <f>1+0.141</f>
        <v>1.141</v>
      </c>
      <c r="H12" s="68"/>
      <c r="L12" s="86"/>
      <c r="M12" s="86"/>
      <c r="N12" s="86"/>
      <c r="O12" s="86"/>
    </row>
    <row r="13" spans="1:15" ht="15" customHeight="1">
      <c r="B13" s="85" t="s">
        <v>50</v>
      </c>
      <c r="C13" s="85"/>
      <c r="D13" s="85"/>
      <c r="E13" s="87" t="s">
        <v>49</v>
      </c>
      <c r="F13" s="87"/>
      <c r="G13" s="88"/>
      <c r="H13" s="89" t="s">
        <v>48</v>
      </c>
      <c r="I13" s="89"/>
      <c r="J13" s="88" t="s">
        <v>47</v>
      </c>
      <c r="K13" s="88"/>
      <c r="L13" s="86"/>
      <c r="M13" s="86"/>
      <c r="N13" s="86"/>
      <c r="O13" s="86"/>
    </row>
    <row r="14" spans="1:15" ht="47.25">
      <c r="B14" s="67" t="s">
        <v>46</v>
      </c>
      <c r="C14" s="66" t="s">
        <v>45</v>
      </c>
      <c r="D14" s="65" t="s">
        <v>44</v>
      </c>
      <c r="E14" s="67" t="s">
        <v>46</v>
      </c>
      <c r="F14" s="66" t="s">
        <v>45</v>
      </c>
      <c r="G14" s="65" t="s">
        <v>44</v>
      </c>
      <c r="H14" s="66" t="s">
        <v>45</v>
      </c>
      <c r="I14" s="65" t="s">
        <v>44</v>
      </c>
      <c r="J14" s="66" t="s">
        <v>45</v>
      </c>
      <c r="K14" s="65" t="s">
        <v>44</v>
      </c>
      <c r="L14" s="57"/>
      <c r="M14" s="64"/>
      <c r="N14" s="64"/>
      <c r="O14" s="64"/>
    </row>
    <row r="15" spans="1:15" ht="20.25">
      <c r="A15" s="21" t="s">
        <v>2</v>
      </c>
      <c r="B15" s="63" t="s">
        <v>1</v>
      </c>
      <c r="C15" s="63" t="s">
        <v>1</v>
      </c>
      <c r="D15" s="63" t="s">
        <v>1</v>
      </c>
      <c r="E15" s="63" t="s">
        <v>1</v>
      </c>
      <c r="F15" s="63" t="s">
        <v>1</v>
      </c>
      <c r="G15" s="63" t="s">
        <v>1</v>
      </c>
      <c r="H15" s="63" t="s">
        <v>1</v>
      </c>
      <c r="I15" s="63" t="s">
        <v>1</v>
      </c>
      <c r="J15" s="63" t="s">
        <v>1</v>
      </c>
      <c r="K15" s="63" t="s">
        <v>1</v>
      </c>
      <c r="L15" s="62"/>
      <c r="M15" s="62"/>
      <c r="N15" s="62"/>
      <c r="O15" s="62"/>
    </row>
    <row r="16" spans="1:15" ht="15">
      <c r="A16" s="13">
        <v>42370</v>
      </c>
      <c r="B16" s="60">
        <f>2.6078 * CHOOSE(CONTROL!$C$21, $C$12, 100%, $E$12)</f>
        <v>2.6078000000000001</v>
      </c>
      <c r="C16" s="60">
        <f>2.6078 * CHOOSE(CONTROL!$C$21, $C$12, 100%, $E$12)</f>
        <v>2.6078000000000001</v>
      </c>
      <c r="D16" s="60">
        <f>2.6184 * CHOOSE(CONTROL!$C$21, $C$12, 100%, $E$12)</f>
        <v>2.6183999999999998</v>
      </c>
      <c r="E16" s="61">
        <f>3.383 * CHOOSE(CONTROL!$C$21, $C$12, 100%, $E$12)</f>
        <v>3.383</v>
      </c>
      <c r="F16" s="61">
        <f>4.017 * CHOOSE(CONTROL!$C$21, $C$12, 100%, $E$12)</f>
        <v>4.0170000000000003</v>
      </c>
      <c r="G16" s="61">
        <f>4.0172 * CHOOSE(CONTROL!$C$21, $C$12, 100%, $E$12)</f>
        <v>4.0171999999999999</v>
      </c>
      <c r="H16" s="61">
        <f>5.731* CHOOSE(CONTROL!$C$21, $C$12, 100%, $E$12)</f>
        <v>5.7309999999999999</v>
      </c>
      <c r="I16" s="61">
        <f>5.7312 * CHOOSE(CONTROL!$C$21, $C$12, 100%, $E$12)</f>
        <v>5.7312000000000003</v>
      </c>
      <c r="J16" s="61">
        <f>3.383 * CHOOSE(CONTROL!$C$21, $C$12, 100%, $E$12)</f>
        <v>3.383</v>
      </c>
      <c r="K16" s="61">
        <f>3.3832 * CHOOSE(CONTROL!$C$21, $C$12, 100%, $E$12)</f>
        <v>3.3832</v>
      </c>
      <c r="L16" s="4"/>
      <c r="M16" s="61"/>
      <c r="N16" s="61"/>
    </row>
    <row r="17" spans="1:14" ht="15">
      <c r="A17" s="13">
        <v>42401</v>
      </c>
      <c r="B17" s="60">
        <f>2.6017 * CHOOSE(CONTROL!$C$21, $C$12, 100%, $E$12)</f>
        <v>2.6017000000000001</v>
      </c>
      <c r="C17" s="60">
        <f>2.6017 * CHOOSE(CONTROL!$C$21, $C$12, 100%, $E$12)</f>
        <v>2.6017000000000001</v>
      </c>
      <c r="D17" s="60">
        <f>2.6123 * CHOOSE(CONTROL!$C$21, $C$12, 100%, $E$12)</f>
        <v>2.6122999999999998</v>
      </c>
      <c r="E17" s="61">
        <f>3.3427 * CHOOSE(CONTROL!$C$21, $C$12, 100%, $E$12)</f>
        <v>3.3426999999999998</v>
      </c>
      <c r="F17" s="61">
        <f>4.035 * CHOOSE(CONTROL!$C$21, $C$12, 100%, $E$12)</f>
        <v>4.0350000000000001</v>
      </c>
      <c r="G17" s="61">
        <f>4.0352 * CHOOSE(CONTROL!$C$21, $C$12, 100%, $E$12)</f>
        <v>4.0351999999999997</v>
      </c>
      <c r="H17" s="61">
        <f>5.743* CHOOSE(CONTROL!$C$21, $C$12, 100%, $E$12)</f>
        <v>5.7430000000000003</v>
      </c>
      <c r="I17" s="61">
        <f>5.7432 * CHOOSE(CONTROL!$C$21, $C$12, 100%, $E$12)</f>
        <v>5.7431999999999999</v>
      </c>
      <c r="J17" s="61">
        <f>3.3427 * CHOOSE(CONTROL!$C$21, $C$12, 100%, $E$12)</f>
        <v>3.3426999999999998</v>
      </c>
      <c r="K17" s="61">
        <f>3.3429 * CHOOSE(CONTROL!$C$21, $C$12, 100%, $E$12)</f>
        <v>3.3429000000000002</v>
      </c>
      <c r="L17" s="4"/>
      <c r="M17" s="61"/>
      <c r="N17" s="61"/>
    </row>
    <row r="18" spans="1:14" ht="15">
      <c r="A18" s="13">
        <v>42430</v>
      </c>
      <c r="B18" s="60">
        <f>2.5956 * CHOOSE(CONTROL!$C$21, $C$12, 100%, $E$12)</f>
        <v>2.5956000000000001</v>
      </c>
      <c r="C18" s="60">
        <f>2.5956 * CHOOSE(CONTROL!$C$21, $C$12, 100%, $E$12)</f>
        <v>2.5956000000000001</v>
      </c>
      <c r="D18" s="60">
        <f>2.6062 * CHOOSE(CONTROL!$C$21, $C$12, 100%, $E$12)</f>
        <v>2.6061999999999999</v>
      </c>
      <c r="E18" s="61">
        <f>3.5819 * CHOOSE(CONTROL!$C$21, $C$12, 100%, $E$12)</f>
        <v>3.5819000000000001</v>
      </c>
      <c r="F18" s="61">
        <f>4.01 * CHOOSE(CONTROL!$C$21, $C$12, 100%, $E$12)</f>
        <v>4.01</v>
      </c>
      <c r="G18" s="61">
        <f>4.0102 * CHOOSE(CONTROL!$C$21, $C$12, 100%, $E$12)</f>
        <v>4.0102000000000002</v>
      </c>
      <c r="H18" s="61">
        <f>5.7549* CHOOSE(CONTROL!$C$21, $C$12, 100%, $E$12)</f>
        <v>5.7549000000000001</v>
      </c>
      <c r="I18" s="61">
        <f>5.7551 * CHOOSE(CONTROL!$C$21, $C$12, 100%, $E$12)</f>
        <v>5.7550999999999997</v>
      </c>
      <c r="J18" s="61">
        <f>3.5819 * CHOOSE(CONTROL!$C$21, $C$12, 100%, $E$12)</f>
        <v>3.5819000000000001</v>
      </c>
      <c r="K18" s="61">
        <f>3.5821 * CHOOSE(CONTROL!$C$21, $C$12, 100%, $E$12)</f>
        <v>3.5821000000000001</v>
      </c>
      <c r="L18" s="4"/>
      <c r="M18" s="61"/>
      <c r="N18" s="61"/>
    </row>
    <row r="19" spans="1:14" ht="15">
      <c r="A19" s="13">
        <v>42461</v>
      </c>
      <c r="B19" s="60">
        <f>2.6042 * CHOOSE(CONTROL!$C$21, $C$12, 100%, $E$12)</f>
        <v>2.6042000000000001</v>
      </c>
      <c r="C19" s="60">
        <f>2.6042 * CHOOSE(CONTROL!$C$21, $C$12, 100%, $E$12)</f>
        <v>2.6042000000000001</v>
      </c>
      <c r="D19" s="60">
        <f>2.6148 * CHOOSE(CONTROL!$C$21, $C$12, 100%, $E$12)</f>
        <v>2.6147999999999998</v>
      </c>
      <c r="E19" s="61">
        <f>3.3427 * CHOOSE(CONTROL!$C$21, $C$12, 100%, $E$12)</f>
        <v>3.3426999999999998</v>
      </c>
      <c r="F19" s="61">
        <f>4.035 * CHOOSE(CONTROL!$C$21, $C$12, 100%, $E$12)</f>
        <v>4.0350000000000001</v>
      </c>
      <c r="G19" s="61">
        <f>4.0352 * CHOOSE(CONTROL!$C$21, $C$12, 100%, $E$12)</f>
        <v>4.0351999999999997</v>
      </c>
      <c r="H19" s="61">
        <f>5.7669* CHOOSE(CONTROL!$C$21, $C$12, 100%, $E$12)</f>
        <v>5.7668999999999997</v>
      </c>
      <c r="I19" s="61">
        <f>5.7671 * CHOOSE(CONTROL!$C$21, $C$12, 100%, $E$12)</f>
        <v>5.7671000000000001</v>
      </c>
      <c r="J19" s="61">
        <f>3.3427 * CHOOSE(CONTROL!$C$21, $C$12, 100%, $E$12)</f>
        <v>3.3426999999999998</v>
      </c>
      <c r="K19" s="61">
        <f>3.3429 * CHOOSE(CONTROL!$C$21, $C$12, 100%, $E$12)</f>
        <v>3.3429000000000002</v>
      </c>
      <c r="L19" s="4"/>
      <c r="M19" s="61"/>
      <c r="N19" s="61"/>
    </row>
    <row r="20" spans="1:14" ht="15">
      <c r="A20" s="13">
        <v>42491</v>
      </c>
      <c r="B20" s="60">
        <f>2.6103 * CHOOSE(CONTROL!$C$21, $C$12, 100%, $E$12)</f>
        <v>2.6103000000000001</v>
      </c>
      <c r="C20" s="60">
        <f>2.6103 * CHOOSE(CONTROL!$C$21, $C$12, 100%, $E$12)</f>
        <v>2.6103000000000001</v>
      </c>
      <c r="D20" s="60">
        <f>2.6314 * CHOOSE(CONTROL!$C$21, $C$12, 100%, $E$12)</f>
        <v>2.6314000000000002</v>
      </c>
      <c r="E20" s="61">
        <f>3.3395 * CHOOSE(CONTROL!$C$21, $C$12, 100%, $E$12)</f>
        <v>3.3395000000000001</v>
      </c>
      <c r="F20" s="61">
        <f>4.005 * CHOOSE(CONTROL!$C$21, $C$12, 100%, $E$12)</f>
        <v>4.0049999999999999</v>
      </c>
      <c r="G20" s="61">
        <f>4.0064 * CHOOSE(CONTROL!$C$21, $C$12, 100%, $E$12)</f>
        <v>4.0064000000000002</v>
      </c>
      <c r="H20" s="61">
        <f>5.7789* CHOOSE(CONTROL!$C$21, $C$12, 100%, $E$12)</f>
        <v>5.7789000000000001</v>
      </c>
      <c r="I20" s="61">
        <f>5.7803 * CHOOSE(CONTROL!$C$21, $C$12, 100%, $E$12)</f>
        <v>5.7803000000000004</v>
      </c>
      <c r="J20" s="61">
        <f>3.3395 * CHOOSE(CONTROL!$C$21, $C$12, 100%, $E$12)</f>
        <v>3.3395000000000001</v>
      </c>
      <c r="K20" s="61">
        <f>3.3408 * CHOOSE(CONTROL!$C$21, $C$12, 100%, $E$12)</f>
        <v>3.3408000000000002</v>
      </c>
      <c r="L20" s="4"/>
      <c r="M20" s="61"/>
      <c r="N20" s="61"/>
    </row>
    <row r="21" spans="1:14" ht="15">
      <c r="A21" s="13">
        <v>42522</v>
      </c>
      <c r="B21" s="60">
        <f>2.6164 * CHOOSE(CONTROL!$C$21, $C$12, 100%, $E$12)</f>
        <v>2.6164000000000001</v>
      </c>
      <c r="C21" s="60">
        <f>2.6164 * CHOOSE(CONTROL!$C$21, $C$12, 100%, $E$12)</f>
        <v>2.6164000000000001</v>
      </c>
      <c r="D21" s="60">
        <f>2.6375 * CHOOSE(CONTROL!$C$21, $C$12, 100%, $E$12)</f>
        <v>2.6375000000000002</v>
      </c>
      <c r="E21" s="61">
        <f>3.1559 * CHOOSE(CONTROL!$C$21, $C$12, 100%, $E$12)</f>
        <v>3.1558999999999999</v>
      </c>
      <c r="F21" s="61">
        <f>4.017 * CHOOSE(CONTROL!$C$21, $C$12, 100%, $E$12)</f>
        <v>4.0170000000000003</v>
      </c>
      <c r="G21" s="61">
        <f>4.0184 * CHOOSE(CONTROL!$C$21, $C$12, 100%, $E$12)</f>
        <v>4.0183999999999997</v>
      </c>
      <c r="H21" s="61">
        <f>5.791* CHOOSE(CONTROL!$C$21, $C$12, 100%, $E$12)</f>
        <v>5.7910000000000004</v>
      </c>
      <c r="I21" s="61">
        <f>5.7924 * CHOOSE(CONTROL!$C$21, $C$12, 100%, $E$12)</f>
        <v>5.7923999999999998</v>
      </c>
      <c r="J21" s="61">
        <f>3.1559 * CHOOSE(CONTROL!$C$21, $C$12, 100%, $E$12)</f>
        <v>3.1558999999999999</v>
      </c>
      <c r="K21" s="61">
        <f>3.1573 * CHOOSE(CONTROL!$C$21, $C$12, 100%, $E$12)</f>
        <v>3.1573000000000002</v>
      </c>
      <c r="L21" s="4"/>
      <c r="M21" s="61"/>
      <c r="N21" s="61"/>
    </row>
    <row r="22" spans="1:14" ht="15">
      <c r="A22" s="13">
        <v>42552</v>
      </c>
      <c r="B22" s="60">
        <f>2.6506 * CHOOSE(CONTROL!$C$21, $C$12, 100%, $E$12)</f>
        <v>2.6505999999999998</v>
      </c>
      <c r="C22" s="60">
        <f>2.6506 * CHOOSE(CONTROL!$C$21, $C$12, 100%, $E$12)</f>
        <v>2.6505999999999998</v>
      </c>
      <c r="D22" s="60">
        <f>2.6717 * CHOOSE(CONTROL!$C$21, $C$12, 100%, $E$12)</f>
        <v>2.6717</v>
      </c>
      <c r="E22" s="61">
        <f>3.2732 * CHOOSE(CONTROL!$C$21, $C$12, 100%, $E$12)</f>
        <v>3.2732000000000001</v>
      </c>
      <c r="F22" s="61">
        <f>4.017 * CHOOSE(CONTROL!$C$21, $C$12, 100%, $E$12)</f>
        <v>4.0170000000000003</v>
      </c>
      <c r="G22" s="61">
        <f>4.0184 * CHOOSE(CONTROL!$C$21, $C$12, 100%, $E$12)</f>
        <v>4.0183999999999997</v>
      </c>
      <c r="H22" s="61">
        <f>5.8031* CHOOSE(CONTROL!$C$21, $C$12, 100%, $E$12)</f>
        <v>5.8030999999999997</v>
      </c>
      <c r="I22" s="61">
        <f>5.8044 * CHOOSE(CONTROL!$C$21, $C$12, 100%, $E$12)</f>
        <v>5.8044000000000002</v>
      </c>
      <c r="J22" s="61">
        <f>3.2732 * CHOOSE(CONTROL!$C$21, $C$12, 100%, $E$12)</f>
        <v>3.2732000000000001</v>
      </c>
      <c r="K22" s="61">
        <f>3.2746 * CHOOSE(CONTROL!$C$21, $C$12, 100%, $E$12)</f>
        <v>3.2746</v>
      </c>
      <c r="L22" s="4"/>
      <c r="M22" s="4"/>
      <c r="N22" s="4"/>
    </row>
    <row r="23" spans="1:14" ht="15">
      <c r="A23" s="13">
        <v>42583</v>
      </c>
      <c r="B23" s="60">
        <f>2.6658 * CHOOSE(CONTROL!$C$21, $C$12, 100%, $E$12)</f>
        <v>2.6657999999999999</v>
      </c>
      <c r="C23" s="60">
        <f>2.6658 * CHOOSE(CONTROL!$C$21, $C$12, 100%, $E$12)</f>
        <v>2.6657999999999999</v>
      </c>
      <c r="D23" s="60">
        <f>2.6869 * CHOOSE(CONTROL!$C$21, $C$12, 100%, $E$12)</f>
        <v>2.6869000000000001</v>
      </c>
      <c r="E23" s="61">
        <f>3.383 * CHOOSE(CONTROL!$C$21, $C$12, 100%, $E$12)</f>
        <v>3.383</v>
      </c>
      <c r="F23" s="61">
        <f>4.017 * CHOOSE(CONTROL!$C$21, $C$12, 100%, $E$12)</f>
        <v>4.0170000000000003</v>
      </c>
      <c r="G23" s="61">
        <f>4.0184 * CHOOSE(CONTROL!$C$21, $C$12, 100%, $E$12)</f>
        <v>4.0183999999999997</v>
      </c>
      <c r="H23" s="61">
        <f>5.8151* CHOOSE(CONTROL!$C$21, $C$12, 100%, $E$12)</f>
        <v>5.8151000000000002</v>
      </c>
      <c r="I23" s="61">
        <f>5.8165 * CHOOSE(CONTROL!$C$21, $C$12, 100%, $E$12)</f>
        <v>5.8164999999999996</v>
      </c>
      <c r="J23" s="61">
        <f>3.383 * CHOOSE(CONTROL!$C$21, $C$12, 100%, $E$12)</f>
        <v>3.383</v>
      </c>
      <c r="K23" s="61">
        <f>3.3844 * CHOOSE(CONTROL!$C$21, $C$12, 100%, $E$12)</f>
        <v>3.3843999999999999</v>
      </c>
      <c r="L23" s="4"/>
      <c r="M23" s="4"/>
      <c r="N23" s="4"/>
    </row>
    <row r="24" spans="1:14" ht="15">
      <c r="A24" s="13">
        <v>42614</v>
      </c>
      <c r="B24" s="60">
        <f>2.6597 * CHOOSE(CONTROL!$C$21, $C$12, 100%, $E$12)</f>
        <v>2.6597</v>
      </c>
      <c r="C24" s="60">
        <f>2.6597 * CHOOSE(CONTROL!$C$21, $C$12, 100%, $E$12)</f>
        <v>2.6597</v>
      </c>
      <c r="D24" s="60">
        <f>2.6808 * CHOOSE(CONTROL!$C$21, $C$12, 100%, $E$12)</f>
        <v>2.6808000000000001</v>
      </c>
      <c r="E24" s="61">
        <f>3.2732 * CHOOSE(CONTROL!$C$21, $C$12, 100%, $E$12)</f>
        <v>3.2732000000000001</v>
      </c>
      <c r="F24" s="61">
        <f>4.017 * CHOOSE(CONTROL!$C$21, $C$12, 100%, $E$12)</f>
        <v>4.0170000000000003</v>
      </c>
      <c r="G24" s="61">
        <f>4.0184 * CHOOSE(CONTROL!$C$21, $C$12, 100%, $E$12)</f>
        <v>4.0183999999999997</v>
      </c>
      <c r="H24" s="61">
        <f>5.8273* CHOOSE(CONTROL!$C$21, $C$12, 100%, $E$12)</f>
        <v>5.8273000000000001</v>
      </c>
      <c r="I24" s="61">
        <f>5.8286 * CHOOSE(CONTROL!$C$21, $C$12, 100%, $E$12)</f>
        <v>5.8285999999999998</v>
      </c>
      <c r="J24" s="61">
        <f>3.2732 * CHOOSE(CONTROL!$C$21, $C$12, 100%, $E$12)</f>
        <v>3.2732000000000001</v>
      </c>
      <c r="K24" s="61">
        <f>3.2746 * CHOOSE(CONTROL!$C$21, $C$12, 100%, $E$12)</f>
        <v>3.2746</v>
      </c>
      <c r="L24" s="4"/>
      <c r="M24" s="4"/>
      <c r="N24" s="4"/>
    </row>
    <row r="25" spans="1:14" ht="15">
      <c r="A25" s="13">
        <v>42644</v>
      </c>
      <c r="B25" s="60">
        <f>2.6898 * CHOOSE(CONTROL!$C$21, $C$12, 100%, $E$12)</f>
        <v>2.6898</v>
      </c>
      <c r="C25" s="60">
        <f>2.6898 * CHOOSE(CONTROL!$C$21, $C$12, 100%, $E$12)</f>
        <v>2.6898</v>
      </c>
      <c r="D25" s="60">
        <f>2.7004 * CHOOSE(CONTROL!$C$21, $C$12, 100%, $E$12)</f>
        <v>2.7004000000000001</v>
      </c>
      <c r="E25" s="61">
        <f>3.3427 * CHOOSE(CONTROL!$C$21, $C$12, 100%, $E$12)</f>
        <v>3.3426999999999998</v>
      </c>
      <c r="F25" s="61">
        <f>4.035 * CHOOSE(CONTROL!$C$21, $C$12, 100%, $E$12)</f>
        <v>4.0350000000000001</v>
      </c>
      <c r="G25" s="61">
        <f>4.0352 * CHOOSE(CONTROL!$C$21, $C$12, 100%, $E$12)</f>
        <v>4.0351999999999997</v>
      </c>
      <c r="H25" s="61">
        <f>5.8394* CHOOSE(CONTROL!$C$21, $C$12, 100%, $E$12)</f>
        <v>5.8394000000000004</v>
      </c>
      <c r="I25" s="61">
        <f>5.8396 * CHOOSE(CONTROL!$C$21, $C$12, 100%, $E$12)</f>
        <v>5.8395999999999999</v>
      </c>
      <c r="J25" s="61">
        <f>3.3427 * CHOOSE(CONTROL!$C$21, $C$12, 100%, $E$12)</f>
        <v>3.3426999999999998</v>
      </c>
      <c r="K25" s="61">
        <f>3.3429 * CHOOSE(CONTROL!$C$21, $C$12, 100%, $E$12)</f>
        <v>3.3429000000000002</v>
      </c>
      <c r="L25" s="4"/>
      <c r="M25" s="4"/>
      <c r="N25" s="4"/>
    </row>
    <row r="26" spans="1:14" ht="15">
      <c r="A26" s="13">
        <v>42675</v>
      </c>
      <c r="B26" s="60">
        <f>2.6928 * CHOOSE(CONTROL!$C$21, $C$12, 100%, $E$12)</f>
        <v>2.6928000000000001</v>
      </c>
      <c r="C26" s="60">
        <f>2.6928 * CHOOSE(CONTROL!$C$21, $C$12, 100%, $E$12)</f>
        <v>2.6928000000000001</v>
      </c>
      <c r="D26" s="60">
        <f>2.7034 * CHOOSE(CONTROL!$C$21, $C$12, 100%, $E$12)</f>
        <v>2.7033999999999998</v>
      </c>
      <c r="E26" s="61">
        <f>3.3427 * CHOOSE(CONTROL!$C$21, $C$12, 100%, $E$12)</f>
        <v>3.3426999999999998</v>
      </c>
      <c r="F26" s="61">
        <f>4.035 * CHOOSE(CONTROL!$C$21, $C$12, 100%, $E$12)</f>
        <v>4.0350000000000001</v>
      </c>
      <c r="G26" s="61">
        <f>4.0352 * CHOOSE(CONTROL!$C$21, $C$12, 100%, $E$12)</f>
        <v>4.0351999999999997</v>
      </c>
      <c r="H26" s="61">
        <f>5.8516* CHOOSE(CONTROL!$C$21, $C$12, 100%, $E$12)</f>
        <v>5.8516000000000004</v>
      </c>
      <c r="I26" s="61">
        <f>5.8517 * CHOOSE(CONTROL!$C$21, $C$12, 100%, $E$12)</f>
        <v>5.8517000000000001</v>
      </c>
      <c r="J26" s="61">
        <f>3.3427 * CHOOSE(CONTROL!$C$21, $C$12, 100%, $E$12)</f>
        <v>3.3426999999999998</v>
      </c>
      <c r="K26" s="61">
        <f>3.3429 * CHOOSE(CONTROL!$C$21, $C$12, 100%, $E$12)</f>
        <v>3.3429000000000002</v>
      </c>
      <c r="L26" s="4"/>
      <c r="M26" s="4"/>
      <c r="N26" s="4"/>
    </row>
    <row r="27" spans="1:14" ht="15">
      <c r="A27" s="13">
        <v>42705</v>
      </c>
      <c r="B27" s="60">
        <f>2.6959 * CHOOSE(CONTROL!$C$21, $C$12, 100%, $E$12)</f>
        <v>2.6959</v>
      </c>
      <c r="C27" s="60">
        <f>2.6959 * CHOOSE(CONTROL!$C$21, $C$12, 100%, $E$12)</f>
        <v>2.6959</v>
      </c>
      <c r="D27" s="60">
        <f>2.7064 * CHOOSE(CONTROL!$C$21, $C$12, 100%, $E$12)</f>
        <v>2.7063999999999999</v>
      </c>
      <c r="E27" s="61">
        <f>3.5831 * CHOOSE(CONTROL!$C$21, $C$12, 100%, $E$12)</f>
        <v>3.5831</v>
      </c>
      <c r="F27" s="61">
        <f>4.017 * CHOOSE(CONTROL!$C$21, $C$12, 100%, $E$12)</f>
        <v>4.0170000000000003</v>
      </c>
      <c r="G27" s="61">
        <f>4.0172 * CHOOSE(CONTROL!$C$21, $C$12, 100%, $E$12)</f>
        <v>4.0171999999999999</v>
      </c>
      <c r="H27" s="61">
        <f>5.8638* CHOOSE(CONTROL!$C$21, $C$12, 100%, $E$12)</f>
        <v>5.8638000000000003</v>
      </c>
      <c r="I27" s="61">
        <f>5.8639 * CHOOSE(CONTROL!$C$21, $C$12, 100%, $E$12)</f>
        <v>5.8639000000000001</v>
      </c>
      <c r="J27" s="61">
        <f>3.5831 * CHOOSE(CONTROL!$C$21, $C$12, 100%, $E$12)</f>
        <v>3.5831</v>
      </c>
      <c r="K27" s="61">
        <f>3.5833 * CHOOSE(CONTROL!$C$21, $C$12, 100%, $E$12)</f>
        <v>3.5832999999999999</v>
      </c>
      <c r="L27" s="4"/>
      <c r="M27" s="4"/>
      <c r="N27" s="4"/>
    </row>
    <row r="28" spans="1:14" ht="15">
      <c r="A28" s="13">
        <v>42736</v>
      </c>
      <c r="B28" s="60">
        <f>2.7015 * CHOOSE(CONTROL!$C$21, $C$12, 100%, $E$12)</f>
        <v>2.7014999999999998</v>
      </c>
      <c r="C28" s="60">
        <f>2.7015 * CHOOSE(CONTROL!$C$21, $C$12, 100%, $E$12)</f>
        <v>2.7014999999999998</v>
      </c>
      <c r="D28" s="60">
        <f>2.7121 * CHOOSE(CONTROL!$C$21, $C$12, 100%, $E$12)</f>
        <v>2.7121</v>
      </c>
      <c r="E28" s="61">
        <f>3.4856 * CHOOSE(CONTROL!$C$21, $C$12, 100%, $E$12)</f>
        <v>3.4855999999999998</v>
      </c>
      <c r="F28" s="61">
        <f>3.4856 * CHOOSE(CONTROL!$C$21, $C$12, 100%, $E$12)</f>
        <v>3.4855999999999998</v>
      </c>
      <c r="G28" s="61">
        <f>3.4858 * CHOOSE(CONTROL!$C$21, $C$12, 100%, $E$12)</f>
        <v>3.4857999999999998</v>
      </c>
      <c r="H28" s="61">
        <f>5.876* CHOOSE(CONTROL!$C$21, $C$12, 100%, $E$12)</f>
        <v>5.8760000000000003</v>
      </c>
      <c r="I28" s="61">
        <f>5.8761 * CHOOSE(CONTROL!$C$21, $C$12, 100%, $E$12)</f>
        <v>5.8761000000000001</v>
      </c>
      <c r="J28" s="61">
        <f>3.4856 * CHOOSE(CONTROL!$C$21, $C$12, 100%, $E$12)</f>
        <v>3.4855999999999998</v>
      </c>
      <c r="K28" s="61">
        <f>3.4858 * CHOOSE(CONTROL!$C$21, $C$12, 100%, $E$12)</f>
        <v>3.4857999999999998</v>
      </c>
      <c r="L28" s="4"/>
      <c r="M28" s="4"/>
      <c r="N28" s="4"/>
    </row>
    <row r="29" spans="1:14" ht="15">
      <c r="A29" s="13">
        <v>42767</v>
      </c>
      <c r="B29" s="60">
        <f>2.6954 * CHOOSE(CONTROL!$C$21, $C$12, 100%, $E$12)</f>
        <v>2.6953999999999998</v>
      </c>
      <c r="C29" s="60">
        <f>2.6954 * CHOOSE(CONTROL!$C$21, $C$12, 100%, $E$12)</f>
        <v>2.6953999999999998</v>
      </c>
      <c r="D29" s="60">
        <f>2.706 * CHOOSE(CONTROL!$C$21, $C$12, 100%, $E$12)</f>
        <v>2.706</v>
      </c>
      <c r="E29" s="61">
        <f>3.3873 * CHOOSE(CONTROL!$C$21, $C$12, 100%, $E$12)</f>
        <v>3.3873000000000002</v>
      </c>
      <c r="F29" s="61">
        <f>3.3873 * CHOOSE(CONTROL!$C$21, $C$12, 100%, $E$12)</f>
        <v>3.3873000000000002</v>
      </c>
      <c r="G29" s="61">
        <f>3.3875 * CHOOSE(CONTROL!$C$21, $C$12, 100%, $E$12)</f>
        <v>3.3875000000000002</v>
      </c>
      <c r="H29" s="61">
        <f>5.8882* CHOOSE(CONTROL!$C$21, $C$12, 100%, $E$12)</f>
        <v>5.8882000000000003</v>
      </c>
      <c r="I29" s="61">
        <f>5.8884 * CHOOSE(CONTROL!$C$21, $C$12, 100%, $E$12)</f>
        <v>5.8883999999999999</v>
      </c>
      <c r="J29" s="61">
        <f>3.3873 * CHOOSE(CONTROL!$C$21, $C$12, 100%, $E$12)</f>
        <v>3.3873000000000002</v>
      </c>
      <c r="K29" s="61">
        <f>3.3875 * CHOOSE(CONTROL!$C$21, $C$12, 100%, $E$12)</f>
        <v>3.3875000000000002</v>
      </c>
      <c r="L29" s="4"/>
      <c r="M29" s="4"/>
      <c r="N29" s="4"/>
    </row>
    <row r="30" spans="1:14" ht="15">
      <c r="A30" s="13">
        <v>42795</v>
      </c>
      <c r="B30" s="60">
        <f>2.6924 * CHOOSE(CONTROL!$C$21, $C$12, 100%, $E$12)</f>
        <v>2.6924000000000001</v>
      </c>
      <c r="C30" s="60">
        <f>2.6924 * CHOOSE(CONTROL!$C$21, $C$12, 100%, $E$12)</f>
        <v>2.6924000000000001</v>
      </c>
      <c r="D30" s="60">
        <f>2.7029 * CHOOSE(CONTROL!$C$21, $C$12, 100%, $E$12)</f>
        <v>2.7029000000000001</v>
      </c>
      <c r="E30" s="61">
        <f>3.4487 * CHOOSE(CONTROL!$C$21, $C$12, 100%, $E$12)</f>
        <v>3.4487000000000001</v>
      </c>
      <c r="F30" s="61">
        <f>3.4487 * CHOOSE(CONTROL!$C$21, $C$12, 100%, $E$12)</f>
        <v>3.4487000000000001</v>
      </c>
      <c r="G30" s="61">
        <f>3.4489 * CHOOSE(CONTROL!$C$21, $C$12, 100%, $E$12)</f>
        <v>3.4489000000000001</v>
      </c>
      <c r="H30" s="61">
        <f>5.9005* CHOOSE(CONTROL!$C$21, $C$12, 100%, $E$12)</f>
        <v>5.9005000000000001</v>
      </c>
      <c r="I30" s="61">
        <f>5.9007 * CHOOSE(CONTROL!$C$21, $C$12, 100%, $E$12)</f>
        <v>5.9006999999999996</v>
      </c>
      <c r="J30" s="61">
        <f>3.4487 * CHOOSE(CONTROL!$C$21, $C$12, 100%, $E$12)</f>
        <v>3.4487000000000001</v>
      </c>
      <c r="K30" s="61">
        <f>3.4489 * CHOOSE(CONTROL!$C$21, $C$12, 100%, $E$12)</f>
        <v>3.4489000000000001</v>
      </c>
      <c r="L30" s="4"/>
      <c r="M30" s="4"/>
      <c r="N30" s="4"/>
    </row>
    <row r="31" spans="1:14" ht="15">
      <c r="A31" s="13">
        <v>42826</v>
      </c>
      <c r="B31" s="60">
        <f>2.7147 * CHOOSE(CONTROL!$C$21, $C$12, 100%, $E$12)</f>
        <v>2.7147000000000001</v>
      </c>
      <c r="C31" s="60">
        <f>2.7147 * CHOOSE(CONTROL!$C$21, $C$12, 100%, $E$12)</f>
        <v>2.7147000000000001</v>
      </c>
      <c r="D31" s="60">
        <f>2.7253 * CHOOSE(CONTROL!$C$21, $C$12, 100%, $E$12)</f>
        <v>2.7252999999999998</v>
      </c>
      <c r="E31" s="61">
        <f>3.3873 * CHOOSE(CONTROL!$C$21, $C$12, 100%, $E$12)</f>
        <v>3.3873000000000002</v>
      </c>
      <c r="F31" s="61">
        <f>3.3873 * CHOOSE(CONTROL!$C$21, $C$12, 100%, $E$12)</f>
        <v>3.3873000000000002</v>
      </c>
      <c r="G31" s="61">
        <f>3.3875 * CHOOSE(CONTROL!$C$21, $C$12, 100%, $E$12)</f>
        <v>3.3875000000000002</v>
      </c>
      <c r="H31" s="61">
        <f>5.9128* CHOOSE(CONTROL!$C$21, $C$12, 100%, $E$12)</f>
        <v>5.9127999999999998</v>
      </c>
      <c r="I31" s="61">
        <f>5.9129 * CHOOSE(CONTROL!$C$21, $C$12, 100%, $E$12)</f>
        <v>5.9128999999999996</v>
      </c>
      <c r="J31" s="61">
        <f>3.3873 * CHOOSE(CONTROL!$C$21, $C$12, 100%, $E$12)</f>
        <v>3.3873000000000002</v>
      </c>
      <c r="K31" s="61">
        <f>3.3875 * CHOOSE(CONTROL!$C$21, $C$12, 100%, $E$12)</f>
        <v>3.3875000000000002</v>
      </c>
      <c r="L31" s="4"/>
      <c r="M31" s="4"/>
      <c r="N31" s="4"/>
    </row>
    <row r="32" spans="1:14" ht="15">
      <c r="A32" s="13">
        <v>42856</v>
      </c>
      <c r="B32" s="60">
        <f>2.7117 * CHOOSE(CONTROL!$C$21, $C$12, 100%, $E$12)</f>
        <v>2.7117</v>
      </c>
      <c r="C32" s="60">
        <f>2.7117 * CHOOSE(CONTROL!$C$21, $C$12, 100%, $E$12)</f>
        <v>2.7117</v>
      </c>
      <c r="D32" s="60">
        <f>2.7328 * CHOOSE(CONTROL!$C$21, $C$12, 100%, $E$12)</f>
        <v>2.7328000000000001</v>
      </c>
      <c r="E32" s="61">
        <f>3.3873 * CHOOSE(CONTROL!$C$21, $C$12, 100%, $E$12)</f>
        <v>3.3873000000000002</v>
      </c>
      <c r="F32" s="61">
        <f>3.3873 * CHOOSE(CONTROL!$C$21, $C$12, 100%, $E$12)</f>
        <v>3.3873000000000002</v>
      </c>
      <c r="G32" s="61">
        <f>3.3887 * CHOOSE(CONTROL!$C$21, $C$12, 100%, $E$12)</f>
        <v>3.3887</v>
      </c>
      <c r="H32" s="61">
        <f>5.9251* CHOOSE(CONTROL!$C$21, $C$12, 100%, $E$12)</f>
        <v>5.9250999999999996</v>
      </c>
      <c r="I32" s="61">
        <f>5.9265 * CHOOSE(CONTROL!$C$21, $C$12, 100%, $E$12)</f>
        <v>5.9264999999999999</v>
      </c>
      <c r="J32" s="61">
        <f>3.3873 * CHOOSE(CONTROL!$C$21, $C$12, 100%, $E$12)</f>
        <v>3.3873000000000002</v>
      </c>
      <c r="K32" s="61">
        <f>3.3887 * CHOOSE(CONTROL!$C$21, $C$12, 100%, $E$12)</f>
        <v>3.3887</v>
      </c>
      <c r="L32" s="4"/>
      <c r="M32" s="4"/>
      <c r="N32" s="4"/>
    </row>
    <row r="33" spans="1:14" ht="15">
      <c r="A33" s="13">
        <v>42887</v>
      </c>
      <c r="B33" s="60">
        <f>2.7177 * CHOOSE(CONTROL!$C$21, $C$12, 100%, $E$12)</f>
        <v>2.7176999999999998</v>
      </c>
      <c r="C33" s="60">
        <f>2.7177 * CHOOSE(CONTROL!$C$21, $C$12, 100%, $E$12)</f>
        <v>2.7176999999999998</v>
      </c>
      <c r="D33" s="60">
        <f>2.7389 * CHOOSE(CONTROL!$C$21, $C$12, 100%, $E$12)</f>
        <v>2.7389000000000001</v>
      </c>
      <c r="E33" s="61">
        <f>3.2645 * CHOOSE(CONTROL!$C$21, $C$12, 100%, $E$12)</f>
        <v>3.2645</v>
      </c>
      <c r="F33" s="61">
        <f>3.2645 * CHOOSE(CONTROL!$C$21, $C$12, 100%, $E$12)</f>
        <v>3.2645</v>
      </c>
      <c r="G33" s="61">
        <f>3.2659 * CHOOSE(CONTROL!$C$21, $C$12, 100%, $E$12)</f>
        <v>3.2658999999999998</v>
      </c>
      <c r="H33" s="61">
        <f>5.9374* CHOOSE(CONTROL!$C$21, $C$12, 100%, $E$12)</f>
        <v>5.9374000000000002</v>
      </c>
      <c r="I33" s="61">
        <f>5.9388 * CHOOSE(CONTROL!$C$21, $C$12, 100%, $E$12)</f>
        <v>5.9387999999999996</v>
      </c>
      <c r="J33" s="61">
        <f>3.2645 * CHOOSE(CONTROL!$C$21, $C$12, 100%, $E$12)</f>
        <v>3.2645</v>
      </c>
      <c r="K33" s="61">
        <f>3.2659 * CHOOSE(CONTROL!$C$21, $C$12, 100%, $E$12)</f>
        <v>3.2658999999999998</v>
      </c>
      <c r="L33" s="4"/>
      <c r="M33" s="4"/>
      <c r="N33" s="4"/>
    </row>
    <row r="34" spans="1:14" ht="15">
      <c r="A34" s="13">
        <v>42917</v>
      </c>
      <c r="B34" s="60">
        <f>2.7414 * CHOOSE(CONTROL!$C$21, $C$12, 100%, $E$12)</f>
        <v>2.7414000000000001</v>
      </c>
      <c r="C34" s="60">
        <f>2.7414 * CHOOSE(CONTROL!$C$21, $C$12, 100%, $E$12)</f>
        <v>2.7414000000000001</v>
      </c>
      <c r="D34" s="60">
        <f>2.7626 * CHOOSE(CONTROL!$C$21, $C$12, 100%, $E$12)</f>
        <v>2.7625999999999999</v>
      </c>
      <c r="E34" s="61">
        <f>3.633 * CHOOSE(CONTROL!$C$21, $C$12, 100%, $E$12)</f>
        <v>3.633</v>
      </c>
      <c r="F34" s="61">
        <f>3.633 * CHOOSE(CONTROL!$C$21, $C$12, 100%, $E$12)</f>
        <v>3.633</v>
      </c>
      <c r="G34" s="61">
        <f>3.6344 * CHOOSE(CONTROL!$C$21, $C$12, 100%, $E$12)</f>
        <v>3.6343999999999999</v>
      </c>
      <c r="H34" s="61">
        <f>5.9498* CHOOSE(CONTROL!$C$21, $C$12, 100%, $E$12)</f>
        <v>5.9497999999999998</v>
      </c>
      <c r="I34" s="61">
        <f>5.9512 * CHOOSE(CONTROL!$C$21, $C$12, 100%, $E$12)</f>
        <v>5.9512</v>
      </c>
      <c r="J34" s="61">
        <f>3.633 * CHOOSE(CONTROL!$C$21, $C$12, 100%, $E$12)</f>
        <v>3.633</v>
      </c>
      <c r="K34" s="61">
        <f>3.6344 * CHOOSE(CONTROL!$C$21, $C$12, 100%, $E$12)</f>
        <v>3.6343999999999999</v>
      </c>
      <c r="L34" s="4"/>
      <c r="M34" s="4"/>
      <c r="N34" s="4"/>
    </row>
    <row r="35" spans="1:14" ht="15">
      <c r="A35" s="13">
        <v>42948</v>
      </c>
      <c r="B35" s="60">
        <f>2.7566 * CHOOSE(CONTROL!$C$21, $C$12, 100%, $E$12)</f>
        <v>2.7566000000000002</v>
      </c>
      <c r="C35" s="60">
        <f>2.7566 * CHOOSE(CONTROL!$C$21, $C$12, 100%, $E$12)</f>
        <v>2.7566000000000002</v>
      </c>
      <c r="D35" s="60">
        <f>2.7778 * CHOOSE(CONTROL!$C$21, $C$12, 100%, $E$12)</f>
        <v>2.7778</v>
      </c>
      <c r="E35" s="61">
        <f>3.633 * CHOOSE(CONTROL!$C$21, $C$12, 100%, $E$12)</f>
        <v>3.633</v>
      </c>
      <c r="F35" s="61">
        <f>3.633 * CHOOSE(CONTROL!$C$21, $C$12, 100%, $E$12)</f>
        <v>3.633</v>
      </c>
      <c r="G35" s="61">
        <f>3.6344 * CHOOSE(CONTROL!$C$21, $C$12, 100%, $E$12)</f>
        <v>3.6343999999999999</v>
      </c>
      <c r="H35" s="61">
        <f>5.9622* CHOOSE(CONTROL!$C$21, $C$12, 100%, $E$12)</f>
        <v>5.9622000000000002</v>
      </c>
      <c r="I35" s="61">
        <f>5.9636 * CHOOSE(CONTROL!$C$21, $C$12, 100%, $E$12)</f>
        <v>5.9635999999999996</v>
      </c>
      <c r="J35" s="61">
        <f>3.633 * CHOOSE(CONTROL!$C$21, $C$12, 100%, $E$12)</f>
        <v>3.633</v>
      </c>
      <c r="K35" s="61">
        <f>3.6344 * CHOOSE(CONTROL!$C$21, $C$12, 100%, $E$12)</f>
        <v>3.6343999999999999</v>
      </c>
      <c r="L35" s="4"/>
      <c r="M35" s="4"/>
      <c r="N35" s="4"/>
    </row>
    <row r="36" spans="1:14" ht="15">
      <c r="A36" s="13">
        <v>42979</v>
      </c>
      <c r="B36" s="60">
        <f>2.7506 * CHOOSE(CONTROL!$C$21, $C$12, 100%, $E$12)</f>
        <v>2.7505999999999999</v>
      </c>
      <c r="C36" s="60">
        <f>2.7506 * CHOOSE(CONTROL!$C$21, $C$12, 100%, $E$12)</f>
        <v>2.7505999999999999</v>
      </c>
      <c r="D36" s="60">
        <f>2.7717 * CHOOSE(CONTROL!$C$21, $C$12, 100%, $E$12)</f>
        <v>2.7717000000000001</v>
      </c>
      <c r="E36" s="61">
        <f>3.633 * CHOOSE(CONTROL!$C$21, $C$12, 100%, $E$12)</f>
        <v>3.633</v>
      </c>
      <c r="F36" s="61">
        <f>3.633 * CHOOSE(CONTROL!$C$21, $C$12, 100%, $E$12)</f>
        <v>3.633</v>
      </c>
      <c r="G36" s="61">
        <f>3.6344 * CHOOSE(CONTROL!$C$21, $C$12, 100%, $E$12)</f>
        <v>3.6343999999999999</v>
      </c>
      <c r="H36" s="61">
        <f>5.9746* CHOOSE(CONTROL!$C$21, $C$12, 100%, $E$12)</f>
        <v>5.9745999999999997</v>
      </c>
      <c r="I36" s="61">
        <f>5.976 * CHOOSE(CONTROL!$C$21, $C$12, 100%, $E$12)</f>
        <v>5.976</v>
      </c>
      <c r="J36" s="61">
        <f>3.633 * CHOOSE(CONTROL!$C$21, $C$12, 100%, $E$12)</f>
        <v>3.633</v>
      </c>
      <c r="K36" s="61">
        <f>3.6344 * CHOOSE(CONTROL!$C$21, $C$12, 100%, $E$12)</f>
        <v>3.6343999999999999</v>
      </c>
      <c r="L36" s="4"/>
      <c r="M36" s="4"/>
      <c r="N36" s="4"/>
    </row>
    <row r="37" spans="1:14" ht="15">
      <c r="A37" s="13">
        <v>43009</v>
      </c>
      <c r="B37" s="60">
        <f>2.7682 * CHOOSE(CONTROL!$C$21, $C$12, 100%, $E$12)</f>
        <v>2.7682000000000002</v>
      </c>
      <c r="C37" s="60">
        <f>2.7682 * CHOOSE(CONTROL!$C$21, $C$12, 100%, $E$12)</f>
        <v>2.7682000000000002</v>
      </c>
      <c r="D37" s="60">
        <f>2.7788 * CHOOSE(CONTROL!$C$21, $C$12, 100%, $E$12)</f>
        <v>2.7787999999999999</v>
      </c>
      <c r="E37" s="61">
        <f>3.633 * CHOOSE(CONTROL!$C$21, $C$12, 100%, $E$12)</f>
        <v>3.633</v>
      </c>
      <c r="F37" s="61">
        <f>3.633 * CHOOSE(CONTROL!$C$21, $C$12, 100%, $E$12)</f>
        <v>3.633</v>
      </c>
      <c r="G37" s="61">
        <f>3.6332 * CHOOSE(CONTROL!$C$21, $C$12, 100%, $E$12)</f>
        <v>3.6332</v>
      </c>
      <c r="H37" s="61">
        <f>5.9871* CHOOSE(CONTROL!$C$21, $C$12, 100%, $E$12)</f>
        <v>5.9870999999999999</v>
      </c>
      <c r="I37" s="61">
        <f>5.9872 * CHOOSE(CONTROL!$C$21, $C$12, 100%, $E$12)</f>
        <v>5.9871999999999996</v>
      </c>
      <c r="J37" s="61">
        <f>3.633 * CHOOSE(CONTROL!$C$21, $C$12, 100%, $E$12)</f>
        <v>3.633</v>
      </c>
      <c r="K37" s="61">
        <f>3.6332 * CHOOSE(CONTROL!$C$21, $C$12, 100%, $E$12)</f>
        <v>3.6332</v>
      </c>
      <c r="L37" s="4"/>
      <c r="M37" s="4"/>
      <c r="N37" s="4"/>
    </row>
    <row r="38" spans="1:14" ht="15">
      <c r="A38" s="13">
        <v>43040</v>
      </c>
      <c r="B38" s="60">
        <f>2.7713 * CHOOSE(CONTROL!$C$21, $C$12, 100%, $E$12)</f>
        <v>2.7713000000000001</v>
      </c>
      <c r="C38" s="60">
        <f>2.7713 * CHOOSE(CONTROL!$C$21, $C$12, 100%, $E$12)</f>
        <v>2.7713000000000001</v>
      </c>
      <c r="D38" s="60">
        <f>2.7818 * CHOOSE(CONTROL!$C$21, $C$12, 100%, $E$12)</f>
        <v>2.7818000000000001</v>
      </c>
      <c r="E38" s="61">
        <f>3.633 * CHOOSE(CONTROL!$C$21, $C$12, 100%, $E$12)</f>
        <v>3.633</v>
      </c>
      <c r="F38" s="61">
        <f>3.633 * CHOOSE(CONTROL!$C$21, $C$12, 100%, $E$12)</f>
        <v>3.633</v>
      </c>
      <c r="G38" s="61">
        <f>3.6332 * CHOOSE(CONTROL!$C$21, $C$12, 100%, $E$12)</f>
        <v>3.6332</v>
      </c>
      <c r="H38" s="61">
        <f>5.9995* CHOOSE(CONTROL!$C$21, $C$12, 100%, $E$12)</f>
        <v>5.9995000000000003</v>
      </c>
      <c r="I38" s="61">
        <f>5.9997 * CHOOSE(CONTROL!$C$21, $C$12, 100%, $E$12)</f>
        <v>5.9996999999999998</v>
      </c>
      <c r="J38" s="61">
        <f>3.633 * CHOOSE(CONTROL!$C$21, $C$12, 100%, $E$12)</f>
        <v>3.633</v>
      </c>
      <c r="K38" s="61">
        <f>3.6332 * CHOOSE(CONTROL!$C$21, $C$12, 100%, $E$12)</f>
        <v>3.6332</v>
      </c>
      <c r="L38" s="4"/>
      <c r="M38" s="4"/>
      <c r="N38" s="4"/>
    </row>
    <row r="39" spans="1:14" ht="15">
      <c r="A39" s="13">
        <v>43070</v>
      </c>
      <c r="B39" s="60">
        <f>2.7743 * CHOOSE(CONTROL!$C$21, $C$12, 100%, $E$12)</f>
        <v>2.7743000000000002</v>
      </c>
      <c r="C39" s="60">
        <f>2.7743 * CHOOSE(CONTROL!$C$21, $C$12, 100%, $E$12)</f>
        <v>2.7743000000000002</v>
      </c>
      <c r="D39" s="60">
        <f>2.7849 * CHOOSE(CONTROL!$C$21, $C$12, 100%, $E$12)</f>
        <v>2.7848999999999999</v>
      </c>
      <c r="E39" s="61">
        <f>3.633 * CHOOSE(CONTROL!$C$21, $C$12, 100%, $E$12)</f>
        <v>3.633</v>
      </c>
      <c r="F39" s="61">
        <f>3.633 * CHOOSE(CONTROL!$C$21, $C$12, 100%, $E$12)</f>
        <v>3.633</v>
      </c>
      <c r="G39" s="61">
        <f>3.6332 * CHOOSE(CONTROL!$C$21, $C$12, 100%, $E$12)</f>
        <v>3.6332</v>
      </c>
      <c r="H39" s="61">
        <f>6.012* CHOOSE(CONTROL!$C$21, $C$12, 100%, $E$12)</f>
        <v>6.0119999999999996</v>
      </c>
      <c r="I39" s="61">
        <f>6.0122 * CHOOSE(CONTROL!$C$21, $C$12, 100%, $E$12)</f>
        <v>6.0122</v>
      </c>
      <c r="J39" s="61">
        <f>3.633 * CHOOSE(CONTROL!$C$21, $C$12, 100%, $E$12)</f>
        <v>3.633</v>
      </c>
      <c r="K39" s="61">
        <f>3.6332 * CHOOSE(CONTROL!$C$21, $C$12, 100%, $E$12)</f>
        <v>3.6332</v>
      </c>
      <c r="L39" s="4"/>
      <c r="M39" s="4"/>
      <c r="N39" s="4"/>
    </row>
    <row r="40" spans="1:14" ht="15">
      <c r="A40" s="13">
        <v>43101</v>
      </c>
      <c r="B40" s="60">
        <f>2.8174 * CHOOSE(CONTROL!$C$21, $C$12, 100%, $E$12)</f>
        <v>2.8174000000000001</v>
      </c>
      <c r="C40" s="60">
        <f>2.8174 * CHOOSE(CONTROL!$C$21, $C$12, 100%, $E$12)</f>
        <v>2.8174000000000001</v>
      </c>
      <c r="D40" s="60">
        <f>2.828 * CHOOSE(CONTROL!$C$21, $C$12, 100%, $E$12)</f>
        <v>2.8279999999999998</v>
      </c>
      <c r="E40" s="61">
        <f>3.2609 * CHOOSE(CONTROL!$C$21, $C$12, 100%, $E$12)</f>
        <v>3.2608999999999999</v>
      </c>
      <c r="F40" s="61">
        <f>3.2609 * CHOOSE(CONTROL!$C$21, $C$12, 100%, $E$12)</f>
        <v>3.2608999999999999</v>
      </c>
      <c r="G40" s="61">
        <f>3.261 * CHOOSE(CONTROL!$C$21, $C$12, 100%, $E$12)</f>
        <v>3.2610000000000001</v>
      </c>
      <c r="H40" s="61">
        <f>6.0246* CHOOSE(CONTROL!$C$21, $C$12, 100%, $E$12)</f>
        <v>6.0246000000000004</v>
      </c>
      <c r="I40" s="61">
        <f>6.0247 * CHOOSE(CONTROL!$C$21, $C$12, 100%, $E$12)</f>
        <v>6.0247000000000002</v>
      </c>
      <c r="J40" s="61">
        <f>3.2609 * CHOOSE(CONTROL!$C$21, $C$12, 100%, $E$12)</f>
        <v>3.2608999999999999</v>
      </c>
      <c r="K40" s="61">
        <f>3.261 * CHOOSE(CONTROL!$C$21, $C$12, 100%, $E$12)</f>
        <v>3.2610000000000001</v>
      </c>
      <c r="L40" s="4"/>
      <c r="M40" s="4"/>
      <c r="N40" s="4"/>
    </row>
    <row r="41" spans="1:14" ht="15">
      <c r="A41" s="13">
        <v>43132</v>
      </c>
      <c r="B41" s="60">
        <f>2.8144 * CHOOSE(CONTROL!$C$21, $C$12, 100%, $E$12)</f>
        <v>2.8144</v>
      </c>
      <c r="C41" s="60">
        <f>2.8144 * CHOOSE(CONTROL!$C$21, $C$12, 100%, $E$12)</f>
        <v>2.8144</v>
      </c>
      <c r="D41" s="60">
        <f>2.8249 * CHOOSE(CONTROL!$C$21, $C$12, 100%, $E$12)</f>
        <v>2.8249</v>
      </c>
      <c r="E41" s="61">
        <f>3.2349 * CHOOSE(CONTROL!$C$21, $C$12, 100%, $E$12)</f>
        <v>3.2349000000000001</v>
      </c>
      <c r="F41" s="61">
        <f>3.2349 * CHOOSE(CONTROL!$C$21, $C$12, 100%, $E$12)</f>
        <v>3.2349000000000001</v>
      </c>
      <c r="G41" s="61">
        <f>3.2351 * CHOOSE(CONTROL!$C$21, $C$12, 100%, $E$12)</f>
        <v>3.2351000000000001</v>
      </c>
      <c r="H41" s="61">
        <f>6.0371* CHOOSE(CONTROL!$C$21, $C$12, 100%, $E$12)</f>
        <v>6.0370999999999997</v>
      </c>
      <c r="I41" s="61">
        <f>6.0373 * CHOOSE(CONTROL!$C$21, $C$12, 100%, $E$12)</f>
        <v>6.0373000000000001</v>
      </c>
      <c r="J41" s="61">
        <f>3.2349 * CHOOSE(CONTROL!$C$21, $C$12, 100%, $E$12)</f>
        <v>3.2349000000000001</v>
      </c>
      <c r="K41" s="61">
        <f>3.2351 * CHOOSE(CONTROL!$C$21, $C$12, 100%, $E$12)</f>
        <v>3.2351000000000001</v>
      </c>
      <c r="L41" s="4"/>
      <c r="M41" s="4"/>
      <c r="N41" s="4"/>
    </row>
    <row r="42" spans="1:14" ht="15">
      <c r="A42" s="13">
        <v>43160</v>
      </c>
      <c r="B42" s="60">
        <f>2.8113 * CHOOSE(CONTROL!$C$21, $C$12, 100%, $E$12)</f>
        <v>2.8113000000000001</v>
      </c>
      <c r="C42" s="60">
        <f>2.8113 * CHOOSE(CONTROL!$C$21, $C$12, 100%, $E$12)</f>
        <v>2.8113000000000001</v>
      </c>
      <c r="D42" s="60">
        <f>2.8219 * CHOOSE(CONTROL!$C$21, $C$12, 100%, $E$12)</f>
        <v>2.8218999999999999</v>
      </c>
      <c r="E42" s="61">
        <f>3.2516 * CHOOSE(CONTROL!$C$21, $C$12, 100%, $E$12)</f>
        <v>3.2515999999999998</v>
      </c>
      <c r="F42" s="61">
        <f>3.2516 * CHOOSE(CONTROL!$C$21, $C$12, 100%, $E$12)</f>
        <v>3.2515999999999998</v>
      </c>
      <c r="G42" s="61">
        <f>3.2518 * CHOOSE(CONTROL!$C$21, $C$12, 100%, $E$12)</f>
        <v>3.2517999999999998</v>
      </c>
      <c r="H42" s="61">
        <f>6.0497* CHOOSE(CONTROL!$C$21, $C$12, 100%, $E$12)</f>
        <v>6.0496999999999996</v>
      </c>
      <c r="I42" s="61">
        <f>6.0499 * CHOOSE(CONTROL!$C$21, $C$12, 100%, $E$12)</f>
        <v>6.0499000000000001</v>
      </c>
      <c r="J42" s="61">
        <f>3.2516 * CHOOSE(CONTROL!$C$21, $C$12, 100%, $E$12)</f>
        <v>3.2515999999999998</v>
      </c>
      <c r="K42" s="61">
        <f>3.2518 * CHOOSE(CONTROL!$C$21, $C$12, 100%, $E$12)</f>
        <v>3.2517999999999998</v>
      </c>
      <c r="L42" s="4"/>
      <c r="M42" s="4"/>
      <c r="N42" s="4"/>
    </row>
    <row r="43" spans="1:14" ht="15">
      <c r="A43" s="13">
        <v>43191</v>
      </c>
      <c r="B43" s="60">
        <f>2.8078 * CHOOSE(CONTROL!$C$21, $C$12, 100%, $E$12)</f>
        <v>2.8077999999999999</v>
      </c>
      <c r="C43" s="60">
        <f>2.8078 * CHOOSE(CONTROL!$C$21, $C$12, 100%, $E$12)</f>
        <v>2.8077999999999999</v>
      </c>
      <c r="D43" s="60">
        <f>2.8184 * CHOOSE(CONTROL!$C$21, $C$12, 100%, $E$12)</f>
        <v>2.8184</v>
      </c>
      <c r="E43" s="61">
        <f>3.2675 * CHOOSE(CONTROL!$C$21, $C$12, 100%, $E$12)</f>
        <v>3.2675000000000001</v>
      </c>
      <c r="F43" s="61">
        <f>3.2675 * CHOOSE(CONTROL!$C$21, $C$12, 100%, $E$12)</f>
        <v>3.2675000000000001</v>
      </c>
      <c r="G43" s="61">
        <f>3.2677 * CHOOSE(CONTROL!$C$21, $C$12, 100%, $E$12)</f>
        <v>3.2677</v>
      </c>
      <c r="H43" s="61">
        <f>6.0623* CHOOSE(CONTROL!$C$21, $C$12, 100%, $E$12)</f>
        <v>6.0622999999999996</v>
      </c>
      <c r="I43" s="61">
        <f>6.0625 * CHOOSE(CONTROL!$C$21, $C$12, 100%, $E$12)</f>
        <v>6.0625</v>
      </c>
      <c r="J43" s="61">
        <f>3.2675 * CHOOSE(CONTROL!$C$21, $C$12, 100%, $E$12)</f>
        <v>3.2675000000000001</v>
      </c>
      <c r="K43" s="61">
        <f>3.2677 * CHOOSE(CONTROL!$C$21, $C$12, 100%, $E$12)</f>
        <v>3.2677</v>
      </c>
      <c r="L43" s="4"/>
      <c r="M43" s="4"/>
      <c r="N43" s="4"/>
    </row>
    <row r="44" spans="1:14" ht="15">
      <c r="A44" s="13">
        <v>43221</v>
      </c>
      <c r="B44" s="60">
        <f>2.8078 * CHOOSE(CONTROL!$C$21, $C$12, 100%, $E$12)</f>
        <v>2.8077999999999999</v>
      </c>
      <c r="C44" s="60">
        <f>2.8078 * CHOOSE(CONTROL!$C$21, $C$12, 100%, $E$12)</f>
        <v>2.8077999999999999</v>
      </c>
      <c r="D44" s="60">
        <f>2.829 * CHOOSE(CONTROL!$C$21, $C$12, 100%, $E$12)</f>
        <v>2.8290000000000002</v>
      </c>
      <c r="E44" s="61">
        <f>3.2751 * CHOOSE(CONTROL!$C$21, $C$12, 100%, $E$12)</f>
        <v>3.2751000000000001</v>
      </c>
      <c r="F44" s="61">
        <f>3.2751 * CHOOSE(CONTROL!$C$21, $C$12, 100%, $E$12)</f>
        <v>3.2751000000000001</v>
      </c>
      <c r="G44" s="61">
        <f>3.2765 * CHOOSE(CONTROL!$C$21, $C$12, 100%, $E$12)</f>
        <v>3.2765</v>
      </c>
      <c r="H44" s="61">
        <f>6.0749* CHOOSE(CONTROL!$C$21, $C$12, 100%, $E$12)</f>
        <v>6.0749000000000004</v>
      </c>
      <c r="I44" s="61">
        <f>6.0763 * CHOOSE(CONTROL!$C$21, $C$12, 100%, $E$12)</f>
        <v>6.0762999999999998</v>
      </c>
      <c r="J44" s="61">
        <f>3.2751 * CHOOSE(CONTROL!$C$21, $C$12, 100%, $E$12)</f>
        <v>3.2751000000000001</v>
      </c>
      <c r="K44" s="61">
        <f>3.2765 * CHOOSE(CONTROL!$C$21, $C$12, 100%, $E$12)</f>
        <v>3.2765</v>
      </c>
      <c r="L44" s="4"/>
      <c r="M44" s="4"/>
      <c r="N44" s="4"/>
    </row>
    <row r="45" spans="1:14" ht="15">
      <c r="A45" s="13">
        <v>43252</v>
      </c>
      <c r="B45" s="60">
        <f>2.8139 * CHOOSE(CONTROL!$C$21, $C$12, 100%, $E$12)</f>
        <v>2.8138999999999998</v>
      </c>
      <c r="C45" s="60">
        <f>2.8139 * CHOOSE(CONTROL!$C$21, $C$12, 100%, $E$12)</f>
        <v>2.8138999999999998</v>
      </c>
      <c r="D45" s="60">
        <f>2.835 * CHOOSE(CONTROL!$C$21, $C$12, 100%, $E$12)</f>
        <v>2.835</v>
      </c>
      <c r="E45" s="61">
        <f>3.2718 * CHOOSE(CONTROL!$C$21, $C$12, 100%, $E$12)</f>
        <v>3.2717999999999998</v>
      </c>
      <c r="F45" s="61">
        <f>3.2718 * CHOOSE(CONTROL!$C$21, $C$12, 100%, $E$12)</f>
        <v>3.2717999999999998</v>
      </c>
      <c r="G45" s="61">
        <f>3.2731 * CHOOSE(CONTROL!$C$21, $C$12, 100%, $E$12)</f>
        <v>3.2730999999999999</v>
      </c>
      <c r="H45" s="61">
        <f>6.0876* CHOOSE(CONTROL!$C$21, $C$12, 100%, $E$12)</f>
        <v>6.0876000000000001</v>
      </c>
      <c r="I45" s="61">
        <f>6.089 * CHOOSE(CONTROL!$C$21, $C$12, 100%, $E$12)</f>
        <v>6.0890000000000004</v>
      </c>
      <c r="J45" s="61">
        <f>3.2718 * CHOOSE(CONTROL!$C$21, $C$12, 100%, $E$12)</f>
        <v>3.2717999999999998</v>
      </c>
      <c r="K45" s="61">
        <f>3.2731 * CHOOSE(CONTROL!$C$21, $C$12, 100%, $E$12)</f>
        <v>3.2730999999999999</v>
      </c>
      <c r="L45" s="4"/>
      <c r="M45" s="4"/>
      <c r="N45" s="4"/>
    </row>
    <row r="46" spans="1:14" ht="15">
      <c r="A46" s="13">
        <v>43282</v>
      </c>
      <c r="B46" s="60">
        <f>2.8974 * CHOOSE(CONTROL!$C$21, $C$12, 100%, $E$12)</f>
        <v>2.8974000000000002</v>
      </c>
      <c r="C46" s="60">
        <f>2.8974 * CHOOSE(CONTROL!$C$21, $C$12, 100%, $E$12)</f>
        <v>2.8974000000000002</v>
      </c>
      <c r="D46" s="60">
        <f>2.9185 * CHOOSE(CONTROL!$C$21, $C$12, 100%, $E$12)</f>
        <v>2.9184999999999999</v>
      </c>
      <c r="E46" s="61">
        <f>3.459 * CHOOSE(CONTROL!$C$21, $C$12, 100%, $E$12)</f>
        <v>3.4590000000000001</v>
      </c>
      <c r="F46" s="61">
        <f>3.459 * CHOOSE(CONTROL!$C$21, $C$12, 100%, $E$12)</f>
        <v>3.4590000000000001</v>
      </c>
      <c r="G46" s="61">
        <f>3.4603 * CHOOSE(CONTROL!$C$21, $C$12, 100%, $E$12)</f>
        <v>3.4603000000000002</v>
      </c>
      <c r="H46" s="61">
        <f>6.1003* CHOOSE(CONTROL!$C$21, $C$12, 100%, $E$12)</f>
        <v>6.1002999999999998</v>
      </c>
      <c r="I46" s="61">
        <f>6.1016 * CHOOSE(CONTROL!$C$21, $C$12, 100%, $E$12)</f>
        <v>6.1016000000000004</v>
      </c>
      <c r="J46" s="61">
        <f>3.459 * CHOOSE(CONTROL!$C$21, $C$12, 100%, $E$12)</f>
        <v>3.4590000000000001</v>
      </c>
      <c r="K46" s="61">
        <f>3.4603 * CHOOSE(CONTROL!$C$21, $C$12, 100%, $E$12)</f>
        <v>3.4603000000000002</v>
      </c>
      <c r="L46" s="4"/>
      <c r="M46" s="4"/>
      <c r="N46" s="4"/>
    </row>
    <row r="47" spans="1:14" ht="15">
      <c r="A47" s="13">
        <v>43313</v>
      </c>
      <c r="B47" s="60">
        <f>2.904 * CHOOSE(CONTROL!$C$21, $C$12, 100%, $E$12)</f>
        <v>2.9039999999999999</v>
      </c>
      <c r="C47" s="60">
        <f>2.904 * CHOOSE(CONTROL!$C$21, $C$12, 100%, $E$12)</f>
        <v>2.9039999999999999</v>
      </c>
      <c r="D47" s="60">
        <f>2.9252 * CHOOSE(CONTROL!$C$21, $C$12, 100%, $E$12)</f>
        <v>2.9251999999999998</v>
      </c>
      <c r="E47" s="61">
        <f>3.4409 * CHOOSE(CONTROL!$C$21, $C$12, 100%, $E$12)</f>
        <v>3.4409000000000001</v>
      </c>
      <c r="F47" s="61">
        <f>3.4409 * CHOOSE(CONTROL!$C$21, $C$12, 100%, $E$12)</f>
        <v>3.4409000000000001</v>
      </c>
      <c r="G47" s="61">
        <f>3.4423 * CHOOSE(CONTROL!$C$21, $C$12, 100%, $E$12)</f>
        <v>3.4422999999999999</v>
      </c>
      <c r="H47" s="61">
        <f>6.113* CHOOSE(CONTROL!$C$21, $C$12, 100%, $E$12)</f>
        <v>6.1130000000000004</v>
      </c>
      <c r="I47" s="61">
        <f>6.1143 * CHOOSE(CONTROL!$C$21, $C$12, 100%, $E$12)</f>
        <v>6.1143000000000001</v>
      </c>
      <c r="J47" s="61">
        <f>3.4409 * CHOOSE(CONTROL!$C$21, $C$12, 100%, $E$12)</f>
        <v>3.4409000000000001</v>
      </c>
      <c r="K47" s="61">
        <f>3.4423 * CHOOSE(CONTROL!$C$21, $C$12, 100%, $E$12)</f>
        <v>3.4422999999999999</v>
      </c>
      <c r="L47" s="4"/>
      <c r="M47" s="4"/>
      <c r="N47" s="4"/>
    </row>
    <row r="48" spans="1:14" ht="15">
      <c r="A48" s="13">
        <v>43344</v>
      </c>
      <c r="B48" s="60">
        <f>2.901 * CHOOSE(CONTROL!$C$21, $C$12, 100%, $E$12)</f>
        <v>2.9009999999999998</v>
      </c>
      <c r="C48" s="60">
        <f>2.901 * CHOOSE(CONTROL!$C$21, $C$12, 100%, $E$12)</f>
        <v>2.9009999999999998</v>
      </c>
      <c r="D48" s="60">
        <f>2.9221 * CHOOSE(CONTROL!$C$21, $C$12, 100%, $E$12)</f>
        <v>2.9220999999999999</v>
      </c>
      <c r="E48" s="61">
        <f>3.4363 * CHOOSE(CONTROL!$C$21, $C$12, 100%, $E$12)</f>
        <v>3.4363000000000001</v>
      </c>
      <c r="F48" s="61">
        <f>3.4363 * CHOOSE(CONTROL!$C$21, $C$12, 100%, $E$12)</f>
        <v>3.4363000000000001</v>
      </c>
      <c r="G48" s="61">
        <f>3.4377 * CHOOSE(CONTROL!$C$21, $C$12, 100%, $E$12)</f>
        <v>3.4377</v>
      </c>
      <c r="H48" s="61">
        <f>6.1257* CHOOSE(CONTROL!$C$21, $C$12, 100%, $E$12)</f>
        <v>6.1257000000000001</v>
      </c>
      <c r="I48" s="61">
        <f>6.1271 * CHOOSE(CONTROL!$C$21, $C$12, 100%, $E$12)</f>
        <v>6.1271000000000004</v>
      </c>
      <c r="J48" s="61">
        <f>3.4363 * CHOOSE(CONTROL!$C$21, $C$12, 100%, $E$12)</f>
        <v>3.4363000000000001</v>
      </c>
      <c r="K48" s="61">
        <f>3.4377 * CHOOSE(CONTROL!$C$21, $C$12, 100%, $E$12)</f>
        <v>3.4377</v>
      </c>
      <c r="L48" s="4"/>
      <c r="M48" s="4"/>
      <c r="N48" s="4"/>
    </row>
    <row r="49" spans="1:14" ht="15">
      <c r="A49" s="13">
        <v>43374</v>
      </c>
      <c r="B49" s="60">
        <f>2.8921 * CHOOSE(CONTROL!$C$21, $C$12, 100%, $E$12)</f>
        <v>2.8921000000000001</v>
      </c>
      <c r="C49" s="60">
        <f>2.8921 * CHOOSE(CONTROL!$C$21, $C$12, 100%, $E$12)</f>
        <v>2.8921000000000001</v>
      </c>
      <c r="D49" s="60">
        <f>2.9027 * CHOOSE(CONTROL!$C$21, $C$12, 100%, $E$12)</f>
        <v>2.9026999999999998</v>
      </c>
      <c r="E49" s="61">
        <f>3.433 * CHOOSE(CONTROL!$C$21, $C$12, 100%, $E$12)</f>
        <v>3.4329999999999998</v>
      </c>
      <c r="F49" s="61">
        <f>3.433 * CHOOSE(CONTROL!$C$21, $C$12, 100%, $E$12)</f>
        <v>3.4329999999999998</v>
      </c>
      <c r="G49" s="61">
        <f>3.4331 * CHOOSE(CONTROL!$C$21, $C$12, 100%, $E$12)</f>
        <v>3.4331</v>
      </c>
      <c r="H49" s="61">
        <f>6.1385* CHOOSE(CONTROL!$C$21, $C$12, 100%, $E$12)</f>
        <v>6.1384999999999996</v>
      </c>
      <c r="I49" s="61">
        <f>6.1386 * CHOOSE(CONTROL!$C$21, $C$12, 100%, $E$12)</f>
        <v>6.1386000000000003</v>
      </c>
      <c r="J49" s="61">
        <f>3.433 * CHOOSE(CONTROL!$C$21, $C$12, 100%, $E$12)</f>
        <v>3.4329999999999998</v>
      </c>
      <c r="K49" s="61">
        <f>3.4331 * CHOOSE(CONTROL!$C$21, $C$12, 100%, $E$12)</f>
        <v>3.4331</v>
      </c>
      <c r="L49" s="4"/>
      <c r="M49" s="4"/>
      <c r="N49" s="4"/>
    </row>
    <row r="50" spans="1:14" ht="15">
      <c r="A50" s="13">
        <v>43405</v>
      </c>
      <c r="B50" s="60">
        <f>2.8951 * CHOOSE(CONTROL!$C$21, $C$12, 100%, $E$12)</f>
        <v>2.8950999999999998</v>
      </c>
      <c r="C50" s="60">
        <f>2.8951 * CHOOSE(CONTROL!$C$21, $C$12, 100%, $E$12)</f>
        <v>2.8950999999999998</v>
      </c>
      <c r="D50" s="60">
        <f>2.9057 * CHOOSE(CONTROL!$C$21, $C$12, 100%, $E$12)</f>
        <v>2.9056999999999999</v>
      </c>
      <c r="E50" s="61">
        <f>3.4401 * CHOOSE(CONTROL!$C$21, $C$12, 100%, $E$12)</f>
        <v>3.4401000000000002</v>
      </c>
      <c r="F50" s="61">
        <f>3.4401 * CHOOSE(CONTROL!$C$21, $C$12, 100%, $E$12)</f>
        <v>3.4401000000000002</v>
      </c>
      <c r="G50" s="61">
        <f>3.4403 * CHOOSE(CONTROL!$C$21, $C$12, 100%, $E$12)</f>
        <v>3.4403000000000001</v>
      </c>
      <c r="H50" s="61">
        <f>6.1513* CHOOSE(CONTROL!$C$21, $C$12, 100%, $E$12)</f>
        <v>6.1513</v>
      </c>
      <c r="I50" s="61">
        <f>6.1514 * CHOOSE(CONTROL!$C$21, $C$12, 100%, $E$12)</f>
        <v>6.1513999999999998</v>
      </c>
      <c r="J50" s="61">
        <f>3.4401 * CHOOSE(CONTROL!$C$21, $C$12, 100%, $E$12)</f>
        <v>3.4401000000000002</v>
      </c>
      <c r="K50" s="61">
        <f>3.4403 * CHOOSE(CONTROL!$C$21, $C$12, 100%, $E$12)</f>
        <v>3.4403000000000001</v>
      </c>
      <c r="L50" s="4"/>
      <c r="M50" s="4"/>
      <c r="N50" s="4"/>
    </row>
    <row r="51" spans="1:14" ht="15">
      <c r="A51" s="13">
        <v>43435</v>
      </c>
      <c r="B51" s="60">
        <f>2.8951 * CHOOSE(CONTROL!$C$21, $C$12, 100%, $E$12)</f>
        <v>2.8950999999999998</v>
      </c>
      <c r="C51" s="60">
        <f>2.8951 * CHOOSE(CONTROL!$C$21, $C$12, 100%, $E$12)</f>
        <v>2.8950999999999998</v>
      </c>
      <c r="D51" s="60">
        <f>2.9057 * CHOOSE(CONTROL!$C$21, $C$12, 100%, $E$12)</f>
        <v>2.9056999999999999</v>
      </c>
      <c r="E51" s="61">
        <f>3.4275 * CHOOSE(CONTROL!$C$21, $C$12, 100%, $E$12)</f>
        <v>3.4275000000000002</v>
      </c>
      <c r="F51" s="61">
        <f>3.4275 * CHOOSE(CONTROL!$C$21, $C$12, 100%, $E$12)</f>
        <v>3.4275000000000002</v>
      </c>
      <c r="G51" s="61">
        <f>3.4277 * CHOOSE(CONTROL!$C$21, $C$12, 100%, $E$12)</f>
        <v>3.4277000000000002</v>
      </c>
      <c r="H51" s="61">
        <f>6.1641* CHOOSE(CONTROL!$C$21, $C$12, 100%, $E$12)</f>
        <v>6.1641000000000004</v>
      </c>
      <c r="I51" s="61">
        <f>6.1643 * CHOOSE(CONTROL!$C$21, $C$12, 100%, $E$12)</f>
        <v>6.1642999999999999</v>
      </c>
      <c r="J51" s="61">
        <f>3.4275 * CHOOSE(CONTROL!$C$21, $C$12, 100%, $E$12)</f>
        <v>3.4275000000000002</v>
      </c>
      <c r="K51" s="61">
        <f>3.4277 * CHOOSE(CONTROL!$C$21, $C$12, 100%, $E$12)</f>
        <v>3.4277000000000002</v>
      </c>
      <c r="L51" s="4"/>
      <c r="M51" s="4"/>
      <c r="N51" s="4"/>
    </row>
    <row r="52" spans="1:14" ht="15">
      <c r="A52" s="13">
        <v>43466</v>
      </c>
      <c r="B52" s="60">
        <f>2.9246 * CHOOSE(CONTROL!$C$21, $C$12, 100%, $E$12)</f>
        <v>2.9245999999999999</v>
      </c>
      <c r="C52" s="60">
        <f>2.9246 * CHOOSE(CONTROL!$C$21, $C$12, 100%, $E$12)</f>
        <v>2.9245999999999999</v>
      </c>
      <c r="D52" s="60">
        <f>2.9352 * CHOOSE(CONTROL!$C$21, $C$12, 100%, $E$12)</f>
        <v>2.9352</v>
      </c>
      <c r="E52" s="61">
        <f>3.4699 * CHOOSE(CONTROL!$C$21, $C$12, 100%, $E$12)</f>
        <v>3.4699</v>
      </c>
      <c r="F52" s="61">
        <f>3.4699 * CHOOSE(CONTROL!$C$21, $C$12, 100%, $E$12)</f>
        <v>3.4699</v>
      </c>
      <c r="G52" s="61">
        <f>3.4701 * CHOOSE(CONTROL!$C$21, $C$12, 100%, $E$12)</f>
        <v>3.4701</v>
      </c>
      <c r="H52" s="61">
        <f>6.1769* CHOOSE(CONTROL!$C$21, $C$12, 100%, $E$12)</f>
        <v>6.1768999999999998</v>
      </c>
      <c r="I52" s="61">
        <f>6.1771 * CHOOSE(CONTROL!$C$21, $C$12, 100%, $E$12)</f>
        <v>6.1771000000000003</v>
      </c>
      <c r="J52" s="61">
        <f>3.4699 * CHOOSE(CONTROL!$C$21, $C$12, 100%, $E$12)</f>
        <v>3.4699</v>
      </c>
      <c r="K52" s="61">
        <f>3.4701 * CHOOSE(CONTROL!$C$21, $C$12, 100%, $E$12)</f>
        <v>3.4701</v>
      </c>
      <c r="L52" s="4"/>
      <c r="M52" s="4"/>
      <c r="N52" s="4"/>
    </row>
    <row r="53" spans="1:14" ht="15">
      <c r="A53" s="13">
        <v>43497</v>
      </c>
      <c r="B53" s="60">
        <f>2.9216 * CHOOSE(CONTROL!$C$21, $C$12, 100%, $E$12)</f>
        <v>2.9216000000000002</v>
      </c>
      <c r="C53" s="60">
        <f>2.9216 * CHOOSE(CONTROL!$C$21, $C$12, 100%, $E$12)</f>
        <v>2.9216000000000002</v>
      </c>
      <c r="D53" s="60">
        <f>2.9322 * CHOOSE(CONTROL!$C$21, $C$12, 100%, $E$12)</f>
        <v>2.9321999999999999</v>
      </c>
      <c r="E53" s="61">
        <f>3.4392 * CHOOSE(CONTROL!$C$21, $C$12, 100%, $E$12)</f>
        <v>3.4392</v>
      </c>
      <c r="F53" s="61">
        <f>3.4392 * CHOOSE(CONTROL!$C$21, $C$12, 100%, $E$12)</f>
        <v>3.4392</v>
      </c>
      <c r="G53" s="61">
        <f>3.4394 * CHOOSE(CONTROL!$C$21, $C$12, 100%, $E$12)</f>
        <v>3.4394</v>
      </c>
      <c r="H53" s="61">
        <f>6.1898* CHOOSE(CONTROL!$C$21, $C$12, 100%, $E$12)</f>
        <v>6.1898</v>
      </c>
      <c r="I53" s="61">
        <f>6.19 * CHOOSE(CONTROL!$C$21, $C$12, 100%, $E$12)</f>
        <v>6.19</v>
      </c>
      <c r="J53" s="61">
        <f>3.4392 * CHOOSE(CONTROL!$C$21, $C$12, 100%, $E$12)</f>
        <v>3.4392</v>
      </c>
      <c r="K53" s="61">
        <f>3.4394 * CHOOSE(CONTROL!$C$21, $C$12, 100%, $E$12)</f>
        <v>3.4394</v>
      </c>
      <c r="L53" s="4"/>
      <c r="M53" s="4"/>
      <c r="N53" s="4"/>
    </row>
    <row r="54" spans="1:14" ht="15">
      <c r="A54" s="13">
        <v>43525</v>
      </c>
      <c r="B54" s="60">
        <f>2.9185 * CHOOSE(CONTROL!$C$21, $C$12, 100%, $E$12)</f>
        <v>2.9184999999999999</v>
      </c>
      <c r="C54" s="60">
        <f>2.9185 * CHOOSE(CONTROL!$C$21, $C$12, 100%, $E$12)</f>
        <v>2.9184999999999999</v>
      </c>
      <c r="D54" s="60">
        <f>2.9291 * CHOOSE(CONTROL!$C$21, $C$12, 100%, $E$12)</f>
        <v>2.9291</v>
      </c>
      <c r="E54" s="61">
        <f>3.4596 * CHOOSE(CONTROL!$C$21, $C$12, 100%, $E$12)</f>
        <v>3.4596</v>
      </c>
      <c r="F54" s="61">
        <f>3.4596 * CHOOSE(CONTROL!$C$21, $C$12, 100%, $E$12)</f>
        <v>3.4596</v>
      </c>
      <c r="G54" s="61">
        <f>3.4598 * CHOOSE(CONTROL!$C$21, $C$12, 100%, $E$12)</f>
        <v>3.4598</v>
      </c>
      <c r="H54" s="61">
        <f>6.2027* CHOOSE(CONTROL!$C$21, $C$12, 100%, $E$12)</f>
        <v>6.2027000000000001</v>
      </c>
      <c r="I54" s="61">
        <f>6.2029 * CHOOSE(CONTROL!$C$21, $C$12, 100%, $E$12)</f>
        <v>6.2028999999999996</v>
      </c>
      <c r="J54" s="61">
        <f>3.4596 * CHOOSE(CONTROL!$C$21, $C$12, 100%, $E$12)</f>
        <v>3.4596</v>
      </c>
      <c r="K54" s="61">
        <f>3.4598 * CHOOSE(CONTROL!$C$21, $C$12, 100%, $E$12)</f>
        <v>3.4598</v>
      </c>
      <c r="L54" s="4"/>
      <c r="M54" s="4"/>
      <c r="N54" s="4"/>
    </row>
    <row r="55" spans="1:14" ht="15">
      <c r="A55" s="13">
        <v>43556</v>
      </c>
      <c r="B55" s="60">
        <f>2.9152 * CHOOSE(CONTROL!$C$21, $C$12, 100%, $E$12)</f>
        <v>2.9152</v>
      </c>
      <c r="C55" s="60">
        <f>2.9152 * CHOOSE(CONTROL!$C$21, $C$12, 100%, $E$12)</f>
        <v>2.9152</v>
      </c>
      <c r="D55" s="60">
        <f>2.9257 * CHOOSE(CONTROL!$C$21, $C$12, 100%, $E$12)</f>
        <v>2.9257</v>
      </c>
      <c r="E55" s="61">
        <f>3.4796 * CHOOSE(CONTROL!$C$21, $C$12, 100%, $E$12)</f>
        <v>3.4796</v>
      </c>
      <c r="F55" s="61">
        <f>3.4796 * CHOOSE(CONTROL!$C$21, $C$12, 100%, $E$12)</f>
        <v>3.4796</v>
      </c>
      <c r="G55" s="61">
        <f>3.4798 * CHOOSE(CONTROL!$C$21, $C$12, 100%, $E$12)</f>
        <v>3.4798</v>
      </c>
      <c r="H55" s="61">
        <f>6.2156* CHOOSE(CONTROL!$C$21, $C$12, 100%, $E$12)</f>
        <v>6.2156000000000002</v>
      </c>
      <c r="I55" s="61">
        <f>6.2158 * CHOOSE(CONTROL!$C$21, $C$12, 100%, $E$12)</f>
        <v>6.2157999999999998</v>
      </c>
      <c r="J55" s="61">
        <f>3.4796 * CHOOSE(CONTROL!$C$21, $C$12, 100%, $E$12)</f>
        <v>3.4796</v>
      </c>
      <c r="K55" s="61">
        <f>3.4798 * CHOOSE(CONTROL!$C$21, $C$12, 100%, $E$12)</f>
        <v>3.4798</v>
      </c>
      <c r="L55" s="4"/>
      <c r="M55" s="4"/>
      <c r="N55" s="4"/>
    </row>
    <row r="56" spans="1:14" ht="15">
      <c r="A56" s="13">
        <v>43586</v>
      </c>
      <c r="B56" s="60">
        <f>2.9152 * CHOOSE(CONTROL!$C$21, $C$12, 100%, $E$12)</f>
        <v>2.9152</v>
      </c>
      <c r="C56" s="60">
        <f>2.9152 * CHOOSE(CONTROL!$C$21, $C$12, 100%, $E$12)</f>
        <v>2.9152</v>
      </c>
      <c r="D56" s="60">
        <f>2.9363 * CHOOSE(CONTROL!$C$21, $C$12, 100%, $E$12)</f>
        <v>2.9363000000000001</v>
      </c>
      <c r="E56" s="61">
        <f>3.4887 * CHOOSE(CONTROL!$C$21, $C$12, 100%, $E$12)</f>
        <v>3.4887000000000001</v>
      </c>
      <c r="F56" s="61">
        <f>3.4887 * CHOOSE(CONTROL!$C$21, $C$12, 100%, $E$12)</f>
        <v>3.4887000000000001</v>
      </c>
      <c r="G56" s="61">
        <f>3.4901 * CHOOSE(CONTROL!$C$21, $C$12, 100%, $E$12)</f>
        <v>3.4901</v>
      </c>
      <c r="H56" s="61">
        <f>6.2286* CHOOSE(CONTROL!$C$21, $C$12, 100%, $E$12)</f>
        <v>6.2286000000000001</v>
      </c>
      <c r="I56" s="61">
        <f>6.2299 * CHOOSE(CONTROL!$C$21, $C$12, 100%, $E$12)</f>
        <v>6.2298999999999998</v>
      </c>
      <c r="J56" s="61">
        <f>3.4887 * CHOOSE(CONTROL!$C$21, $C$12, 100%, $E$12)</f>
        <v>3.4887000000000001</v>
      </c>
      <c r="K56" s="61">
        <f>3.4901 * CHOOSE(CONTROL!$C$21, $C$12, 100%, $E$12)</f>
        <v>3.4901</v>
      </c>
      <c r="L56" s="4"/>
      <c r="M56" s="4"/>
      <c r="N56" s="4"/>
    </row>
    <row r="57" spans="1:14" ht="15">
      <c r="A57" s="13">
        <v>43617</v>
      </c>
      <c r="B57" s="60">
        <f>2.9213 * CHOOSE(CONTROL!$C$21, $C$12, 100%, $E$12)</f>
        <v>2.9213</v>
      </c>
      <c r="C57" s="60">
        <f>2.9213 * CHOOSE(CONTROL!$C$21, $C$12, 100%, $E$12)</f>
        <v>2.9213</v>
      </c>
      <c r="D57" s="60">
        <f>2.9424 * CHOOSE(CONTROL!$C$21, $C$12, 100%, $E$12)</f>
        <v>2.9424000000000001</v>
      </c>
      <c r="E57" s="61">
        <f>3.4839 * CHOOSE(CONTROL!$C$21, $C$12, 100%, $E$12)</f>
        <v>3.4839000000000002</v>
      </c>
      <c r="F57" s="61">
        <f>3.4839 * CHOOSE(CONTROL!$C$21, $C$12, 100%, $E$12)</f>
        <v>3.4839000000000002</v>
      </c>
      <c r="G57" s="61">
        <f>3.4853 * CHOOSE(CONTROL!$C$21, $C$12, 100%, $E$12)</f>
        <v>3.4853000000000001</v>
      </c>
      <c r="H57" s="61">
        <f>6.2415* CHOOSE(CONTROL!$C$21, $C$12, 100%, $E$12)</f>
        <v>6.2415000000000003</v>
      </c>
      <c r="I57" s="61">
        <f>6.2429 * CHOOSE(CONTROL!$C$21, $C$12, 100%, $E$12)</f>
        <v>6.2428999999999997</v>
      </c>
      <c r="J57" s="61">
        <f>3.4839 * CHOOSE(CONTROL!$C$21, $C$12, 100%, $E$12)</f>
        <v>3.4839000000000002</v>
      </c>
      <c r="K57" s="61">
        <f>3.4853 * CHOOSE(CONTROL!$C$21, $C$12, 100%, $E$12)</f>
        <v>3.4853000000000001</v>
      </c>
      <c r="L57" s="4"/>
      <c r="M57" s="4"/>
      <c r="N57" s="4"/>
    </row>
    <row r="58" spans="1:14" ht="15">
      <c r="A58" s="13">
        <v>43647</v>
      </c>
      <c r="B58" s="60">
        <f>2.9781 * CHOOSE(CONTROL!$C$21, $C$12, 100%, $E$12)</f>
        <v>2.9781</v>
      </c>
      <c r="C58" s="60">
        <f>2.9781 * CHOOSE(CONTROL!$C$21, $C$12, 100%, $E$12)</f>
        <v>2.9781</v>
      </c>
      <c r="D58" s="60">
        <f>2.9993 * CHOOSE(CONTROL!$C$21, $C$12, 100%, $E$12)</f>
        <v>2.9992999999999999</v>
      </c>
      <c r="E58" s="61">
        <f>3.4566 * CHOOSE(CONTROL!$C$21, $C$12, 100%, $E$12)</f>
        <v>3.4565999999999999</v>
      </c>
      <c r="F58" s="61">
        <f>3.4566 * CHOOSE(CONTROL!$C$21, $C$12, 100%, $E$12)</f>
        <v>3.4565999999999999</v>
      </c>
      <c r="G58" s="61">
        <f>3.458 * CHOOSE(CONTROL!$C$21, $C$12, 100%, $E$12)</f>
        <v>3.4580000000000002</v>
      </c>
      <c r="H58" s="61">
        <f>6.2545* CHOOSE(CONTROL!$C$21, $C$12, 100%, $E$12)</f>
        <v>6.2545000000000002</v>
      </c>
      <c r="I58" s="61">
        <f>6.2559 * CHOOSE(CONTROL!$C$21, $C$12, 100%, $E$12)</f>
        <v>6.2558999999999996</v>
      </c>
      <c r="J58" s="61">
        <f>3.4566 * CHOOSE(CONTROL!$C$21, $C$12, 100%, $E$12)</f>
        <v>3.4565999999999999</v>
      </c>
      <c r="K58" s="61">
        <f>3.458 * CHOOSE(CONTROL!$C$21, $C$12, 100%, $E$12)</f>
        <v>3.4580000000000002</v>
      </c>
      <c r="L58" s="4"/>
      <c r="M58" s="4"/>
      <c r="N58" s="4"/>
    </row>
    <row r="59" spans="1:14" ht="15">
      <c r="A59" s="13">
        <v>43678</v>
      </c>
      <c r="B59" s="60">
        <f>2.9848 * CHOOSE(CONTROL!$C$21, $C$12, 100%, $E$12)</f>
        <v>2.9847999999999999</v>
      </c>
      <c r="C59" s="60">
        <f>2.9848 * CHOOSE(CONTROL!$C$21, $C$12, 100%, $E$12)</f>
        <v>2.9847999999999999</v>
      </c>
      <c r="D59" s="60">
        <f>3.0059 * CHOOSE(CONTROL!$C$21, $C$12, 100%, $E$12)</f>
        <v>3.0059</v>
      </c>
      <c r="E59" s="61">
        <f>3.434 * CHOOSE(CONTROL!$C$21, $C$12, 100%, $E$12)</f>
        <v>3.4340000000000002</v>
      </c>
      <c r="F59" s="61">
        <f>3.434 * CHOOSE(CONTROL!$C$21, $C$12, 100%, $E$12)</f>
        <v>3.4340000000000002</v>
      </c>
      <c r="G59" s="61">
        <f>3.4354 * CHOOSE(CONTROL!$C$21, $C$12, 100%, $E$12)</f>
        <v>3.4354</v>
      </c>
      <c r="H59" s="61">
        <f>6.2676* CHOOSE(CONTROL!$C$21, $C$12, 100%, $E$12)</f>
        <v>6.2675999999999998</v>
      </c>
      <c r="I59" s="61">
        <f>6.2689 * CHOOSE(CONTROL!$C$21, $C$12, 100%, $E$12)</f>
        <v>6.2689000000000004</v>
      </c>
      <c r="J59" s="61">
        <f>3.434 * CHOOSE(CONTROL!$C$21, $C$12, 100%, $E$12)</f>
        <v>3.4340000000000002</v>
      </c>
      <c r="K59" s="61">
        <f>3.4354 * CHOOSE(CONTROL!$C$21, $C$12, 100%, $E$12)</f>
        <v>3.4354</v>
      </c>
      <c r="L59" s="4"/>
      <c r="M59" s="4"/>
      <c r="N59" s="4"/>
    </row>
    <row r="60" spans="1:14" ht="15">
      <c r="A60" s="13">
        <v>43709</v>
      </c>
      <c r="B60" s="60">
        <f>2.9818 * CHOOSE(CONTROL!$C$21, $C$12, 100%, $E$12)</f>
        <v>2.9817999999999998</v>
      </c>
      <c r="C60" s="60">
        <f>2.9818 * CHOOSE(CONTROL!$C$21, $C$12, 100%, $E$12)</f>
        <v>2.9817999999999998</v>
      </c>
      <c r="D60" s="60">
        <f>3.0029 * CHOOSE(CONTROL!$C$21, $C$12, 100%, $E$12)</f>
        <v>3.0028999999999999</v>
      </c>
      <c r="E60" s="61">
        <f>3.4288 * CHOOSE(CONTROL!$C$21, $C$12, 100%, $E$12)</f>
        <v>3.4287999999999998</v>
      </c>
      <c r="F60" s="61">
        <f>3.4288 * CHOOSE(CONTROL!$C$21, $C$12, 100%, $E$12)</f>
        <v>3.4287999999999998</v>
      </c>
      <c r="G60" s="61">
        <f>3.4302 * CHOOSE(CONTROL!$C$21, $C$12, 100%, $E$12)</f>
        <v>3.4302000000000001</v>
      </c>
      <c r="H60" s="61">
        <f>6.2806* CHOOSE(CONTROL!$C$21, $C$12, 100%, $E$12)</f>
        <v>6.2805999999999997</v>
      </c>
      <c r="I60" s="61">
        <f>6.282 * CHOOSE(CONTROL!$C$21, $C$12, 100%, $E$12)</f>
        <v>6.282</v>
      </c>
      <c r="J60" s="61">
        <f>3.4288 * CHOOSE(CONTROL!$C$21, $C$12, 100%, $E$12)</f>
        <v>3.4287999999999998</v>
      </c>
      <c r="K60" s="61">
        <f>3.4302 * CHOOSE(CONTROL!$C$21, $C$12, 100%, $E$12)</f>
        <v>3.4302000000000001</v>
      </c>
      <c r="L60" s="4"/>
      <c r="M60" s="4"/>
      <c r="N60" s="4"/>
    </row>
    <row r="61" spans="1:14" ht="15">
      <c r="A61" s="13">
        <v>43739</v>
      </c>
      <c r="B61" s="60">
        <f>2.9731 * CHOOSE(CONTROL!$C$21, $C$12, 100%, $E$12)</f>
        <v>2.9731000000000001</v>
      </c>
      <c r="C61" s="60">
        <f>2.9731 * CHOOSE(CONTROL!$C$21, $C$12, 100%, $E$12)</f>
        <v>2.9731000000000001</v>
      </c>
      <c r="D61" s="60">
        <f>2.9837 * CHOOSE(CONTROL!$C$21, $C$12, 100%, $E$12)</f>
        <v>2.9836999999999998</v>
      </c>
      <c r="E61" s="61">
        <f>3.4275 * CHOOSE(CONTROL!$C$21, $C$12, 100%, $E$12)</f>
        <v>3.4275000000000002</v>
      </c>
      <c r="F61" s="61">
        <f>3.4275 * CHOOSE(CONTROL!$C$21, $C$12, 100%, $E$12)</f>
        <v>3.4275000000000002</v>
      </c>
      <c r="G61" s="61">
        <f>3.4277 * CHOOSE(CONTROL!$C$21, $C$12, 100%, $E$12)</f>
        <v>3.4277000000000002</v>
      </c>
      <c r="H61" s="61">
        <f>6.2937* CHOOSE(CONTROL!$C$21, $C$12, 100%, $E$12)</f>
        <v>6.2937000000000003</v>
      </c>
      <c r="I61" s="61">
        <f>6.2939 * CHOOSE(CONTROL!$C$21, $C$12, 100%, $E$12)</f>
        <v>6.2938999999999998</v>
      </c>
      <c r="J61" s="61">
        <f>3.4275 * CHOOSE(CONTROL!$C$21, $C$12, 100%, $E$12)</f>
        <v>3.4275000000000002</v>
      </c>
      <c r="K61" s="61">
        <f>3.4277 * CHOOSE(CONTROL!$C$21, $C$12, 100%, $E$12)</f>
        <v>3.4277000000000002</v>
      </c>
      <c r="L61" s="4"/>
      <c r="M61" s="4"/>
      <c r="N61" s="4"/>
    </row>
    <row r="62" spans="1:14" ht="15">
      <c r="A62" s="13">
        <v>43770</v>
      </c>
      <c r="B62" s="60">
        <f>2.9762 * CHOOSE(CONTROL!$C$21, $C$12, 100%, $E$12)</f>
        <v>2.9762</v>
      </c>
      <c r="C62" s="60">
        <f>2.9762 * CHOOSE(CONTROL!$C$21, $C$12, 100%, $E$12)</f>
        <v>2.9762</v>
      </c>
      <c r="D62" s="60">
        <f>2.9868 * CHOOSE(CONTROL!$C$21, $C$12, 100%, $E$12)</f>
        <v>2.9868000000000001</v>
      </c>
      <c r="E62" s="61">
        <f>3.4357 * CHOOSE(CONTROL!$C$21, $C$12, 100%, $E$12)</f>
        <v>3.4357000000000002</v>
      </c>
      <c r="F62" s="61">
        <f>3.4357 * CHOOSE(CONTROL!$C$21, $C$12, 100%, $E$12)</f>
        <v>3.4357000000000002</v>
      </c>
      <c r="G62" s="61">
        <f>3.4359 * CHOOSE(CONTROL!$C$21, $C$12, 100%, $E$12)</f>
        <v>3.4359000000000002</v>
      </c>
      <c r="H62" s="61">
        <f>6.3068* CHOOSE(CONTROL!$C$21, $C$12, 100%, $E$12)</f>
        <v>6.3068</v>
      </c>
      <c r="I62" s="61">
        <f>6.307 * CHOOSE(CONTROL!$C$21, $C$12, 100%, $E$12)</f>
        <v>6.3070000000000004</v>
      </c>
      <c r="J62" s="61">
        <f>3.4357 * CHOOSE(CONTROL!$C$21, $C$12, 100%, $E$12)</f>
        <v>3.4357000000000002</v>
      </c>
      <c r="K62" s="61">
        <f>3.4359 * CHOOSE(CONTROL!$C$21, $C$12, 100%, $E$12)</f>
        <v>3.4359000000000002</v>
      </c>
      <c r="L62" s="4"/>
      <c r="M62" s="4"/>
      <c r="N62" s="4"/>
    </row>
    <row r="63" spans="1:14" ht="15">
      <c r="A63" s="13">
        <v>43800</v>
      </c>
      <c r="B63" s="60">
        <f>2.9762 * CHOOSE(CONTROL!$C$21, $C$12, 100%, $E$12)</f>
        <v>2.9762</v>
      </c>
      <c r="C63" s="60">
        <f>2.9762 * CHOOSE(CONTROL!$C$21, $C$12, 100%, $E$12)</f>
        <v>2.9762</v>
      </c>
      <c r="D63" s="60">
        <f>2.9868 * CHOOSE(CONTROL!$C$21, $C$12, 100%, $E$12)</f>
        <v>2.9868000000000001</v>
      </c>
      <c r="E63" s="61">
        <f>3.4206 * CHOOSE(CONTROL!$C$21, $C$12, 100%, $E$12)</f>
        <v>3.4205999999999999</v>
      </c>
      <c r="F63" s="61">
        <f>3.4206 * CHOOSE(CONTROL!$C$21, $C$12, 100%, $E$12)</f>
        <v>3.4205999999999999</v>
      </c>
      <c r="G63" s="61">
        <f>3.4207 * CHOOSE(CONTROL!$C$21, $C$12, 100%, $E$12)</f>
        <v>3.4207000000000001</v>
      </c>
      <c r="H63" s="61">
        <f>6.32* CHOOSE(CONTROL!$C$21, $C$12, 100%, $E$12)</f>
        <v>6.32</v>
      </c>
      <c r="I63" s="61">
        <f>6.3201 * CHOOSE(CONTROL!$C$21, $C$12, 100%, $E$12)</f>
        <v>6.3201000000000001</v>
      </c>
      <c r="J63" s="61">
        <f>3.4206 * CHOOSE(CONTROL!$C$21, $C$12, 100%, $E$12)</f>
        <v>3.4205999999999999</v>
      </c>
      <c r="K63" s="61">
        <f>3.4207 * CHOOSE(CONTROL!$C$21, $C$12, 100%, $E$12)</f>
        <v>3.4207000000000001</v>
      </c>
      <c r="L63" s="4"/>
      <c r="M63" s="4"/>
      <c r="N63" s="4"/>
    </row>
    <row r="64" spans="1:14" ht="15">
      <c r="A64" s="13">
        <v>43831</v>
      </c>
      <c r="B64" s="60">
        <f>3.0034 * CHOOSE(CONTROL!$C$21, $C$12, 100%, $E$12)</f>
        <v>3.0034000000000001</v>
      </c>
      <c r="C64" s="60">
        <f>3.0034 * CHOOSE(CONTROL!$C$21, $C$12, 100%, $E$12)</f>
        <v>3.0034000000000001</v>
      </c>
      <c r="D64" s="60">
        <f>3.0139 * CHOOSE(CONTROL!$C$21, $C$12, 100%, $E$12)</f>
        <v>3.0139</v>
      </c>
      <c r="E64" s="61">
        <f>3.5343 * CHOOSE(CONTROL!$C$21, $C$12, 100%, $E$12)</f>
        <v>3.5343</v>
      </c>
      <c r="F64" s="61">
        <f>3.5343 * CHOOSE(CONTROL!$C$21, $C$12, 100%, $E$12)</f>
        <v>3.5343</v>
      </c>
      <c r="G64" s="61">
        <f>3.5345 * CHOOSE(CONTROL!$C$21, $C$12, 100%, $E$12)</f>
        <v>3.5345</v>
      </c>
      <c r="H64" s="61">
        <f>6.3331* CHOOSE(CONTROL!$C$21, $C$12, 100%, $E$12)</f>
        <v>6.3331</v>
      </c>
      <c r="I64" s="61">
        <f>6.3333 * CHOOSE(CONTROL!$C$21, $C$12, 100%, $E$12)</f>
        <v>6.3333000000000004</v>
      </c>
      <c r="J64" s="61">
        <f>3.5343 * CHOOSE(CONTROL!$C$21, $C$12, 100%, $E$12)</f>
        <v>3.5343</v>
      </c>
      <c r="K64" s="61">
        <f>3.5345 * CHOOSE(CONTROL!$C$21, $C$12, 100%, $E$12)</f>
        <v>3.5345</v>
      </c>
      <c r="L64" s="4"/>
      <c r="M64" s="4"/>
      <c r="N64" s="4"/>
    </row>
    <row r="65" spans="1:14" ht="15">
      <c r="A65" s="13">
        <v>43862</v>
      </c>
      <c r="B65" s="60">
        <f>3.0003 * CHOOSE(CONTROL!$C$21, $C$12, 100%, $E$12)</f>
        <v>3.0003000000000002</v>
      </c>
      <c r="C65" s="60">
        <f>3.0003 * CHOOSE(CONTROL!$C$21, $C$12, 100%, $E$12)</f>
        <v>3.0003000000000002</v>
      </c>
      <c r="D65" s="60">
        <f>3.0109 * CHOOSE(CONTROL!$C$21, $C$12, 100%, $E$12)</f>
        <v>3.0108999999999999</v>
      </c>
      <c r="E65" s="61">
        <f>3.4967 * CHOOSE(CONTROL!$C$21, $C$12, 100%, $E$12)</f>
        <v>3.4967000000000001</v>
      </c>
      <c r="F65" s="61">
        <f>3.4967 * CHOOSE(CONTROL!$C$21, $C$12, 100%, $E$12)</f>
        <v>3.4967000000000001</v>
      </c>
      <c r="G65" s="61">
        <f>3.4969 * CHOOSE(CONTROL!$C$21, $C$12, 100%, $E$12)</f>
        <v>3.4969000000000001</v>
      </c>
      <c r="H65" s="61">
        <f>6.3463* CHOOSE(CONTROL!$C$21, $C$12, 100%, $E$12)</f>
        <v>6.3463000000000003</v>
      </c>
      <c r="I65" s="61">
        <f>6.3465 * CHOOSE(CONTROL!$C$21, $C$12, 100%, $E$12)</f>
        <v>6.3464999999999998</v>
      </c>
      <c r="J65" s="61">
        <f>3.4967 * CHOOSE(CONTROL!$C$21, $C$12, 100%, $E$12)</f>
        <v>3.4967000000000001</v>
      </c>
      <c r="K65" s="61">
        <f>3.4969 * CHOOSE(CONTROL!$C$21, $C$12, 100%, $E$12)</f>
        <v>3.4969000000000001</v>
      </c>
      <c r="L65" s="4"/>
      <c r="M65" s="4"/>
      <c r="N65" s="4"/>
    </row>
    <row r="66" spans="1:14" ht="15">
      <c r="A66" s="13">
        <v>43891</v>
      </c>
      <c r="B66" s="60">
        <f>2.9973 * CHOOSE(CONTROL!$C$21, $C$12, 100%, $E$12)</f>
        <v>2.9973000000000001</v>
      </c>
      <c r="C66" s="60">
        <f>2.9973 * CHOOSE(CONTROL!$C$21, $C$12, 100%, $E$12)</f>
        <v>2.9973000000000001</v>
      </c>
      <c r="D66" s="60">
        <f>3.0079 * CHOOSE(CONTROL!$C$21, $C$12, 100%, $E$12)</f>
        <v>3.0078999999999998</v>
      </c>
      <c r="E66" s="61">
        <f>3.5226 * CHOOSE(CONTROL!$C$21, $C$12, 100%, $E$12)</f>
        <v>3.5226000000000002</v>
      </c>
      <c r="F66" s="61">
        <f>3.5226 * CHOOSE(CONTROL!$C$21, $C$12, 100%, $E$12)</f>
        <v>3.5226000000000002</v>
      </c>
      <c r="G66" s="61">
        <f>3.5228 * CHOOSE(CONTROL!$C$21, $C$12, 100%, $E$12)</f>
        <v>3.5228000000000002</v>
      </c>
      <c r="H66" s="61">
        <f>6.3595* CHOOSE(CONTROL!$C$21, $C$12, 100%, $E$12)</f>
        <v>6.3594999999999997</v>
      </c>
      <c r="I66" s="61">
        <f>6.3597 * CHOOSE(CONTROL!$C$21, $C$12, 100%, $E$12)</f>
        <v>6.3597000000000001</v>
      </c>
      <c r="J66" s="61">
        <f>3.5226 * CHOOSE(CONTROL!$C$21, $C$12, 100%, $E$12)</f>
        <v>3.5226000000000002</v>
      </c>
      <c r="K66" s="61">
        <f>3.5228 * CHOOSE(CONTROL!$C$21, $C$12, 100%, $E$12)</f>
        <v>3.5228000000000002</v>
      </c>
      <c r="L66" s="4"/>
      <c r="M66" s="4"/>
      <c r="N66" s="4"/>
    </row>
    <row r="67" spans="1:14" ht="15">
      <c r="A67" s="13">
        <v>43922</v>
      </c>
      <c r="B67" s="60">
        <f>2.994 * CHOOSE(CONTROL!$C$21, $C$12, 100%, $E$12)</f>
        <v>2.9940000000000002</v>
      </c>
      <c r="C67" s="60">
        <f>2.994 * CHOOSE(CONTROL!$C$21, $C$12, 100%, $E$12)</f>
        <v>2.9940000000000002</v>
      </c>
      <c r="D67" s="60">
        <f>3.0046 * CHOOSE(CONTROL!$C$21, $C$12, 100%, $E$12)</f>
        <v>3.0045999999999999</v>
      </c>
      <c r="E67" s="61">
        <f>3.5484 * CHOOSE(CONTROL!$C$21, $C$12, 100%, $E$12)</f>
        <v>3.5484</v>
      </c>
      <c r="F67" s="61">
        <f>3.5484 * CHOOSE(CONTROL!$C$21, $C$12, 100%, $E$12)</f>
        <v>3.5484</v>
      </c>
      <c r="G67" s="61">
        <f>3.5486 * CHOOSE(CONTROL!$C$21, $C$12, 100%, $E$12)</f>
        <v>3.5486</v>
      </c>
      <c r="H67" s="61">
        <f>6.3728* CHOOSE(CONTROL!$C$21, $C$12, 100%, $E$12)</f>
        <v>6.3727999999999998</v>
      </c>
      <c r="I67" s="61">
        <f>6.373 * CHOOSE(CONTROL!$C$21, $C$12, 100%, $E$12)</f>
        <v>6.3730000000000002</v>
      </c>
      <c r="J67" s="61">
        <f>3.5484 * CHOOSE(CONTROL!$C$21, $C$12, 100%, $E$12)</f>
        <v>3.5484</v>
      </c>
      <c r="K67" s="61">
        <f>3.5486 * CHOOSE(CONTROL!$C$21, $C$12, 100%, $E$12)</f>
        <v>3.5486</v>
      </c>
      <c r="L67" s="4"/>
      <c r="M67" s="4"/>
      <c r="N67" s="4"/>
    </row>
    <row r="68" spans="1:14" ht="15">
      <c r="A68" s="13">
        <v>43952</v>
      </c>
      <c r="B68" s="60">
        <f>2.994 * CHOOSE(CONTROL!$C$21, $C$12, 100%, $E$12)</f>
        <v>2.9940000000000002</v>
      </c>
      <c r="C68" s="60">
        <f>2.994 * CHOOSE(CONTROL!$C$21, $C$12, 100%, $E$12)</f>
        <v>2.9940000000000002</v>
      </c>
      <c r="D68" s="60">
        <f>3.0151 * CHOOSE(CONTROL!$C$21, $C$12, 100%, $E$12)</f>
        <v>3.0150999999999999</v>
      </c>
      <c r="E68" s="61">
        <f>3.5597 * CHOOSE(CONTROL!$C$21, $C$12, 100%, $E$12)</f>
        <v>3.5596999999999999</v>
      </c>
      <c r="F68" s="61">
        <f>3.5597 * CHOOSE(CONTROL!$C$21, $C$12, 100%, $E$12)</f>
        <v>3.5596999999999999</v>
      </c>
      <c r="G68" s="61">
        <f>3.561 * CHOOSE(CONTROL!$C$21, $C$12, 100%, $E$12)</f>
        <v>3.5609999999999999</v>
      </c>
      <c r="H68" s="61">
        <f>6.3861* CHOOSE(CONTROL!$C$21, $C$12, 100%, $E$12)</f>
        <v>6.3860999999999999</v>
      </c>
      <c r="I68" s="61">
        <f>6.3874 * CHOOSE(CONTROL!$C$21, $C$12, 100%, $E$12)</f>
        <v>6.3874000000000004</v>
      </c>
      <c r="J68" s="61">
        <f>3.5597 * CHOOSE(CONTROL!$C$21, $C$12, 100%, $E$12)</f>
        <v>3.5596999999999999</v>
      </c>
      <c r="K68" s="61">
        <f>3.561 * CHOOSE(CONTROL!$C$21, $C$12, 100%, $E$12)</f>
        <v>3.5609999999999999</v>
      </c>
      <c r="L68" s="4"/>
      <c r="M68" s="4"/>
      <c r="N68" s="4"/>
    </row>
    <row r="69" spans="1:14" ht="15">
      <c r="A69" s="13">
        <v>43983</v>
      </c>
      <c r="B69" s="60">
        <f>3.0001 * CHOOSE(CONTROL!$C$21, $C$12, 100%, $E$12)</f>
        <v>3.0001000000000002</v>
      </c>
      <c r="C69" s="60">
        <f>3.0001 * CHOOSE(CONTROL!$C$21, $C$12, 100%, $E$12)</f>
        <v>3.0001000000000002</v>
      </c>
      <c r="D69" s="60">
        <f>3.0212 * CHOOSE(CONTROL!$C$21, $C$12, 100%, $E$12)</f>
        <v>3.0211999999999999</v>
      </c>
      <c r="E69" s="61">
        <f>3.5526 * CHOOSE(CONTROL!$C$21, $C$12, 100%, $E$12)</f>
        <v>3.5526</v>
      </c>
      <c r="F69" s="61">
        <f>3.5526 * CHOOSE(CONTROL!$C$21, $C$12, 100%, $E$12)</f>
        <v>3.5526</v>
      </c>
      <c r="G69" s="61">
        <f>3.554 * CHOOSE(CONTROL!$C$21, $C$12, 100%, $E$12)</f>
        <v>3.5539999999999998</v>
      </c>
      <c r="H69" s="61">
        <f>6.3994* CHOOSE(CONTROL!$C$21, $C$12, 100%, $E$12)</f>
        <v>6.3994</v>
      </c>
      <c r="I69" s="61">
        <f>6.4007 * CHOOSE(CONTROL!$C$21, $C$12, 100%, $E$12)</f>
        <v>6.4006999999999996</v>
      </c>
      <c r="J69" s="61">
        <f>3.5526 * CHOOSE(CONTROL!$C$21, $C$12, 100%, $E$12)</f>
        <v>3.5526</v>
      </c>
      <c r="K69" s="61">
        <f>3.554 * CHOOSE(CONTROL!$C$21, $C$12, 100%, $E$12)</f>
        <v>3.5539999999999998</v>
      </c>
      <c r="L69" s="4"/>
      <c r="M69" s="4"/>
      <c r="N69" s="4"/>
    </row>
    <row r="70" spans="1:14" ht="15">
      <c r="A70" s="13">
        <v>44013</v>
      </c>
      <c r="B70" s="60">
        <f>3.0509 * CHOOSE(CONTROL!$C$21, $C$12, 100%, $E$12)</f>
        <v>3.0508999999999999</v>
      </c>
      <c r="C70" s="60">
        <f>3.0509 * CHOOSE(CONTROL!$C$21, $C$12, 100%, $E$12)</f>
        <v>3.0508999999999999</v>
      </c>
      <c r="D70" s="60">
        <f>3.072 * CHOOSE(CONTROL!$C$21, $C$12, 100%, $E$12)</f>
        <v>3.0720000000000001</v>
      </c>
      <c r="E70" s="61">
        <f>3.6456 * CHOOSE(CONTROL!$C$21, $C$12, 100%, $E$12)</f>
        <v>3.6456</v>
      </c>
      <c r="F70" s="61">
        <f>3.6456 * CHOOSE(CONTROL!$C$21, $C$12, 100%, $E$12)</f>
        <v>3.6456</v>
      </c>
      <c r="G70" s="61">
        <f>3.647 * CHOOSE(CONTROL!$C$21, $C$12, 100%, $E$12)</f>
        <v>3.6469999999999998</v>
      </c>
      <c r="H70" s="61">
        <f>6.4127* CHOOSE(CONTROL!$C$21, $C$12, 100%, $E$12)</f>
        <v>6.4127000000000001</v>
      </c>
      <c r="I70" s="61">
        <f>6.4141 * CHOOSE(CONTROL!$C$21, $C$12, 100%, $E$12)</f>
        <v>6.4141000000000004</v>
      </c>
      <c r="J70" s="61">
        <f>3.6456 * CHOOSE(CONTROL!$C$21, $C$12, 100%, $E$12)</f>
        <v>3.6456</v>
      </c>
      <c r="K70" s="61">
        <f>3.647 * CHOOSE(CONTROL!$C$21, $C$12, 100%, $E$12)</f>
        <v>3.6469999999999998</v>
      </c>
      <c r="L70" s="4"/>
      <c r="M70" s="4"/>
      <c r="N70" s="4"/>
    </row>
    <row r="71" spans="1:14" ht="15">
      <c r="A71" s="13">
        <v>44044</v>
      </c>
      <c r="B71" s="60">
        <f>3.0576 * CHOOSE(CONTROL!$C$21, $C$12, 100%, $E$12)</f>
        <v>3.0575999999999999</v>
      </c>
      <c r="C71" s="60">
        <f>3.0576 * CHOOSE(CONTROL!$C$21, $C$12, 100%, $E$12)</f>
        <v>3.0575999999999999</v>
      </c>
      <c r="D71" s="60">
        <f>3.0787 * CHOOSE(CONTROL!$C$21, $C$12, 100%, $E$12)</f>
        <v>3.0787</v>
      </c>
      <c r="E71" s="61">
        <f>3.6165 * CHOOSE(CONTROL!$C$21, $C$12, 100%, $E$12)</f>
        <v>3.6164999999999998</v>
      </c>
      <c r="F71" s="61">
        <f>3.6165 * CHOOSE(CONTROL!$C$21, $C$12, 100%, $E$12)</f>
        <v>3.6164999999999998</v>
      </c>
      <c r="G71" s="61">
        <f>3.6179 * CHOOSE(CONTROL!$C$21, $C$12, 100%, $E$12)</f>
        <v>3.6179000000000001</v>
      </c>
      <c r="H71" s="61">
        <f>6.4261* CHOOSE(CONTROL!$C$21, $C$12, 100%, $E$12)</f>
        <v>6.4260999999999999</v>
      </c>
      <c r="I71" s="61">
        <f>6.4274 * CHOOSE(CONTROL!$C$21, $C$12, 100%, $E$12)</f>
        <v>6.4273999999999996</v>
      </c>
      <c r="J71" s="61">
        <f>3.6165 * CHOOSE(CONTROL!$C$21, $C$12, 100%, $E$12)</f>
        <v>3.6164999999999998</v>
      </c>
      <c r="K71" s="61">
        <f>3.6179 * CHOOSE(CONTROL!$C$21, $C$12, 100%, $E$12)</f>
        <v>3.6179000000000001</v>
      </c>
      <c r="L71" s="4"/>
      <c r="M71" s="4"/>
      <c r="N71" s="4"/>
    </row>
    <row r="72" spans="1:14" ht="15">
      <c r="A72" s="13">
        <v>44075</v>
      </c>
      <c r="B72" s="60">
        <f>3.0545 * CHOOSE(CONTROL!$C$21, $C$12, 100%, $E$12)</f>
        <v>3.0545</v>
      </c>
      <c r="C72" s="60">
        <f>3.0545 * CHOOSE(CONTROL!$C$21, $C$12, 100%, $E$12)</f>
        <v>3.0545</v>
      </c>
      <c r="D72" s="60">
        <f>3.0757 * CHOOSE(CONTROL!$C$21, $C$12, 100%, $E$12)</f>
        <v>3.0756999999999999</v>
      </c>
      <c r="E72" s="61">
        <f>3.6106 * CHOOSE(CONTROL!$C$21, $C$12, 100%, $E$12)</f>
        <v>3.6105999999999998</v>
      </c>
      <c r="F72" s="61">
        <f>3.6106 * CHOOSE(CONTROL!$C$21, $C$12, 100%, $E$12)</f>
        <v>3.6105999999999998</v>
      </c>
      <c r="G72" s="61">
        <f>3.612 * CHOOSE(CONTROL!$C$21, $C$12, 100%, $E$12)</f>
        <v>3.6120000000000001</v>
      </c>
      <c r="H72" s="61">
        <f>6.4394* CHOOSE(CONTROL!$C$21, $C$12, 100%, $E$12)</f>
        <v>6.4394</v>
      </c>
      <c r="I72" s="61">
        <f>6.4408 * CHOOSE(CONTROL!$C$21, $C$12, 100%, $E$12)</f>
        <v>6.4408000000000003</v>
      </c>
      <c r="J72" s="61">
        <f>3.6106 * CHOOSE(CONTROL!$C$21, $C$12, 100%, $E$12)</f>
        <v>3.6105999999999998</v>
      </c>
      <c r="K72" s="61">
        <f>3.612 * CHOOSE(CONTROL!$C$21, $C$12, 100%, $E$12)</f>
        <v>3.6120000000000001</v>
      </c>
      <c r="L72" s="4"/>
      <c r="M72" s="4"/>
      <c r="N72" s="4"/>
    </row>
    <row r="73" spans="1:14" ht="15">
      <c r="A73" s="13">
        <v>44105</v>
      </c>
      <c r="B73" s="60">
        <f>3.0462 * CHOOSE(CONTROL!$C$21, $C$12, 100%, $E$12)</f>
        <v>3.0461999999999998</v>
      </c>
      <c r="C73" s="60">
        <f>3.0462 * CHOOSE(CONTROL!$C$21, $C$12, 100%, $E$12)</f>
        <v>3.0461999999999998</v>
      </c>
      <c r="D73" s="60">
        <f>3.0568 * CHOOSE(CONTROL!$C$21, $C$12, 100%, $E$12)</f>
        <v>3.0568</v>
      </c>
      <c r="E73" s="61">
        <f>3.6122 * CHOOSE(CONTROL!$C$21, $C$12, 100%, $E$12)</f>
        <v>3.6122000000000001</v>
      </c>
      <c r="F73" s="61">
        <f>3.6122 * CHOOSE(CONTROL!$C$21, $C$12, 100%, $E$12)</f>
        <v>3.6122000000000001</v>
      </c>
      <c r="G73" s="61">
        <f>3.6124 * CHOOSE(CONTROL!$C$21, $C$12, 100%, $E$12)</f>
        <v>3.6124000000000001</v>
      </c>
      <c r="H73" s="61">
        <f>6.4529* CHOOSE(CONTROL!$C$21, $C$12, 100%, $E$12)</f>
        <v>6.4528999999999996</v>
      </c>
      <c r="I73" s="61">
        <f>6.453 * CHOOSE(CONTROL!$C$21, $C$12, 100%, $E$12)</f>
        <v>6.4530000000000003</v>
      </c>
      <c r="J73" s="61">
        <f>3.6122 * CHOOSE(CONTROL!$C$21, $C$12, 100%, $E$12)</f>
        <v>3.6122000000000001</v>
      </c>
      <c r="K73" s="61">
        <f>3.6124 * CHOOSE(CONTROL!$C$21, $C$12, 100%, $E$12)</f>
        <v>3.6124000000000001</v>
      </c>
      <c r="L73" s="4"/>
      <c r="M73" s="4"/>
      <c r="N73" s="4"/>
    </row>
    <row r="74" spans="1:14" ht="15">
      <c r="A74" s="13">
        <v>44136</v>
      </c>
      <c r="B74" s="60">
        <f>3.0493 * CHOOSE(CONTROL!$C$21, $C$12, 100%, $E$12)</f>
        <v>3.0493000000000001</v>
      </c>
      <c r="C74" s="60">
        <f>3.0493 * CHOOSE(CONTROL!$C$21, $C$12, 100%, $E$12)</f>
        <v>3.0493000000000001</v>
      </c>
      <c r="D74" s="60">
        <f>3.0598 * CHOOSE(CONTROL!$C$21, $C$12, 100%, $E$12)</f>
        <v>3.0598000000000001</v>
      </c>
      <c r="E74" s="61">
        <f>3.6219 * CHOOSE(CONTROL!$C$21, $C$12, 100%, $E$12)</f>
        <v>3.6219000000000001</v>
      </c>
      <c r="F74" s="61">
        <f>3.6219 * CHOOSE(CONTROL!$C$21, $C$12, 100%, $E$12)</f>
        <v>3.6219000000000001</v>
      </c>
      <c r="G74" s="61">
        <f>3.622 * CHOOSE(CONTROL!$C$21, $C$12, 100%, $E$12)</f>
        <v>3.6219999999999999</v>
      </c>
      <c r="H74" s="61">
        <f>6.4663* CHOOSE(CONTROL!$C$21, $C$12, 100%, $E$12)</f>
        <v>6.4663000000000004</v>
      </c>
      <c r="I74" s="61">
        <f>6.4665 * CHOOSE(CONTROL!$C$21, $C$12, 100%, $E$12)</f>
        <v>6.4664999999999999</v>
      </c>
      <c r="J74" s="61">
        <f>3.6219 * CHOOSE(CONTROL!$C$21, $C$12, 100%, $E$12)</f>
        <v>3.6219000000000001</v>
      </c>
      <c r="K74" s="61">
        <f>3.622 * CHOOSE(CONTROL!$C$21, $C$12, 100%, $E$12)</f>
        <v>3.6219999999999999</v>
      </c>
      <c r="L74" s="4"/>
      <c r="M74" s="4"/>
      <c r="N74" s="4"/>
    </row>
    <row r="75" spans="1:14" ht="15">
      <c r="A75" s="13">
        <v>44166</v>
      </c>
      <c r="B75" s="60">
        <f>3.0493 * CHOOSE(CONTROL!$C$21, $C$12, 100%, $E$12)</f>
        <v>3.0493000000000001</v>
      </c>
      <c r="C75" s="60">
        <f>3.0493 * CHOOSE(CONTROL!$C$21, $C$12, 100%, $E$12)</f>
        <v>3.0493000000000001</v>
      </c>
      <c r="D75" s="60">
        <f>3.0598 * CHOOSE(CONTROL!$C$21, $C$12, 100%, $E$12)</f>
        <v>3.0598000000000001</v>
      </c>
      <c r="E75" s="61">
        <f>3.6031 * CHOOSE(CONTROL!$C$21, $C$12, 100%, $E$12)</f>
        <v>3.6031</v>
      </c>
      <c r="F75" s="61">
        <f>3.6031 * CHOOSE(CONTROL!$C$21, $C$12, 100%, $E$12)</f>
        <v>3.6031</v>
      </c>
      <c r="G75" s="61">
        <f>3.6033 * CHOOSE(CONTROL!$C$21, $C$12, 100%, $E$12)</f>
        <v>3.6032999999999999</v>
      </c>
      <c r="H75" s="61">
        <f>6.4798* CHOOSE(CONTROL!$C$21, $C$12, 100%, $E$12)</f>
        <v>6.4798</v>
      </c>
      <c r="I75" s="61">
        <f>6.48 * CHOOSE(CONTROL!$C$21, $C$12, 100%, $E$12)</f>
        <v>6.48</v>
      </c>
      <c r="J75" s="61">
        <f>3.6031 * CHOOSE(CONTROL!$C$21, $C$12, 100%, $E$12)</f>
        <v>3.6031</v>
      </c>
      <c r="K75" s="61">
        <f>3.6033 * CHOOSE(CONTROL!$C$21, $C$12, 100%, $E$12)</f>
        <v>3.6032999999999999</v>
      </c>
      <c r="L75" s="4"/>
      <c r="M75" s="4"/>
      <c r="N75" s="4"/>
    </row>
    <row r="76" spans="1:14" ht="15">
      <c r="A76" s="13">
        <v>44197</v>
      </c>
      <c r="B76" s="60">
        <f>3.0805 * CHOOSE(CONTROL!$C$21, $C$12, 100%, $E$12)</f>
        <v>3.0804999999999998</v>
      </c>
      <c r="C76" s="60">
        <f>3.0805 * CHOOSE(CONTROL!$C$21, $C$12, 100%, $E$12)</f>
        <v>3.0804999999999998</v>
      </c>
      <c r="D76" s="60">
        <f>3.0911 * CHOOSE(CONTROL!$C$21, $C$12, 100%, $E$12)</f>
        <v>3.0911</v>
      </c>
      <c r="E76" s="61">
        <f>3.649 * CHOOSE(CONTROL!$C$21, $C$12, 100%, $E$12)</f>
        <v>3.649</v>
      </c>
      <c r="F76" s="61">
        <f>3.649 * CHOOSE(CONTROL!$C$21, $C$12, 100%, $E$12)</f>
        <v>3.649</v>
      </c>
      <c r="G76" s="61">
        <f>3.6492 * CHOOSE(CONTROL!$C$21, $C$12, 100%, $E$12)</f>
        <v>3.6492</v>
      </c>
      <c r="H76" s="61">
        <f>6.4933* CHOOSE(CONTROL!$C$21, $C$12, 100%, $E$12)</f>
        <v>6.4932999999999996</v>
      </c>
      <c r="I76" s="61">
        <f>6.4935 * CHOOSE(CONTROL!$C$21, $C$12, 100%, $E$12)</f>
        <v>6.4935</v>
      </c>
      <c r="J76" s="61">
        <f>3.649 * CHOOSE(CONTROL!$C$21, $C$12, 100%, $E$12)</f>
        <v>3.649</v>
      </c>
      <c r="K76" s="61">
        <f>3.6492 * CHOOSE(CONTROL!$C$21, $C$12, 100%, $E$12)</f>
        <v>3.6492</v>
      </c>
      <c r="L76" s="4"/>
      <c r="M76" s="4"/>
      <c r="N76" s="4"/>
    </row>
    <row r="77" spans="1:14" ht="15">
      <c r="A77" s="13">
        <v>44228</v>
      </c>
      <c r="B77" s="60">
        <f>3.0775 * CHOOSE(CONTROL!$C$21, $C$12, 100%, $E$12)</f>
        <v>3.0775000000000001</v>
      </c>
      <c r="C77" s="60">
        <f>3.0775 * CHOOSE(CONTROL!$C$21, $C$12, 100%, $E$12)</f>
        <v>3.0775000000000001</v>
      </c>
      <c r="D77" s="60">
        <f>3.088 * CHOOSE(CONTROL!$C$21, $C$12, 100%, $E$12)</f>
        <v>3.0880000000000001</v>
      </c>
      <c r="E77" s="61">
        <f>3.6087 * CHOOSE(CONTROL!$C$21, $C$12, 100%, $E$12)</f>
        <v>3.6086999999999998</v>
      </c>
      <c r="F77" s="61">
        <f>3.6087 * CHOOSE(CONTROL!$C$21, $C$12, 100%, $E$12)</f>
        <v>3.6086999999999998</v>
      </c>
      <c r="G77" s="61">
        <f>3.6088 * CHOOSE(CONTROL!$C$21, $C$12, 100%, $E$12)</f>
        <v>3.6088</v>
      </c>
      <c r="H77" s="61">
        <f>6.5068* CHOOSE(CONTROL!$C$21, $C$12, 100%, $E$12)</f>
        <v>6.5068000000000001</v>
      </c>
      <c r="I77" s="61">
        <f>6.507 * CHOOSE(CONTROL!$C$21, $C$12, 100%, $E$12)</f>
        <v>6.5069999999999997</v>
      </c>
      <c r="J77" s="61">
        <f>3.6087 * CHOOSE(CONTROL!$C$21, $C$12, 100%, $E$12)</f>
        <v>3.6086999999999998</v>
      </c>
      <c r="K77" s="61">
        <f>3.6088 * CHOOSE(CONTROL!$C$21, $C$12, 100%, $E$12)</f>
        <v>3.6088</v>
      </c>
      <c r="L77" s="4"/>
      <c r="M77" s="4"/>
      <c r="N77" s="4"/>
    </row>
    <row r="78" spans="1:14" ht="15">
      <c r="A78" s="13">
        <v>44256</v>
      </c>
      <c r="B78" s="60">
        <f>3.0744 * CHOOSE(CONTROL!$C$21, $C$12, 100%, $E$12)</f>
        <v>3.0743999999999998</v>
      </c>
      <c r="C78" s="60">
        <f>3.0744 * CHOOSE(CONTROL!$C$21, $C$12, 100%, $E$12)</f>
        <v>3.0743999999999998</v>
      </c>
      <c r="D78" s="60">
        <f>3.085 * CHOOSE(CONTROL!$C$21, $C$12, 100%, $E$12)</f>
        <v>3.085</v>
      </c>
      <c r="E78" s="61">
        <f>3.6367 * CHOOSE(CONTROL!$C$21, $C$12, 100%, $E$12)</f>
        <v>3.6366999999999998</v>
      </c>
      <c r="F78" s="61">
        <f>3.6367 * CHOOSE(CONTROL!$C$21, $C$12, 100%, $E$12)</f>
        <v>3.6366999999999998</v>
      </c>
      <c r="G78" s="61">
        <f>3.6369 * CHOOSE(CONTROL!$C$21, $C$12, 100%, $E$12)</f>
        <v>3.6368999999999998</v>
      </c>
      <c r="H78" s="61">
        <f>6.5204* CHOOSE(CONTROL!$C$21, $C$12, 100%, $E$12)</f>
        <v>6.5204000000000004</v>
      </c>
      <c r="I78" s="61">
        <f>6.5205 * CHOOSE(CONTROL!$C$21, $C$12, 100%, $E$12)</f>
        <v>6.5205000000000002</v>
      </c>
      <c r="J78" s="61">
        <f>3.6367 * CHOOSE(CONTROL!$C$21, $C$12, 100%, $E$12)</f>
        <v>3.6366999999999998</v>
      </c>
      <c r="K78" s="61">
        <f>3.6369 * CHOOSE(CONTROL!$C$21, $C$12, 100%, $E$12)</f>
        <v>3.6368999999999998</v>
      </c>
      <c r="L78" s="4"/>
      <c r="M78" s="4"/>
      <c r="N78" s="4"/>
    </row>
    <row r="79" spans="1:14" ht="15">
      <c r="A79" s="13">
        <v>44287</v>
      </c>
      <c r="B79" s="60">
        <f>3.0712 * CHOOSE(CONTROL!$C$21, $C$12, 100%, $E$12)</f>
        <v>3.0712000000000002</v>
      </c>
      <c r="C79" s="60">
        <f>3.0712 * CHOOSE(CONTROL!$C$21, $C$12, 100%, $E$12)</f>
        <v>3.0712000000000002</v>
      </c>
      <c r="D79" s="60">
        <f>3.0818 * CHOOSE(CONTROL!$C$21, $C$12, 100%, $E$12)</f>
        <v>3.0817999999999999</v>
      </c>
      <c r="E79" s="61">
        <f>3.6649 * CHOOSE(CONTROL!$C$21, $C$12, 100%, $E$12)</f>
        <v>3.6648999999999998</v>
      </c>
      <c r="F79" s="61">
        <f>3.6649 * CHOOSE(CONTROL!$C$21, $C$12, 100%, $E$12)</f>
        <v>3.6648999999999998</v>
      </c>
      <c r="G79" s="61">
        <f>3.665 * CHOOSE(CONTROL!$C$21, $C$12, 100%, $E$12)</f>
        <v>3.665</v>
      </c>
      <c r="H79" s="61">
        <f>6.5339* CHOOSE(CONTROL!$C$21, $C$12, 100%, $E$12)</f>
        <v>6.5339</v>
      </c>
      <c r="I79" s="61">
        <f>6.5341 * CHOOSE(CONTROL!$C$21, $C$12, 100%, $E$12)</f>
        <v>6.5340999999999996</v>
      </c>
      <c r="J79" s="61">
        <f>3.6649 * CHOOSE(CONTROL!$C$21, $C$12, 100%, $E$12)</f>
        <v>3.6648999999999998</v>
      </c>
      <c r="K79" s="61">
        <f>3.665 * CHOOSE(CONTROL!$C$21, $C$12, 100%, $E$12)</f>
        <v>3.665</v>
      </c>
      <c r="L79" s="4"/>
      <c r="M79" s="4"/>
      <c r="N79" s="4"/>
    </row>
    <row r="80" spans="1:14" ht="15">
      <c r="A80" s="13">
        <v>44317</v>
      </c>
      <c r="B80" s="60">
        <f>3.0712 * CHOOSE(CONTROL!$C$21, $C$12, 100%, $E$12)</f>
        <v>3.0712000000000002</v>
      </c>
      <c r="C80" s="60">
        <f>3.0712 * CHOOSE(CONTROL!$C$21, $C$12, 100%, $E$12)</f>
        <v>3.0712000000000002</v>
      </c>
      <c r="D80" s="60">
        <f>3.0923 * CHOOSE(CONTROL!$C$21, $C$12, 100%, $E$12)</f>
        <v>3.0922999999999998</v>
      </c>
      <c r="E80" s="61">
        <f>3.677 * CHOOSE(CONTROL!$C$21, $C$12, 100%, $E$12)</f>
        <v>3.677</v>
      </c>
      <c r="F80" s="61">
        <f>3.677 * CHOOSE(CONTROL!$C$21, $C$12, 100%, $E$12)</f>
        <v>3.677</v>
      </c>
      <c r="G80" s="61">
        <f>3.6784 * CHOOSE(CONTROL!$C$21, $C$12, 100%, $E$12)</f>
        <v>3.6783999999999999</v>
      </c>
      <c r="H80" s="61">
        <f>6.5476* CHOOSE(CONTROL!$C$21, $C$12, 100%, $E$12)</f>
        <v>6.5476000000000001</v>
      </c>
      <c r="I80" s="61">
        <f>6.5489 * CHOOSE(CONTROL!$C$21, $C$12, 100%, $E$12)</f>
        <v>6.5488999999999997</v>
      </c>
      <c r="J80" s="61">
        <f>3.677 * CHOOSE(CONTROL!$C$21, $C$12, 100%, $E$12)</f>
        <v>3.677</v>
      </c>
      <c r="K80" s="61">
        <f>3.6784 * CHOOSE(CONTROL!$C$21, $C$12, 100%, $E$12)</f>
        <v>3.6783999999999999</v>
      </c>
      <c r="L80" s="4"/>
      <c r="M80" s="4"/>
      <c r="N80" s="4"/>
    </row>
    <row r="81" spans="1:14" ht="15">
      <c r="A81" s="13">
        <v>44348</v>
      </c>
      <c r="B81" s="60">
        <f>3.0773 * CHOOSE(CONTROL!$C$21, $C$12, 100%, $E$12)</f>
        <v>3.0773000000000001</v>
      </c>
      <c r="C81" s="60">
        <f>3.0773 * CHOOSE(CONTROL!$C$21, $C$12, 100%, $E$12)</f>
        <v>3.0773000000000001</v>
      </c>
      <c r="D81" s="60">
        <f>3.0984 * CHOOSE(CONTROL!$C$21, $C$12, 100%, $E$12)</f>
        <v>3.0983999999999998</v>
      </c>
      <c r="E81" s="61">
        <f>3.6691 * CHOOSE(CONTROL!$C$21, $C$12, 100%, $E$12)</f>
        <v>3.6690999999999998</v>
      </c>
      <c r="F81" s="61">
        <f>3.6691 * CHOOSE(CONTROL!$C$21, $C$12, 100%, $E$12)</f>
        <v>3.6690999999999998</v>
      </c>
      <c r="G81" s="61">
        <f>3.6705 * CHOOSE(CONTROL!$C$21, $C$12, 100%, $E$12)</f>
        <v>3.6705000000000001</v>
      </c>
      <c r="H81" s="61">
        <f>6.5612* CHOOSE(CONTROL!$C$21, $C$12, 100%, $E$12)</f>
        <v>6.5612000000000004</v>
      </c>
      <c r="I81" s="61">
        <f>6.5626 * CHOOSE(CONTROL!$C$21, $C$12, 100%, $E$12)</f>
        <v>6.5625999999999998</v>
      </c>
      <c r="J81" s="61">
        <f>3.6691 * CHOOSE(CONTROL!$C$21, $C$12, 100%, $E$12)</f>
        <v>3.6690999999999998</v>
      </c>
      <c r="K81" s="61">
        <f>3.6705 * CHOOSE(CONTROL!$C$21, $C$12, 100%, $E$12)</f>
        <v>3.6705000000000001</v>
      </c>
      <c r="L81" s="4"/>
      <c r="M81" s="4"/>
      <c r="N81" s="4"/>
    </row>
    <row r="82" spans="1:14" ht="15">
      <c r="A82" s="13">
        <v>44378</v>
      </c>
      <c r="B82" s="60">
        <f>3.137 * CHOOSE(CONTROL!$C$21, $C$12, 100%, $E$12)</f>
        <v>3.137</v>
      </c>
      <c r="C82" s="60">
        <f>3.137 * CHOOSE(CONTROL!$C$21, $C$12, 100%, $E$12)</f>
        <v>3.137</v>
      </c>
      <c r="D82" s="60">
        <f>3.1581 * CHOOSE(CONTROL!$C$21, $C$12, 100%, $E$12)</f>
        <v>3.1581000000000001</v>
      </c>
      <c r="E82" s="61">
        <f>3.6976 * CHOOSE(CONTROL!$C$21, $C$12, 100%, $E$12)</f>
        <v>3.6976</v>
      </c>
      <c r="F82" s="61">
        <f>3.6976 * CHOOSE(CONTROL!$C$21, $C$12, 100%, $E$12)</f>
        <v>3.6976</v>
      </c>
      <c r="G82" s="61">
        <f>3.699 * CHOOSE(CONTROL!$C$21, $C$12, 100%, $E$12)</f>
        <v>3.6989999999999998</v>
      </c>
      <c r="H82" s="61">
        <f>6.5749* CHOOSE(CONTROL!$C$21, $C$12, 100%, $E$12)</f>
        <v>6.5749000000000004</v>
      </c>
      <c r="I82" s="61">
        <f>6.5762 * CHOOSE(CONTROL!$C$21, $C$12, 100%, $E$12)</f>
        <v>6.5762</v>
      </c>
      <c r="J82" s="61">
        <f>3.6976 * CHOOSE(CONTROL!$C$21, $C$12, 100%, $E$12)</f>
        <v>3.6976</v>
      </c>
      <c r="K82" s="61">
        <f>3.699 * CHOOSE(CONTROL!$C$21, $C$12, 100%, $E$12)</f>
        <v>3.6989999999999998</v>
      </c>
      <c r="L82" s="4"/>
      <c r="M82" s="4"/>
      <c r="N82" s="4"/>
    </row>
    <row r="83" spans="1:14" ht="15">
      <c r="A83" s="13">
        <v>44409</v>
      </c>
      <c r="B83" s="60">
        <f>3.1436 * CHOOSE(CONTROL!$C$21, $C$12, 100%, $E$12)</f>
        <v>3.1436000000000002</v>
      </c>
      <c r="C83" s="60">
        <f>3.1436 * CHOOSE(CONTROL!$C$21, $C$12, 100%, $E$12)</f>
        <v>3.1436000000000002</v>
      </c>
      <c r="D83" s="60">
        <f>3.1648 * CHOOSE(CONTROL!$C$21, $C$12, 100%, $E$12)</f>
        <v>3.1648000000000001</v>
      </c>
      <c r="E83" s="61">
        <f>3.6658 * CHOOSE(CONTROL!$C$21, $C$12, 100%, $E$12)</f>
        <v>3.6657999999999999</v>
      </c>
      <c r="F83" s="61">
        <f>3.6658 * CHOOSE(CONTROL!$C$21, $C$12, 100%, $E$12)</f>
        <v>3.6657999999999999</v>
      </c>
      <c r="G83" s="61">
        <f>3.6672 * CHOOSE(CONTROL!$C$21, $C$12, 100%, $E$12)</f>
        <v>3.6671999999999998</v>
      </c>
      <c r="H83" s="61">
        <f>6.5886* CHOOSE(CONTROL!$C$21, $C$12, 100%, $E$12)</f>
        <v>6.5885999999999996</v>
      </c>
      <c r="I83" s="61">
        <f>6.5899 * CHOOSE(CONTROL!$C$21, $C$12, 100%, $E$12)</f>
        <v>6.5899000000000001</v>
      </c>
      <c r="J83" s="61">
        <f>3.6658 * CHOOSE(CONTROL!$C$21, $C$12, 100%, $E$12)</f>
        <v>3.6657999999999999</v>
      </c>
      <c r="K83" s="61">
        <f>3.6672 * CHOOSE(CONTROL!$C$21, $C$12, 100%, $E$12)</f>
        <v>3.6671999999999998</v>
      </c>
      <c r="L83" s="4"/>
      <c r="M83" s="4"/>
      <c r="N83" s="4"/>
    </row>
    <row r="84" spans="1:14" ht="15">
      <c r="A84" s="13">
        <v>44440</v>
      </c>
      <c r="B84" s="60">
        <f>3.1406 * CHOOSE(CONTROL!$C$21, $C$12, 100%, $E$12)</f>
        <v>3.1406000000000001</v>
      </c>
      <c r="C84" s="60">
        <f>3.1406 * CHOOSE(CONTROL!$C$21, $C$12, 100%, $E$12)</f>
        <v>3.1406000000000001</v>
      </c>
      <c r="D84" s="60">
        <f>3.1617 * CHOOSE(CONTROL!$C$21, $C$12, 100%, $E$12)</f>
        <v>3.1617000000000002</v>
      </c>
      <c r="E84" s="61">
        <f>3.6597 * CHOOSE(CONTROL!$C$21, $C$12, 100%, $E$12)</f>
        <v>3.6597</v>
      </c>
      <c r="F84" s="61">
        <f>3.6597 * CHOOSE(CONTROL!$C$21, $C$12, 100%, $E$12)</f>
        <v>3.6597</v>
      </c>
      <c r="G84" s="61">
        <f>3.661 * CHOOSE(CONTROL!$C$21, $C$12, 100%, $E$12)</f>
        <v>3.661</v>
      </c>
      <c r="H84" s="61">
        <f>6.6023* CHOOSE(CONTROL!$C$21, $C$12, 100%, $E$12)</f>
        <v>6.6022999999999996</v>
      </c>
      <c r="I84" s="61">
        <f>6.6037 * CHOOSE(CONTROL!$C$21, $C$12, 100%, $E$12)</f>
        <v>6.6036999999999999</v>
      </c>
      <c r="J84" s="61">
        <f>3.6597 * CHOOSE(CONTROL!$C$21, $C$12, 100%, $E$12)</f>
        <v>3.6597</v>
      </c>
      <c r="K84" s="61">
        <f>3.661 * CHOOSE(CONTROL!$C$21, $C$12, 100%, $E$12)</f>
        <v>3.661</v>
      </c>
      <c r="L84" s="4"/>
      <c r="M84" s="4"/>
      <c r="N84" s="4"/>
    </row>
    <row r="85" spans="1:14" ht="15">
      <c r="A85" s="13">
        <v>44470</v>
      </c>
      <c r="B85" s="60">
        <f>3.1326 * CHOOSE(CONTROL!$C$21, $C$12, 100%, $E$12)</f>
        <v>3.1326000000000001</v>
      </c>
      <c r="C85" s="60">
        <f>3.1326 * CHOOSE(CONTROL!$C$21, $C$12, 100%, $E$12)</f>
        <v>3.1326000000000001</v>
      </c>
      <c r="D85" s="60">
        <f>3.1432 * CHOOSE(CONTROL!$C$21, $C$12, 100%, $E$12)</f>
        <v>3.1432000000000002</v>
      </c>
      <c r="E85" s="61">
        <f>3.6625 * CHOOSE(CONTROL!$C$21, $C$12, 100%, $E$12)</f>
        <v>3.6625000000000001</v>
      </c>
      <c r="F85" s="61">
        <f>3.6625 * CHOOSE(CONTROL!$C$21, $C$12, 100%, $E$12)</f>
        <v>3.6625000000000001</v>
      </c>
      <c r="G85" s="61">
        <f>3.6626 * CHOOSE(CONTROL!$C$21, $C$12, 100%, $E$12)</f>
        <v>3.6625999999999999</v>
      </c>
      <c r="H85" s="61">
        <f>6.616* CHOOSE(CONTROL!$C$21, $C$12, 100%, $E$12)</f>
        <v>6.6159999999999997</v>
      </c>
      <c r="I85" s="61">
        <f>6.6162 * CHOOSE(CONTROL!$C$21, $C$12, 100%, $E$12)</f>
        <v>6.6162000000000001</v>
      </c>
      <c r="J85" s="61">
        <f>3.6625 * CHOOSE(CONTROL!$C$21, $C$12, 100%, $E$12)</f>
        <v>3.6625000000000001</v>
      </c>
      <c r="K85" s="61">
        <f>3.6626 * CHOOSE(CONTROL!$C$21, $C$12, 100%, $E$12)</f>
        <v>3.6625999999999999</v>
      </c>
      <c r="L85" s="4"/>
      <c r="M85" s="4"/>
      <c r="N85" s="4"/>
    </row>
    <row r="86" spans="1:14" ht="15">
      <c r="A86" s="13">
        <v>44501</v>
      </c>
      <c r="B86" s="60">
        <f>3.1356 * CHOOSE(CONTROL!$C$21, $C$12, 100%, $E$12)</f>
        <v>3.1356000000000002</v>
      </c>
      <c r="C86" s="60">
        <f>3.1356 * CHOOSE(CONTROL!$C$21, $C$12, 100%, $E$12)</f>
        <v>3.1356000000000002</v>
      </c>
      <c r="D86" s="60">
        <f>3.1462 * CHOOSE(CONTROL!$C$21, $C$12, 100%, $E$12)</f>
        <v>3.1461999999999999</v>
      </c>
      <c r="E86" s="61">
        <f>3.6727 * CHOOSE(CONTROL!$C$21, $C$12, 100%, $E$12)</f>
        <v>3.6726999999999999</v>
      </c>
      <c r="F86" s="61">
        <f>3.6727 * CHOOSE(CONTROL!$C$21, $C$12, 100%, $E$12)</f>
        <v>3.6726999999999999</v>
      </c>
      <c r="G86" s="61">
        <f>3.6728 * CHOOSE(CONTROL!$C$21, $C$12, 100%, $E$12)</f>
        <v>3.6728000000000001</v>
      </c>
      <c r="H86" s="61">
        <f>6.6298* CHOOSE(CONTROL!$C$21, $C$12, 100%, $E$12)</f>
        <v>6.6298000000000004</v>
      </c>
      <c r="I86" s="61">
        <f>6.63 * CHOOSE(CONTROL!$C$21, $C$12, 100%, $E$12)</f>
        <v>6.63</v>
      </c>
      <c r="J86" s="61">
        <f>3.6727 * CHOOSE(CONTROL!$C$21, $C$12, 100%, $E$12)</f>
        <v>3.6726999999999999</v>
      </c>
      <c r="K86" s="61">
        <f>3.6728 * CHOOSE(CONTROL!$C$21, $C$12, 100%, $E$12)</f>
        <v>3.6728000000000001</v>
      </c>
      <c r="L86" s="4"/>
      <c r="M86" s="4"/>
      <c r="N86" s="4"/>
    </row>
    <row r="87" spans="1:14" ht="15">
      <c r="A87" s="13">
        <v>44531</v>
      </c>
      <c r="B87" s="60">
        <f>3.1356 * CHOOSE(CONTROL!$C$21, $C$12, 100%, $E$12)</f>
        <v>3.1356000000000002</v>
      </c>
      <c r="C87" s="60">
        <f>3.1356 * CHOOSE(CONTROL!$C$21, $C$12, 100%, $E$12)</f>
        <v>3.1356000000000002</v>
      </c>
      <c r="D87" s="60">
        <f>3.1462 * CHOOSE(CONTROL!$C$21, $C$12, 100%, $E$12)</f>
        <v>3.1461999999999999</v>
      </c>
      <c r="E87" s="61">
        <f>3.6524 * CHOOSE(CONTROL!$C$21, $C$12, 100%, $E$12)</f>
        <v>3.6524000000000001</v>
      </c>
      <c r="F87" s="61">
        <f>3.6524 * CHOOSE(CONTROL!$C$21, $C$12, 100%, $E$12)</f>
        <v>3.6524000000000001</v>
      </c>
      <c r="G87" s="61">
        <f>3.6526 * CHOOSE(CONTROL!$C$21, $C$12, 100%, $E$12)</f>
        <v>3.6526000000000001</v>
      </c>
      <c r="H87" s="61">
        <f>6.6436* CHOOSE(CONTROL!$C$21, $C$12, 100%, $E$12)</f>
        <v>6.6436000000000002</v>
      </c>
      <c r="I87" s="61">
        <f>6.6438 * CHOOSE(CONTROL!$C$21, $C$12, 100%, $E$12)</f>
        <v>6.6437999999999997</v>
      </c>
      <c r="J87" s="61">
        <f>3.6524 * CHOOSE(CONTROL!$C$21, $C$12, 100%, $E$12)</f>
        <v>3.6524000000000001</v>
      </c>
      <c r="K87" s="61">
        <f>3.6526 * CHOOSE(CONTROL!$C$21, $C$12, 100%, $E$12)</f>
        <v>3.6526000000000001</v>
      </c>
      <c r="L87" s="4"/>
      <c r="M87" s="4"/>
      <c r="N87" s="4"/>
    </row>
    <row r="88" spans="1:14" ht="15">
      <c r="A88" s="13">
        <v>44562</v>
      </c>
      <c r="B88" s="60">
        <f>3.1653 * CHOOSE(CONTROL!$C$21, $C$12, 100%, $E$12)</f>
        <v>3.1652999999999998</v>
      </c>
      <c r="C88" s="60">
        <f>3.1653 * CHOOSE(CONTROL!$C$21, $C$12, 100%, $E$12)</f>
        <v>3.1652999999999998</v>
      </c>
      <c r="D88" s="60">
        <f>3.1759 * CHOOSE(CONTROL!$C$21, $C$12, 100%, $E$12)</f>
        <v>3.1758999999999999</v>
      </c>
      <c r="E88" s="61">
        <f>3.7076 * CHOOSE(CONTROL!$C$21, $C$12, 100%, $E$12)</f>
        <v>3.7075999999999998</v>
      </c>
      <c r="F88" s="61">
        <f>3.7076 * CHOOSE(CONTROL!$C$21, $C$12, 100%, $E$12)</f>
        <v>3.7075999999999998</v>
      </c>
      <c r="G88" s="61">
        <f>3.7078 * CHOOSE(CONTROL!$C$21, $C$12, 100%, $E$12)</f>
        <v>3.7078000000000002</v>
      </c>
      <c r="H88" s="61">
        <f>6.6575* CHOOSE(CONTROL!$C$21, $C$12, 100%, $E$12)</f>
        <v>6.6574999999999998</v>
      </c>
      <c r="I88" s="61">
        <f>6.6577 * CHOOSE(CONTROL!$C$21, $C$12, 100%, $E$12)</f>
        <v>6.6577000000000002</v>
      </c>
      <c r="J88" s="61">
        <f>3.7076 * CHOOSE(CONTROL!$C$21, $C$12, 100%, $E$12)</f>
        <v>3.7075999999999998</v>
      </c>
      <c r="K88" s="61">
        <f>3.7078 * CHOOSE(CONTROL!$C$21, $C$12, 100%, $E$12)</f>
        <v>3.7078000000000002</v>
      </c>
      <c r="L88" s="4"/>
      <c r="M88" s="4"/>
      <c r="N88" s="4"/>
    </row>
    <row r="89" spans="1:14" ht="15">
      <c r="A89" s="13">
        <v>44593</v>
      </c>
      <c r="B89" s="60">
        <f>3.1623 * CHOOSE(CONTROL!$C$21, $C$12, 100%, $E$12)</f>
        <v>3.1623000000000001</v>
      </c>
      <c r="C89" s="60">
        <f>3.1623 * CHOOSE(CONTROL!$C$21, $C$12, 100%, $E$12)</f>
        <v>3.1623000000000001</v>
      </c>
      <c r="D89" s="60">
        <f>3.1729 * CHOOSE(CONTROL!$C$21, $C$12, 100%, $E$12)</f>
        <v>3.1728999999999998</v>
      </c>
      <c r="E89" s="61">
        <f>3.6651 * CHOOSE(CONTROL!$C$21, $C$12, 100%, $E$12)</f>
        <v>3.6650999999999998</v>
      </c>
      <c r="F89" s="61">
        <f>3.6651 * CHOOSE(CONTROL!$C$21, $C$12, 100%, $E$12)</f>
        <v>3.6650999999999998</v>
      </c>
      <c r="G89" s="61">
        <f>3.6653 * CHOOSE(CONTROL!$C$21, $C$12, 100%, $E$12)</f>
        <v>3.6652999999999998</v>
      </c>
      <c r="H89" s="61">
        <f>6.6713* CHOOSE(CONTROL!$C$21, $C$12, 100%, $E$12)</f>
        <v>6.6712999999999996</v>
      </c>
      <c r="I89" s="61">
        <f>6.6715 * CHOOSE(CONTROL!$C$21, $C$12, 100%, $E$12)</f>
        <v>6.6715</v>
      </c>
      <c r="J89" s="61">
        <f>3.6651 * CHOOSE(CONTROL!$C$21, $C$12, 100%, $E$12)</f>
        <v>3.6650999999999998</v>
      </c>
      <c r="K89" s="61">
        <f>3.6653 * CHOOSE(CONTROL!$C$21, $C$12, 100%, $E$12)</f>
        <v>3.6652999999999998</v>
      </c>
      <c r="L89" s="4"/>
      <c r="M89" s="4"/>
      <c r="N89" s="4"/>
    </row>
    <row r="90" spans="1:14" ht="15">
      <c r="A90" s="13">
        <v>44621</v>
      </c>
      <c r="B90" s="60">
        <f>3.1593 * CHOOSE(CONTROL!$C$21, $C$12, 100%, $E$12)</f>
        <v>3.1593</v>
      </c>
      <c r="C90" s="60">
        <f>3.1593 * CHOOSE(CONTROL!$C$21, $C$12, 100%, $E$12)</f>
        <v>3.1593</v>
      </c>
      <c r="D90" s="60">
        <f>3.1698 * CHOOSE(CONTROL!$C$21, $C$12, 100%, $E$12)</f>
        <v>3.1698</v>
      </c>
      <c r="E90" s="61">
        <f>3.6948 * CHOOSE(CONTROL!$C$21, $C$12, 100%, $E$12)</f>
        <v>3.6947999999999999</v>
      </c>
      <c r="F90" s="61">
        <f>3.6948 * CHOOSE(CONTROL!$C$21, $C$12, 100%, $E$12)</f>
        <v>3.6947999999999999</v>
      </c>
      <c r="G90" s="61">
        <f>3.695 * CHOOSE(CONTROL!$C$21, $C$12, 100%, $E$12)</f>
        <v>3.6949999999999998</v>
      </c>
      <c r="H90" s="61">
        <f>6.6852* CHOOSE(CONTROL!$C$21, $C$12, 100%, $E$12)</f>
        <v>6.6852</v>
      </c>
      <c r="I90" s="61">
        <f>6.6854 * CHOOSE(CONTROL!$C$21, $C$12, 100%, $E$12)</f>
        <v>6.6853999999999996</v>
      </c>
      <c r="J90" s="61">
        <f>3.6948 * CHOOSE(CONTROL!$C$21, $C$12, 100%, $E$12)</f>
        <v>3.6947999999999999</v>
      </c>
      <c r="K90" s="61">
        <f>3.695 * CHOOSE(CONTROL!$C$21, $C$12, 100%, $E$12)</f>
        <v>3.6949999999999998</v>
      </c>
      <c r="L90" s="4"/>
      <c r="M90" s="4"/>
      <c r="N90" s="4"/>
    </row>
    <row r="91" spans="1:14" ht="15">
      <c r="A91" s="13">
        <v>44652</v>
      </c>
      <c r="B91" s="60">
        <f>3.1561 * CHOOSE(CONTROL!$C$21, $C$12, 100%, $E$12)</f>
        <v>3.1560999999999999</v>
      </c>
      <c r="C91" s="60">
        <f>3.1561 * CHOOSE(CONTROL!$C$21, $C$12, 100%, $E$12)</f>
        <v>3.1560999999999999</v>
      </c>
      <c r="D91" s="60">
        <f>3.1667 * CHOOSE(CONTROL!$C$21, $C$12, 100%, $E$12)</f>
        <v>3.1667000000000001</v>
      </c>
      <c r="E91" s="61">
        <f>3.7248 * CHOOSE(CONTROL!$C$21, $C$12, 100%, $E$12)</f>
        <v>3.7248000000000001</v>
      </c>
      <c r="F91" s="61">
        <f>3.7248 * CHOOSE(CONTROL!$C$21, $C$12, 100%, $E$12)</f>
        <v>3.7248000000000001</v>
      </c>
      <c r="G91" s="61">
        <f>3.7249 * CHOOSE(CONTROL!$C$21, $C$12, 100%, $E$12)</f>
        <v>3.7248999999999999</v>
      </c>
      <c r="H91" s="61">
        <f>6.6992* CHOOSE(CONTROL!$C$21, $C$12, 100%, $E$12)</f>
        <v>6.6992000000000003</v>
      </c>
      <c r="I91" s="61">
        <f>6.6994 * CHOOSE(CONTROL!$C$21, $C$12, 100%, $E$12)</f>
        <v>6.6993999999999998</v>
      </c>
      <c r="J91" s="61">
        <f>3.7248 * CHOOSE(CONTROL!$C$21, $C$12, 100%, $E$12)</f>
        <v>3.7248000000000001</v>
      </c>
      <c r="K91" s="61">
        <f>3.7249 * CHOOSE(CONTROL!$C$21, $C$12, 100%, $E$12)</f>
        <v>3.7248999999999999</v>
      </c>
      <c r="L91" s="4"/>
      <c r="M91" s="4"/>
      <c r="N91" s="4"/>
    </row>
    <row r="92" spans="1:14" ht="15">
      <c r="A92" s="13">
        <v>44682</v>
      </c>
      <c r="B92" s="60">
        <f>3.1561 * CHOOSE(CONTROL!$C$21, $C$12, 100%, $E$12)</f>
        <v>3.1560999999999999</v>
      </c>
      <c r="C92" s="60">
        <f>3.1561 * CHOOSE(CONTROL!$C$21, $C$12, 100%, $E$12)</f>
        <v>3.1560999999999999</v>
      </c>
      <c r="D92" s="60">
        <f>3.1773 * CHOOSE(CONTROL!$C$21, $C$12, 100%, $E$12)</f>
        <v>3.1772999999999998</v>
      </c>
      <c r="E92" s="61">
        <f>3.7376 * CHOOSE(CONTROL!$C$21, $C$12, 100%, $E$12)</f>
        <v>3.7376</v>
      </c>
      <c r="F92" s="61">
        <f>3.7376 * CHOOSE(CONTROL!$C$21, $C$12, 100%, $E$12)</f>
        <v>3.7376</v>
      </c>
      <c r="G92" s="61">
        <f>3.7389 * CHOOSE(CONTROL!$C$21, $C$12, 100%, $E$12)</f>
        <v>3.7389000000000001</v>
      </c>
      <c r="H92" s="61">
        <f>6.7131* CHOOSE(CONTROL!$C$21, $C$12, 100%, $E$12)</f>
        <v>6.7130999999999998</v>
      </c>
      <c r="I92" s="61">
        <f>6.7145 * CHOOSE(CONTROL!$C$21, $C$12, 100%, $E$12)</f>
        <v>6.7145000000000001</v>
      </c>
      <c r="J92" s="61">
        <f>3.7376 * CHOOSE(CONTROL!$C$21, $C$12, 100%, $E$12)</f>
        <v>3.7376</v>
      </c>
      <c r="K92" s="61">
        <f>3.7389 * CHOOSE(CONTROL!$C$21, $C$12, 100%, $E$12)</f>
        <v>3.7389000000000001</v>
      </c>
      <c r="L92" s="4"/>
      <c r="M92" s="4"/>
      <c r="N92" s="4"/>
    </row>
    <row r="93" spans="1:14" ht="15">
      <c r="A93" s="13">
        <v>44713</v>
      </c>
      <c r="B93" s="60">
        <f>3.1622 * CHOOSE(CONTROL!$C$21, $C$12, 100%, $E$12)</f>
        <v>3.1621999999999999</v>
      </c>
      <c r="C93" s="60">
        <f>3.1622 * CHOOSE(CONTROL!$C$21, $C$12, 100%, $E$12)</f>
        <v>3.1621999999999999</v>
      </c>
      <c r="D93" s="60">
        <f>3.1833 * CHOOSE(CONTROL!$C$21, $C$12, 100%, $E$12)</f>
        <v>3.1833</v>
      </c>
      <c r="E93" s="61">
        <f>3.729 * CHOOSE(CONTROL!$C$21, $C$12, 100%, $E$12)</f>
        <v>3.7290000000000001</v>
      </c>
      <c r="F93" s="61">
        <f>3.729 * CHOOSE(CONTROL!$C$21, $C$12, 100%, $E$12)</f>
        <v>3.7290000000000001</v>
      </c>
      <c r="G93" s="61">
        <f>3.7304 * CHOOSE(CONTROL!$C$21, $C$12, 100%, $E$12)</f>
        <v>3.7303999999999999</v>
      </c>
      <c r="H93" s="61">
        <f>6.7271* CHOOSE(CONTROL!$C$21, $C$12, 100%, $E$12)</f>
        <v>6.7271000000000001</v>
      </c>
      <c r="I93" s="61">
        <f>6.7285 * CHOOSE(CONTROL!$C$21, $C$12, 100%, $E$12)</f>
        <v>6.7285000000000004</v>
      </c>
      <c r="J93" s="61">
        <f>3.729 * CHOOSE(CONTROL!$C$21, $C$12, 100%, $E$12)</f>
        <v>3.7290000000000001</v>
      </c>
      <c r="K93" s="61">
        <f>3.7304 * CHOOSE(CONTROL!$C$21, $C$12, 100%, $E$12)</f>
        <v>3.7303999999999999</v>
      </c>
      <c r="L93" s="4"/>
      <c r="M93" s="4"/>
      <c r="N93" s="4"/>
    </row>
    <row r="94" spans="1:14" ht="15">
      <c r="A94" s="13">
        <v>44743</v>
      </c>
      <c r="B94" s="60">
        <f>3.2179 * CHOOSE(CONTROL!$C$21, $C$12, 100%, $E$12)</f>
        <v>3.2179000000000002</v>
      </c>
      <c r="C94" s="60">
        <f>3.2179 * CHOOSE(CONTROL!$C$21, $C$12, 100%, $E$12)</f>
        <v>3.2179000000000002</v>
      </c>
      <c r="D94" s="60">
        <f>3.239 * CHOOSE(CONTROL!$C$21, $C$12, 100%, $E$12)</f>
        <v>3.2389999999999999</v>
      </c>
      <c r="E94" s="61">
        <f>3.796 * CHOOSE(CONTROL!$C$21, $C$12, 100%, $E$12)</f>
        <v>3.7959999999999998</v>
      </c>
      <c r="F94" s="61">
        <f>3.796 * CHOOSE(CONTROL!$C$21, $C$12, 100%, $E$12)</f>
        <v>3.7959999999999998</v>
      </c>
      <c r="G94" s="61">
        <f>3.7974 * CHOOSE(CONTROL!$C$21, $C$12, 100%, $E$12)</f>
        <v>3.7974000000000001</v>
      </c>
      <c r="H94" s="61">
        <f>6.7411* CHOOSE(CONTROL!$C$21, $C$12, 100%, $E$12)</f>
        <v>6.7411000000000003</v>
      </c>
      <c r="I94" s="61">
        <f>6.7425 * CHOOSE(CONTROL!$C$21, $C$12, 100%, $E$12)</f>
        <v>6.7424999999999997</v>
      </c>
      <c r="J94" s="61">
        <f>3.796 * CHOOSE(CONTROL!$C$21, $C$12, 100%, $E$12)</f>
        <v>3.7959999999999998</v>
      </c>
      <c r="K94" s="61">
        <f>3.7974 * CHOOSE(CONTROL!$C$21, $C$12, 100%, $E$12)</f>
        <v>3.7974000000000001</v>
      </c>
      <c r="L94" s="4"/>
      <c r="M94" s="4"/>
      <c r="N94" s="4"/>
    </row>
    <row r="95" spans="1:14" ht="15">
      <c r="A95" s="13">
        <v>44774</v>
      </c>
      <c r="B95" s="60">
        <f>3.2245 * CHOOSE(CONTROL!$C$21, $C$12, 100%, $E$12)</f>
        <v>3.2244999999999999</v>
      </c>
      <c r="C95" s="60">
        <f>3.2245 * CHOOSE(CONTROL!$C$21, $C$12, 100%, $E$12)</f>
        <v>3.2244999999999999</v>
      </c>
      <c r="D95" s="60">
        <f>3.2457 * CHOOSE(CONTROL!$C$21, $C$12, 100%, $E$12)</f>
        <v>3.2456999999999998</v>
      </c>
      <c r="E95" s="61">
        <f>3.7622 * CHOOSE(CONTROL!$C$21, $C$12, 100%, $E$12)</f>
        <v>3.7622</v>
      </c>
      <c r="F95" s="61">
        <f>3.7622 * CHOOSE(CONTROL!$C$21, $C$12, 100%, $E$12)</f>
        <v>3.7622</v>
      </c>
      <c r="G95" s="61">
        <f>3.7636 * CHOOSE(CONTROL!$C$21, $C$12, 100%, $E$12)</f>
        <v>3.7635999999999998</v>
      </c>
      <c r="H95" s="61">
        <f>6.7552* CHOOSE(CONTROL!$C$21, $C$12, 100%, $E$12)</f>
        <v>6.7552000000000003</v>
      </c>
      <c r="I95" s="61">
        <f>6.7566 * CHOOSE(CONTROL!$C$21, $C$12, 100%, $E$12)</f>
        <v>6.7565999999999997</v>
      </c>
      <c r="J95" s="61">
        <f>3.7622 * CHOOSE(CONTROL!$C$21, $C$12, 100%, $E$12)</f>
        <v>3.7622</v>
      </c>
      <c r="K95" s="61">
        <f>3.7636 * CHOOSE(CONTROL!$C$21, $C$12, 100%, $E$12)</f>
        <v>3.7635999999999998</v>
      </c>
      <c r="L95" s="4"/>
      <c r="M95" s="4"/>
      <c r="N95" s="4"/>
    </row>
    <row r="96" spans="1:14" ht="15">
      <c r="A96" s="13">
        <v>44805</v>
      </c>
      <c r="B96" s="60">
        <f>3.2215 * CHOOSE(CONTROL!$C$21, $C$12, 100%, $E$12)</f>
        <v>3.2214999999999998</v>
      </c>
      <c r="C96" s="60">
        <f>3.2215 * CHOOSE(CONTROL!$C$21, $C$12, 100%, $E$12)</f>
        <v>3.2214999999999998</v>
      </c>
      <c r="D96" s="60">
        <f>3.2426 * CHOOSE(CONTROL!$C$21, $C$12, 100%, $E$12)</f>
        <v>3.2425999999999999</v>
      </c>
      <c r="E96" s="61">
        <f>3.7558 * CHOOSE(CONTROL!$C$21, $C$12, 100%, $E$12)</f>
        <v>3.7557999999999998</v>
      </c>
      <c r="F96" s="61">
        <f>3.7558 * CHOOSE(CONTROL!$C$21, $C$12, 100%, $E$12)</f>
        <v>3.7557999999999998</v>
      </c>
      <c r="G96" s="61">
        <f>3.7572 * CHOOSE(CONTROL!$C$21, $C$12, 100%, $E$12)</f>
        <v>3.7572000000000001</v>
      </c>
      <c r="H96" s="61">
        <f>6.7692* CHOOSE(CONTROL!$C$21, $C$12, 100%, $E$12)</f>
        <v>6.7691999999999997</v>
      </c>
      <c r="I96" s="61">
        <f>6.7706 * CHOOSE(CONTROL!$C$21, $C$12, 100%, $E$12)</f>
        <v>6.7706</v>
      </c>
      <c r="J96" s="61">
        <f>3.7558 * CHOOSE(CONTROL!$C$21, $C$12, 100%, $E$12)</f>
        <v>3.7557999999999998</v>
      </c>
      <c r="K96" s="61">
        <f>3.7572 * CHOOSE(CONTROL!$C$21, $C$12, 100%, $E$12)</f>
        <v>3.7572000000000001</v>
      </c>
      <c r="L96" s="4"/>
      <c r="M96" s="4"/>
      <c r="N96" s="4"/>
    </row>
    <row r="97" spans="1:14" ht="15">
      <c r="A97" s="13">
        <v>44835</v>
      </c>
      <c r="B97" s="60">
        <f>3.2138 * CHOOSE(CONTROL!$C$21, $C$12, 100%, $E$12)</f>
        <v>3.2138</v>
      </c>
      <c r="C97" s="60">
        <f>3.2138 * CHOOSE(CONTROL!$C$21, $C$12, 100%, $E$12)</f>
        <v>3.2138</v>
      </c>
      <c r="D97" s="60">
        <f>3.2244 * CHOOSE(CONTROL!$C$21, $C$12, 100%, $E$12)</f>
        <v>3.2244000000000002</v>
      </c>
      <c r="E97" s="61">
        <f>3.7595 * CHOOSE(CONTROL!$C$21, $C$12, 100%, $E$12)</f>
        <v>3.7595000000000001</v>
      </c>
      <c r="F97" s="61">
        <f>3.7595 * CHOOSE(CONTROL!$C$21, $C$12, 100%, $E$12)</f>
        <v>3.7595000000000001</v>
      </c>
      <c r="G97" s="61">
        <f>3.7597 * CHOOSE(CONTROL!$C$21, $C$12, 100%, $E$12)</f>
        <v>3.7597</v>
      </c>
      <c r="H97" s="61">
        <f>6.7834* CHOOSE(CONTROL!$C$21, $C$12, 100%, $E$12)</f>
        <v>6.7834000000000003</v>
      </c>
      <c r="I97" s="61">
        <f>6.7835 * CHOOSE(CONTROL!$C$21, $C$12, 100%, $E$12)</f>
        <v>6.7835000000000001</v>
      </c>
      <c r="J97" s="61">
        <f>3.7595 * CHOOSE(CONTROL!$C$21, $C$12, 100%, $E$12)</f>
        <v>3.7595000000000001</v>
      </c>
      <c r="K97" s="61">
        <f>3.7597 * CHOOSE(CONTROL!$C$21, $C$12, 100%, $E$12)</f>
        <v>3.7597</v>
      </c>
      <c r="L97" s="4"/>
      <c r="M97" s="4"/>
      <c r="N97" s="4"/>
    </row>
    <row r="98" spans="1:14" ht="15">
      <c r="A98" s="13">
        <v>44866</v>
      </c>
      <c r="B98" s="60">
        <f>3.2169 * CHOOSE(CONTROL!$C$21, $C$12, 100%, $E$12)</f>
        <v>3.2168999999999999</v>
      </c>
      <c r="C98" s="60">
        <f>3.2169 * CHOOSE(CONTROL!$C$21, $C$12, 100%, $E$12)</f>
        <v>3.2168999999999999</v>
      </c>
      <c r="D98" s="60">
        <f>3.2274 * CHOOSE(CONTROL!$C$21, $C$12, 100%, $E$12)</f>
        <v>3.2273999999999998</v>
      </c>
      <c r="E98" s="61">
        <f>3.7702 * CHOOSE(CONTROL!$C$21, $C$12, 100%, $E$12)</f>
        <v>3.7702</v>
      </c>
      <c r="F98" s="61">
        <f>3.7702 * CHOOSE(CONTROL!$C$21, $C$12, 100%, $E$12)</f>
        <v>3.7702</v>
      </c>
      <c r="G98" s="61">
        <f>3.7703 * CHOOSE(CONTROL!$C$21, $C$12, 100%, $E$12)</f>
        <v>3.7703000000000002</v>
      </c>
      <c r="H98" s="61">
        <f>6.7975* CHOOSE(CONTROL!$C$21, $C$12, 100%, $E$12)</f>
        <v>6.7975000000000003</v>
      </c>
      <c r="I98" s="61">
        <f>6.7977 * CHOOSE(CONTROL!$C$21, $C$12, 100%, $E$12)</f>
        <v>6.7976999999999999</v>
      </c>
      <c r="J98" s="61">
        <f>3.7702 * CHOOSE(CONTROL!$C$21, $C$12, 100%, $E$12)</f>
        <v>3.7702</v>
      </c>
      <c r="K98" s="61">
        <f>3.7703 * CHOOSE(CONTROL!$C$21, $C$12, 100%, $E$12)</f>
        <v>3.7703000000000002</v>
      </c>
      <c r="L98" s="4"/>
      <c r="M98" s="4"/>
      <c r="N98" s="4"/>
    </row>
    <row r="99" spans="1:14" ht="15">
      <c r="A99" s="13">
        <v>44896</v>
      </c>
      <c r="B99" s="60">
        <f>3.2169 * CHOOSE(CONTROL!$C$21, $C$12, 100%, $E$12)</f>
        <v>3.2168999999999999</v>
      </c>
      <c r="C99" s="60">
        <f>3.2169 * CHOOSE(CONTROL!$C$21, $C$12, 100%, $E$12)</f>
        <v>3.2168999999999999</v>
      </c>
      <c r="D99" s="60">
        <f>3.2274 * CHOOSE(CONTROL!$C$21, $C$12, 100%, $E$12)</f>
        <v>3.2273999999999998</v>
      </c>
      <c r="E99" s="61">
        <f>3.7488 * CHOOSE(CONTROL!$C$21, $C$12, 100%, $E$12)</f>
        <v>3.7488000000000001</v>
      </c>
      <c r="F99" s="61">
        <f>3.7488 * CHOOSE(CONTROL!$C$21, $C$12, 100%, $E$12)</f>
        <v>3.7488000000000001</v>
      </c>
      <c r="G99" s="61">
        <f>3.749 * CHOOSE(CONTROL!$C$21, $C$12, 100%, $E$12)</f>
        <v>3.7490000000000001</v>
      </c>
      <c r="H99" s="61">
        <f>6.8116* CHOOSE(CONTROL!$C$21, $C$12, 100%, $E$12)</f>
        <v>6.8116000000000003</v>
      </c>
      <c r="I99" s="61">
        <f>6.8118 * CHOOSE(CONTROL!$C$21, $C$12, 100%, $E$12)</f>
        <v>6.8117999999999999</v>
      </c>
      <c r="J99" s="61">
        <f>3.7488 * CHOOSE(CONTROL!$C$21, $C$12, 100%, $E$12)</f>
        <v>3.7488000000000001</v>
      </c>
      <c r="K99" s="61">
        <f>3.749 * CHOOSE(CONTROL!$C$21, $C$12, 100%, $E$12)</f>
        <v>3.7490000000000001</v>
      </c>
      <c r="L99" s="4"/>
      <c r="M99" s="4"/>
      <c r="N99" s="4"/>
    </row>
    <row r="100" spans="1:14" ht="15">
      <c r="A100" s="13">
        <v>44927</v>
      </c>
      <c r="B100" s="60">
        <f>3.2478 * CHOOSE(CONTROL!$C$21, $C$12, 100%, $E$12)</f>
        <v>3.2477999999999998</v>
      </c>
      <c r="C100" s="60">
        <f>3.2478 * CHOOSE(CONTROL!$C$21, $C$12, 100%, $E$12)</f>
        <v>3.2477999999999998</v>
      </c>
      <c r="D100" s="60">
        <f>3.2584 * CHOOSE(CONTROL!$C$21, $C$12, 100%, $E$12)</f>
        <v>3.2584</v>
      </c>
      <c r="E100" s="61">
        <f>3.7975 * CHOOSE(CONTROL!$C$21, $C$12, 100%, $E$12)</f>
        <v>3.7974999999999999</v>
      </c>
      <c r="F100" s="61">
        <f>3.7975 * CHOOSE(CONTROL!$C$21, $C$12, 100%, $E$12)</f>
        <v>3.7974999999999999</v>
      </c>
      <c r="G100" s="61">
        <f>3.7977 * CHOOSE(CONTROL!$C$21, $C$12, 100%, $E$12)</f>
        <v>3.7976999999999999</v>
      </c>
      <c r="H100" s="61">
        <f>6.8258* CHOOSE(CONTROL!$C$21, $C$12, 100%, $E$12)</f>
        <v>6.8258000000000001</v>
      </c>
      <c r="I100" s="61">
        <f>6.826 * CHOOSE(CONTROL!$C$21, $C$12, 100%, $E$12)</f>
        <v>6.8259999999999996</v>
      </c>
      <c r="J100" s="61">
        <f>3.7975 * CHOOSE(CONTROL!$C$21, $C$12, 100%, $E$12)</f>
        <v>3.7974999999999999</v>
      </c>
      <c r="K100" s="61">
        <f>3.7977 * CHOOSE(CONTROL!$C$21, $C$12, 100%, $E$12)</f>
        <v>3.7976999999999999</v>
      </c>
      <c r="L100" s="4"/>
      <c r="M100" s="4"/>
      <c r="N100" s="4"/>
    </row>
    <row r="101" spans="1:14" ht="15">
      <c r="A101" s="13">
        <v>44958</v>
      </c>
      <c r="B101" s="60">
        <f>3.2448 * CHOOSE(CONTROL!$C$21, $C$12, 100%, $E$12)</f>
        <v>3.2448000000000001</v>
      </c>
      <c r="C101" s="60">
        <f>3.2448 * CHOOSE(CONTROL!$C$21, $C$12, 100%, $E$12)</f>
        <v>3.2448000000000001</v>
      </c>
      <c r="D101" s="60">
        <f>3.2553 * CHOOSE(CONTROL!$C$21, $C$12, 100%, $E$12)</f>
        <v>3.2553000000000001</v>
      </c>
      <c r="E101" s="61">
        <f>3.7528 * CHOOSE(CONTROL!$C$21, $C$12, 100%, $E$12)</f>
        <v>3.7528000000000001</v>
      </c>
      <c r="F101" s="61">
        <f>3.7528 * CHOOSE(CONTROL!$C$21, $C$12, 100%, $E$12)</f>
        <v>3.7528000000000001</v>
      </c>
      <c r="G101" s="61">
        <f>3.753 * CHOOSE(CONTROL!$C$21, $C$12, 100%, $E$12)</f>
        <v>3.7530000000000001</v>
      </c>
      <c r="H101" s="61">
        <f>6.8401* CHOOSE(CONTROL!$C$21, $C$12, 100%, $E$12)</f>
        <v>6.8400999999999996</v>
      </c>
      <c r="I101" s="61">
        <f>6.8402 * CHOOSE(CONTROL!$C$21, $C$12, 100%, $E$12)</f>
        <v>6.8402000000000003</v>
      </c>
      <c r="J101" s="61">
        <f>3.7528 * CHOOSE(CONTROL!$C$21, $C$12, 100%, $E$12)</f>
        <v>3.7528000000000001</v>
      </c>
      <c r="K101" s="61">
        <f>3.753 * CHOOSE(CONTROL!$C$21, $C$12, 100%, $E$12)</f>
        <v>3.7530000000000001</v>
      </c>
      <c r="L101" s="4"/>
      <c r="M101" s="4"/>
      <c r="N101" s="4"/>
    </row>
    <row r="102" spans="1:14" ht="15">
      <c r="A102" s="13">
        <v>44986</v>
      </c>
      <c r="B102" s="60">
        <f>3.2417 * CHOOSE(CONTROL!$C$21, $C$12, 100%, $E$12)</f>
        <v>3.2416999999999998</v>
      </c>
      <c r="C102" s="60">
        <f>3.2417 * CHOOSE(CONTROL!$C$21, $C$12, 100%, $E$12)</f>
        <v>3.2416999999999998</v>
      </c>
      <c r="D102" s="60">
        <f>3.2523 * CHOOSE(CONTROL!$C$21, $C$12, 100%, $E$12)</f>
        <v>3.2523</v>
      </c>
      <c r="E102" s="61">
        <f>3.7843 * CHOOSE(CONTROL!$C$21, $C$12, 100%, $E$12)</f>
        <v>3.7843</v>
      </c>
      <c r="F102" s="61">
        <f>3.7843 * CHOOSE(CONTROL!$C$21, $C$12, 100%, $E$12)</f>
        <v>3.7843</v>
      </c>
      <c r="G102" s="61">
        <f>3.7844 * CHOOSE(CONTROL!$C$21, $C$12, 100%, $E$12)</f>
        <v>3.7844000000000002</v>
      </c>
      <c r="H102" s="61">
        <f>6.8543* CHOOSE(CONTROL!$C$21, $C$12, 100%, $E$12)</f>
        <v>6.8543000000000003</v>
      </c>
      <c r="I102" s="61">
        <f>6.8545 * CHOOSE(CONTROL!$C$21, $C$12, 100%, $E$12)</f>
        <v>6.8544999999999998</v>
      </c>
      <c r="J102" s="61">
        <f>3.7843 * CHOOSE(CONTROL!$C$21, $C$12, 100%, $E$12)</f>
        <v>3.7843</v>
      </c>
      <c r="K102" s="61">
        <f>3.7844 * CHOOSE(CONTROL!$C$21, $C$12, 100%, $E$12)</f>
        <v>3.7844000000000002</v>
      </c>
      <c r="L102" s="4"/>
      <c r="M102" s="4"/>
      <c r="N102" s="4"/>
    </row>
    <row r="103" spans="1:14" ht="15">
      <c r="A103" s="13">
        <v>45017</v>
      </c>
      <c r="B103" s="60">
        <f>3.2387 * CHOOSE(CONTROL!$C$21, $C$12, 100%, $E$12)</f>
        <v>3.2387000000000001</v>
      </c>
      <c r="C103" s="60">
        <f>3.2387 * CHOOSE(CONTROL!$C$21, $C$12, 100%, $E$12)</f>
        <v>3.2387000000000001</v>
      </c>
      <c r="D103" s="60">
        <f>3.2493 * CHOOSE(CONTROL!$C$21, $C$12, 100%, $E$12)</f>
        <v>3.2492999999999999</v>
      </c>
      <c r="E103" s="61">
        <f>3.816 * CHOOSE(CONTROL!$C$21, $C$12, 100%, $E$12)</f>
        <v>3.8159999999999998</v>
      </c>
      <c r="F103" s="61">
        <f>3.816 * CHOOSE(CONTROL!$C$21, $C$12, 100%, $E$12)</f>
        <v>3.8159999999999998</v>
      </c>
      <c r="G103" s="61">
        <f>3.8162 * CHOOSE(CONTROL!$C$21, $C$12, 100%, $E$12)</f>
        <v>3.8161999999999998</v>
      </c>
      <c r="H103" s="61">
        <f>6.8686* CHOOSE(CONTROL!$C$21, $C$12, 100%, $E$12)</f>
        <v>6.8685999999999998</v>
      </c>
      <c r="I103" s="61">
        <f>6.8688 * CHOOSE(CONTROL!$C$21, $C$12, 100%, $E$12)</f>
        <v>6.8688000000000002</v>
      </c>
      <c r="J103" s="61">
        <f>3.816 * CHOOSE(CONTROL!$C$21, $C$12, 100%, $E$12)</f>
        <v>3.8159999999999998</v>
      </c>
      <c r="K103" s="61">
        <f>3.8162 * CHOOSE(CONTROL!$C$21, $C$12, 100%, $E$12)</f>
        <v>3.8161999999999998</v>
      </c>
      <c r="L103" s="4"/>
      <c r="M103" s="4"/>
      <c r="N103" s="4"/>
    </row>
    <row r="104" spans="1:14" ht="15">
      <c r="A104" s="13">
        <v>45047</v>
      </c>
      <c r="B104" s="60">
        <f>3.2387 * CHOOSE(CONTROL!$C$21, $C$12, 100%, $E$12)</f>
        <v>3.2387000000000001</v>
      </c>
      <c r="C104" s="60">
        <f>3.2387 * CHOOSE(CONTROL!$C$21, $C$12, 100%, $E$12)</f>
        <v>3.2387000000000001</v>
      </c>
      <c r="D104" s="60">
        <f>3.2598 * CHOOSE(CONTROL!$C$21, $C$12, 100%, $E$12)</f>
        <v>3.2597999999999998</v>
      </c>
      <c r="E104" s="61">
        <f>3.8295 * CHOOSE(CONTROL!$C$21, $C$12, 100%, $E$12)</f>
        <v>3.8294999999999999</v>
      </c>
      <c r="F104" s="61">
        <f>3.8295 * CHOOSE(CONTROL!$C$21, $C$12, 100%, $E$12)</f>
        <v>3.8294999999999999</v>
      </c>
      <c r="G104" s="61">
        <f>3.8309 * CHOOSE(CONTROL!$C$21, $C$12, 100%, $E$12)</f>
        <v>3.8309000000000002</v>
      </c>
      <c r="H104" s="61">
        <f>6.8829* CHOOSE(CONTROL!$C$21, $C$12, 100%, $E$12)</f>
        <v>6.8829000000000002</v>
      </c>
      <c r="I104" s="61">
        <f>6.8843 * CHOOSE(CONTROL!$C$21, $C$12, 100%, $E$12)</f>
        <v>6.8842999999999996</v>
      </c>
      <c r="J104" s="61">
        <f>3.8295 * CHOOSE(CONTROL!$C$21, $C$12, 100%, $E$12)</f>
        <v>3.8294999999999999</v>
      </c>
      <c r="K104" s="61">
        <f>3.8309 * CHOOSE(CONTROL!$C$21, $C$12, 100%, $E$12)</f>
        <v>3.8309000000000002</v>
      </c>
      <c r="L104" s="4"/>
      <c r="M104" s="4"/>
      <c r="N104" s="4"/>
    </row>
    <row r="105" spans="1:14" ht="15">
      <c r="A105" s="13">
        <v>45078</v>
      </c>
      <c r="B105" s="60">
        <f>3.2448 * CHOOSE(CONTROL!$C$21, $C$12, 100%, $E$12)</f>
        <v>3.2448000000000001</v>
      </c>
      <c r="C105" s="60">
        <f>3.2448 * CHOOSE(CONTROL!$C$21, $C$12, 100%, $E$12)</f>
        <v>3.2448000000000001</v>
      </c>
      <c r="D105" s="60">
        <f>3.2659 * CHOOSE(CONTROL!$C$21, $C$12, 100%, $E$12)</f>
        <v>3.2658999999999998</v>
      </c>
      <c r="E105" s="61">
        <f>3.8203 * CHOOSE(CONTROL!$C$21, $C$12, 100%, $E$12)</f>
        <v>3.8203</v>
      </c>
      <c r="F105" s="61">
        <f>3.8203 * CHOOSE(CONTROL!$C$21, $C$12, 100%, $E$12)</f>
        <v>3.8203</v>
      </c>
      <c r="G105" s="61">
        <f>3.8216 * CHOOSE(CONTROL!$C$21, $C$12, 100%, $E$12)</f>
        <v>3.8216000000000001</v>
      </c>
      <c r="H105" s="61">
        <f>6.8972* CHOOSE(CONTROL!$C$21, $C$12, 100%, $E$12)</f>
        <v>6.8971999999999998</v>
      </c>
      <c r="I105" s="61">
        <f>6.8986 * CHOOSE(CONTROL!$C$21, $C$12, 100%, $E$12)</f>
        <v>6.8986000000000001</v>
      </c>
      <c r="J105" s="61">
        <f>3.8203 * CHOOSE(CONTROL!$C$21, $C$12, 100%, $E$12)</f>
        <v>3.8203</v>
      </c>
      <c r="K105" s="61">
        <f>3.8216 * CHOOSE(CONTROL!$C$21, $C$12, 100%, $E$12)</f>
        <v>3.8216000000000001</v>
      </c>
      <c r="L105" s="4"/>
      <c r="M105" s="4"/>
      <c r="N105" s="4"/>
    </row>
    <row r="106" spans="1:14" ht="15">
      <c r="A106" s="13">
        <v>45108</v>
      </c>
      <c r="B106" s="60">
        <f>3.3031 * CHOOSE(CONTROL!$C$21, $C$12, 100%, $E$12)</f>
        <v>3.3031000000000001</v>
      </c>
      <c r="C106" s="60">
        <f>3.3031 * CHOOSE(CONTROL!$C$21, $C$12, 100%, $E$12)</f>
        <v>3.3031000000000001</v>
      </c>
      <c r="D106" s="60">
        <f>3.3242 * CHOOSE(CONTROL!$C$21, $C$12, 100%, $E$12)</f>
        <v>3.3241999999999998</v>
      </c>
      <c r="E106" s="61">
        <f>3.8691 * CHOOSE(CONTROL!$C$21, $C$12, 100%, $E$12)</f>
        <v>3.8691</v>
      </c>
      <c r="F106" s="61">
        <f>3.8691 * CHOOSE(CONTROL!$C$21, $C$12, 100%, $E$12)</f>
        <v>3.8691</v>
      </c>
      <c r="G106" s="61">
        <f>3.8704 * CHOOSE(CONTROL!$C$21, $C$12, 100%, $E$12)</f>
        <v>3.8704000000000001</v>
      </c>
      <c r="H106" s="61">
        <f>6.9116* CHOOSE(CONTROL!$C$21, $C$12, 100%, $E$12)</f>
        <v>6.9116</v>
      </c>
      <c r="I106" s="61">
        <f>6.913 * CHOOSE(CONTROL!$C$21, $C$12, 100%, $E$12)</f>
        <v>6.9130000000000003</v>
      </c>
      <c r="J106" s="61">
        <f>3.8691 * CHOOSE(CONTROL!$C$21, $C$12, 100%, $E$12)</f>
        <v>3.8691</v>
      </c>
      <c r="K106" s="61">
        <f>3.8704 * CHOOSE(CONTROL!$C$21, $C$12, 100%, $E$12)</f>
        <v>3.8704000000000001</v>
      </c>
      <c r="L106" s="4"/>
      <c r="M106" s="4"/>
      <c r="N106" s="4"/>
    </row>
    <row r="107" spans="1:14" ht="15">
      <c r="A107" s="13">
        <v>45139</v>
      </c>
      <c r="B107" s="60">
        <f>3.3098 * CHOOSE(CONTROL!$C$21, $C$12, 100%, $E$12)</f>
        <v>3.3098000000000001</v>
      </c>
      <c r="C107" s="60">
        <f>3.3098 * CHOOSE(CONTROL!$C$21, $C$12, 100%, $E$12)</f>
        <v>3.3098000000000001</v>
      </c>
      <c r="D107" s="60">
        <f>3.3309 * CHOOSE(CONTROL!$C$21, $C$12, 100%, $E$12)</f>
        <v>3.3309000000000002</v>
      </c>
      <c r="E107" s="61">
        <f>3.8332 * CHOOSE(CONTROL!$C$21, $C$12, 100%, $E$12)</f>
        <v>3.8332000000000002</v>
      </c>
      <c r="F107" s="61">
        <f>3.8332 * CHOOSE(CONTROL!$C$21, $C$12, 100%, $E$12)</f>
        <v>3.8332000000000002</v>
      </c>
      <c r="G107" s="61">
        <f>3.8346 * CHOOSE(CONTROL!$C$21, $C$12, 100%, $E$12)</f>
        <v>3.8346</v>
      </c>
      <c r="H107" s="61">
        <f>6.926* CHOOSE(CONTROL!$C$21, $C$12, 100%, $E$12)</f>
        <v>6.9260000000000002</v>
      </c>
      <c r="I107" s="61">
        <f>6.9274 * CHOOSE(CONTROL!$C$21, $C$12, 100%, $E$12)</f>
        <v>6.9273999999999996</v>
      </c>
      <c r="J107" s="61">
        <f>3.8332 * CHOOSE(CONTROL!$C$21, $C$12, 100%, $E$12)</f>
        <v>3.8332000000000002</v>
      </c>
      <c r="K107" s="61">
        <f>3.8346 * CHOOSE(CONTROL!$C$21, $C$12, 100%, $E$12)</f>
        <v>3.8346</v>
      </c>
      <c r="L107" s="4"/>
      <c r="M107" s="4"/>
      <c r="N107" s="4"/>
    </row>
    <row r="108" spans="1:14" ht="15">
      <c r="A108" s="13">
        <v>45170</v>
      </c>
      <c r="B108" s="60">
        <f>3.3067 * CHOOSE(CONTROL!$C$21, $C$12, 100%, $E$12)</f>
        <v>3.3067000000000002</v>
      </c>
      <c r="C108" s="60">
        <f>3.3067 * CHOOSE(CONTROL!$C$21, $C$12, 100%, $E$12)</f>
        <v>3.3067000000000002</v>
      </c>
      <c r="D108" s="60">
        <f>3.3279 * CHOOSE(CONTROL!$C$21, $C$12, 100%, $E$12)</f>
        <v>3.3279000000000001</v>
      </c>
      <c r="E108" s="61">
        <f>3.8266 * CHOOSE(CONTROL!$C$21, $C$12, 100%, $E$12)</f>
        <v>3.8266</v>
      </c>
      <c r="F108" s="61">
        <f>3.8266 * CHOOSE(CONTROL!$C$21, $C$12, 100%, $E$12)</f>
        <v>3.8266</v>
      </c>
      <c r="G108" s="61">
        <f>3.828 * CHOOSE(CONTROL!$C$21, $C$12, 100%, $E$12)</f>
        <v>3.8279999999999998</v>
      </c>
      <c r="H108" s="61">
        <f>6.9404* CHOOSE(CONTROL!$C$21, $C$12, 100%, $E$12)</f>
        <v>6.9404000000000003</v>
      </c>
      <c r="I108" s="61">
        <f>6.9418 * CHOOSE(CONTROL!$C$21, $C$12, 100%, $E$12)</f>
        <v>6.9417999999999997</v>
      </c>
      <c r="J108" s="61">
        <f>3.8266 * CHOOSE(CONTROL!$C$21, $C$12, 100%, $E$12)</f>
        <v>3.8266</v>
      </c>
      <c r="K108" s="61">
        <f>3.828 * CHOOSE(CONTROL!$C$21, $C$12, 100%, $E$12)</f>
        <v>3.8279999999999998</v>
      </c>
      <c r="L108" s="4"/>
      <c r="M108" s="4"/>
      <c r="N108" s="4"/>
    </row>
    <row r="109" spans="1:14" ht="15">
      <c r="A109" s="13">
        <v>45200</v>
      </c>
      <c r="B109" s="60">
        <f>3.2994 * CHOOSE(CONTROL!$C$21, $C$12, 100%, $E$12)</f>
        <v>3.2993999999999999</v>
      </c>
      <c r="C109" s="60">
        <f>3.2994 * CHOOSE(CONTROL!$C$21, $C$12, 100%, $E$12)</f>
        <v>3.2993999999999999</v>
      </c>
      <c r="D109" s="60">
        <f>3.3099 * CHOOSE(CONTROL!$C$21, $C$12, 100%, $E$12)</f>
        <v>3.3098999999999998</v>
      </c>
      <c r="E109" s="61">
        <f>3.8312 * CHOOSE(CONTROL!$C$21, $C$12, 100%, $E$12)</f>
        <v>3.8311999999999999</v>
      </c>
      <c r="F109" s="61">
        <f>3.8312 * CHOOSE(CONTROL!$C$21, $C$12, 100%, $E$12)</f>
        <v>3.8311999999999999</v>
      </c>
      <c r="G109" s="61">
        <f>3.8314 * CHOOSE(CONTROL!$C$21, $C$12, 100%, $E$12)</f>
        <v>3.8313999999999999</v>
      </c>
      <c r="H109" s="61">
        <f>6.9549* CHOOSE(CONTROL!$C$21, $C$12, 100%, $E$12)</f>
        <v>6.9549000000000003</v>
      </c>
      <c r="I109" s="61">
        <f>6.9551 * CHOOSE(CONTROL!$C$21, $C$12, 100%, $E$12)</f>
        <v>6.9550999999999998</v>
      </c>
      <c r="J109" s="61">
        <f>3.8312 * CHOOSE(CONTROL!$C$21, $C$12, 100%, $E$12)</f>
        <v>3.8311999999999999</v>
      </c>
      <c r="K109" s="61">
        <f>3.8314 * CHOOSE(CONTROL!$C$21, $C$12, 100%, $E$12)</f>
        <v>3.8313999999999999</v>
      </c>
      <c r="L109" s="4"/>
      <c r="M109" s="4"/>
      <c r="N109" s="4"/>
    </row>
    <row r="110" spans="1:14" ht="15">
      <c r="A110" s="13">
        <v>45231</v>
      </c>
      <c r="B110" s="60">
        <f>3.3024 * CHOOSE(CONTROL!$C$21, $C$12, 100%, $E$12)</f>
        <v>3.3024</v>
      </c>
      <c r="C110" s="60">
        <f>3.3024 * CHOOSE(CONTROL!$C$21, $C$12, 100%, $E$12)</f>
        <v>3.3024</v>
      </c>
      <c r="D110" s="60">
        <f>3.313 * CHOOSE(CONTROL!$C$21, $C$12, 100%, $E$12)</f>
        <v>3.3130000000000002</v>
      </c>
      <c r="E110" s="61">
        <f>3.8423 * CHOOSE(CONTROL!$C$21, $C$12, 100%, $E$12)</f>
        <v>3.8422999999999998</v>
      </c>
      <c r="F110" s="61">
        <f>3.8423 * CHOOSE(CONTROL!$C$21, $C$12, 100%, $E$12)</f>
        <v>3.8422999999999998</v>
      </c>
      <c r="G110" s="61">
        <f>3.8425 * CHOOSE(CONTROL!$C$21, $C$12, 100%, $E$12)</f>
        <v>3.8424999999999998</v>
      </c>
      <c r="H110" s="61">
        <f>6.9694* CHOOSE(CONTROL!$C$21, $C$12, 100%, $E$12)</f>
        <v>6.9694000000000003</v>
      </c>
      <c r="I110" s="61">
        <f>6.9696 * CHOOSE(CONTROL!$C$21, $C$12, 100%, $E$12)</f>
        <v>6.9695999999999998</v>
      </c>
      <c r="J110" s="61">
        <f>3.8423 * CHOOSE(CONTROL!$C$21, $C$12, 100%, $E$12)</f>
        <v>3.8422999999999998</v>
      </c>
      <c r="K110" s="61">
        <f>3.8425 * CHOOSE(CONTROL!$C$21, $C$12, 100%, $E$12)</f>
        <v>3.8424999999999998</v>
      </c>
      <c r="L110" s="4"/>
      <c r="M110" s="4"/>
      <c r="N110" s="4"/>
    </row>
    <row r="111" spans="1:14" ht="15">
      <c r="A111" s="13">
        <v>45261</v>
      </c>
      <c r="B111" s="60">
        <f>3.3024 * CHOOSE(CONTROL!$C$21, $C$12, 100%, $E$12)</f>
        <v>3.3024</v>
      </c>
      <c r="C111" s="60">
        <f>3.3024 * CHOOSE(CONTROL!$C$21, $C$12, 100%, $E$12)</f>
        <v>3.3024</v>
      </c>
      <c r="D111" s="60">
        <f>3.313 * CHOOSE(CONTROL!$C$21, $C$12, 100%, $E$12)</f>
        <v>3.3130000000000002</v>
      </c>
      <c r="E111" s="61">
        <f>3.8198 * CHOOSE(CONTROL!$C$21, $C$12, 100%, $E$12)</f>
        <v>3.8197999999999999</v>
      </c>
      <c r="F111" s="61">
        <f>3.8198 * CHOOSE(CONTROL!$C$21, $C$12, 100%, $E$12)</f>
        <v>3.8197999999999999</v>
      </c>
      <c r="G111" s="61">
        <f>3.82 * CHOOSE(CONTROL!$C$21, $C$12, 100%, $E$12)</f>
        <v>3.82</v>
      </c>
      <c r="H111" s="61">
        <f>6.9839* CHOOSE(CONTROL!$C$21, $C$12, 100%, $E$12)</f>
        <v>6.9839000000000002</v>
      </c>
      <c r="I111" s="61">
        <f>6.9841 * CHOOSE(CONTROL!$C$21, $C$12, 100%, $E$12)</f>
        <v>6.9840999999999998</v>
      </c>
      <c r="J111" s="61">
        <f>3.8198 * CHOOSE(CONTROL!$C$21, $C$12, 100%, $E$12)</f>
        <v>3.8197999999999999</v>
      </c>
      <c r="K111" s="61">
        <f>3.82 * CHOOSE(CONTROL!$C$21, $C$12, 100%, $E$12)</f>
        <v>3.82</v>
      </c>
      <c r="L111" s="4"/>
      <c r="M111" s="4"/>
      <c r="N111" s="4"/>
    </row>
    <row r="112" spans="1:14" ht="15">
      <c r="A112" s="13">
        <v>45292</v>
      </c>
      <c r="B112" s="60">
        <f>3.3324 * CHOOSE(CONTROL!$C$21, $C$12, 100%, $E$12)</f>
        <v>3.3323999999999998</v>
      </c>
      <c r="C112" s="60">
        <f>3.3324 * CHOOSE(CONTROL!$C$21, $C$12, 100%, $E$12)</f>
        <v>3.3323999999999998</v>
      </c>
      <c r="D112" s="60">
        <f>3.343 * CHOOSE(CONTROL!$C$21, $C$12, 100%, $E$12)</f>
        <v>3.343</v>
      </c>
      <c r="E112" s="61">
        <f>3.8554 * CHOOSE(CONTROL!$C$21, $C$12, 100%, $E$12)</f>
        <v>3.8553999999999999</v>
      </c>
      <c r="F112" s="61">
        <f>3.8554 * CHOOSE(CONTROL!$C$21, $C$12, 100%, $E$12)</f>
        <v>3.8553999999999999</v>
      </c>
      <c r="G112" s="61">
        <f>3.8555 * CHOOSE(CONTROL!$C$21, $C$12, 100%, $E$12)</f>
        <v>3.8555000000000001</v>
      </c>
      <c r="H112" s="61">
        <f>6.9985* CHOOSE(CONTROL!$C$21, $C$12, 100%, $E$12)</f>
        <v>6.9984999999999999</v>
      </c>
      <c r="I112" s="61">
        <f>6.9986 * CHOOSE(CONTROL!$C$21, $C$12, 100%, $E$12)</f>
        <v>6.9985999999999997</v>
      </c>
      <c r="J112" s="61">
        <f>3.8554 * CHOOSE(CONTROL!$C$21, $C$12, 100%, $E$12)</f>
        <v>3.8553999999999999</v>
      </c>
      <c r="K112" s="61">
        <f>3.8555 * CHOOSE(CONTROL!$C$21, $C$12, 100%, $E$12)</f>
        <v>3.8555000000000001</v>
      </c>
      <c r="L112" s="4"/>
      <c r="M112" s="4"/>
      <c r="N112" s="4"/>
    </row>
    <row r="113" spans="1:14" ht="15">
      <c r="A113" s="13">
        <v>45323</v>
      </c>
      <c r="B113" s="60">
        <f>3.3294 * CHOOSE(CONTROL!$C$21, $C$12, 100%, $E$12)</f>
        <v>3.3294000000000001</v>
      </c>
      <c r="C113" s="60">
        <f>3.3294 * CHOOSE(CONTROL!$C$21, $C$12, 100%, $E$12)</f>
        <v>3.3294000000000001</v>
      </c>
      <c r="D113" s="60">
        <f>3.3399 * CHOOSE(CONTROL!$C$21, $C$12, 100%, $E$12)</f>
        <v>3.3399000000000001</v>
      </c>
      <c r="E113" s="61">
        <f>3.8103 * CHOOSE(CONTROL!$C$21, $C$12, 100%, $E$12)</f>
        <v>3.8102999999999998</v>
      </c>
      <c r="F113" s="61">
        <f>3.8103 * CHOOSE(CONTROL!$C$21, $C$12, 100%, $E$12)</f>
        <v>3.8102999999999998</v>
      </c>
      <c r="G113" s="61">
        <f>3.8105 * CHOOSE(CONTROL!$C$21, $C$12, 100%, $E$12)</f>
        <v>3.8105000000000002</v>
      </c>
      <c r="H113" s="61">
        <f>7.013* CHOOSE(CONTROL!$C$21, $C$12, 100%, $E$12)</f>
        <v>7.0129999999999999</v>
      </c>
      <c r="I113" s="61">
        <f>7.0132 * CHOOSE(CONTROL!$C$21, $C$12, 100%, $E$12)</f>
        <v>7.0132000000000003</v>
      </c>
      <c r="J113" s="61">
        <f>3.8103 * CHOOSE(CONTROL!$C$21, $C$12, 100%, $E$12)</f>
        <v>3.8102999999999998</v>
      </c>
      <c r="K113" s="61">
        <f>3.8105 * CHOOSE(CONTROL!$C$21, $C$12, 100%, $E$12)</f>
        <v>3.8105000000000002</v>
      </c>
      <c r="L113" s="4"/>
      <c r="M113" s="4"/>
      <c r="N113" s="4"/>
    </row>
    <row r="114" spans="1:14" ht="15">
      <c r="A114" s="13">
        <v>45352</v>
      </c>
      <c r="B114" s="60">
        <f>3.3263 * CHOOSE(CONTROL!$C$21, $C$12, 100%, $E$12)</f>
        <v>3.3262999999999998</v>
      </c>
      <c r="C114" s="60">
        <f>3.3263 * CHOOSE(CONTROL!$C$21, $C$12, 100%, $E$12)</f>
        <v>3.3262999999999998</v>
      </c>
      <c r="D114" s="60">
        <f>3.3369 * CHOOSE(CONTROL!$C$21, $C$12, 100%, $E$12)</f>
        <v>3.3369</v>
      </c>
      <c r="E114" s="61">
        <f>3.842 * CHOOSE(CONTROL!$C$21, $C$12, 100%, $E$12)</f>
        <v>3.8420000000000001</v>
      </c>
      <c r="F114" s="61">
        <f>3.842 * CHOOSE(CONTROL!$C$21, $C$12, 100%, $E$12)</f>
        <v>3.8420000000000001</v>
      </c>
      <c r="G114" s="61">
        <f>3.8422 * CHOOSE(CONTROL!$C$21, $C$12, 100%, $E$12)</f>
        <v>3.8422000000000001</v>
      </c>
      <c r="H114" s="61">
        <f>7.0276* CHOOSE(CONTROL!$C$21, $C$12, 100%, $E$12)</f>
        <v>7.0275999999999996</v>
      </c>
      <c r="I114" s="61">
        <f>7.0278 * CHOOSE(CONTROL!$C$21, $C$12, 100%, $E$12)</f>
        <v>7.0278</v>
      </c>
      <c r="J114" s="61">
        <f>3.842 * CHOOSE(CONTROL!$C$21, $C$12, 100%, $E$12)</f>
        <v>3.8420000000000001</v>
      </c>
      <c r="K114" s="61">
        <f>3.8422 * CHOOSE(CONTROL!$C$21, $C$12, 100%, $E$12)</f>
        <v>3.8422000000000001</v>
      </c>
      <c r="L114" s="4"/>
      <c r="M114" s="4"/>
      <c r="N114" s="4"/>
    </row>
    <row r="115" spans="1:14" ht="15">
      <c r="A115" s="13">
        <v>45383</v>
      </c>
      <c r="B115" s="60">
        <f>3.3234 * CHOOSE(CONTROL!$C$21, $C$12, 100%, $E$12)</f>
        <v>3.3233999999999999</v>
      </c>
      <c r="C115" s="60">
        <f>3.3234 * CHOOSE(CONTROL!$C$21, $C$12, 100%, $E$12)</f>
        <v>3.3233999999999999</v>
      </c>
      <c r="D115" s="60">
        <f>3.3339 * CHOOSE(CONTROL!$C$21, $C$12, 100%, $E$12)</f>
        <v>3.3338999999999999</v>
      </c>
      <c r="E115" s="61">
        <f>3.8741 * CHOOSE(CONTROL!$C$21, $C$12, 100%, $E$12)</f>
        <v>3.8740999999999999</v>
      </c>
      <c r="F115" s="61">
        <f>3.8741 * CHOOSE(CONTROL!$C$21, $C$12, 100%, $E$12)</f>
        <v>3.8740999999999999</v>
      </c>
      <c r="G115" s="61">
        <f>3.8743 * CHOOSE(CONTROL!$C$21, $C$12, 100%, $E$12)</f>
        <v>3.8742999999999999</v>
      </c>
      <c r="H115" s="61">
        <f>7.0423* CHOOSE(CONTROL!$C$21, $C$12, 100%, $E$12)</f>
        <v>7.0423</v>
      </c>
      <c r="I115" s="61">
        <f>7.0425 * CHOOSE(CONTROL!$C$21, $C$12, 100%, $E$12)</f>
        <v>7.0425000000000004</v>
      </c>
      <c r="J115" s="61">
        <f>3.8741 * CHOOSE(CONTROL!$C$21, $C$12, 100%, $E$12)</f>
        <v>3.8740999999999999</v>
      </c>
      <c r="K115" s="61">
        <f>3.8743 * CHOOSE(CONTROL!$C$21, $C$12, 100%, $E$12)</f>
        <v>3.8742999999999999</v>
      </c>
      <c r="L115" s="4"/>
      <c r="M115" s="4"/>
      <c r="N115" s="4"/>
    </row>
    <row r="116" spans="1:14" ht="15">
      <c r="A116" s="13">
        <v>45413</v>
      </c>
      <c r="B116" s="60">
        <f>3.3234 * CHOOSE(CONTROL!$C$21, $C$12, 100%, $E$12)</f>
        <v>3.3233999999999999</v>
      </c>
      <c r="C116" s="60">
        <f>3.3234 * CHOOSE(CONTROL!$C$21, $C$12, 100%, $E$12)</f>
        <v>3.3233999999999999</v>
      </c>
      <c r="D116" s="60">
        <f>3.3445 * CHOOSE(CONTROL!$C$21, $C$12, 100%, $E$12)</f>
        <v>3.3445</v>
      </c>
      <c r="E116" s="61">
        <f>3.8877 * CHOOSE(CONTROL!$C$21, $C$12, 100%, $E$12)</f>
        <v>3.8877000000000002</v>
      </c>
      <c r="F116" s="61">
        <f>3.8877 * CHOOSE(CONTROL!$C$21, $C$12, 100%, $E$12)</f>
        <v>3.8877000000000002</v>
      </c>
      <c r="G116" s="61">
        <f>3.8891 * CHOOSE(CONTROL!$C$21, $C$12, 100%, $E$12)</f>
        <v>3.8891</v>
      </c>
      <c r="H116" s="61">
        <f>7.057* CHOOSE(CONTROL!$C$21, $C$12, 100%, $E$12)</f>
        <v>7.0570000000000004</v>
      </c>
      <c r="I116" s="61">
        <f>7.0583 * CHOOSE(CONTROL!$C$21, $C$12, 100%, $E$12)</f>
        <v>7.0583</v>
      </c>
      <c r="J116" s="61">
        <f>3.8877 * CHOOSE(CONTROL!$C$21, $C$12, 100%, $E$12)</f>
        <v>3.8877000000000002</v>
      </c>
      <c r="K116" s="61">
        <f>3.8891 * CHOOSE(CONTROL!$C$21, $C$12, 100%, $E$12)</f>
        <v>3.8891</v>
      </c>
      <c r="L116" s="4"/>
      <c r="M116" s="4"/>
      <c r="N116" s="4"/>
    </row>
    <row r="117" spans="1:14" ht="15">
      <c r="A117" s="13">
        <v>45444</v>
      </c>
      <c r="B117" s="60">
        <f>3.3294 * CHOOSE(CONTROL!$C$21, $C$12, 100%, $E$12)</f>
        <v>3.3294000000000001</v>
      </c>
      <c r="C117" s="60">
        <f>3.3294 * CHOOSE(CONTROL!$C$21, $C$12, 100%, $E$12)</f>
        <v>3.3294000000000001</v>
      </c>
      <c r="D117" s="60">
        <f>3.3506 * CHOOSE(CONTROL!$C$21, $C$12, 100%, $E$12)</f>
        <v>3.3506</v>
      </c>
      <c r="E117" s="61">
        <f>3.8784 * CHOOSE(CONTROL!$C$21, $C$12, 100%, $E$12)</f>
        <v>3.8784000000000001</v>
      </c>
      <c r="F117" s="61">
        <f>3.8784 * CHOOSE(CONTROL!$C$21, $C$12, 100%, $E$12)</f>
        <v>3.8784000000000001</v>
      </c>
      <c r="G117" s="61">
        <f>3.8797 * CHOOSE(CONTROL!$C$21, $C$12, 100%, $E$12)</f>
        <v>3.8797000000000001</v>
      </c>
      <c r="H117" s="61">
        <f>7.0717* CHOOSE(CONTROL!$C$21, $C$12, 100%, $E$12)</f>
        <v>7.0716999999999999</v>
      </c>
      <c r="I117" s="61">
        <f>7.073 * CHOOSE(CONTROL!$C$21, $C$12, 100%, $E$12)</f>
        <v>7.0730000000000004</v>
      </c>
      <c r="J117" s="61">
        <f>3.8784 * CHOOSE(CONTROL!$C$21, $C$12, 100%, $E$12)</f>
        <v>3.8784000000000001</v>
      </c>
      <c r="K117" s="61">
        <f>3.8797 * CHOOSE(CONTROL!$C$21, $C$12, 100%, $E$12)</f>
        <v>3.8797000000000001</v>
      </c>
      <c r="L117" s="4"/>
      <c r="M117" s="4"/>
      <c r="N117" s="4"/>
    </row>
    <row r="118" spans="1:14" ht="15">
      <c r="A118" s="13">
        <v>45474</v>
      </c>
      <c r="B118" s="60">
        <f>3.3849 * CHOOSE(CONTROL!$C$21, $C$12, 100%, $E$12)</f>
        <v>3.3849</v>
      </c>
      <c r="C118" s="60">
        <f>3.3849 * CHOOSE(CONTROL!$C$21, $C$12, 100%, $E$12)</f>
        <v>3.3849</v>
      </c>
      <c r="D118" s="60">
        <f>3.406 * CHOOSE(CONTROL!$C$21, $C$12, 100%, $E$12)</f>
        <v>3.4060000000000001</v>
      </c>
      <c r="E118" s="61">
        <f>3.9401 * CHOOSE(CONTROL!$C$21, $C$12, 100%, $E$12)</f>
        <v>3.9401000000000002</v>
      </c>
      <c r="F118" s="61">
        <f>3.9401 * CHOOSE(CONTROL!$C$21, $C$12, 100%, $E$12)</f>
        <v>3.9401000000000002</v>
      </c>
      <c r="G118" s="61">
        <f>3.9414 * CHOOSE(CONTROL!$C$21, $C$12, 100%, $E$12)</f>
        <v>3.9413999999999998</v>
      </c>
      <c r="H118" s="61">
        <f>7.0864* CHOOSE(CONTROL!$C$21, $C$12, 100%, $E$12)</f>
        <v>7.0864000000000003</v>
      </c>
      <c r="I118" s="61">
        <f>7.0878 * CHOOSE(CONTROL!$C$21, $C$12, 100%, $E$12)</f>
        <v>7.0877999999999997</v>
      </c>
      <c r="J118" s="61">
        <f>3.9401 * CHOOSE(CONTROL!$C$21, $C$12, 100%, $E$12)</f>
        <v>3.9401000000000002</v>
      </c>
      <c r="K118" s="61">
        <f>3.9414 * CHOOSE(CONTROL!$C$21, $C$12, 100%, $E$12)</f>
        <v>3.9413999999999998</v>
      </c>
      <c r="L118" s="4"/>
      <c r="M118" s="4"/>
      <c r="N118" s="4"/>
    </row>
    <row r="119" spans="1:14" ht="15">
      <c r="A119" s="13">
        <v>45505</v>
      </c>
      <c r="B119" s="60">
        <f>3.3915 * CHOOSE(CONTROL!$C$21, $C$12, 100%, $E$12)</f>
        <v>3.3915000000000002</v>
      </c>
      <c r="C119" s="60">
        <f>3.3915 * CHOOSE(CONTROL!$C$21, $C$12, 100%, $E$12)</f>
        <v>3.3915000000000002</v>
      </c>
      <c r="D119" s="60">
        <f>3.4127 * CHOOSE(CONTROL!$C$21, $C$12, 100%, $E$12)</f>
        <v>3.4127000000000001</v>
      </c>
      <c r="E119" s="61">
        <f>3.9039 * CHOOSE(CONTROL!$C$21, $C$12, 100%, $E$12)</f>
        <v>3.9039000000000001</v>
      </c>
      <c r="F119" s="61">
        <f>3.9039 * CHOOSE(CONTROL!$C$21, $C$12, 100%, $E$12)</f>
        <v>3.9039000000000001</v>
      </c>
      <c r="G119" s="61">
        <f>3.9052 * CHOOSE(CONTROL!$C$21, $C$12, 100%, $E$12)</f>
        <v>3.9051999999999998</v>
      </c>
      <c r="H119" s="61">
        <f>7.1012* CHOOSE(CONTROL!$C$21, $C$12, 100%, $E$12)</f>
        <v>7.1012000000000004</v>
      </c>
      <c r="I119" s="61">
        <f>7.1025 * CHOOSE(CONTROL!$C$21, $C$12, 100%, $E$12)</f>
        <v>7.1025</v>
      </c>
      <c r="J119" s="61">
        <f>3.9039 * CHOOSE(CONTROL!$C$21, $C$12, 100%, $E$12)</f>
        <v>3.9039000000000001</v>
      </c>
      <c r="K119" s="61">
        <f>3.9052 * CHOOSE(CONTROL!$C$21, $C$12, 100%, $E$12)</f>
        <v>3.9051999999999998</v>
      </c>
      <c r="L119" s="4"/>
      <c r="M119" s="4"/>
      <c r="N119" s="4"/>
    </row>
    <row r="120" spans="1:14" ht="15">
      <c r="A120" s="13">
        <v>45536</v>
      </c>
      <c r="B120" s="60">
        <f>3.3885 * CHOOSE(CONTROL!$C$21, $C$12, 100%, $E$12)</f>
        <v>3.3885000000000001</v>
      </c>
      <c r="C120" s="60">
        <f>3.3885 * CHOOSE(CONTROL!$C$21, $C$12, 100%, $E$12)</f>
        <v>3.3885000000000001</v>
      </c>
      <c r="D120" s="60">
        <f>3.4096 * CHOOSE(CONTROL!$C$21, $C$12, 100%, $E$12)</f>
        <v>3.4096000000000002</v>
      </c>
      <c r="E120" s="61">
        <f>3.8972 * CHOOSE(CONTROL!$C$21, $C$12, 100%, $E$12)</f>
        <v>3.8972000000000002</v>
      </c>
      <c r="F120" s="61">
        <f>3.8972 * CHOOSE(CONTROL!$C$21, $C$12, 100%, $E$12)</f>
        <v>3.8972000000000002</v>
      </c>
      <c r="G120" s="61">
        <f>3.8986 * CHOOSE(CONTROL!$C$21, $C$12, 100%, $E$12)</f>
        <v>3.8986000000000001</v>
      </c>
      <c r="H120" s="61">
        <f>7.1159* CHOOSE(CONTROL!$C$21, $C$12, 100%, $E$12)</f>
        <v>7.1158999999999999</v>
      </c>
      <c r="I120" s="61">
        <f>7.1173 * CHOOSE(CONTROL!$C$21, $C$12, 100%, $E$12)</f>
        <v>7.1173000000000002</v>
      </c>
      <c r="J120" s="61">
        <f>3.8972 * CHOOSE(CONTROL!$C$21, $C$12, 100%, $E$12)</f>
        <v>3.8972000000000002</v>
      </c>
      <c r="K120" s="61">
        <f>3.8986 * CHOOSE(CONTROL!$C$21, $C$12, 100%, $E$12)</f>
        <v>3.8986000000000001</v>
      </c>
      <c r="L120" s="4"/>
      <c r="M120" s="4"/>
      <c r="N120" s="4"/>
    </row>
    <row r="121" spans="1:14" ht="15">
      <c r="A121" s="13">
        <v>45566</v>
      </c>
      <c r="B121" s="60">
        <f>3.3815 * CHOOSE(CONTROL!$C$21, $C$12, 100%, $E$12)</f>
        <v>3.3815</v>
      </c>
      <c r="C121" s="60">
        <f>3.3815 * CHOOSE(CONTROL!$C$21, $C$12, 100%, $E$12)</f>
        <v>3.3815</v>
      </c>
      <c r="D121" s="60">
        <f>3.392 * CHOOSE(CONTROL!$C$21, $C$12, 100%, $E$12)</f>
        <v>3.3919999999999999</v>
      </c>
      <c r="E121" s="61">
        <f>3.9019 * CHOOSE(CONTROL!$C$21, $C$12, 100%, $E$12)</f>
        <v>3.9018999999999999</v>
      </c>
      <c r="F121" s="61">
        <f>3.9019 * CHOOSE(CONTROL!$C$21, $C$12, 100%, $E$12)</f>
        <v>3.9018999999999999</v>
      </c>
      <c r="G121" s="61">
        <f>3.9021 * CHOOSE(CONTROL!$C$21, $C$12, 100%, $E$12)</f>
        <v>3.9020999999999999</v>
      </c>
      <c r="H121" s="61">
        <f>7.1308* CHOOSE(CONTROL!$C$21, $C$12, 100%, $E$12)</f>
        <v>7.1307999999999998</v>
      </c>
      <c r="I121" s="61">
        <f>7.1309 * CHOOSE(CONTROL!$C$21, $C$12, 100%, $E$12)</f>
        <v>7.1308999999999996</v>
      </c>
      <c r="J121" s="61">
        <f>3.9019 * CHOOSE(CONTROL!$C$21, $C$12, 100%, $E$12)</f>
        <v>3.9018999999999999</v>
      </c>
      <c r="K121" s="61">
        <f>3.9021 * CHOOSE(CONTROL!$C$21, $C$12, 100%, $E$12)</f>
        <v>3.9020999999999999</v>
      </c>
      <c r="L121" s="4"/>
      <c r="M121" s="4"/>
      <c r="N121" s="4"/>
    </row>
    <row r="122" spans="1:14" ht="15">
      <c r="A122" s="13">
        <v>45597</v>
      </c>
      <c r="B122" s="60">
        <f>3.3845 * CHOOSE(CONTROL!$C$21, $C$12, 100%, $E$12)</f>
        <v>3.3845000000000001</v>
      </c>
      <c r="C122" s="60">
        <f>3.3845 * CHOOSE(CONTROL!$C$21, $C$12, 100%, $E$12)</f>
        <v>3.3845000000000001</v>
      </c>
      <c r="D122" s="60">
        <f>3.3951 * CHOOSE(CONTROL!$C$21, $C$12, 100%, $E$12)</f>
        <v>3.3950999999999998</v>
      </c>
      <c r="E122" s="61">
        <f>3.9131 * CHOOSE(CONTROL!$C$21, $C$12, 100%, $E$12)</f>
        <v>3.9131</v>
      </c>
      <c r="F122" s="61">
        <f>3.9131 * CHOOSE(CONTROL!$C$21, $C$12, 100%, $E$12)</f>
        <v>3.9131</v>
      </c>
      <c r="G122" s="61">
        <f>3.9133 * CHOOSE(CONTROL!$C$21, $C$12, 100%, $E$12)</f>
        <v>3.9133</v>
      </c>
      <c r="H122" s="61">
        <f>7.1456* CHOOSE(CONTROL!$C$21, $C$12, 100%, $E$12)</f>
        <v>7.1456</v>
      </c>
      <c r="I122" s="61">
        <f>7.1458 * CHOOSE(CONTROL!$C$21, $C$12, 100%, $E$12)</f>
        <v>7.1458000000000004</v>
      </c>
      <c r="J122" s="61">
        <f>3.9131 * CHOOSE(CONTROL!$C$21, $C$12, 100%, $E$12)</f>
        <v>3.9131</v>
      </c>
      <c r="K122" s="61">
        <f>3.9133 * CHOOSE(CONTROL!$C$21, $C$12, 100%, $E$12)</f>
        <v>3.9133</v>
      </c>
      <c r="L122" s="4"/>
      <c r="M122" s="4"/>
      <c r="N122" s="4"/>
    </row>
    <row r="123" spans="1:14" ht="15">
      <c r="A123" s="13">
        <v>45627</v>
      </c>
      <c r="B123" s="60">
        <f>3.3845 * CHOOSE(CONTROL!$C$21, $C$12, 100%, $E$12)</f>
        <v>3.3845000000000001</v>
      </c>
      <c r="C123" s="60">
        <f>3.3845 * CHOOSE(CONTROL!$C$21, $C$12, 100%, $E$12)</f>
        <v>3.3845000000000001</v>
      </c>
      <c r="D123" s="60">
        <f>3.3951 * CHOOSE(CONTROL!$C$21, $C$12, 100%, $E$12)</f>
        <v>3.3950999999999998</v>
      </c>
      <c r="E123" s="61">
        <f>3.8904 * CHOOSE(CONTROL!$C$21, $C$12, 100%, $E$12)</f>
        <v>3.8904000000000001</v>
      </c>
      <c r="F123" s="61">
        <f>3.8904 * CHOOSE(CONTROL!$C$21, $C$12, 100%, $E$12)</f>
        <v>3.8904000000000001</v>
      </c>
      <c r="G123" s="61">
        <f>3.8906 * CHOOSE(CONTROL!$C$21, $C$12, 100%, $E$12)</f>
        <v>3.8906000000000001</v>
      </c>
      <c r="H123" s="61">
        <f>7.1605* CHOOSE(CONTROL!$C$21, $C$12, 100%, $E$12)</f>
        <v>7.1604999999999999</v>
      </c>
      <c r="I123" s="61">
        <f>7.1607 * CHOOSE(CONTROL!$C$21, $C$12, 100%, $E$12)</f>
        <v>7.1607000000000003</v>
      </c>
      <c r="J123" s="61">
        <f>3.8904 * CHOOSE(CONTROL!$C$21, $C$12, 100%, $E$12)</f>
        <v>3.8904000000000001</v>
      </c>
      <c r="K123" s="61">
        <f>3.8906 * CHOOSE(CONTROL!$C$21, $C$12, 100%, $E$12)</f>
        <v>3.8906000000000001</v>
      </c>
      <c r="L123" s="4"/>
      <c r="M123" s="4"/>
      <c r="N123" s="4"/>
    </row>
    <row r="124" spans="1:14" ht="15">
      <c r="A124" s="13">
        <v>45658</v>
      </c>
      <c r="B124" s="60">
        <f>3.4166 * CHOOSE(CONTROL!$C$21, $C$12, 100%, $E$12)</f>
        <v>3.4165999999999999</v>
      </c>
      <c r="C124" s="60">
        <f>3.4166 * CHOOSE(CONTROL!$C$21, $C$12, 100%, $E$12)</f>
        <v>3.4165999999999999</v>
      </c>
      <c r="D124" s="60">
        <f>3.4272 * CHOOSE(CONTROL!$C$21, $C$12, 100%, $E$12)</f>
        <v>3.4272</v>
      </c>
      <c r="E124" s="61">
        <f>3.9232 * CHOOSE(CONTROL!$C$21, $C$12, 100%, $E$12)</f>
        <v>3.9232</v>
      </c>
      <c r="F124" s="61">
        <f>3.9232 * CHOOSE(CONTROL!$C$21, $C$12, 100%, $E$12)</f>
        <v>3.9232</v>
      </c>
      <c r="G124" s="61">
        <f>3.9234 * CHOOSE(CONTROL!$C$21, $C$12, 100%, $E$12)</f>
        <v>3.9234</v>
      </c>
      <c r="H124" s="61">
        <f>7.1754* CHOOSE(CONTROL!$C$21, $C$12, 100%, $E$12)</f>
        <v>7.1753999999999998</v>
      </c>
      <c r="I124" s="61">
        <f>7.1756 * CHOOSE(CONTROL!$C$21, $C$12, 100%, $E$12)</f>
        <v>7.1756000000000002</v>
      </c>
      <c r="J124" s="61">
        <f>3.9232 * CHOOSE(CONTROL!$C$21, $C$12, 100%, $E$12)</f>
        <v>3.9232</v>
      </c>
      <c r="K124" s="61">
        <f>3.9234 * CHOOSE(CONTROL!$C$21, $C$12, 100%, $E$12)</f>
        <v>3.9234</v>
      </c>
      <c r="L124" s="4"/>
      <c r="M124" s="4"/>
      <c r="N124" s="4"/>
    </row>
    <row r="125" spans="1:14" ht="15">
      <c r="A125" s="13">
        <v>45689</v>
      </c>
      <c r="B125" s="60">
        <f>3.4136 * CHOOSE(CONTROL!$C$21, $C$12, 100%, $E$12)</f>
        <v>3.4136000000000002</v>
      </c>
      <c r="C125" s="60">
        <f>3.4136 * CHOOSE(CONTROL!$C$21, $C$12, 100%, $E$12)</f>
        <v>3.4136000000000002</v>
      </c>
      <c r="D125" s="60">
        <f>3.4241 * CHOOSE(CONTROL!$C$21, $C$12, 100%, $E$12)</f>
        <v>3.4241000000000001</v>
      </c>
      <c r="E125" s="61">
        <f>3.8779 * CHOOSE(CONTROL!$C$21, $C$12, 100%, $E$12)</f>
        <v>3.8778999999999999</v>
      </c>
      <c r="F125" s="61">
        <f>3.8779 * CHOOSE(CONTROL!$C$21, $C$12, 100%, $E$12)</f>
        <v>3.8778999999999999</v>
      </c>
      <c r="G125" s="61">
        <f>3.8781 * CHOOSE(CONTROL!$C$21, $C$12, 100%, $E$12)</f>
        <v>3.8780999999999999</v>
      </c>
      <c r="H125" s="61">
        <f>7.1904* CHOOSE(CONTROL!$C$21, $C$12, 100%, $E$12)</f>
        <v>7.1904000000000003</v>
      </c>
      <c r="I125" s="61">
        <f>7.1906 * CHOOSE(CONTROL!$C$21, $C$12, 100%, $E$12)</f>
        <v>7.1905999999999999</v>
      </c>
      <c r="J125" s="61">
        <f>3.8779 * CHOOSE(CONTROL!$C$21, $C$12, 100%, $E$12)</f>
        <v>3.8778999999999999</v>
      </c>
      <c r="K125" s="61">
        <f>3.8781 * CHOOSE(CONTROL!$C$21, $C$12, 100%, $E$12)</f>
        <v>3.8780999999999999</v>
      </c>
      <c r="L125" s="4"/>
      <c r="M125" s="4"/>
      <c r="N125" s="4"/>
    </row>
    <row r="126" spans="1:14" ht="15">
      <c r="A126" s="13">
        <v>45717</v>
      </c>
      <c r="B126" s="60">
        <f>3.4105 * CHOOSE(CONTROL!$C$21, $C$12, 100%, $E$12)</f>
        <v>3.4104999999999999</v>
      </c>
      <c r="C126" s="60">
        <f>3.4105 * CHOOSE(CONTROL!$C$21, $C$12, 100%, $E$12)</f>
        <v>3.4104999999999999</v>
      </c>
      <c r="D126" s="60">
        <f>3.4211 * CHOOSE(CONTROL!$C$21, $C$12, 100%, $E$12)</f>
        <v>3.4211</v>
      </c>
      <c r="E126" s="61">
        <f>3.9098 * CHOOSE(CONTROL!$C$21, $C$12, 100%, $E$12)</f>
        <v>3.9098000000000002</v>
      </c>
      <c r="F126" s="61">
        <f>3.9098 * CHOOSE(CONTROL!$C$21, $C$12, 100%, $E$12)</f>
        <v>3.9098000000000002</v>
      </c>
      <c r="G126" s="61">
        <f>3.91 * CHOOSE(CONTROL!$C$21, $C$12, 100%, $E$12)</f>
        <v>3.91</v>
      </c>
      <c r="H126" s="61">
        <f>7.2054* CHOOSE(CONTROL!$C$21, $C$12, 100%, $E$12)</f>
        <v>7.2054</v>
      </c>
      <c r="I126" s="61">
        <f>7.2055 * CHOOSE(CONTROL!$C$21, $C$12, 100%, $E$12)</f>
        <v>7.2054999999999998</v>
      </c>
      <c r="J126" s="61">
        <f>3.9098 * CHOOSE(CONTROL!$C$21, $C$12, 100%, $E$12)</f>
        <v>3.9098000000000002</v>
      </c>
      <c r="K126" s="61">
        <f>3.91 * CHOOSE(CONTROL!$C$21, $C$12, 100%, $E$12)</f>
        <v>3.91</v>
      </c>
      <c r="L126" s="4"/>
      <c r="M126" s="4"/>
      <c r="N126" s="4"/>
    </row>
    <row r="127" spans="1:14" ht="15">
      <c r="A127" s="13">
        <v>45748</v>
      </c>
      <c r="B127" s="60">
        <f>3.4077 * CHOOSE(CONTROL!$C$21, $C$12, 100%, $E$12)</f>
        <v>3.4077000000000002</v>
      </c>
      <c r="C127" s="60">
        <f>3.4077 * CHOOSE(CONTROL!$C$21, $C$12, 100%, $E$12)</f>
        <v>3.4077000000000002</v>
      </c>
      <c r="D127" s="60">
        <f>3.4182 * CHOOSE(CONTROL!$C$21, $C$12, 100%, $E$12)</f>
        <v>3.4182000000000001</v>
      </c>
      <c r="E127" s="61">
        <f>3.9422 * CHOOSE(CONTROL!$C$21, $C$12, 100%, $E$12)</f>
        <v>3.9422000000000001</v>
      </c>
      <c r="F127" s="61">
        <f>3.9422 * CHOOSE(CONTROL!$C$21, $C$12, 100%, $E$12)</f>
        <v>3.9422000000000001</v>
      </c>
      <c r="G127" s="61">
        <f>3.9424 * CHOOSE(CONTROL!$C$21, $C$12, 100%, $E$12)</f>
        <v>3.9424000000000001</v>
      </c>
      <c r="H127" s="61">
        <f>7.2204* CHOOSE(CONTROL!$C$21, $C$12, 100%, $E$12)</f>
        <v>7.2203999999999997</v>
      </c>
      <c r="I127" s="61">
        <f>7.2205 * CHOOSE(CONTROL!$C$21, $C$12, 100%, $E$12)</f>
        <v>7.2205000000000004</v>
      </c>
      <c r="J127" s="61">
        <f>3.9422 * CHOOSE(CONTROL!$C$21, $C$12, 100%, $E$12)</f>
        <v>3.9422000000000001</v>
      </c>
      <c r="K127" s="61">
        <f>3.9424 * CHOOSE(CONTROL!$C$21, $C$12, 100%, $E$12)</f>
        <v>3.9424000000000001</v>
      </c>
      <c r="L127" s="4"/>
      <c r="M127" s="4"/>
      <c r="N127" s="4"/>
    </row>
    <row r="128" spans="1:14" ht="15">
      <c r="A128" s="13">
        <v>45778</v>
      </c>
      <c r="B128" s="60">
        <f>3.4077 * CHOOSE(CONTROL!$C$21, $C$12, 100%, $E$12)</f>
        <v>3.4077000000000002</v>
      </c>
      <c r="C128" s="60">
        <f>3.4077 * CHOOSE(CONTROL!$C$21, $C$12, 100%, $E$12)</f>
        <v>3.4077000000000002</v>
      </c>
      <c r="D128" s="60">
        <f>3.4288 * CHOOSE(CONTROL!$C$21, $C$12, 100%, $E$12)</f>
        <v>3.4287999999999998</v>
      </c>
      <c r="E128" s="61">
        <f>3.9559 * CHOOSE(CONTROL!$C$21, $C$12, 100%, $E$12)</f>
        <v>3.9559000000000002</v>
      </c>
      <c r="F128" s="61">
        <f>3.9559 * CHOOSE(CONTROL!$C$21, $C$12, 100%, $E$12)</f>
        <v>3.9559000000000002</v>
      </c>
      <c r="G128" s="61">
        <f>3.9573 * CHOOSE(CONTROL!$C$21, $C$12, 100%, $E$12)</f>
        <v>3.9573</v>
      </c>
      <c r="H128" s="61">
        <f>7.2354* CHOOSE(CONTROL!$C$21, $C$12, 100%, $E$12)</f>
        <v>7.2354000000000003</v>
      </c>
      <c r="I128" s="61">
        <f>7.2368 * CHOOSE(CONTROL!$C$21, $C$12, 100%, $E$12)</f>
        <v>7.2367999999999997</v>
      </c>
      <c r="J128" s="61">
        <f>3.9559 * CHOOSE(CONTROL!$C$21, $C$12, 100%, $E$12)</f>
        <v>3.9559000000000002</v>
      </c>
      <c r="K128" s="61">
        <f>3.9573 * CHOOSE(CONTROL!$C$21, $C$12, 100%, $E$12)</f>
        <v>3.9573</v>
      </c>
      <c r="L128" s="4"/>
      <c r="M128" s="4"/>
      <c r="N128" s="4"/>
    </row>
    <row r="129" spans="1:14" ht="15">
      <c r="A129" s="13">
        <v>45809</v>
      </c>
      <c r="B129" s="60">
        <f>3.4137 * CHOOSE(CONTROL!$C$21, $C$12, 100%, $E$12)</f>
        <v>3.4137</v>
      </c>
      <c r="C129" s="60">
        <f>3.4137 * CHOOSE(CONTROL!$C$21, $C$12, 100%, $E$12)</f>
        <v>3.4137</v>
      </c>
      <c r="D129" s="60">
        <f>3.4349 * CHOOSE(CONTROL!$C$21, $C$12, 100%, $E$12)</f>
        <v>3.4348999999999998</v>
      </c>
      <c r="E129" s="61">
        <f>3.9464 * CHOOSE(CONTROL!$C$21, $C$12, 100%, $E$12)</f>
        <v>3.9464000000000001</v>
      </c>
      <c r="F129" s="61">
        <f>3.9464 * CHOOSE(CONTROL!$C$21, $C$12, 100%, $E$12)</f>
        <v>3.9464000000000001</v>
      </c>
      <c r="G129" s="61">
        <f>3.9478 * CHOOSE(CONTROL!$C$21, $C$12, 100%, $E$12)</f>
        <v>3.9478</v>
      </c>
      <c r="H129" s="61">
        <f>7.2505* CHOOSE(CONTROL!$C$21, $C$12, 100%, $E$12)</f>
        <v>7.2504999999999997</v>
      </c>
      <c r="I129" s="61">
        <f>7.2519 * CHOOSE(CONTROL!$C$21, $C$12, 100%, $E$12)</f>
        <v>7.2519</v>
      </c>
      <c r="J129" s="61">
        <f>3.9464 * CHOOSE(CONTROL!$C$21, $C$12, 100%, $E$12)</f>
        <v>3.9464000000000001</v>
      </c>
      <c r="K129" s="61">
        <f>3.9478 * CHOOSE(CONTROL!$C$21, $C$12, 100%, $E$12)</f>
        <v>3.9478</v>
      </c>
      <c r="L129" s="4"/>
      <c r="M129" s="4"/>
      <c r="N129" s="4"/>
    </row>
    <row r="130" spans="1:14" ht="15">
      <c r="A130" s="13">
        <v>45839</v>
      </c>
      <c r="B130" s="60">
        <f>3.4735 * CHOOSE(CONTROL!$C$21, $C$12, 100%, $E$12)</f>
        <v>3.4735</v>
      </c>
      <c r="C130" s="60">
        <f>3.4735 * CHOOSE(CONTROL!$C$21, $C$12, 100%, $E$12)</f>
        <v>3.4735</v>
      </c>
      <c r="D130" s="60">
        <f>3.4946 * CHOOSE(CONTROL!$C$21, $C$12, 100%, $E$12)</f>
        <v>3.4946000000000002</v>
      </c>
      <c r="E130" s="61">
        <f>4.0021 * CHOOSE(CONTROL!$C$21, $C$12, 100%, $E$12)</f>
        <v>4.0021000000000004</v>
      </c>
      <c r="F130" s="61">
        <f>4.0021 * CHOOSE(CONTROL!$C$21, $C$12, 100%, $E$12)</f>
        <v>4.0021000000000004</v>
      </c>
      <c r="G130" s="61">
        <f>4.0035 * CHOOSE(CONTROL!$C$21, $C$12, 100%, $E$12)</f>
        <v>4.0034999999999998</v>
      </c>
      <c r="H130" s="61">
        <f>7.2656* CHOOSE(CONTROL!$C$21, $C$12, 100%, $E$12)</f>
        <v>7.2656000000000001</v>
      </c>
      <c r="I130" s="61">
        <f>7.267 * CHOOSE(CONTROL!$C$21, $C$12, 100%, $E$12)</f>
        <v>7.2670000000000003</v>
      </c>
      <c r="J130" s="61">
        <f>4.0021 * CHOOSE(CONTROL!$C$21, $C$12, 100%, $E$12)</f>
        <v>4.0021000000000004</v>
      </c>
      <c r="K130" s="61">
        <f>4.0035 * CHOOSE(CONTROL!$C$21, $C$12, 100%, $E$12)</f>
        <v>4.0034999999999998</v>
      </c>
      <c r="L130" s="4"/>
      <c r="M130" s="4"/>
      <c r="N130" s="4"/>
    </row>
    <row r="131" spans="1:14" ht="15">
      <c r="A131" s="13">
        <v>45870</v>
      </c>
      <c r="B131" s="60">
        <f>3.4802 * CHOOSE(CONTROL!$C$21, $C$12, 100%, $E$12)</f>
        <v>3.4802</v>
      </c>
      <c r="C131" s="60">
        <f>3.4802 * CHOOSE(CONTROL!$C$21, $C$12, 100%, $E$12)</f>
        <v>3.4802</v>
      </c>
      <c r="D131" s="60">
        <f>3.5013 * CHOOSE(CONTROL!$C$21, $C$12, 100%, $E$12)</f>
        <v>3.5013000000000001</v>
      </c>
      <c r="E131" s="61">
        <f>3.9656 * CHOOSE(CONTROL!$C$21, $C$12, 100%, $E$12)</f>
        <v>3.9655999999999998</v>
      </c>
      <c r="F131" s="61">
        <f>3.9656 * CHOOSE(CONTROL!$C$21, $C$12, 100%, $E$12)</f>
        <v>3.9655999999999998</v>
      </c>
      <c r="G131" s="61">
        <f>3.967 * CHOOSE(CONTROL!$C$21, $C$12, 100%, $E$12)</f>
        <v>3.9670000000000001</v>
      </c>
      <c r="H131" s="61">
        <f>7.2807* CHOOSE(CONTROL!$C$21, $C$12, 100%, $E$12)</f>
        <v>7.2807000000000004</v>
      </c>
      <c r="I131" s="61">
        <f>7.2821 * CHOOSE(CONTROL!$C$21, $C$12, 100%, $E$12)</f>
        <v>7.2820999999999998</v>
      </c>
      <c r="J131" s="61">
        <f>3.9656 * CHOOSE(CONTROL!$C$21, $C$12, 100%, $E$12)</f>
        <v>3.9655999999999998</v>
      </c>
      <c r="K131" s="61">
        <f>3.967 * CHOOSE(CONTROL!$C$21, $C$12, 100%, $E$12)</f>
        <v>3.9670000000000001</v>
      </c>
      <c r="L131" s="4"/>
      <c r="M131" s="4"/>
      <c r="N131" s="4"/>
    </row>
    <row r="132" spans="1:14" ht="15">
      <c r="A132" s="13">
        <v>45901</v>
      </c>
      <c r="B132" s="60">
        <f>3.4772 * CHOOSE(CONTROL!$C$21, $C$12, 100%, $E$12)</f>
        <v>3.4771999999999998</v>
      </c>
      <c r="C132" s="60">
        <f>3.4772 * CHOOSE(CONTROL!$C$21, $C$12, 100%, $E$12)</f>
        <v>3.4771999999999998</v>
      </c>
      <c r="D132" s="60">
        <f>3.4983 * CHOOSE(CONTROL!$C$21, $C$12, 100%, $E$12)</f>
        <v>3.4983</v>
      </c>
      <c r="E132" s="61">
        <f>3.959 * CHOOSE(CONTROL!$C$21, $C$12, 100%, $E$12)</f>
        <v>3.9590000000000001</v>
      </c>
      <c r="F132" s="61">
        <f>3.959 * CHOOSE(CONTROL!$C$21, $C$12, 100%, $E$12)</f>
        <v>3.9590000000000001</v>
      </c>
      <c r="G132" s="61">
        <f>3.9603 * CHOOSE(CONTROL!$C$21, $C$12, 100%, $E$12)</f>
        <v>3.9603000000000002</v>
      </c>
      <c r="H132" s="61">
        <f>7.2959* CHOOSE(CONTROL!$C$21, $C$12, 100%, $E$12)</f>
        <v>7.2958999999999996</v>
      </c>
      <c r="I132" s="61">
        <f>7.2973 * CHOOSE(CONTROL!$C$21, $C$12, 100%, $E$12)</f>
        <v>7.2972999999999999</v>
      </c>
      <c r="J132" s="61">
        <f>3.959 * CHOOSE(CONTROL!$C$21, $C$12, 100%, $E$12)</f>
        <v>3.9590000000000001</v>
      </c>
      <c r="K132" s="61">
        <f>3.9603 * CHOOSE(CONTROL!$C$21, $C$12, 100%, $E$12)</f>
        <v>3.9603000000000002</v>
      </c>
      <c r="L132" s="4"/>
      <c r="M132" s="4"/>
      <c r="N132" s="4"/>
    </row>
    <row r="133" spans="1:14" ht="15">
      <c r="A133" s="13">
        <v>45931</v>
      </c>
      <c r="B133" s="60">
        <f>3.4705 * CHOOSE(CONTROL!$C$21, $C$12, 100%, $E$12)</f>
        <v>3.4704999999999999</v>
      </c>
      <c r="C133" s="60">
        <f>3.4705 * CHOOSE(CONTROL!$C$21, $C$12, 100%, $E$12)</f>
        <v>3.4704999999999999</v>
      </c>
      <c r="D133" s="60">
        <f>3.481 * CHOOSE(CONTROL!$C$21, $C$12, 100%, $E$12)</f>
        <v>3.4809999999999999</v>
      </c>
      <c r="E133" s="61">
        <f>3.9638 * CHOOSE(CONTROL!$C$21, $C$12, 100%, $E$12)</f>
        <v>3.9638</v>
      </c>
      <c r="F133" s="61">
        <f>3.9638 * CHOOSE(CONTROL!$C$21, $C$12, 100%, $E$12)</f>
        <v>3.9638</v>
      </c>
      <c r="G133" s="61">
        <f>3.964 * CHOOSE(CONTROL!$C$21, $C$12, 100%, $E$12)</f>
        <v>3.964</v>
      </c>
      <c r="H133" s="61">
        <f>7.3111* CHOOSE(CONTROL!$C$21, $C$12, 100%, $E$12)</f>
        <v>7.3110999999999997</v>
      </c>
      <c r="I133" s="61">
        <f>7.3113 * CHOOSE(CONTROL!$C$21, $C$12, 100%, $E$12)</f>
        <v>7.3113000000000001</v>
      </c>
      <c r="J133" s="61">
        <f>3.9638 * CHOOSE(CONTROL!$C$21, $C$12, 100%, $E$12)</f>
        <v>3.9638</v>
      </c>
      <c r="K133" s="61">
        <f>3.964 * CHOOSE(CONTROL!$C$21, $C$12, 100%, $E$12)</f>
        <v>3.964</v>
      </c>
      <c r="L133" s="4"/>
      <c r="M133" s="4"/>
      <c r="N133" s="4"/>
    </row>
    <row r="134" spans="1:14" ht="15">
      <c r="A134" s="13">
        <v>45962</v>
      </c>
      <c r="B134" s="60">
        <f>3.4735 * CHOOSE(CONTROL!$C$21, $C$12, 100%, $E$12)</f>
        <v>3.4735</v>
      </c>
      <c r="C134" s="60">
        <f>3.4735 * CHOOSE(CONTROL!$C$21, $C$12, 100%, $E$12)</f>
        <v>3.4735</v>
      </c>
      <c r="D134" s="60">
        <f>3.4841 * CHOOSE(CONTROL!$C$21, $C$12, 100%, $E$12)</f>
        <v>3.4841000000000002</v>
      </c>
      <c r="E134" s="61">
        <f>3.9751 * CHOOSE(CONTROL!$C$21, $C$12, 100%, $E$12)</f>
        <v>3.9750999999999999</v>
      </c>
      <c r="F134" s="61">
        <f>3.9751 * CHOOSE(CONTROL!$C$21, $C$12, 100%, $E$12)</f>
        <v>3.9750999999999999</v>
      </c>
      <c r="G134" s="61">
        <f>3.9753 * CHOOSE(CONTROL!$C$21, $C$12, 100%, $E$12)</f>
        <v>3.9752999999999998</v>
      </c>
      <c r="H134" s="61">
        <f>7.3263* CHOOSE(CONTROL!$C$21, $C$12, 100%, $E$12)</f>
        <v>7.3262999999999998</v>
      </c>
      <c r="I134" s="61">
        <f>7.3265 * CHOOSE(CONTROL!$C$21, $C$12, 100%, $E$12)</f>
        <v>7.3265000000000002</v>
      </c>
      <c r="J134" s="61">
        <f>3.9751 * CHOOSE(CONTROL!$C$21, $C$12, 100%, $E$12)</f>
        <v>3.9750999999999999</v>
      </c>
      <c r="K134" s="61">
        <f>3.9753 * CHOOSE(CONTROL!$C$21, $C$12, 100%, $E$12)</f>
        <v>3.9752999999999998</v>
      </c>
    </row>
    <row r="135" spans="1:14" ht="15">
      <c r="A135" s="13">
        <v>45992</v>
      </c>
      <c r="B135" s="60">
        <f>3.4735 * CHOOSE(CONTROL!$C$21, $C$12, 100%, $E$12)</f>
        <v>3.4735</v>
      </c>
      <c r="C135" s="60">
        <f>3.4735 * CHOOSE(CONTROL!$C$21, $C$12, 100%, $E$12)</f>
        <v>3.4735</v>
      </c>
      <c r="D135" s="60">
        <f>3.4841 * CHOOSE(CONTROL!$C$21, $C$12, 100%, $E$12)</f>
        <v>3.4841000000000002</v>
      </c>
      <c r="E135" s="61">
        <f>3.9522 * CHOOSE(CONTROL!$C$21, $C$12, 100%, $E$12)</f>
        <v>3.9521999999999999</v>
      </c>
      <c r="F135" s="61">
        <f>3.9522 * CHOOSE(CONTROL!$C$21, $C$12, 100%, $E$12)</f>
        <v>3.9521999999999999</v>
      </c>
      <c r="G135" s="61">
        <f>3.9524 * CHOOSE(CONTROL!$C$21, $C$12, 100%, $E$12)</f>
        <v>3.9523999999999999</v>
      </c>
      <c r="H135" s="61">
        <f>7.3416* CHOOSE(CONTROL!$C$21, $C$12, 100%, $E$12)</f>
        <v>7.3415999999999997</v>
      </c>
      <c r="I135" s="61">
        <f>7.3418 * CHOOSE(CONTROL!$C$21, $C$12, 100%, $E$12)</f>
        <v>7.3418000000000001</v>
      </c>
      <c r="J135" s="61">
        <f>3.9522 * CHOOSE(CONTROL!$C$21, $C$12, 100%, $E$12)</f>
        <v>3.9521999999999999</v>
      </c>
      <c r="K135" s="61">
        <f>3.9524 * CHOOSE(CONTROL!$C$21, $C$12, 100%, $E$12)</f>
        <v>3.9523999999999999</v>
      </c>
    </row>
    <row r="136" spans="1:14" ht="15">
      <c r="A136" s="13">
        <v>46023</v>
      </c>
      <c r="B136" s="60">
        <f>3.4998 * CHOOSE(CONTROL!$C$21, $C$12, 100%, $E$12)</f>
        <v>3.4998</v>
      </c>
      <c r="C136" s="60">
        <f>3.4998 * CHOOSE(CONTROL!$C$21, $C$12, 100%, $E$12)</f>
        <v>3.4998</v>
      </c>
      <c r="D136" s="60">
        <f>3.5104 * CHOOSE(CONTROL!$C$21, $C$12, 100%, $E$12)</f>
        <v>3.5104000000000002</v>
      </c>
      <c r="E136" s="61">
        <f>3.9948 * CHOOSE(CONTROL!$C$21, $C$12, 100%, $E$12)</f>
        <v>3.9948000000000001</v>
      </c>
      <c r="F136" s="61">
        <f>3.9948 * CHOOSE(CONTROL!$C$21, $C$12, 100%, $E$12)</f>
        <v>3.9948000000000001</v>
      </c>
      <c r="G136" s="61">
        <f>3.995 * CHOOSE(CONTROL!$C$21, $C$12, 100%, $E$12)</f>
        <v>3.9950000000000001</v>
      </c>
      <c r="H136" s="61">
        <f>7.3569* CHOOSE(CONTROL!$C$21, $C$12, 100%, $E$12)</f>
        <v>7.3569000000000004</v>
      </c>
      <c r="I136" s="61">
        <f>7.3571 * CHOOSE(CONTROL!$C$21, $C$12, 100%, $E$12)</f>
        <v>7.3571</v>
      </c>
      <c r="J136" s="61">
        <f>3.9948 * CHOOSE(CONTROL!$C$21, $C$12, 100%, $E$12)</f>
        <v>3.9948000000000001</v>
      </c>
      <c r="K136" s="61">
        <f>3.995 * CHOOSE(CONTROL!$C$21, $C$12, 100%, $E$12)</f>
        <v>3.9950000000000001</v>
      </c>
    </row>
    <row r="137" spans="1:14" ht="15">
      <c r="A137" s="13">
        <v>46054</v>
      </c>
      <c r="B137" s="60">
        <f>3.4968 * CHOOSE(CONTROL!$C$21, $C$12, 100%, $E$12)</f>
        <v>3.4967999999999999</v>
      </c>
      <c r="C137" s="60">
        <f>3.4968 * CHOOSE(CONTROL!$C$21, $C$12, 100%, $E$12)</f>
        <v>3.4967999999999999</v>
      </c>
      <c r="D137" s="60">
        <f>3.5073 * CHOOSE(CONTROL!$C$21, $C$12, 100%, $E$12)</f>
        <v>3.5072999999999999</v>
      </c>
      <c r="E137" s="61">
        <f>3.9484 * CHOOSE(CONTROL!$C$21, $C$12, 100%, $E$12)</f>
        <v>3.9483999999999999</v>
      </c>
      <c r="F137" s="61">
        <f>3.9484 * CHOOSE(CONTROL!$C$21, $C$12, 100%, $E$12)</f>
        <v>3.9483999999999999</v>
      </c>
      <c r="G137" s="61">
        <f>3.9486 * CHOOSE(CONTROL!$C$21, $C$12, 100%, $E$12)</f>
        <v>3.9485999999999999</v>
      </c>
      <c r="H137" s="61">
        <f>7.3722* CHOOSE(CONTROL!$C$21, $C$12, 100%, $E$12)</f>
        <v>7.3722000000000003</v>
      </c>
      <c r="I137" s="61">
        <f>7.3724 * CHOOSE(CONTROL!$C$21, $C$12, 100%, $E$12)</f>
        <v>7.3723999999999998</v>
      </c>
      <c r="J137" s="61">
        <f>3.9484 * CHOOSE(CONTROL!$C$21, $C$12, 100%, $E$12)</f>
        <v>3.9483999999999999</v>
      </c>
      <c r="K137" s="61">
        <f>3.9486 * CHOOSE(CONTROL!$C$21, $C$12, 100%, $E$12)</f>
        <v>3.9485999999999999</v>
      </c>
    </row>
    <row r="138" spans="1:14" ht="15">
      <c r="A138" s="13">
        <v>46082</v>
      </c>
      <c r="B138" s="60">
        <f>3.4937 * CHOOSE(CONTROL!$C$21, $C$12, 100%, $E$12)</f>
        <v>3.4937</v>
      </c>
      <c r="C138" s="60">
        <f>3.4937 * CHOOSE(CONTROL!$C$21, $C$12, 100%, $E$12)</f>
        <v>3.4937</v>
      </c>
      <c r="D138" s="60">
        <f>3.5043 * CHOOSE(CONTROL!$C$21, $C$12, 100%, $E$12)</f>
        <v>3.5043000000000002</v>
      </c>
      <c r="E138" s="61">
        <f>3.9812 * CHOOSE(CONTROL!$C$21, $C$12, 100%, $E$12)</f>
        <v>3.9811999999999999</v>
      </c>
      <c r="F138" s="61">
        <f>3.9812 * CHOOSE(CONTROL!$C$21, $C$12, 100%, $E$12)</f>
        <v>3.9811999999999999</v>
      </c>
      <c r="G138" s="61">
        <f>3.9814 * CHOOSE(CONTROL!$C$21, $C$12, 100%, $E$12)</f>
        <v>3.9813999999999998</v>
      </c>
      <c r="H138" s="61">
        <f>7.3876* CHOOSE(CONTROL!$C$21, $C$12, 100%, $E$12)</f>
        <v>7.3875999999999999</v>
      </c>
      <c r="I138" s="61">
        <f>7.3877 * CHOOSE(CONTROL!$C$21, $C$12, 100%, $E$12)</f>
        <v>7.3876999999999997</v>
      </c>
      <c r="J138" s="61">
        <f>3.9812 * CHOOSE(CONTROL!$C$21, $C$12, 100%, $E$12)</f>
        <v>3.9811999999999999</v>
      </c>
      <c r="K138" s="61">
        <f>3.9814 * CHOOSE(CONTROL!$C$21, $C$12, 100%, $E$12)</f>
        <v>3.9813999999999998</v>
      </c>
    </row>
    <row r="139" spans="1:14" ht="15">
      <c r="A139" s="13">
        <v>46113</v>
      </c>
      <c r="B139" s="60">
        <f>3.491 * CHOOSE(CONTROL!$C$21, $C$12, 100%, $E$12)</f>
        <v>3.4910000000000001</v>
      </c>
      <c r="C139" s="60">
        <f>3.491 * CHOOSE(CONTROL!$C$21, $C$12, 100%, $E$12)</f>
        <v>3.4910000000000001</v>
      </c>
      <c r="D139" s="60">
        <f>3.5015 * CHOOSE(CONTROL!$C$21, $C$12, 100%, $E$12)</f>
        <v>3.5015000000000001</v>
      </c>
      <c r="E139" s="61">
        <f>4.0145 * CHOOSE(CONTROL!$C$21, $C$12, 100%, $E$12)</f>
        <v>4.0145</v>
      </c>
      <c r="F139" s="61">
        <f>4.0145 * CHOOSE(CONTROL!$C$21, $C$12, 100%, $E$12)</f>
        <v>4.0145</v>
      </c>
      <c r="G139" s="61">
        <f>4.0147 * CHOOSE(CONTROL!$C$21, $C$12, 100%, $E$12)</f>
        <v>4.0147000000000004</v>
      </c>
      <c r="H139" s="61">
        <f>7.403* CHOOSE(CONTROL!$C$21, $C$12, 100%, $E$12)</f>
        <v>7.4029999999999996</v>
      </c>
      <c r="I139" s="61">
        <f>7.4031 * CHOOSE(CONTROL!$C$21, $C$12, 100%, $E$12)</f>
        <v>7.4031000000000002</v>
      </c>
      <c r="J139" s="61">
        <f>4.0145 * CHOOSE(CONTROL!$C$21, $C$12, 100%, $E$12)</f>
        <v>4.0145</v>
      </c>
      <c r="K139" s="61">
        <f>4.0147 * CHOOSE(CONTROL!$C$21, $C$12, 100%, $E$12)</f>
        <v>4.0147000000000004</v>
      </c>
    </row>
    <row r="140" spans="1:14" ht="15">
      <c r="A140" s="13">
        <v>46143</v>
      </c>
      <c r="B140" s="60">
        <f>3.491 * CHOOSE(CONTROL!$C$21, $C$12, 100%, $E$12)</f>
        <v>3.4910000000000001</v>
      </c>
      <c r="C140" s="60">
        <f>3.491 * CHOOSE(CONTROL!$C$21, $C$12, 100%, $E$12)</f>
        <v>3.4910000000000001</v>
      </c>
      <c r="D140" s="60">
        <f>3.5121 * CHOOSE(CONTROL!$C$21, $C$12, 100%, $E$12)</f>
        <v>3.5121000000000002</v>
      </c>
      <c r="E140" s="61">
        <f>4.0285 * CHOOSE(CONTROL!$C$21, $C$12, 100%, $E$12)</f>
        <v>4.0285000000000002</v>
      </c>
      <c r="F140" s="61">
        <f>4.0285 * CHOOSE(CONTROL!$C$21, $C$12, 100%, $E$12)</f>
        <v>4.0285000000000002</v>
      </c>
      <c r="G140" s="61">
        <f>4.0299 * CHOOSE(CONTROL!$C$21, $C$12, 100%, $E$12)</f>
        <v>4.0298999999999996</v>
      </c>
      <c r="H140" s="61">
        <f>7.4184* CHOOSE(CONTROL!$C$21, $C$12, 100%, $E$12)</f>
        <v>7.4184000000000001</v>
      </c>
      <c r="I140" s="61">
        <f>7.4198 * CHOOSE(CONTROL!$C$21, $C$12, 100%, $E$12)</f>
        <v>7.4198000000000004</v>
      </c>
      <c r="J140" s="61">
        <f>4.0285 * CHOOSE(CONTROL!$C$21, $C$12, 100%, $E$12)</f>
        <v>4.0285000000000002</v>
      </c>
      <c r="K140" s="61">
        <f>4.0299 * CHOOSE(CONTROL!$C$21, $C$12, 100%, $E$12)</f>
        <v>4.0298999999999996</v>
      </c>
    </row>
    <row r="141" spans="1:14" ht="15">
      <c r="A141" s="13">
        <v>46174</v>
      </c>
      <c r="B141" s="60">
        <f>3.497 * CHOOSE(CONTROL!$C$21, $C$12, 100%, $E$12)</f>
        <v>3.4969999999999999</v>
      </c>
      <c r="C141" s="60">
        <f>3.497 * CHOOSE(CONTROL!$C$21, $C$12, 100%, $E$12)</f>
        <v>3.4969999999999999</v>
      </c>
      <c r="D141" s="60">
        <f>3.5182 * CHOOSE(CONTROL!$C$21, $C$12, 100%, $E$12)</f>
        <v>3.5182000000000002</v>
      </c>
      <c r="E141" s="61">
        <f>4.0187 * CHOOSE(CONTROL!$C$21, $C$12, 100%, $E$12)</f>
        <v>4.0186999999999999</v>
      </c>
      <c r="F141" s="61">
        <f>4.0187 * CHOOSE(CONTROL!$C$21, $C$12, 100%, $E$12)</f>
        <v>4.0186999999999999</v>
      </c>
      <c r="G141" s="61">
        <f>4.0201 * CHOOSE(CONTROL!$C$21, $C$12, 100%, $E$12)</f>
        <v>4.0201000000000002</v>
      </c>
      <c r="H141" s="61">
        <f>7.4338* CHOOSE(CONTROL!$C$21, $C$12, 100%, $E$12)</f>
        <v>7.4337999999999997</v>
      </c>
      <c r="I141" s="61">
        <f>7.4352 * CHOOSE(CONTROL!$C$21, $C$12, 100%, $E$12)</f>
        <v>7.4352</v>
      </c>
      <c r="J141" s="61">
        <f>4.0187 * CHOOSE(CONTROL!$C$21, $C$12, 100%, $E$12)</f>
        <v>4.0186999999999999</v>
      </c>
      <c r="K141" s="61">
        <f>4.0201 * CHOOSE(CONTROL!$C$21, $C$12, 100%, $E$12)</f>
        <v>4.0201000000000002</v>
      </c>
    </row>
    <row r="142" spans="1:14" ht="15">
      <c r="A142" s="13">
        <v>46204</v>
      </c>
      <c r="B142" s="60">
        <f>3.5437 * CHOOSE(CONTROL!$C$21, $C$12, 100%, $E$12)</f>
        <v>3.5436999999999999</v>
      </c>
      <c r="C142" s="60">
        <f>3.5437 * CHOOSE(CONTROL!$C$21, $C$12, 100%, $E$12)</f>
        <v>3.5436999999999999</v>
      </c>
      <c r="D142" s="60">
        <f>3.5648 * CHOOSE(CONTROL!$C$21, $C$12, 100%, $E$12)</f>
        <v>3.5648</v>
      </c>
      <c r="E142" s="61">
        <f>4.0789 * CHOOSE(CONTROL!$C$21, $C$12, 100%, $E$12)</f>
        <v>4.0789</v>
      </c>
      <c r="F142" s="61">
        <f>4.0789 * CHOOSE(CONTROL!$C$21, $C$12, 100%, $E$12)</f>
        <v>4.0789</v>
      </c>
      <c r="G142" s="61">
        <f>4.0803 * CHOOSE(CONTROL!$C$21, $C$12, 100%, $E$12)</f>
        <v>4.0803000000000003</v>
      </c>
      <c r="H142" s="61">
        <f>7.4493* CHOOSE(CONTROL!$C$21, $C$12, 100%, $E$12)</f>
        <v>7.4493</v>
      </c>
      <c r="I142" s="61">
        <f>7.4507 * CHOOSE(CONTROL!$C$21, $C$12, 100%, $E$12)</f>
        <v>7.4507000000000003</v>
      </c>
      <c r="J142" s="61">
        <f>4.0789 * CHOOSE(CONTROL!$C$21, $C$12, 100%, $E$12)</f>
        <v>4.0789</v>
      </c>
      <c r="K142" s="61">
        <f>4.0803 * CHOOSE(CONTROL!$C$21, $C$12, 100%, $E$12)</f>
        <v>4.0803000000000003</v>
      </c>
    </row>
    <row r="143" spans="1:14" ht="15">
      <c r="A143" s="13">
        <v>46235</v>
      </c>
      <c r="B143" s="60">
        <f>3.5504 * CHOOSE(CONTROL!$C$21, $C$12, 100%, $E$12)</f>
        <v>3.5503999999999998</v>
      </c>
      <c r="C143" s="60">
        <f>3.5504 * CHOOSE(CONTROL!$C$21, $C$12, 100%, $E$12)</f>
        <v>3.5503999999999998</v>
      </c>
      <c r="D143" s="60">
        <f>3.5715 * CHOOSE(CONTROL!$C$21, $C$12, 100%, $E$12)</f>
        <v>3.5714999999999999</v>
      </c>
      <c r="E143" s="61">
        <f>4.0414 * CHOOSE(CONTROL!$C$21, $C$12, 100%, $E$12)</f>
        <v>4.0414000000000003</v>
      </c>
      <c r="F143" s="61">
        <f>4.0414 * CHOOSE(CONTROL!$C$21, $C$12, 100%, $E$12)</f>
        <v>4.0414000000000003</v>
      </c>
      <c r="G143" s="61">
        <f>4.0428 * CHOOSE(CONTROL!$C$21, $C$12, 100%, $E$12)</f>
        <v>4.0427999999999997</v>
      </c>
      <c r="H143" s="61">
        <f>7.4648* CHOOSE(CONTROL!$C$21, $C$12, 100%, $E$12)</f>
        <v>7.4648000000000003</v>
      </c>
      <c r="I143" s="61">
        <f>7.4662 * CHOOSE(CONTROL!$C$21, $C$12, 100%, $E$12)</f>
        <v>7.4661999999999997</v>
      </c>
      <c r="J143" s="61">
        <f>4.0414 * CHOOSE(CONTROL!$C$21, $C$12, 100%, $E$12)</f>
        <v>4.0414000000000003</v>
      </c>
      <c r="K143" s="61">
        <f>4.0428 * CHOOSE(CONTROL!$C$21, $C$12, 100%, $E$12)</f>
        <v>4.0427999999999997</v>
      </c>
    </row>
    <row r="144" spans="1:14" ht="15">
      <c r="A144" s="13">
        <v>46266</v>
      </c>
      <c r="B144" s="60">
        <f>3.5473 * CHOOSE(CONTROL!$C$21, $C$12, 100%, $E$12)</f>
        <v>3.5472999999999999</v>
      </c>
      <c r="C144" s="60">
        <f>3.5473 * CHOOSE(CONTROL!$C$21, $C$12, 100%, $E$12)</f>
        <v>3.5472999999999999</v>
      </c>
      <c r="D144" s="60">
        <f>3.5684 * CHOOSE(CONTROL!$C$21, $C$12, 100%, $E$12)</f>
        <v>3.5684</v>
      </c>
      <c r="E144" s="61">
        <f>4.0346 * CHOOSE(CONTROL!$C$21, $C$12, 100%, $E$12)</f>
        <v>4.0346000000000002</v>
      </c>
      <c r="F144" s="61">
        <f>4.0346 * CHOOSE(CONTROL!$C$21, $C$12, 100%, $E$12)</f>
        <v>4.0346000000000002</v>
      </c>
      <c r="G144" s="61">
        <f>4.036 * CHOOSE(CONTROL!$C$21, $C$12, 100%, $E$12)</f>
        <v>4.0359999999999996</v>
      </c>
      <c r="H144" s="61">
        <f>7.4804* CHOOSE(CONTROL!$C$21, $C$12, 100%, $E$12)</f>
        <v>7.4804000000000004</v>
      </c>
      <c r="I144" s="61">
        <f>7.4818 * CHOOSE(CONTROL!$C$21, $C$12, 100%, $E$12)</f>
        <v>7.4817999999999998</v>
      </c>
      <c r="J144" s="61">
        <f>4.0346 * CHOOSE(CONTROL!$C$21, $C$12, 100%, $E$12)</f>
        <v>4.0346000000000002</v>
      </c>
      <c r="K144" s="61">
        <f>4.036 * CHOOSE(CONTROL!$C$21, $C$12, 100%, $E$12)</f>
        <v>4.0359999999999996</v>
      </c>
    </row>
    <row r="145" spans="1:11" ht="15">
      <c r="A145" s="13">
        <v>46296</v>
      </c>
      <c r="B145" s="60">
        <f>3.541 * CHOOSE(CONTROL!$C$21, $C$12, 100%, $E$12)</f>
        <v>3.5409999999999999</v>
      </c>
      <c r="C145" s="60">
        <f>3.541 * CHOOSE(CONTROL!$C$21, $C$12, 100%, $E$12)</f>
        <v>3.5409999999999999</v>
      </c>
      <c r="D145" s="60">
        <f>3.5515 * CHOOSE(CONTROL!$C$21, $C$12, 100%, $E$12)</f>
        <v>3.5514999999999999</v>
      </c>
      <c r="E145" s="61">
        <f>4.0399 * CHOOSE(CONTROL!$C$21, $C$12, 100%, $E$12)</f>
        <v>4.0399000000000003</v>
      </c>
      <c r="F145" s="61">
        <f>4.0399 * CHOOSE(CONTROL!$C$21, $C$12, 100%, $E$12)</f>
        <v>4.0399000000000003</v>
      </c>
      <c r="G145" s="61">
        <f>4.0401 * CHOOSE(CONTROL!$C$21, $C$12, 100%, $E$12)</f>
        <v>4.0400999999999998</v>
      </c>
      <c r="H145" s="61">
        <f>7.496* CHOOSE(CONTROL!$C$21, $C$12, 100%, $E$12)</f>
        <v>7.4960000000000004</v>
      </c>
      <c r="I145" s="61">
        <f>7.4962 * CHOOSE(CONTROL!$C$21, $C$12, 100%, $E$12)</f>
        <v>7.4962</v>
      </c>
      <c r="J145" s="61">
        <f>4.0399 * CHOOSE(CONTROL!$C$21, $C$12, 100%, $E$12)</f>
        <v>4.0399000000000003</v>
      </c>
      <c r="K145" s="61">
        <f>4.0401 * CHOOSE(CONTROL!$C$21, $C$12, 100%, $E$12)</f>
        <v>4.0400999999999998</v>
      </c>
    </row>
    <row r="146" spans="1:11" ht="15">
      <c r="A146" s="13">
        <v>46327</v>
      </c>
      <c r="B146" s="60">
        <f>3.544 * CHOOSE(CONTROL!$C$21, $C$12, 100%, $E$12)</f>
        <v>3.544</v>
      </c>
      <c r="C146" s="60">
        <f>3.544 * CHOOSE(CONTROL!$C$21, $C$12, 100%, $E$12)</f>
        <v>3.544</v>
      </c>
      <c r="D146" s="60">
        <f>3.5546 * CHOOSE(CONTROL!$C$21, $C$12, 100%, $E$12)</f>
        <v>3.5546000000000002</v>
      </c>
      <c r="E146" s="61">
        <f>4.0514 * CHOOSE(CONTROL!$C$21, $C$12, 100%, $E$12)</f>
        <v>4.0514000000000001</v>
      </c>
      <c r="F146" s="61">
        <f>4.0514 * CHOOSE(CONTROL!$C$21, $C$12, 100%, $E$12)</f>
        <v>4.0514000000000001</v>
      </c>
      <c r="G146" s="61">
        <f>4.0516 * CHOOSE(CONTROL!$C$21, $C$12, 100%, $E$12)</f>
        <v>4.0515999999999996</v>
      </c>
      <c r="H146" s="61">
        <f>7.5116* CHOOSE(CONTROL!$C$21, $C$12, 100%, $E$12)</f>
        <v>7.5115999999999996</v>
      </c>
      <c r="I146" s="61">
        <f>7.5118 * CHOOSE(CONTROL!$C$21, $C$12, 100%, $E$12)</f>
        <v>7.5118</v>
      </c>
      <c r="J146" s="61">
        <f>4.0514 * CHOOSE(CONTROL!$C$21, $C$12, 100%, $E$12)</f>
        <v>4.0514000000000001</v>
      </c>
      <c r="K146" s="61">
        <f>4.0516 * CHOOSE(CONTROL!$C$21, $C$12, 100%, $E$12)</f>
        <v>4.0515999999999996</v>
      </c>
    </row>
    <row r="147" spans="1:11" ht="15">
      <c r="A147" s="13">
        <v>46357</v>
      </c>
      <c r="B147" s="60">
        <f>3.544 * CHOOSE(CONTROL!$C$21, $C$12, 100%, $E$12)</f>
        <v>3.544</v>
      </c>
      <c r="C147" s="60">
        <f>3.544 * CHOOSE(CONTROL!$C$21, $C$12, 100%, $E$12)</f>
        <v>3.544</v>
      </c>
      <c r="D147" s="60">
        <f>3.5546 * CHOOSE(CONTROL!$C$21, $C$12, 100%, $E$12)</f>
        <v>3.5546000000000002</v>
      </c>
      <c r="E147" s="61">
        <f>4.028 * CHOOSE(CONTROL!$C$21, $C$12, 100%, $E$12)</f>
        <v>4.0279999999999996</v>
      </c>
      <c r="F147" s="61">
        <f>4.028 * CHOOSE(CONTROL!$C$21, $C$12, 100%, $E$12)</f>
        <v>4.0279999999999996</v>
      </c>
      <c r="G147" s="61">
        <f>4.0282 * CHOOSE(CONTROL!$C$21, $C$12, 100%, $E$12)</f>
        <v>4.0282</v>
      </c>
      <c r="H147" s="61">
        <f>7.5273* CHOOSE(CONTROL!$C$21, $C$12, 100%, $E$12)</f>
        <v>7.5273000000000003</v>
      </c>
      <c r="I147" s="61">
        <f>7.5274 * CHOOSE(CONTROL!$C$21, $C$12, 100%, $E$12)</f>
        <v>7.5274000000000001</v>
      </c>
      <c r="J147" s="61">
        <f>4.028 * CHOOSE(CONTROL!$C$21, $C$12, 100%, $E$12)</f>
        <v>4.0279999999999996</v>
      </c>
      <c r="K147" s="61">
        <f>4.0282 * CHOOSE(CONTROL!$C$21, $C$12, 100%, $E$12)</f>
        <v>4.0282</v>
      </c>
    </row>
    <row r="148" spans="1:11" ht="15">
      <c r="A148" s="13">
        <v>46388</v>
      </c>
      <c r="B148" s="60">
        <f>3.5723 * CHOOSE(CONTROL!$C$21, $C$12, 100%, $E$12)</f>
        <v>3.5722999999999998</v>
      </c>
      <c r="C148" s="60">
        <f>3.5723 * CHOOSE(CONTROL!$C$21, $C$12, 100%, $E$12)</f>
        <v>3.5722999999999998</v>
      </c>
      <c r="D148" s="60">
        <f>3.5829 * CHOOSE(CONTROL!$C$21, $C$12, 100%, $E$12)</f>
        <v>3.5829</v>
      </c>
      <c r="E148" s="61">
        <f>4.0707 * CHOOSE(CONTROL!$C$21, $C$12, 100%, $E$12)</f>
        <v>4.0707000000000004</v>
      </c>
      <c r="F148" s="61">
        <f>4.0707 * CHOOSE(CONTROL!$C$21, $C$12, 100%, $E$12)</f>
        <v>4.0707000000000004</v>
      </c>
      <c r="G148" s="61">
        <f>4.0708 * CHOOSE(CONTROL!$C$21, $C$12, 100%, $E$12)</f>
        <v>4.0708000000000002</v>
      </c>
      <c r="H148" s="61">
        <f>7.5429* CHOOSE(CONTROL!$C$21, $C$12, 100%, $E$12)</f>
        <v>7.5429000000000004</v>
      </c>
      <c r="I148" s="61">
        <f>7.5431 * CHOOSE(CONTROL!$C$21, $C$12, 100%, $E$12)</f>
        <v>7.5430999999999999</v>
      </c>
      <c r="J148" s="61">
        <f>4.0707 * CHOOSE(CONTROL!$C$21, $C$12, 100%, $E$12)</f>
        <v>4.0707000000000004</v>
      </c>
      <c r="K148" s="61">
        <f>4.0708 * CHOOSE(CONTROL!$C$21, $C$12, 100%, $E$12)</f>
        <v>4.0708000000000002</v>
      </c>
    </row>
    <row r="149" spans="1:11" ht="15">
      <c r="A149" s="13">
        <v>46419</v>
      </c>
      <c r="B149" s="60">
        <f>3.5693 * CHOOSE(CONTROL!$C$21, $C$12, 100%, $E$12)</f>
        <v>3.5693000000000001</v>
      </c>
      <c r="C149" s="60">
        <f>3.5693 * CHOOSE(CONTROL!$C$21, $C$12, 100%, $E$12)</f>
        <v>3.5693000000000001</v>
      </c>
      <c r="D149" s="60">
        <f>3.5798 * CHOOSE(CONTROL!$C$21, $C$12, 100%, $E$12)</f>
        <v>3.5798000000000001</v>
      </c>
      <c r="E149" s="61">
        <f>4.0231 * CHOOSE(CONTROL!$C$21, $C$12, 100%, $E$12)</f>
        <v>4.0231000000000003</v>
      </c>
      <c r="F149" s="61">
        <f>4.0231 * CHOOSE(CONTROL!$C$21, $C$12, 100%, $E$12)</f>
        <v>4.0231000000000003</v>
      </c>
      <c r="G149" s="61">
        <f>4.0233 * CHOOSE(CONTROL!$C$21, $C$12, 100%, $E$12)</f>
        <v>4.0232999999999999</v>
      </c>
      <c r="H149" s="61">
        <f>7.5586* CHOOSE(CONTROL!$C$21, $C$12, 100%, $E$12)</f>
        <v>7.5586000000000002</v>
      </c>
      <c r="I149" s="61">
        <f>7.5588 * CHOOSE(CONTROL!$C$21, $C$12, 100%, $E$12)</f>
        <v>7.5587999999999997</v>
      </c>
      <c r="J149" s="61">
        <f>4.0231 * CHOOSE(CONTROL!$C$21, $C$12, 100%, $E$12)</f>
        <v>4.0231000000000003</v>
      </c>
      <c r="K149" s="61">
        <f>4.0233 * CHOOSE(CONTROL!$C$21, $C$12, 100%, $E$12)</f>
        <v>4.0232999999999999</v>
      </c>
    </row>
    <row r="150" spans="1:11" ht="15">
      <c r="A150" s="13">
        <v>46447</v>
      </c>
      <c r="B150" s="60">
        <f>3.5662 * CHOOSE(CONTROL!$C$21, $C$12, 100%, $E$12)</f>
        <v>3.5661999999999998</v>
      </c>
      <c r="C150" s="60">
        <f>3.5662 * CHOOSE(CONTROL!$C$21, $C$12, 100%, $E$12)</f>
        <v>3.5661999999999998</v>
      </c>
      <c r="D150" s="60">
        <f>3.5768 * CHOOSE(CONTROL!$C$21, $C$12, 100%, $E$12)</f>
        <v>3.5768</v>
      </c>
      <c r="E150" s="61">
        <f>4.0568 * CHOOSE(CONTROL!$C$21, $C$12, 100%, $E$12)</f>
        <v>4.0568</v>
      </c>
      <c r="F150" s="61">
        <f>4.0568 * CHOOSE(CONTROL!$C$21, $C$12, 100%, $E$12)</f>
        <v>4.0568</v>
      </c>
      <c r="G150" s="61">
        <f>4.057 * CHOOSE(CONTROL!$C$21, $C$12, 100%, $E$12)</f>
        <v>4.0570000000000004</v>
      </c>
      <c r="H150" s="61">
        <f>7.5744* CHOOSE(CONTROL!$C$21, $C$12, 100%, $E$12)</f>
        <v>7.5743999999999998</v>
      </c>
      <c r="I150" s="61">
        <f>7.5746 * CHOOSE(CONTROL!$C$21, $C$12, 100%, $E$12)</f>
        <v>7.5746000000000002</v>
      </c>
      <c r="J150" s="61">
        <f>4.0568 * CHOOSE(CONTROL!$C$21, $C$12, 100%, $E$12)</f>
        <v>4.0568</v>
      </c>
      <c r="K150" s="61">
        <f>4.057 * CHOOSE(CONTROL!$C$21, $C$12, 100%, $E$12)</f>
        <v>4.0570000000000004</v>
      </c>
    </row>
    <row r="151" spans="1:11" ht="15">
      <c r="A151" s="13">
        <v>46478</v>
      </c>
      <c r="B151" s="60">
        <f>3.5635 * CHOOSE(CONTROL!$C$21, $C$12, 100%, $E$12)</f>
        <v>3.5634999999999999</v>
      </c>
      <c r="C151" s="60">
        <f>3.5635 * CHOOSE(CONTROL!$C$21, $C$12, 100%, $E$12)</f>
        <v>3.5634999999999999</v>
      </c>
      <c r="D151" s="60">
        <f>3.5741 * CHOOSE(CONTROL!$C$21, $C$12, 100%, $E$12)</f>
        <v>3.5741000000000001</v>
      </c>
      <c r="E151" s="61">
        <f>4.091 * CHOOSE(CONTROL!$C$21, $C$12, 100%, $E$12)</f>
        <v>4.0910000000000002</v>
      </c>
      <c r="F151" s="61">
        <f>4.091 * CHOOSE(CONTROL!$C$21, $C$12, 100%, $E$12)</f>
        <v>4.0910000000000002</v>
      </c>
      <c r="G151" s="61">
        <f>4.0912 * CHOOSE(CONTROL!$C$21, $C$12, 100%, $E$12)</f>
        <v>4.0911999999999997</v>
      </c>
      <c r="H151" s="61">
        <f>7.5902* CHOOSE(CONTROL!$C$21, $C$12, 100%, $E$12)</f>
        <v>7.5902000000000003</v>
      </c>
      <c r="I151" s="61">
        <f>7.5904 * CHOOSE(CONTROL!$C$21, $C$12, 100%, $E$12)</f>
        <v>7.5903999999999998</v>
      </c>
      <c r="J151" s="61">
        <f>4.091 * CHOOSE(CONTROL!$C$21, $C$12, 100%, $E$12)</f>
        <v>4.0910000000000002</v>
      </c>
      <c r="K151" s="61">
        <f>4.0912 * CHOOSE(CONTROL!$C$21, $C$12, 100%, $E$12)</f>
        <v>4.0911999999999997</v>
      </c>
    </row>
    <row r="152" spans="1:11" ht="15">
      <c r="A152" s="13">
        <v>46508</v>
      </c>
      <c r="B152" s="60">
        <f>3.5635 * CHOOSE(CONTROL!$C$21, $C$12, 100%, $E$12)</f>
        <v>3.5634999999999999</v>
      </c>
      <c r="C152" s="60">
        <f>3.5635 * CHOOSE(CONTROL!$C$21, $C$12, 100%, $E$12)</f>
        <v>3.5634999999999999</v>
      </c>
      <c r="D152" s="60">
        <f>3.5847 * CHOOSE(CONTROL!$C$21, $C$12, 100%, $E$12)</f>
        <v>3.5847000000000002</v>
      </c>
      <c r="E152" s="61">
        <f>4.1054 * CHOOSE(CONTROL!$C$21, $C$12, 100%, $E$12)</f>
        <v>4.1054000000000004</v>
      </c>
      <c r="F152" s="61">
        <f>4.1054 * CHOOSE(CONTROL!$C$21, $C$12, 100%, $E$12)</f>
        <v>4.1054000000000004</v>
      </c>
      <c r="G152" s="61">
        <f>4.1068 * CHOOSE(CONTROL!$C$21, $C$12, 100%, $E$12)</f>
        <v>4.1067999999999998</v>
      </c>
      <c r="H152" s="61">
        <f>7.606* CHOOSE(CONTROL!$C$21, $C$12, 100%, $E$12)</f>
        <v>7.6059999999999999</v>
      </c>
      <c r="I152" s="61">
        <f>7.6074 * CHOOSE(CONTROL!$C$21, $C$12, 100%, $E$12)</f>
        <v>7.6074000000000002</v>
      </c>
      <c r="J152" s="61">
        <f>4.1054 * CHOOSE(CONTROL!$C$21, $C$12, 100%, $E$12)</f>
        <v>4.1054000000000004</v>
      </c>
      <c r="K152" s="61">
        <f>4.1068 * CHOOSE(CONTROL!$C$21, $C$12, 100%, $E$12)</f>
        <v>4.1067999999999998</v>
      </c>
    </row>
    <row r="153" spans="1:11" ht="15">
      <c r="A153" s="13">
        <v>46539</v>
      </c>
      <c r="B153" s="60">
        <f>3.5696 * CHOOSE(CONTROL!$C$21, $C$12, 100%, $E$12)</f>
        <v>3.5695999999999999</v>
      </c>
      <c r="C153" s="60">
        <f>3.5696 * CHOOSE(CONTROL!$C$21, $C$12, 100%, $E$12)</f>
        <v>3.5695999999999999</v>
      </c>
      <c r="D153" s="60">
        <f>3.5907 * CHOOSE(CONTROL!$C$21, $C$12, 100%, $E$12)</f>
        <v>3.5907</v>
      </c>
      <c r="E153" s="61">
        <f>4.0953 * CHOOSE(CONTROL!$C$21, $C$12, 100%, $E$12)</f>
        <v>4.0952999999999999</v>
      </c>
      <c r="F153" s="61">
        <f>4.0953 * CHOOSE(CONTROL!$C$21, $C$12, 100%, $E$12)</f>
        <v>4.0952999999999999</v>
      </c>
      <c r="G153" s="61">
        <f>4.0966 * CHOOSE(CONTROL!$C$21, $C$12, 100%, $E$12)</f>
        <v>4.0965999999999996</v>
      </c>
      <c r="H153" s="61">
        <f>7.6218* CHOOSE(CONTROL!$C$21, $C$12, 100%, $E$12)</f>
        <v>7.6218000000000004</v>
      </c>
      <c r="I153" s="61">
        <f>7.6232 * CHOOSE(CONTROL!$C$21, $C$12, 100%, $E$12)</f>
        <v>7.6231999999999998</v>
      </c>
      <c r="J153" s="61">
        <f>4.0953 * CHOOSE(CONTROL!$C$21, $C$12, 100%, $E$12)</f>
        <v>4.0952999999999999</v>
      </c>
      <c r="K153" s="61">
        <f>4.0966 * CHOOSE(CONTROL!$C$21, $C$12, 100%, $E$12)</f>
        <v>4.0965999999999996</v>
      </c>
    </row>
    <row r="154" spans="1:11" ht="15">
      <c r="A154" s="13">
        <v>46569</v>
      </c>
      <c r="B154" s="60">
        <f>3.6201 * CHOOSE(CONTROL!$C$21, $C$12, 100%, $E$12)</f>
        <v>3.6200999999999999</v>
      </c>
      <c r="C154" s="60">
        <f>3.6201 * CHOOSE(CONTROL!$C$21, $C$12, 100%, $E$12)</f>
        <v>3.6200999999999999</v>
      </c>
      <c r="D154" s="60">
        <f>3.6412 * CHOOSE(CONTROL!$C$21, $C$12, 100%, $E$12)</f>
        <v>3.6412</v>
      </c>
      <c r="E154" s="61">
        <f>4.1543 * CHOOSE(CONTROL!$C$21, $C$12, 100%, $E$12)</f>
        <v>4.1543000000000001</v>
      </c>
      <c r="F154" s="61">
        <f>4.1543 * CHOOSE(CONTROL!$C$21, $C$12, 100%, $E$12)</f>
        <v>4.1543000000000001</v>
      </c>
      <c r="G154" s="61">
        <f>4.1557 * CHOOSE(CONTROL!$C$21, $C$12, 100%, $E$12)</f>
        <v>4.1557000000000004</v>
      </c>
      <c r="H154" s="61">
        <f>7.6377* CHOOSE(CONTROL!$C$21, $C$12, 100%, $E$12)</f>
        <v>7.6376999999999997</v>
      </c>
      <c r="I154" s="61">
        <f>7.6391 * CHOOSE(CONTROL!$C$21, $C$12, 100%, $E$12)</f>
        <v>7.6391</v>
      </c>
      <c r="J154" s="61">
        <f>4.1543 * CHOOSE(CONTROL!$C$21, $C$12, 100%, $E$12)</f>
        <v>4.1543000000000001</v>
      </c>
      <c r="K154" s="61">
        <f>4.1557 * CHOOSE(CONTROL!$C$21, $C$12, 100%, $E$12)</f>
        <v>4.1557000000000004</v>
      </c>
    </row>
    <row r="155" spans="1:11" ht="15">
      <c r="A155" s="13">
        <v>46600</v>
      </c>
      <c r="B155" s="60">
        <f>3.6268 * CHOOSE(CONTROL!$C$21, $C$12, 100%, $E$12)</f>
        <v>3.6267999999999998</v>
      </c>
      <c r="C155" s="60">
        <f>3.6268 * CHOOSE(CONTROL!$C$21, $C$12, 100%, $E$12)</f>
        <v>3.6267999999999998</v>
      </c>
      <c r="D155" s="60">
        <f>3.6479 * CHOOSE(CONTROL!$C$21, $C$12, 100%, $E$12)</f>
        <v>3.6478999999999999</v>
      </c>
      <c r="E155" s="61">
        <f>4.1157 * CHOOSE(CONTROL!$C$21, $C$12, 100%, $E$12)</f>
        <v>4.1157000000000004</v>
      </c>
      <c r="F155" s="61">
        <f>4.1157 * CHOOSE(CONTROL!$C$21, $C$12, 100%, $E$12)</f>
        <v>4.1157000000000004</v>
      </c>
      <c r="G155" s="61">
        <f>4.1171 * CHOOSE(CONTROL!$C$21, $C$12, 100%, $E$12)</f>
        <v>4.1170999999999998</v>
      </c>
      <c r="H155" s="61">
        <f>7.6536* CHOOSE(CONTROL!$C$21, $C$12, 100%, $E$12)</f>
        <v>7.6536</v>
      </c>
      <c r="I155" s="61">
        <f>7.655 * CHOOSE(CONTROL!$C$21, $C$12, 100%, $E$12)</f>
        <v>7.6550000000000002</v>
      </c>
      <c r="J155" s="61">
        <f>4.1157 * CHOOSE(CONTROL!$C$21, $C$12, 100%, $E$12)</f>
        <v>4.1157000000000004</v>
      </c>
      <c r="K155" s="61">
        <f>4.1171 * CHOOSE(CONTROL!$C$21, $C$12, 100%, $E$12)</f>
        <v>4.1170999999999998</v>
      </c>
    </row>
    <row r="156" spans="1:11" ht="15">
      <c r="A156" s="13">
        <v>46631</v>
      </c>
      <c r="B156" s="60">
        <f>3.6237 * CHOOSE(CONTROL!$C$21, $C$12, 100%, $E$12)</f>
        <v>3.6236999999999999</v>
      </c>
      <c r="C156" s="60">
        <f>3.6237 * CHOOSE(CONTROL!$C$21, $C$12, 100%, $E$12)</f>
        <v>3.6236999999999999</v>
      </c>
      <c r="D156" s="60">
        <f>3.6448 * CHOOSE(CONTROL!$C$21, $C$12, 100%, $E$12)</f>
        <v>3.6448</v>
      </c>
      <c r="E156" s="61">
        <f>4.1088 * CHOOSE(CONTROL!$C$21, $C$12, 100%, $E$12)</f>
        <v>4.1087999999999996</v>
      </c>
      <c r="F156" s="61">
        <f>4.1088 * CHOOSE(CONTROL!$C$21, $C$12, 100%, $E$12)</f>
        <v>4.1087999999999996</v>
      </c>
      <c r="G156" s="61">
        <f>4.1101 * CHOOSE(CONTROL!$C$21, $C$12, 100%, $E$12)</f>
        <v>4.1101000000000001</v>
      </c>
      <c r="H156" s="61">
        <f>7.6696* CHOOSE(CONTROL!$C$21, $C$12, 100%, $E$12)</f>
        <v>7.6696</v>
      </c>
      <c r="I156" s="61">
        <f>7.6709 * CHOOSE(CONTROL!$C$21, $C$12, 100%, $E$12)</f>
        <v>7.6708999999999996</v>
      </c>
      <c r="J156" s="61">
        <f>4.1088 * CHOOSE(CONTROL!$C$21, $C$12, 100%, $E$12)</f>
        <v>4.1087999999999996</v>
      </c>
      <c r="K156" s="61">
        <f>4.1101 * CHOOSE(CONTROL!$C$21, $C$12, 100%, $E$12)</f>
        <v>4.1101000000000001</v>
      </c>
    </row>
    <row r="157" spans="1:11" ht="15">
      <c r="A157" s="13">
        <v>46661</v>
      </c>
      <c r="B157" s="60">
        <f>3.6177 * CHOOSE(CONTROL!$C$21, $C$12, 100%, $E$12)</f>
        <v>3.6177000000000001</v>
      </c>
      <c r="C157" s="60">
        <f>3.6177 * CHOOSE(CONTROL!$C$21, $C$12, 100%, $E$12)</f>
        <v>3.6177000000000001</v>
      </c>
      <c r="D157" s="60">
        <f>3.6283 * CHOOSE(CONTROL!$C$21, $C$12, 100%, $E$12)</f>
        <v>3.6282999999999999</v>
      </c>
      <c r="E157" s="61">
        <f>4.1146 * CHOOSE(CONTROL!$C$21, $C$12, 100%, $E$12)</f>
        <v>4.1146000000000003</v>
      </c>
      <c r="F157" s="61">
        <f>4.1146 * CHOOSE(CONTROL!$C$21, $C$12, 100%, $E$12)</f>
        <v>4.1146000000000003</v>
      </c>
      <c r="G157" s="61">
        <f>4.1148 * CHOOSE(CONTROL!$C$21, $C$12, 100%, $E$12)</f>
        <v>4.1147999999999998</v>
      </c>
      <c r="H157" s="61">
        <f>7.6855* CHOOSE(CONTROL!$C$21, $C$12, 100%, $E$12)</f>
        <v>7.6855000000000002</v>
      </c>
      <c r="I157" s="61">
        <f>7.6857 * CHOOSE(CONTROL!$C$21, $C$12, 100%, $E$12)</f>
        <v>7.6856999999999998</v>
      </c>
      <c r="J157" s="61">
        <f>4.1146 * CHOOSE(CONTROL!$C$21, $C$12, 100%, $E$12)</f>
        <v>4.1146000000000003</v>
      </c>
      <c r="K157" s="61">
        <f>4.1148 * CHOOSE(CONTROL!$C$21, $C$12, 100%, $E$12)</f>
        <v>4.1147999999999998</v>
      </c>
    </row>
    <row r="158" spans="1:11" ht="15">
      <c r="A158" s="13">
        <v>46692</v>
      </c>
      <c r="B158" s="60">
        <f>3.6207 * CHOOSE(CONTROL!$C$21, $C$12, 100%, $E$12)</f>
        <v>3.6206999999999998</v>
      </c>
      <c r="C158" s="60">
        <f>3.6207 * CHOOSE(CONTROL!$C$21, $C$12, 100%, $E$12)</f>
        <v>3.6206999999999998</v>
      </c>
      <c r="D158" s="60">
        <f>3.6313 * CHOOSE(CONTROL!$C$21, $C$12, 100%, $E$12)</f>
        <v>3.6313</v>
      </c>
      <c r="E158" s="61">
        <f>4.1263 * CHOOSE(CONTROL!$C$21, $C$12, 100%, $E$12)</f>
        <v>4.1262999999999996</v>
      </c>
      <c r="F158" s="61">
        <f>4.1263 * CHOOSE(CONTROL!$C$21, $C$12, 100%, $E$12)</f>
        <v>4.1262999999999996</v>
      </c>
      <c r="G158" s="61">
        <f>4.1265 * CHOOSE(CONTROL!$C$21, $C$12, 100%, $E$12)</f>
        <v>4.1265000000000001</v>
      </c>
      <c r="H158" s="61">
        <f>7.7016* CHOOSE(CONTROL!$C$21, $C$12, 100%, $E$12)</f>
        <v>7.7016</v>
      </c>
      <c r="I158" s="61">
        <f>7.7017 * CHOOSE(CONTROL!$C$21, $C$12, 100%, $E$12)</f>
        <v>7.7016999999999998</v>
      </c>
      <c r="J158" s="61">
        <f>4.1263 * CHOOSE(CONTROL!$C$21, $C$12, 100%, $E$12)</f>
        <v>4.1262999999999996</v>
      </c>
      <c r="K158" s="61">
        <f>4.1265 * CHOOSE(CONTROL!$C$21, $C$12, 100%, $E$12)</f>
        <v>4.1265000000000001</v>
      </c>
    </row>
    <row r="159" spans="1:11" ht="15">
      <c r="A159" s="13">
        <v>46722</v>
      </c>
      <c r="B159" s="60">
        <f>3.6207 * CHOOSE(CONTROL!$C$21, $C$12, 100%, $E$12)</f>
        <v>3.6206999999999998</v>
      </c>
      <c r="C159" s="60">
        <f>3.6207 * CHOOSE(CONTROL!$C$21, $C$12, 100%, $E$12)</f>
        <v>3.6206999999999998</v>
      </c>
      <c r="D159" s="60">
        <f>3.6313 * CHOOSE(CONTROL!$C$21, $C$12, 100%, $E$12)</f>
        <v>3.6313</v>
      </c>
      <c r="E159" s="61">
        <f>4.1023 * CHOOSE(CONTROL!$C$21, $C$12, 100%, $E$12)</f>
        <v>4.1022999999999996</v>
      </c>
      <c r="F159" s="61">
        <f>4.1023 * CHOOSE(CONTROL!$C$21, $C$12, 100%, $E$12)</f>
        <v>4.1022999999999996</v>
      </c>
      <c r="G159" s="61">
        <f>4.1024 * CHOOSE(CONTROL!$C$21, $C$12, 100%, $E$12)</f>
        <v>4.1024000000000003</v>
      </c>
      <c r="H159" s="61">
        <f>7.7176* CHOOSE(CONTROL!$C$21, $C$12, 100%, $E$12)</f>
        <v>7.7176</v>
      </c>
      <c r="I159" s="61">
        <f>7.7178 * CHOOSE(CONTROL!$C$21, $C$12, 100%, $E$12)</f>
        <v>7.7178000000000004</v>
      </c>
      <c r="J159" s="61">
        <f>4.1023 * CHOOSE(CONTROL!$C$21, $C$12, 100%, $E$12)</f>
        <v>4.1022999999999996</v>
      </c>
      <c r="K159" s="61">
        <f>4.1024 * CHOOSE(CONTROL!$C$21, $C$12, 100%, $E$12)</f>
        <v>4.1024000000000003</v>
      </c>
    </row>
    <row r="160" spans="1:11" ht="15">
      <c r="A160" s="13">
        <v>46753</v>
      </c>
      <c r="B160" s="60">
        <f>3.656 * CHOOSE(CONTROL!$C$21, $C$12, 100%, $E$12)</f>
        <v>3.6560000000000001</v>
      </c>
      <c r="C160" s="60">
        <f>3.656 * CHOOSE(CONTROL!$C$21, $C$12, 100%, $E$12)</f>
        <v>3.6560000000000001</v>
      </c>
      <c r="D160" s="60">
        <f>3.6665 * CHOOSE(CONTROL!$C$21, $C$12, 100%, $E$12)</f>
        <v>3.6665000000000001</v>
      </c>
      <c r="E160" s="61">
        <f>4.1535 * CHOOSE(CONTROL!$C$21, $C$12, 100%, $E$12)</f>
        <v>4.1535000000000002</v>
      </c>
      <c r="F160" s="61">
        <f>4.1535 * CHOOSE(CONTROL!$C$21, $C$12, 100%, $E$12)</f>
        <v>4.1535000000000002</v>
      </c>
      <c r="G160" s="61">
        <f>4.1537 * CHOOSE(CONTROL!$C$21, $C$12, 100%, $E$12)</f>
        <v>4.1536999999999997</v>
      </c>
      <c r="H160" s="61">
        <f>7.7337* CHOOSE(CONTROL!$C$21, $C$12, 100%, $E$12)</f>
        <v>7.7336999999999998</v>
      </c>
      <c r="I160" s="61">
        <f>7.7339 * CHOOSE(CONTROL!$C$21, $C$12, 100%, $E$12)</f>
        <v>7.7339000000000002</v>
      </c>
      <c r="J160" s="61">
        <f>4.1535 * CHOOSE(CONTROL!$C$21, $C$12, 100%, $E$12)</f>
        <v>4.1535000000000002</v>
      </c>
      <c r="K160" s="61">
        <f>4.1537 * CHOOSE(CONTROL!$C$21, $C$12, 100%, $E$12)</f>
        <v>4.1536999999999997</v>
      </c>
    </row>
    <row r="161" spans="1:11" ht="15">
      <c r="A161" s="13">
        <v>46784</v>
      </c>
      <c r="B161" s="60">
        <f>3.6529 * CHOOSE(CONTROL!$C$21, $C$12, 100%, $E$12)</f>
        <v>3.6528999999999998</v>
      </c>
      <c r="C161" s="60">
        <f>3.6529 * CHOOSE(CONTROL!$C$21, $C$12, 100%, $E$12)</f>
        <v>3.6528999999999998</v>
      </c>
      <c r="D161" s="60">
        <f>3.6635 * CHOOSE(CONTROL!$C$21, $C$12, 100%, $E$12)</f>
        <v>3.6635</v>
      </c>
      <c r="E161" s="61">
        <f>4.1048 * CHOOSE(CONTROL!$C$21, $C$12, 100%, $E$12)</f>
        <v>4.1048</v>
      </c>
      <c r="F161" s="61">
        <f>4.1048 * CHOOSE(CONTROL!$C$21, $C$12, 100%, $E$12)</f>
        <v>4.1048</v>
      </c>
      <c r="G161" s="61">
        <f>4.105 * CHOOSE(CONTROL!$C$21, $C$12, 100%, $E$12)</f>
        <v>4.1050000000000004</v>
      </c>
      <c r="H161" s="61">
        <f>7.7498* CHOOSE(CONTROL!$C$21, $C$12, 100%, $E$12)</f>
        <v>7.7497999999999996</v>
      </c>
      <c r="I161" s="61">
        <f>7.75 * CHOOSE(CONTROL!$C$21, $C$12, 100%, $E$12)</f>
        <v>7.75</v>
      </c>
      <c r="J161" s="61">
        <f>4.1048 * CHOOSE(CONTROL!$C$21, $C$12, 100%, $E$12)</f>
        <v>4.1048</v>
      </c>
      <c r="K161" s="61">
        <f>4.105 * CHOOSE(CONTROL!$C$21, $C$12, 100%, $E$12)</f>
        <v>4.1050000000000004</v>
      </c>
    </row>
    <row r="162" spans="1:11" ht="15">
      <c r="A162" s="13">
        <v>46813</v>
      </c>
      <c r="B162" s="60">
        <f>3.6499 * CHOOSE(CONTROL!$C$21, $C$12, 100%, $E$12)</f>
        <v>3.6499000000000001</v>
      </c>
      <c r="C162" s="60">
        <f>3.6499 * CHOOSE(CONTROL!$C$21, $C$12, 100%, $E$12)</f>
        <v>3.6499000000000001</v>
      </c>
      <c r="D162" s="60">
        <f>3.6604 * CHOOSE(CONTROL!$C$21, $C$12, 100%, $E$12)</f>
        <v>3.6604000000000001</v>
      </c>
      <c r="E162" s="61">
        <f>4.1394 * CHOOSE(CONTROL!$C$21, $C$12, 100%, $E$12)</f>
        <v>4.1394000000000002</v>
      </c>
      <c r="F162" s="61">
        <f>4.1394 * CHOOSE(CONTROL!$C$21, $C$12, 100%, $E$12)</f>
        <v>4.1394000000000002</v>
      </c>
      <c r="G162" s="61">
        <f>4.1396 * CHOOSE(CONTROL!$C$21, $C$12, 100%, $E$12)</f>
        <v>4.1395999999999997</v>
      </c>
      <c r="H162" s="61">
        <f>7.7659* CHOOSE(CONTROL!$C$21, $C$12, 100%, $E$12)</f>
        <v>7.7659000000000002</v>
      </c>
      <c r="I162" s="61">
        <f>7.7661 * CHOOSE(CONTROL!$C$21, $C$12, 100%, $E$12)</f>
        <v>7.7660999999999998</v>
      </c>
      <c r="J162" s="61">
        <f>4.1394 * CHOOSE(CONTROL!$C$21, $C$12, 100%, $E$12)</f>
        <v>4.1394000000000002</v>
      </c>
      <c r="K162" s="61">
        <f>4.1396 * CHOOSE(CONTROL!$C$21, $C$12, 100%, $E$12)</f>
        <v>4.1395999999999997</v>
      </c>
    </row>
    <row r="163" spans="1:11" ht="15">
      <c r="A163" s="13">
        <v>46844</v>
      </c>
      <c r="B163" s="60">
        <f>3.6473 * CHOOSE(CONTROL!$C$21, $C$12, 100%, $E$12)</f>
        <v>3.6473</v>
      </c>
      <c r="C163" s="60">
        <f>3.6473 * CHOOSE(CONTROL!$C$21, $C$12, 100%, $E$12)</f>
        <v>3.6473</v>
      </c>
      <c r="D163" s="60">
        <f>3.6578 * CHOOSE(CONTROL!$C$21, $C$12, 100%, $E$12)</f>
        <v>3.6577999999999999</v>
      </c>
      <c r="E163" s="61">
        <f>4.1746 * CHOOSE(CONTROL!$C$21, $C$12, 100%, $E$12)</f>
        <v>4.1745999999999999</v>
      </c>
      <c r="F163" s="61">
        <f>4.1746 * CHOOSE(CONTROL!$C$21, $C$12, 100%, $E$12)</f>
        <v>4.1745999999999999</v>
      </c>
      <c r="G163" s="61">
        <f>4.1748 * CHOOSE(CONTROL!$C$21, $C$12, 100%, $E$12)</f>
        <v>4.1748000000000003</v>
      </c>
      <c r="H163" s="61">
        <f>7.7821* CHOOSE(CONTROL!$C$21, $C$12, 100%, $E$12)</f>
        <v>7.7820999999999998</v>
      </c>
      <c r="I163" s="61">
        <f>7.7823 * CHOOSE(CONTROL!$C$21, $C$12, 100%, $E$12)</f>
        <v>7.7823000000000002</v>
      </c>
      <c r="J163" s="61">
        <f>4.1746 * CHOOSE(CONTROL!$C$21, $C$12, 100%, $E$12)</f>
        <v>4.1745999999999999</v>
      </c>
      <c r="K163" s="61">
        <f>4.1748 * CHOOSE(CONTROL!$C$21, $C$12, 100%, $E$12)</f>
        <v>4.1748000000000003</v>
      </c>
    </row>
    <row r="164" spans="1:11" ht="15">
      <c r="A164" s="13">
        <v>46874</v>
      </c>
      <c r="B164" s="60">
        <f>3.6473 * CHOOSE(CONTROL!$C$21, $C$12, 100%, $E$12)</f>
        <v>3.6473</v>
      </c>
      <c r="C164" s="60">
        <f>3.6473 * CHOOSE(CONTROL!$C$21, $C$12, 100%, $E$12)</f>
        <v>3.6473</v>
      </c>
      <c r="D164" s="60">
        <f>3.6684 * CHOOSE(CONTROL!$C$21, $C$12, 100%, $E$12)</f>
        <v>3.6684000000000001</v>
      </c>
      <c r="E164" s="61">
        <f>4.1894 * CHOOSE(CONTROL!$C$21, $C$12, 100%, $E$12)</f>
        <v>4.1894</v>
      </c>
      <c r="F164" s="61">
        <f>4.1894 * CHOOSE(CONTROL!$C$21, $C$12, 100%, $E$12)</f>
        <v>4.1894</v>
      </c>
      <c r="G164" s="61">
        <f>4.1908 * CHOOSE(CONTROL!$C$21, $C$12, 100%, $E$12)</f>
        <v>4.1908000000000003</v>
      </c>
      <c r="H164" s="61">
        <f>7.7983* CHOOSE(CONTROL!$C$21, $C$12, 100%, $E$12)</f>
        <v>7.7983000000000002</v>
      </c>
      <c r="I164" s="61">
        <f>7.7997 * CHOOSE(CONTROL!$C$21, $C$12, 100%, $E$12)</f>
        <v>7.7996999999999996</v>
      </c>
      <c r="J164" s="61">
        <f>4.1894 * CHOOSE(CONTROL!$C$21, $C$12, 100%, $E$12)</f>
        <v>4.1894</v>
      </c>
      <c r="K164" s="61">
        <f>4.1908 * CHOOSE(CONTROL!$C$21, $C$12, 100%, $E$12)</f>
        <v>4.1908000000000003</v>
      </c>
    </row>
    <row r="165" spans="1:11" ht="15">
      <c r="A165" s="13">
        <v>46905</v>
      </c>
      <c r="B165" s="60">
        <f>3.6534 * CHOOSE(CONTROL!$C$21, $C$12, 100%, $E$12)</f>
        <v>3.6534</v>
      </c>
      <c r="C165" s="60">
        <f>3.6534 * CHOOSE(CONTROL!$C$21, $C$12, 100%, $E$12)</f>
        <v>3.6534</v>
      </c>
      <c r="D165" s="60">
        <f>3.6745 * CHOOSE(CONTROL!$C$21, $C$12, 100%, $E$12)</f>
        <v>3.6745000000000001</v>
      </c>
      <c r="E165" s="61">
        <f>4.1788 * CHOOSE(CONTROL!$C$21, $C$12, 100%, $E$12)</f>
        <v>4.1787999999999998</v>
      </c>
      <c r="F165" s="61">
        <f>4.1788 * CHOOSE(CONTROL!$C$21, $C$12, 100%, $E$12)</f>
        <v>4.1787999999999998</v>
      </c>
      <c r="G165" s="61">
        <f>4.1802 * CHOOSE(CONTROL!$C$21, $C$12, 100%, $E$12)</f>
        <v>4.1802000000000001</v>
      </c>
      <c r="H165" s="61">
        <f>7.8146* CHOOSE(CONTROL!$C$21, $C$12, 100%, $E$12)</f>
        <v>7.8146000000000004</v>
      </c>
      <c r="I165" s="61">
        <f>7.816 * CHOOSE(CONTROL!$C$21, $C$12, 100%, $E$12)</f>
        <v>7.8159999999999998</v>
      </c>
      <c r="J165" s="61">
        <f>4.1788 * CHOOSE(CONTROL!$C$21, $C$12, 100%, $E$12)</f>
        <v>4.1787999999999998</v>
      </c>
      <c r="K165" s="61">
        <f>4.1802 * CHOOSE(CONTROL!$C$21, $C$12, 100%, $E$12)</f>
        <v>4.1802000000000001</v>
      </c>
    </row>
    <row r="166" spans="1:11" ht="15">
      <c r="A166" s="13">
        <v>46935</v>
      </c>
      <c r="B166" s="60">
        <f>3.7202 * CHOOSE(CONTROL!$C$21, $C$12, 100%, $E$12)</f>
        <v>3.7202000000000002</v>
      </c>
      <c r="C166" s="60">
        <f>3.7202 * CHOOSE(CONTROL!$C$21, $C$12, 100%, $E$12)</f>
        <v>3.7202000000000002</v>
      </c>
      <c r="D166" s="60">
        <f>3.7413 * CHOOSE(CONTROL!$C$21, $C$12, 100%, $E$12)</f>
        <v>3.7412999999999998</v>
      </c>
      <c r="E166" s="61">
        <f>4.2571 * CHOOSE(CONTROL!$C$21, $C$12, 100%, $E$12)</f>
        <v>4.2571000000000003</v>
      </c>
      <c r="F166" s="61">
        <f>4.2571 * CHOOSE(CONTROL!$C$21, $C$12, 100%, $E$12)</f>
        <v>4.2571000000000003</v>
      </c>
      <c r="G166" s="61">
        <f>4.2584 * CHOOSE(CONTROL!$C$21, $C$12, 100%, $E$12)</f>
        <v>4.2584</v>
      </c>
      <c r="H166" s="61">
        <f>7.8309* CHOOSE(CONTROL!$C$21, $C$12, 100%, $E$12)</f>
        <v>7.8308999999999997</v>
      </c>
      <c r="I166" s="61">
        <f>7.8322 * CHOOSE(CONTROL!$C$21, $C$12, 100%, $E$12)</f>
        <v>7.8322000000000003</v>
      </c>
      <c r="J166" s="61">
        <f>4.2571 * CHOOSE(CONTROL!$C$21, $C$12, 100%, $E$12)</f>
        <v>4.2571000000000003</v>
      </c>
      <c r="K166" s="61">
        <f>4.2584 * CHOOSE(CONTROL!$C$21, $C$12, 100%, $E$12)</f>
        <v>4.2584</v>
      </c>
    </row>
    <row r="167" spans="1:11" ht="15">
      <c r="A167" s="13">
        <v>46966</v>
      </c>
      <c r="B167" s="60">
        <f>3.7269 * CHOOSE(CONTROL!$C$21, $C$12, 100%, $E$12)</f>
        <v>3.7269000000000001</v>
      </c>
      <c r="C167" s="60">
        <f>3.7269 * CHOOSE(CONTROL!$C$21, $C$12, 100%, $E$12)</f>
        <v>3.7269000000000001</v>
      </c>
      <c r="D167" s="60">
        <f>3.748 * CHOOSE(CONTROL!$C$21, $C$12, 100%, $E$12)</f>
        <v>3.7480000000000002</v>
      </c>
      <c r="E167" s="61">
        <f>4.2174 * CHOOSE(CONTROL!$C$21, $C$12, 100%, $E$12)</f>
        <v>4.2173999999999996</v>
      </c>
      <c r="F167" s="61">
        <f>4.2174 * CHOOSE(CONTROL!$C$21, $C$12, 100%, $E$12)</f>
        <v>4.2173999999999996</v>
      </c>
      <c r="G167" s="61">
        <f>4.2187 * CHOOSE(CONTROL!$C$21, $C$12, 100%, $E$12)</f>
        <v>4.2187000000000001</v>
      </c>
      <c r="H167" s="61">
        <f>7.8472* CHOOSE(CONTROL!$C$21, $C$12, 100%, $E$12)</f>
        <v>7.8472</v>
      </c>
      <c r="I167" s="61">
        <f>7.8485 * CHOOSE(CONTROL!$C$21, $C$12, 100%, $E$12)</f>
        <v>7.8484999999999996</v>
      </c>
      <c r="J167" s="61">
        <f>4.2174 * CHOOSE(CONTROL!$C$21, $C$12, 100%, $E$12)</f>
        <v>4.2173999999999996</v>
      </c>
      <c r="K167" s="61">
        <f>4.2187 * CHOOSE(CONTROL!$C$21, $C$12, 100%, $E$12)</f>
        <v>4.2187000000000001</v>
      </c>
    </row>
    <row r="168" spans="1:11" ht="15">
      <c r="A168" s="13">
        <v>46997</v>
      </c>
      <c r="B168" s="60">
        <f>3.7239 * CHOOSE(CONTROL!$C$21, $C$12, 100%, $E$12)</f>
        <v>3.7239</v>
      </c>
      <c r="C168" s="60">
        <f>3.7239 * CHOOSE(CONTROL!$C$21, $C$12, 100%, $E$12)</f>
        <v>3.7239</v>
      </c>
      <c r="D168" s="60">
        <f>3.745 * CHOOSE(CONTROL!$C$21, $C$12, 100%, $E$12)</f>
        <v>3.7450000000000001</v>
      </c>
      <c r="E168" s="61">
        <f>4.2103 * CHOOSE(CONTROL!$C$21, $C$12, 100%, $E$12)</f>
        <v>4.2103000000000002</v>
      </c>
      <c r="F168" s="61">
        <f>4.2103 * CHOOSE(CONTROL!$C$21, $C$12, 100%, $E$12)</f>
        <v>4.2103000000000002</v>
      </c>
      <c r="G168" s="61">
        <f>4.2117 * CHOOSE(CONTROL!$C$21, $C$12, 100%, $E$12)</f>
        <v>4.2117000000000004</v>
      </c>
      <c r="H168" s="61">
        <f>7.8635* CHOOSE(CONTROL!$C$21, $C$12, 100%, $E$12)</f>
        <v>7.8635000000000002</v>
      </c>
      <c r="I168" s="61">
        <f>7.8649 * CHOOSE(CONTROL!$C$21, $C$12, 100%, $E$12)</f>
        <v>7.8648999999999996</v>
      </c>
      <c r="J168" s="61">
        <f>4.2103 * CHOOSE(CONTROL!$C$21, $C$12, 100%, $E$12)</f>
        <v>4.2103000000000002</v>
      </c>
      <c r="K168" s="61">
        <f>4.2117 * CHOOSE(CONTROL!$C$21, $C$12, 100%, $E$12)</f>
        <v>4.2117000000000004</v>
      </c>
    </row>
    <row r="169" spans="1:11" ht="15">
      <c r="A169" s="13">
        <v>47027</v>
      </c>
      <c r="B169" s="60">
        <f>3.7182 * CHOOSE(CONTROL!$C$21, $C$12, 100%, $E$12)</f>
        <v>3.7181999999999999</v>
      </c>
      <c r="C169" s="60">
        <f>3.7182 * CHOOSE(CONTROL!$C$21, $C$12, 100%, $E$12)</f>
        <v>3.7181999999999999</v>
      </c>
      <c r="D169" s="60">
        <f>3.7287 * CHOOSE(CONTROL!$C$21, $C$12, 100%, $E$12)</f>
        <v>3.7286999999999999</v>
      </c>
      <c r="E169" s="61">
        <f>4.2166 * CHOOSE(CONTROL!$C$21, $C$12, 100%, $E$12)</f>
        <v>4.2165999999999997</v>
      </c>
      <c r="F169" s="61">
        <f>4.2166 * CHOOSE(CONTROL!$C$21, $C$12, 100%, $E$12)</f>
        <v>4.2165999999999997</v>
      </c>
      <c r="G169" s="61">
        <f>4.2168 * CHOOSE(CONTROL!$C$21, $C$12, 100%, $E$12)</f>
        <v>4.2168000000000001</v>
      </c>
      <c r="H169" s="61">
        <f>7.8799* CHOOSE(CONTROL!$C$21, $C$12, 100%, $E$12)</f>
        <v>7.8799000000000001</v>
      </c>
      <c r="I169" s="61">
        <f>7.8801 * CHOOSE(CONTROL!$C$21, $C$12, 100%, $E$12)</f>
        <v>7.8800999999999997</v>
      </c>
      <c r="J169" s="61">
        <f>4.2166 * CHOOSE(CONTROL!$C$21, $C$12, 100%, $E$12)</f>
        <v>4.2165999999999997</v>
      </c>
      <c r="K169" s="61">
        <f>4.2168 * CHOOSE(CONTROL!$C$21, $C$12, 100%, $E$12)</f>
        <v>4.2168000000000001</v>
      </c>
    </row>
    <row r="170" spans="1:11" ht="15">
      <c r="A170" s="13">
        <v>47058</v>
      </c>
      <c r="B170" s="60">
        <f>3.7212 * CHOOSE(CONTROL!$C$21, $C$12, 100%, $E$12)</f>
        <v>3.7212000000000001</v>
      </c>
      <c r="C170" s="60">
        <f>3.7212 * CHOOSE(CONTROL!$C$21, $C$12, 100%, $E$12)</f>
        <v>3.7212000000000001</v>
      </c>
      <c r="D170" s="60">
        <f>3.7318 * CHOOSE(CONTROL!$C$21, $C$12, 100%, $E$12)</f>
        <v>3.7317999999999998</v>
      </c>
      <c r="E170" s="61">
        <f>4.2286 * CHOOSE(CONTROL!$C$21, $C$12, 100%, $E$12)</f>
        <v>4.2286000000000001</v>
      </c>
      <c r="F170" s="61">
        <f>4.2286 * CHOOSE(CONTROL!$C$21, $C$12, 100%, $E$12)</f>
        <v>4.2286000000000001</v>
      </c>
      <c r="G170" s="61">
        <f>4.2288 * CHOOSE(CONTROL!$C$21, $C$12, 100%, $E$12)</f>
        <v>4.2287999999999997</v>
      </c>
      <c r="H170" s="61">
        <f>7.8963* CHOOSE(CONTROL!$C$21, $C$12, 100%, $E$12)</f>
        <v>7.8963000000000001</v>
      </c>
      <c r="I170" s="61">
        <f>7.8965 * CHOOSE(CONTROL!$C$21, $C$12, 100%, $E$12)</f>
        <v>7.8964999999999996</v>
      </c>
      <c r="J170" s="61">
        <f>4.2286 * CHOOSE(CONTROL!$C$21, $C$12, 100%, $E$12)</f>
        <v>4.2286000000000001</v>
      </c>
      <c r="K170" s="61">
        <f>4.2288 * CHOOSE(CONTROL!$C$21, $C$12, 100%, $E$12)</f>
        <v>4.2287999999999997</v>
      </c>
    </row>
    <row r="171" spans="1:11" ht="15">
      <c r="A171" s="13">
        <v>47088</v>
      </c>
      <c r="B171" s="60">
        <f>3.7212 * CHOOSE(CONTROL!$C$21, $C$12, 100%, $E$12)</f>
        <v>3.7212000000000001</v>
      </c>
      <c r="C171" s="60">
        <f>3.7212 * CHOOSE(CONTROL!$C$21, $C$12, 100%, $E$12)</f>
        <v>3.7212000000000001</v>
      </c>
      <c r="D171" s="60">
        <f>3.7318 * CHOOSE(CONTROL!$C$21, $C$12, 100%, $E$12)</f>
        <v>3.7317999999999998</v>
      </c>
      <c r="E171" s="61">
        <f>4.2039 * CHOOSE(CONTROL!$C$21, $C$12, 100%, $E$12)</f>
        <v>4.2039</v>
      </c>
      <c r="F171" s="61">
        <f>4.2039 * CHOOSE(CONTROL!$C$21, $C$12, 100%, $E$12)</f>
        <v>4.2039</v>
      </c>
      <c r="G171" s="61">
        <f>4.2041 * CHOOSE(CONTROL!$C$21, $C$12, 100%, $E$12)</f>
        <v>4.2041000000000004</v>
      </c>
      <c r="H171" s="61">
        <f>7.9128* CHOOSE(CONTROL!$C$21, $C$12, 100%, $E$12)</f>
        <v>7.9127999999999998</v>
      </c>
      <c r="I171" s="61">
        <f>7.9129 * CHOOSE(CONTROL!$C$21, $C$12, 100%, $E$12)</f>
        <v>7.9128999999999996</v>
      </c>
      <c r="J171" s="61">
        <f>4.2039 * CHOOSE(CONTROL!$C$21, $C$12, 100%, $E$12)</f>
        <v>4.2039</v>
      </c>
      <c r="K171" s="61">
        <f>4.2041 * CHOOSE(CONTROL!$C$21, $C$12, 100%, $E$12)</f>
        <v>4.2041000000000004</v>
      </c>
    </row>
    <row r="172" spans="1:11" ht="15">
      <c r="A172" s="13">
        <v>47119</v>
      </c>
      <c r="B172" s="60">
        <f>3.7543 * CHOOSE(CONTROL!$C$21, $C$12, 100%, $E$12)</f>
        <v>3.7543000000000002</v>
      </c>
      <c r="C172" s="60">
        <f>3.7543 * CHOOSE(CONTROL!$C$21, $C$12, 100%, $E$12)</f>
        <v>3.7543000000000002</v>
      </c>
      <c r="D172" s="60">
        <f>3.7649 * CHOOSE(CONTROL!$C$21, $C$12, 100%, $E$12)</f>
        <v>3.7648999999999999</v>
      </c>
      <c r="E172" s="61">
        <f>4.2617 * CHOOSE(CONTROL!$C$21, $C$12, 100%, $E$12)</f>
        <v>4.2617000000000003</v>
      </c>
      <c r="F172" s="61">
        <f>4.2617 * CHOOSE(CONTROL!$C$21, $C$12, 100%, $E$12)</f>
        <v>4.2617000000000003</v>
      </c>
      <c r="G172" s="61">
        <f>4.2619 * CHOOSE(CONTROL!$C$21, $C$12, 100%, $E$12)</f>
        <v>4.2618999999999998</v>
      </c>
      <c r="H172" s="61">
        <f>7.9293* CHOOSE(CONTROL!$C$21, $C$12, 100%, $E$12)</f>
        <v>7.9292999999999996</v>
      </c>
      <c r="I172" s="61">
        <f>7.9294 * CHOOSE(CONTROL!$C$21, $C$12, 100%, $E$12)</f>
        <v>7.9294000000000002</v>
      </c>
      <c r="J172" s="61">
        <f>4.2617 * CHOOSE(CONTROL!$C$21, $C$12, 100%, $E$12)</f>
        <v>4.2617000000000003</v>
      </c>
      <c r="K172" s="61">
        <f>4.2619 * CHOOSE(CONTROL!$C$21, $C$12, 100%, $E$12)</f>
        <v>4.2618999999999998</v>
      </c>
    </row>
    <row r="173" spans="1:11" ht="15">
      <c r="A173" s="13">
        <v>47150</v>
      </c>
      <c r="B173" s="60">
        <f>3.7513 * CHOOSE(CONTROL!$C$21, $C$12, 100%, $E$12)</f>
        <v>3.7513000000000001</v>
      </c>
      <c r="C173" s="60">
        <f>3.7513 * CHOOSE(CONTROL!$C$21, $C$12, 100%, $E$12)</f>
        <v>3.7513000000000001</v>
      </c>
      <c r="D173" s="60">
        <f>3.7618 * CHOOSE(CONTROL!$C$21, $C$12, 100%, $E$12)</f>
        <v>3.7618</v>
      </c>
      <c r="E173" s="61">
        <f>4.2118 * CHOOSE(CONTROL!$C$21, $C$12, 100%, $E$12)</f>
        <v>4.2118000000000002</v>
      </c>
      <c r="F173" s="61">
        <f>4.2118 * CHOOSE(CONTROL!$C$21, $C$12, 100%, $E$12)</f>
        <v>4.2118000000000002</v>
      </c>
      <c r="G173" s="61">
        <f>4.212 * CHOOSE(CONTROL!$C$21, $C$12, 100%, $E$12)</f>
        <v>4.2119999999999997</v>
      </c>
      <c r="H173" s="61">
        <f>7.9458* CHOOSE(CONTROL!$C$21, $C$12, 100%, $E$12)</f>
        <v>7.9458000000000002</v>
      </c>
      <c r="I173" s="61">
        <f>7.9459 * CHOOSE(CONTROL!$C$21, $C$12, 100%, $E$12)</f>
        <v>7.9459</v>
      </c>
      <c r="J173" s="61">
        <f>4.2118 * CHOOSE(CONTROL!$C$21, $C$12, 100%, $E$12)</f>
        <v>4.2118000000000002</v>
      </c>
      <c r="K173" s="61">
        <f>4.212 * CHOOSE(CONTROL!$C$21, $C$12, 100%, $E$12)</f>
        <v>4.2119999999999997</v>
      </c>
    </row>
    <row r="174" spans="1:11" ht="15">
      <c r="A174" s="13">
        <v>47178</v>
      </c>
      <c r="B174" s="60">
        <f>3.7482 * CHOOSE(CONTROL!$C$21, $C$12, 100%, $E$12)</f>
        <v>3.7482000000000002</v>
      </c>
      <c r="C174" s="60">
        <f>3.7482 * CHOOSE(CONTROL!$C$21, $C$12, 100%, $E$12)</f>
        <v>3.7482000000000002</v>
      </c>
      <c r="D174" s="60">
        <f>3.7588 * CHOOSE(CONTROL!$C$21, $C$12, 100%, $E$12)</f>
        <v>3.7587999999999999</v>
      </c>
      <c r="E174" s="61">
        <f>4.2474 * CHOOSE(CONTROL!$C$21, $C$12, 100%, $E$12)</f>
        <v>4.2473999999999998</v>
      </c>
      <c r="F174" s="61">
        <f>4.2474 * CHOOSE(CONTROL!$C$21, $C$12, 100%, $E$12)</f>
        <v>4.2473999999999998</v>
      </c>
      <c r="G174" s="61">
        <f>4.2476 * CHOOSE(CONTROL!$C$21, $C$12, 100%, $E$12)</f>
        <v>4.2476000000000003</v>
      </c>
      <c r="H174" s="61">
        <f>7.9623* CHOOSE(CONTROL!$C$21, $C$12, 100%, $E$12)</f>
        <v>7.9622999999999999</v>
      </c>
      <c r="I174" s="61">
        <f>7.9625 * CHOOSE(CONTROL!$C$21, $C$12, 100%, $E$12)</f>
        <v>7.9625000000000004</v>
      </c>
      <c r="J174" s="61">
        <f>4.2474 * CHOOSE(CONTROL!$C$21, $C$12, 100%, $E$12)</f>
        <v>4.2473999999999998</v>
      </c>
      <c r="K174" s="61">
        <f>4.2476 * CHOOSE(CONTROL!$C$21, $C$12, 100%, $E$12)</f>
        <v>4.2476000000000003</v>
      </c>
    </row>
    <row r="175" spans="1:11" ht="15">
      <c r="A175" s="13">
        <v>47209</v>
      </c>
      <c r="B175" s="60">
        <f>3.7457 * CHOOSE(CONTROL!$C$21, $C$12, 100%, $E$12)</f>
        <v>3.7456999999999998</v>
      </c>
      <c r="C175" s="60">
        <f>3.7457 * CHOOSE(CONTROL!$C$21, $C$12, 100%, $E$12)</f>
        <v>3.7456999999999998</v>
      </c>
      <c r="D175" s="60">
        <f>3.7563 * CHOOSE(CONTROL!$C$21, $C$12, 100%, $E$12)</f>
        <v>3.7563</v>
      </c>
      <c r="E175" s="61">
        <f>4.2836 * CHOOSE(CONTROL!$C$21, $C$12, 100%, $E$12)</f>
        <v>4.2835999999999999</v>
      </c>
      <c r="F175" s="61">
        <f>4.2836 * CHOOSE(CONTROL!$C$21, $C$12, 100%, $E$12)</f>
        <v>4.2835999999999999</v>
      </c>
      <c r="G175" s="61">
        <f>4.2838 * CHOOSE(CONTROL!$C$21, $C$12, 100%, $E$12)</f>
        <v>4.2838000000000003</v>
      </c>
      <c r="H175" s="61">
        <f>7.9789* CHOOSE(CONTROL!$C$21, $C$12, 100%, $E$12)</f>
        <v>7.9789000000000003</v>
      </c>
      <c r="I175" s="61">
        <f>7.9791 * CHOOSE(CONTROL!$C$21, $C$12, 100%, $E$12)</f>
        <v>7.9790999999999999</v>
      </c>
      <c r="J175" s="61">
        <f>4.2836 * CHOOSE(CONTROL!$C$21, $C$12, 100%, $E$12)</f>
        <v>4.2835999999999999</v>
      </c>
      <c r="K175" s="61">
        <f>4.2838 * CHOOSE(CONTROL!$C$21, $C$12, 100%, $E$12)</f>
        <v>4.2838000000000003</v>
      </c>
    </row>
    <row r="176" spans="1:11" ht="15">
      <c r="A176" s="13">
        <v>47239</v>
      </c>
      <c r="B176" s="60">
        <f>3.7457 * CHOOSE(CONTROL!$C$21, $C$12, 100%, $E$12)</f>
        <v>3.7456999999999998</v>
      </c>
      <c r="C176" s="60">
        <f>3.7457 * CHOOSE(CONTROL!$C$21, $C$12, 100%, $E$12)</f>
        <v>3.7456999999999998</v>
      </c>
      <c r="D176" s="60">
        <f>3.7668 * CHOOSE(CONTROL!$C$21, $C$12, 100%, $E$12)</f>
        <v>3.7667999999999999</v>
      </c>
      <c r="E176" s="61">
        <f>4.2988 * CHOOSE(CONTROL!$C$21, $C$12, 100%, $E$12)</f>
        <v>4.2988</v>
      </c>
      <c r="F176" s="61">
        <f>4.2988 * CHOOSE(CONTROL!$C$21, $C$12, 100%, $E$12)</f>
        <v>4.2988</v>
      </c>
      <c r="G176" s="61">
        <f>4.3001 * CHOOSE(CONTROL!$C$21, $C$12, 100%, $E$12)</f>
        <v>4.3000999999999996</v>
      </c>
      <c r="H176" s="61">
        <f>7.9955* CHOOSE(CONTROL!$C$21, $C$12, 100%, $E$12)</f>
        <v>7.9954999999999998</v>
      </c>
      <c r="I176" s="61">
        <f>7.9969 * CHOOSE(CONTROL!$C$21, $C$12, 100%, $E$12)</f>
        <v>7.9969000000000001</v>
      </c>
      <c r="J176" s="61">
        <f>4.2988 * CHOOSE(CONTROL!$C$21, $C$12, 100%, $E$12)</f>
        <v>4.2988</v>
      </c>
      <c r="K176" s="61">
        <f>4.3001 * CHOOSE(CONTROL!$C$21, $C$12, 100%, $E$12)</f>
        <v>4.3000999999999996</v>
      </c>
    </row>
    <row r="177" spans="1:11" ht="15">
      <c r="A177" s="13">
        <v>47270</v>
      </c>
      <c r="B177" s="60">
        <f>3.7518 * CHOOSE(CONTROL!$C$21, $C$12, 100%, $E$12)</f>
        <v>3.7517999999999998</v>
      </c>
      <c r="C177" s="60">
        <f>3.7518 * CHOOSE(CONTROL!$C$21, $C$12, 100%, $E$12)</f>
        <v>3.7517999999999998</v>
      </c>
      <c r="D177" s="60">
        <f>3.7729 * CHOOSE(CONTROL!$C$21, $C$12, 100%, $E$12)</f>
        <v>3.7728999999999999</v>
      </c>
      <c r="E177" s="61">
        <f>4.2878 * CHOOSE(CONTROL!$C$21, $C$12, 100%, $E$12)</f>
        <v>4.2877999999999998</v>
      </c>
      <c r="F177" s="61">
        <f>4.2878 * CHOOSE(CONTROL!$C$21, $C$12, 100%, $E$12)</f>
        <v>4.2877999999999998</v>
      </c>
      <c r="G177" s="61">
        <f>4.2892 * CHOOSE(CONTROL!$C$21, $C$12, 100%, $E$12)</f>
        <v>4.2892000000000001</v>
      </c>
      <c r="H177" s="61">
        <f>8.0122* CHOOSE(CONTROL!$C$21, $C$12, 100%, $E$12)</f>
        <v>8.0122</v>
      </c>
      <c r="I177" s="61">
        <f>8.0136 * CHOOSE(CONTROL!$C$21, $C$12, 100%, $E$12)</f>
        <v>8.0136000000000003</v>
      </c>
      <c r="J177" s="61">
        <f>4.2878 * CHOOSE(CONTROL!$C$21, $C$12, 100%, $E$12)</f>
        <v>4.2877999999999998</v>
      </c>
      <c r="K177" s="61">
        <f>4.2892 * CHOOSE(CONTROL!$C$21, $C$12, 100%, $E$12)</f>
        <v>4.2892000000000001</v>
      </c>
    </row>
    <row r="178" spans="1:11" ht="15">
      <c r="A178" s="13">
        <v>47300</v>
      </c>
      <c r="B178" s="60">
        <f>3.8127 * CHOOSE(CONTROL!$C$21, $C$12, 100%, $E$12)</f>
        <v>3.8127</v>
      </c>
      <c r="C178" s="60">
        <f>3.8127 * CHOOSE(CONTROL!$C$21, $C$12, 100%, $E$12)</f>
        <v>3.8127</v>
      </c>
      <c r="D178" s="60">
        <f>3.8338 * CHOOSE(CONTROL!$C$21, $C$12, 100%, $E$12)</f>
        <v>3.8338000000000001</v>
      </c>
      <c r="E178" s="61">
        <f>4.3812 * CHOOSE(CONTROL!$C$21, $C$12, 100%, $E$12)</f>
        <v>4.3811999999999998</v>
      </c>
      <c r="F178" s="61">
        <f>4.3812 * CHOOSE(CONTROL!$C$21, $C$12, 100%, $E$12)</f>
        <v>4.3811999999999998</v>
      </c>
      <c r="G178" s="61">
        <f>4.3826 * CHOOSE(CONTROL!$C$21, $C$12, 100%, $E$12)</f>
        <v>4.3826000000000001</v>
      </c>
      <c r="H178" s="61">
        <f>8.0289* CHOOSE(CONTROL!$C$21, $C$12, 100%, $E$12)</f>
        <v>8.0289000000000001</v>
      </c>
      <c r="I178" s="61">
        <f>8.0303 * CHOOSE(CONTROL!$C$21, $C$12, 100%, $E$12)</f>
        <v>8.0303000000000004</v>
      </c>
      <c r="J178" s="61">
        <f>4.3812 * CHOOSE(CONTROL!$C$21, $C$12, 100%, $E$12)</f>
        <v>4.3811999999999998</v>
      </c>
      <c r="K178" s="61">
        <f>4.3826 * CHOOSE(CONTROL!$C$21, $C$12, 100%, $E$12)</f>
        <v>4.3826000000000001</v>
      </c>
    </row>
    <row r="179" spans="1:11" ht="15">
      <c r="A179" s="13">
        <v>47331</v>
      </c>
      <c r="B179" s="60">
        <f>3.8194 * CHOOSE(CONTROL!$C$21, $C$12, 100%, $E$12)</f>
        <v>3.8193999999999999</v>
      </c>
      <c r="C179" s="60">
        <f>3.8194 * CHOOSE(CONTROL!$C$21, $C$12, 100%, $E$12)</f>
        <v>3.8193999999999999</v>
      </c>
      <c r="D179" s="60">
        <f>3.8405 * CHOOSE(CONTROL!$C$21, $C$12, 100%, $E$12)</f>
        <v>3.8405</v>
      </c>
      <c r="E179" s="61">
        <f>4.3404 * CHOOSE(CONTROL!$C$21, $C$12, 100%, $E$12)</f>
        <v>4.3403999999999998</v>
      </c>
      <c r="F179" s="61">
        <f>4.3404 * CHOOSE(CONTROL!$C$21, $C$12, 100%, $E$12)</f>
        <v>4.3403999999999998</v>
      </c>
      <c r="G179" s="61">
        <f>4.3418 * CHOOSE(CONTROL!$C$21, $C$12, 100%, $E$12)</f>
        <v>4.3418000000000001</v>
      </c>
      <c r="H179" s="61">
        <f>8.0456* CHOOSE(CONTROL!$C$21, $C$12, 100%, $E$12)</f>
        <v>8.0456000000000003</v>
      </c>
      <c r="I179" s="61">
        <f>8.047 * CHOOSE(CONTROL!$C$21, $C$12, 100%, $E$12)</f>
        <v>8.0470000000000006</v>
      </c>
      <c r="J179" s="61">
        <f>4.3404 * CHOOSE(CONTROL!$C$21, $C$12, 100%, $E$12)</f>
        <v>4.3403999999999998</v>
      </c>
      <c r="K179" s="61">
        <f>4.3418 * CHOOSE(CONTROL!$C$21, $C$12, 100%, $E$12)</f>
        <v>4.3418000000000001</v>
      </c>
    </row>
    <row r="180" spans="1:11" ht="15">
      <c r="A180" s="13">
        <v>47362</v>
      </c>
      <c r="B180" s="60">
        <f>3.8164 * CHOOSE(CONTROL!$C$21, $C$12, 100%, $E$12)</f>
        <v>3.8163999999999998</v>
      </c>
      <c r="C180" s="60">
        <f>3.8164 * CHOOSE(CONTROL!$C$21, $C$12, 100%, $E$12)</f>
        <v>3.8163999999999998</v>
      </c>
      <c r="D180" s="60">
        <f>3.8375 * CHOOSE(CONTROL!$C$21, $C$12, 100%, $E$12)</f>
        <v>3.8374999999999999</v>
      </c>
      <c r="E180" s="61">
        <f>4.3332 * CHOOSE(CONTROL!$C$21, $C$12, 100%, $E$12)</f>
        <v>4.3331999999999997</v>
      </c>
      <c r="F180" s="61">
        <f>4.3332 * CHOOSE(CONTROL!$C$21, $C$12, 100%, $E$12)</f>
        <v>4.3331999999999997</v>
      </c>
      <c r="G180" s="61">
        <f>4.3346 * CHOOSE(CONTROL!$C$21, $C$12, 100%, $E$12)</f>
        <v>4.3346</v>
      </c>
      <c r="H180" s="61">
        <f>8.0624* CHOOSE(CONTROL!$C$21, $C$12, 100%, $E$12)</f>
        <v>8.0624000000000002</v>
      </c>
      <c r="I180" s="61">
        <f>8.0638 * CHOOSE(CONTROL!$C$21, $C$12, 100%, $E$12)</f>
        <v>8.0638000000000005</v>
      </c>
      <c r="J180" s="61">
        <f>4.3332 * CHOOSE(CONTROL!$C$21, $C$12, 100%, $E$12)</f>
        <v>4.3331999999999997</v>
      </c>
      <c r="K180" s="61">
        <f>4.3346 * CHOOSE(CONTROL!$C$21, $C$12, 100%, $E$12)</f>
        <v>4.3346</v>
      </c>
    </row>
    <row r="181" spans="1:11" ht="15">
      <c r="A181" s="13">
        <v>47392</v>
      </c>
      <c r="B181" s="60">
        <f>3.811 * CHOOSE(CONTROL!$C$21, $C$12, 100%, $E$12)</f>
        <v>3.8109999999999999</v>
      </c>
      <c r="C181" s="60">
        <f>3.811 * CHOOSE(CONTROL!$C$21, $C$12, 100%, $E$12)</f>
        <v>3.8109999999999999</v>
      </c>
      <c r="D181" s="60">
        <f>3.8216 * CHOOSE(CONTROL!$C$21, $C$12, 100%, $E$12)</f>
        <v>3.8216000000000001</v>
      </c>
      <c r="E181" s="61">
        <f>4.34 * CHOOSE(CONTROL!$C$21, $C$12, 100%, $E$12)</f>
        <v>4.34</v>
      </c>
      <c r="F181" s="61">
        <f>4.34 * CHOOSE(CONTROL!$C$21, $C$12, 100%, $E$12)</f>
        <v>4.34</v>
      </c>
      <c r="G181" s="61">
        <f>4.3402 * CHOOSE(CONTROL!$C$21, $C$12, 100%, $E$12)</f>
        <v>4.3402000000000003</v>
      </c>
      <c r="H181" s="61">
        <f>8.0792* CHOOSE(CONTROL!$C$21, $C$12, 100%, $E$12)</f>
        <v>8.0792000000000002</v>
      </c>
      <c r="I181" s="61">
        <f>8.0793 * CHOOSE(CONTROL!$C$21, $C$12, 100%, $E$12)</f>
        <v>8.0792999999999999</v>
      </c>
      <c r="J181" s="61">
        <f>4.34 * CHOOSE(CONTROL!$C$21, $C$12, 100%, $E$12)</f>
        <v>4.34</v>
      </c>
      <c r="K181" s="61">
        <f>4.3402 * CHOOSE(CONTROL!$C$21, $C$12, 100%, $E$12)</f>
        <v>4.3402000000000003</v>
      </c>
    </row>
    <row r="182" spans="1:11" ht="15">
      <c r="A182" s="13">
        <v>47423</v>
      </c>
      <c r="B182" s="60">
        <f>3.8141 * CHOOSE(CONTROL!$C$21, $C$12, 100%, $E$12)</f>
        <v>3.8140999999999998</v>
      </c>
      <c r="C182" s="60">
        <f>3.8141 * CHOOSE(CONTROL!$C$21, $C$12, 100%, $E$12)</f>
        <v>3.8140999999999998</v>
      </c>
      <c r="D182" s="60">
        <f>3.8246 * CHOOSE(CONTROL!$C$21, $C$12, 100%, $E$12)</f>
        <v>3.8246000000000002</v>
      </c>
      <c r="E182" s="61">
        <f>4.3522 * CHOOSE(CONTROL!$C$21, $C$12, 100%, $E$12)</f>
        <v>4.3521999999999998</v>
      </c>
      <c r="F182" s="61">
        <f>4.3522 * CHOOSE(CONTROL!$C$21, $C$12, 100%, $E$12)</f>
        <v>4.3521999999999998</v>
      </c>
      <c r="G182" s="61">
        <f>4.3524 * CHOOSE(CONTROL!$C$21, $C$12, 100%, $E$12)</f>
        <v>4.3524000000000003</v>
      </c>
      <c r="H182" s="61">
        <f>8.096* CHOOSE(CONTROL!$C$21, $C$12, 100%, $E$12)</f>
        <v>8.0960000000000001</v>
      </c>
      <c r="I182" s="61">
        <f>8.0962 * CHOOSE(CONTROL!$C$21, $C$12, 100%, $E$12)</f>
        <v>8.0961999999999996</v>
      </c>
      <c r="J182" s="61">
        <f>4.3522 * CHOOSE(CONTROL!$C$21, $C$12, 100%, $E$12)</f>
        <v>4.3521999999999998</v>
      </c>
      <c r="K182" s="61">
        <f>4.3524 * CHOOSE(CONTROL!$C$21, $C$12, 100%, $E$12)</f>
        <v>4.3524000000000003</v>
      </c>
    </row>
    <row r="183" spans="1:11" ht="15">
      <c r="A183" s="13">
        <v>47453</v>
      </c>
      <c r="B183" s="60">
        <f>3.8141 * CHOOSE(CONTROL!$C$21, $C$12, 100%, $E$12)</f>
        <v>3.8140999999999998</v>
      </c>
      <c r="C183" s="60">
        <f>3.8141 * CHOOSE(CONTROL!$C$21, $C$12, 100%, $E$12)</f>
        <v>3.8140999999999998</v>
      </c>
      <c r="D183" s="60">
        <f>3.8246 * CHOOSE(CONTROL!$C$21, $C$12, 100%, $E$12)</f>
        <v>3.8246000000000002</v>
      </c>
      <c r="E183" s="61">
        <f>4.327 * CHOOSE(CONTROL!$C$21, $C$12, 100%, $E$12)</f>
        <v>4.327</v>
      </c>
      <c r="F183" s="61">
        <f>4.327 * CHOOSE(CONTROL!$C$21, $C$12, 100%, $E$12)</f>
        <v>4.327</v>
      </c>
      <c r="G183" s="61">
        <f>4.3271 * CHOOSE(CONTROL!$C$21, $C$12, 100%, $E$12)</f>
        <v>4.3270999999999997</v>
      </c>
      <c r="H183" s="61">
        <f>8.1129* CHOOSE(CONTROL!$C$21, $C$12, 100%, $E$12)</f>
        <v>8.1128999999999998</v>
      </c>
      <c r="I183" s="61">
        <f>8.113 * CHOOSE(CONTROL!$C$21, $C$12, 100%, $E$12)</f>
        <v>8.1129999999999995</v>
      </c>
      <c r="J183" s="61">
        <f>4.327 * CHOOSE(CONTROL!$C$21, $C$12, 100%, $E$12)</f>
        <v>4.327</v>
      </c>
      <c r="K183" s="61">
        <f>4.3271 * CHOOSE(CONTROL!$C$21, $C$12, 100%, $E$12)</f>
        <v>4.3270999999999997</v>
      </c>
    </row>
    <row r="184" spans="1:11" ht="15">
      <c r="A184" s="13">
        <v>47484</v>
      </c>
      <c r="B184" s="60">
        <f>3.85 * CHOOSE(CONTROL!$C$21, $C$12, 100%, $E$12)</f>
        <v>3.85</v>
      </c>
      <c r="C184" s="60">
        <f>3.85 * CHOOSE(CONTROL!$C$21, $C$12, 100%, $E$12)</f>
        <v>3.85</v>
      </c>
      <c r="D184" s="60">
        <f>3.8606 * CHOOSE(CONTROL!$C$21, $C$12, 100%, $E$12)</f>
        <v>3.8605999999999998</v>
      </c>
      <c r="E184" s="61">
        <f>4.3833 * CHOOSE(CONTROL!$C$21, $C$12, 100%, $E$12)</f>
        <v>4.3833000000000002</v>
      </c>
      <c r="F184" s="61">
        <f>4.3833 * CHOOSE(CONTROL!$C$21, $C$12, 100%, $E$12)</f>
        <v>4.3833000000000002</v>
      </c>
      <c r="G184" s="61">
        <f>4.3835 * CHOOSE(CONTROL!$C$21, $C$12, 100%, $E$12)</f>
        <v>4.3834999999999997</v>
      </c>
      <c r="H184" s="61">
        <f>8.1298* CHOOSE(CONTROL!$C$21, $C$12, 100%, $E$12)</f>
        <v>8.1297999999999995</v>
      </c>
      <c r="I184" s="61">
        <f>8.1299 * CHOOSE(CONTROL!$C$21, $C$12, 100%, $E$12)</f>
        <v>8.1298999999999992</v>
      </c>
      <c r="J184" s="61">
        <f>4.3833 * CHOOSE(CONTROL!$C$21, $C$12, 100%, $E$12)</f>
        <v>4.3833000000000002</v>
      </c>
      <c r="K184" s="61">
        <f>4.3835 * CHOOSE(CONTROL!$C$21, $C$12, 100%, $E$12)</f>
        <v>4.3834999999999997</v>
      </c>
    </row>
    <row r="185" spans="1:11" ht="15">
      <c r="A185" s="13">
        <v>47515</v>
      </c>
      <c r="B185" s="60">
        <f>3.847 * CHOOSE(CONTROL!$C$21, $C$12, 100%, $E$12)</f>
        <v>3.847</v>
      </c>
      <c r="C185" s="60">
        <f>3.847 * CHOOSE(CONTROL!$C$21, $C$12, 100%, $E$12)</f>
        <v>3.847</v>
      </c>
      <c r="D185" s="60">
        <f>3.8576 * CHOOSE(CONTROL!$C$21, $C$12, 100%, $E$12)</f>
        <v>3.8576000000000001</v>
      </c>
      <c r="E185" s="61">
        <f>4.3322 * CHOOSE(CONTROL!$C$21, $C$12, 100%, $E$12)</f>
        <v>4.3322000000000003</v>
      </c>
      <c r="F185" s="61">
        <f>4.3322 * CHOOSE(CONTROL!$C$21, $C$12, 100%, $E$12)</f>
        <v>4.3322000000000003</v>
      </c>
      <c r="G185" s="61">
        <f>4.3324 * CHOOSE(CONTROL!$C$21, $C$12, 100%, $E$12)</f>
        <v>4.3323999999999998</v>
      </c>
      <c r="H185" s="61">
        <f>8.1467* CHOOSE(CONTROL!$C$21, $C$12, 100%, $E$12)</f>
        <v>8.1466999999999992</v>
      </c>
      <c r="I185" s="61">
        <f>8.1469 * CHOOSE(CONTROL!$C$21, $C$12, 100%, $E$12)</f>
        <v>8.1469000000000005</v>
      </c>
      <c r="J185" s="61">
        <f>4.3322 * CHOOSE(CONTROL!$C$21, $C$12, 100%, $E$12)</f>
        <v>4.3322000000000003</v>
      </c>
      <c r="K185" s="61">
        <f>4.3324 * CHOOSE(CONTROL!$C$21, $C$12, 100%, $E$12)</f>
        <v>4.3323999999999998</v>
      </c>
    </row>
    <row r="186" spans="1:11" ht="15">
      <c r="A186" s="13">
        <v>47543</v>
      </c>
      <c r="B186" s="60">
        <f>3.844 * CHOOSE(CONTROL!$C$21, $C$12, 100%, $E$12)</f>
        <v>3.8439999999999999</v>
      </c>
      <c r="C186" s="60">
        <f>3.844 * CHOOSE(CONTROL!$C$21, $C$12, 100%, $E$12)</f>
        <v>3.8439999999999999</v>
      </c>
      <c r="D186" s="60">
        <f>3.8545 * CHOOSE(CONTROL!$C$21, $C$12, 100%, $E$12)</f>
        <v>3.8544999999999998</v>
      </c>
      <c r="E186" s="61">
        <f>4.3687 * CHOOSE(CONTROL!$C$21, $C$12, 100%, $E$12)</f>
        <v>4.3686999999999996</v>
      </c>
      <c r="F186" s="61">
        <f>4.3687 * CHOOSE(CONTROL!$C$21, $C$12, 100%, $E$12)</f>
        <v>4.3686999999999996</v>
      </c>
      <c r="G186" s="61">
        <f>4.3689 * CHOOSE(CONTROL!$C$21, $C$12, 100%, $E$12)</f>
        <v>4.3689</v>
      </c>
      <c r="H186" s="61">
        <f>8.1637* CHOOSE(CONTROL!$C$21, $C$12, 100%, $E$12)</f>
        <v>8.1637000000000004</v>
      </c>
      <c r="I186" s="61">
        <f>8.1639 * CHOOSE(CONTROL!$C$21, $C$12, 100%, $E$12)</f>
        <v>8.1638999999999999</v>
      </c>
      <c r="J186" s="61">
        <f>4.3687 * CHOOSE(CONTROL!$C$21, $C$12, 100%, $E$12)</f>
        <v>4.3686999999999996</v>
      </c>
      <c r="K186" s="61">
        <f>4.3689 * CHOOSE(CONTROL!$C$21, $C$12, 100%, $E$12)</f>
        <v>4.3689</v>
      </c>
    </row>
    <row r="187" spans="1:11" ht="15">
      <c r="A187" s="13">
        <v>47574</v>
      </c>
      <c r="B187" s="60">
        <f>3.8415 * CHOOSE(CONTROL!$C$21, $C$12, 100%, $E$12)</f>
        <v>3.8414999999999999</v>
      </c>
      <c r="C187" s="60">
        <f>3.8415 * CHOOSE(CONTROL!$C$21, $C$12, 100%, $E$12)</f>
        <v>3.8414999999999999</v>
      </c>
      <c r="D187" s="60">
        <f>3.8521 * CHOOSE(CONTROL!$C$21, $C$12, 100%, $E$12)</f>
        <v>3.8521000000000001</v>
      </c>
      <c r="E187" s="61">
        <f>4.406 * CHOOSE(CONTROL!$C$21, $C$12, 100%, $E$12)</f>
        <v>4.4059999999999997</v>
      </c>
      <c r="F187" s="61">
        <f>4.406 * CHOOSE(CONTROL!$C$21, $C$12, 100%, $E$12)</f>
        <v>4.4059999999999997</v>
      </c>
      <c r="G187" s="61">
        <f>4.4061 * CHOOSE(CONTROL!$C$21, $C$12, 100%, $E$12)</f>
        <v>4.4061000000000003</v>
      </c>
      <c r="H187" s="61">
        <f>8.1807* CHOOSE(CONTROL!$C$21, $C$12, 100%, $E$12)</f>
        <v>8.1806999999999999</v>
      </c>
      <c r="I187" s="61">
        <f>8.1809 * CHOOSE(CONTROL!$C$21, $C$12, 100%, $E$12)</f>
        <v>8.1808999999999994</v>
      </c>
      <c r="J187" s="61">
        <f>4.406 * CHOOSE(CONTROL!$C$21, $C$12, 100%, $E$12)</f>
        <v>4.4059999999999997</v>
      </c>
      <c r="K187" s="61">
        <f>4.4061 * CHOOSE(CONTROL!$C$21, $C$12, 100%, $E$12)</f>
        <v>4.4061000000000003</v>
      </c>
    </row>
    <row r="188" spans="1:11" ht="15">
      <c r="A188" s="13">
        <v>47604</v>
      </c>
      <c r="B188" s="60">
        <f>3.8415 * CHOOSE(CONTROL!$C$21, $C$12, 100%, $E$12)</f>
        <v>3.8414999999999999</v>
      </c>
      <c r="C188" s="60">
        <f>3.8415 * CHOOSE(CONTROL!$C$21, $C$12, 100%, $E$12)</f>
        <v>3.8414999999999999</v>
      </c>
      <c r="D188" s="60">
        <f>3.8627 * CHOOSE(CONTROL!$C$21, $C$12, 100%, $E$12)</f>
        <v>3.8626999999999998</v>
      </c>
      <c r="E188" s="61">
        <f>4.4215 * CHOOSE(CONTROL!$C$21, $C$12, 100%, $E$12)</f>
        <v>4.4215</v>
      </c>
      <c r="F188" s="61">
        <f>4.4215 * CHOOSE(CONTROL!$C$21, $C$12, 100%, $E$12)</f>
        <v>4.4215</v>
      </c>
      <c r="G188" s="61">
        <f>4.4229 * CHOOSE(CONTROL!$C$21, $C$12, 100%, $E$12)</f>
        <v>4.4229000000000003</v>
      </c>
      <c r="H188" s="61">
        <f>8.1977* CHOOSE(CONTROL!$C$21, $C$12, 100%, $E$12)</f>
        <v>8.1976999999999993</v>
      </c>
      <c r="I188" s="61">
        <f>8.1991 * CHOOSE(CONTROL!$C$21, $C$12, 100%, $E$12)</f>
        <v>8.1990999999999996</v>
      </c>
      <c r="J188" s="61">
        <f>4.4215 * CHOOSE(CONTROL!$C$21, $C$12, 100%, $E$12)</f>
        <v>4.4215</v>
      </c>
      <c r="K188" s="61">
        <f>4.4229 * CHOOSE(CONTROL!$C$21, $C$12, 100%, $E$12)</f>
        <v>4.4229000000000003</v>
      </c>
    </row>
    <row r="189" spans="1:11" ht="15">
      <c r="A189" s="13">
        <v>47635</v>
      </c>
      <c r="B189" s="60">
        <f>3.8476 * CHOOSE(CONTROL!$C$21, $C$12, 100%, $E$12)</f>
        <v>3.8475999999999999</v>
      </c>
      <c r="C189" s="60">
        <f>3.8476 * CHOOSE(CONTROL!$C$21, $C$12, 100%, $E$12)</f>
        <v>3.8475999999999999</v>
      </c>
      <c r="D189" s="60">
        <f>3.8687 * CHOOSE(CONTROL!$C$21, $C$12, 100%, $E$12)</f>
        <v>3.8687</v>
      </c>
      <c r="E189" s="61">
        <f>4.4102 * CHOOSE(CONTROL!$C$21, $C$12, 100%, $E$12)</f>
        <v>4.4101999999999997</v>
      </c>
      <c r="F189" s="61">
        <f>4.4102 * CHOOSE(CONTROL!$C$21, $C$12, 100%, $E$12)</f>
        <v>4.4101999999999997</v>
      </c>
      <c r="G189" s="61">
        <f>4.4116 * CHOOSE(CONTROL!$C$21, $C$12, 100%, $E$12)</f>
        <v>4.4116</v>
      </c>
      <c r="H189" s="61">
        <f>8.2148* CHOOSE(CONTROL!$C$21, $C$12, 100%, $E$12)</f>
        <v>8.2148000000000003</v>
      </c>
      <c r="I189" s="61">
        <f>8.2162 * CHOOSE(CONTROL!$C$21, $C$12, 100%, $E$12)</f>
        <v>8.2162000000000006</v>
      </c>
      <c r="J189" s="61">
        <f>4.4102 * CHOOSE(CONTROL!$C$21, $C$12, 100%, $E$12)</f>
        <v>4.4101999999999997</v>
      </c>
      <c r="K189" s="61">
        <f>4.4116 * CHOOSE(CONTROL!$C$21, $C$12, 100%, $E$12)</f>
        <v>4.4116</v>
      </c>
    </row>
    <row r="190" spans="1:11" ht="15">
      <c r="A190" s="13">
        <v>47665</v>
      </c>
      <c r="B190" s="60">
        <f>3.915 * CHOOSE(CONTROL!$C$21, $C$12, 100%, $E$12)</f>
        <v>3.915</v>
      </c>
      <c r="C190" s="60">
        <f>3.915 * CHOOSE(CONTROL!$C$21, $C$12, 100%, $E$12)</f>
        <v>3.915</v>
      </c>
      <c r="D190" s="60">
        <f>3.9362 * CHOOSE(CONTROL!$C$21, $C$12, 100%, $E$12)</f>
        <v>3.9361999999999999</v>
      </c>
      <c r="E190" s="61">
        <f>4.4986 * CHOOSE(CONTROL!$C$21, $C$12, 100%, $E$12)</f>
        <v>4.4985999999999997</v>
      </c>
      <c r="F190" s="61">
        <f>4.4986 * CHOOSE(CONTROL!$C$21, $C$12, 100%, $E$12)</f>
        <v>4.4985999999999997</v>
      </c>
      <c r="G190" s="61">
        <f>4.5 * CHOOSE(CONTROL!$C$21, $C$12, 100%, $E$12)</f>
        <v>4.5</v>
      </c>
      <c r="H190" s="61">
        <f>8.2319* CHOOSE(CONTROL!$C$21, $C$12, 100%, $E$12)</f>
        <v>8.2318999999999996</v>
      </c>
      <c r="I190" s="61">
        <f>8.2333 * CHOOSE(CONTROL!$C$21, $C$12, 100%, $E$12)</f>
        <v>8.2332999999999998</v>
      </c>
      <c r="J190" s="61">
        <f>4.4986 * CHOOSE(CONTROL!$C$21, $C$12, 100%, $E$12)</f>
        <v>4.4985999999999997</v>
      </c>
      <c r="K190" s="61">
        <f>4.5 * CHOOSE(CONTROL!$C$21, $C$12, 100%, $E$12)</f>
        <v>4.5</v>
      </c>
    </row>
    <row r="191" spans="1:11" ht="15">
      <c r="A191" s="13">
        <v>47696</v>
      </c>
      <c r="B191" s="60">
        <f>3.9217 * CHOOSE(CONTROL!$C$21, $C$12, 100%, $E$12)</f>
        <v>3.9217</v>
      </c>
      <c r="C191" s="60">
        <f>3.9217 * CHOOSE(CONTROL!$C$21, $C$12, 100%, $E$12)</f>
        <v>3.9217</v>
      </c>
      <c r="D191" s="60">
        <f>3.9428 * CHOOSE(CONTROL!$C$21, $C$12, 100%, $E$12)</f>
        <v>3.9428000000000001</v>
      </c>
      <c r="E191" s="61">
        <f>4.4566 * CHOOSE(CONTROL!$C$21, $C$12, 100%, $E$12)</f>
        <v>4.4565999999999999</v>
      </c>
      <c r="F191" s="61">
        <f>4.4566 * CHOOSE(CONTROL!$C$21, $C$12, 100%, $E$12)</f>
        <v>4.4565999999999999</v>
      </c>
      <c r="G191" s="61">
        <f>4.458 * CHOOSE(CONTROL!$C$21, $C$12, 100%, $E$12)</f>
        <v>4.4580000000000002</v>
      </c>
      <c r="H191" s="61">
        <f>8.2491* CHOOSE(CONTROL!$C$21, $C$12, 100%, $E$12)</f>
        <v>8.2491000000000003</v>
      </c>
      <c r="I191" s="61">
        <f>8.2505 * CHOOSE(CONTROL!$C$21, $C$12, 100%, $E$12)</f>
        <v>8.2505000000000006</v>
      </c>
      <c r="J191" s="61">
        <f>4.4566 * CHOOSE(CONTROL!$C$21, $C$12, 100%, $E$12)</f>
        <v>4.4565999999999999</v>
      </c>
      <c r="K191" s="61">
        <f>4.458 * CHOOSE(CONTROL!$C$21, $C$12, 100%, $E$12)</f>
        <v>4.4580000000000002</v>
      </c>
    </row>
    <row r="192" spans="1:11" ht="15">
      <c r="A192" s="13">
        <v>47727</v>
      </c>
      <c r="B192" s="60">
        <f>3.9187 * CHOOSE(CONTROL!$C$21, $C$12, 100%, $E$12)</f>
        <v>3.9186999999999999</v>
      </c>
      <c r="C192" s="60">
        <f>3.9187 * CHOOSE(CONTROL!$C$21, $C$12, 100%, $E$12)</f>
        <v>3.9186999999999999</v>
      </c>
      <c r="D192" s="60">
        <f>3.9398 * CHOOSE(CONTROL!$C$21, $C$12, 100%, $E$12)</f>
        <v>3.9398</v>
      </c>
      <c r="E192" s="61">
        <f>4.4493 * CHOOSE(CONTROL!$C$21, $C$12, 100%, $E$12)</f>
        <v>4.4493</v>
      </c>
      <c r="F192" s="61">
        <f>4.4493 * CHOOSE(CONTROL!$C$21, $C$12, 100%, $E$12)</f>
        <v>4.4493</v>
      </c>
      <c r="G192" s="61">
        <f>4.4507 * CHOOSE(CONTROL!$C$21, $C$12, 100%, $E$12)</f>
        <v>4.4507000000000003</v>
      </c>
      <c r="H192" s="61">
        <f>8.2663* CHOOSE(CONTROL!$C$21, $C$12, 100%, $E$12)</f>
        <v>8.2662999999999993</v>
      </c>
      <c r="I192" s="61">
        <f>8.2676 * CHOOSE(CONTROL!$C$21, $C$12, 100%, $E$12)</f>
        <v>8.2675999999999998</v>
      </c>
      <c r="J192" s="61">
        <f>4.4493 * CHOOSE(CONTROL!$C$21, $C$12, 100%, $E$12)</f>
        <v>4.4493</v>
      </c>
      <c r="K192" s="61">
        <f>4.4507 * CHOOSE(CONTROL!$C$21, $C$12, 100%, $E$12)</f>
        <v>4.4507000000000003</v>
      </c>
    </row>
    <row r="193" spans="1:11" ht="15">
      <c r="A193" s="13">
        <v>47757</v>
      </c>
      <c r="B193" s="60">
        <f>3.9137 * CHOOSE(CONTROL!$C$21, $C$12, 100%, $E$12)</f>
        <v>3.9137</v>
      </c>
      <c r="C193" s="60">
        <f>3.9137 * CHOOSE(CONTROL!$C$21, $C$12, 100%, $E$12)</f>
        <v>3.9137</v>
      </c>
      <c r="D193" s="60">
        <f>3.9243 * CHOOSE(CONTROL!$C$21, $C$12, 100%, $E$12)</f>
        <v>3.9243000000000001</v>
      </c>
      <c r="E193" s="61">
        <f>4.4566 * CHOOSE(CONTROL!$C$21, $C$12, 100%, $E$12)</f>
        <v>4.4565999999999999</v>
      </c>
      <c r="F193" s="61">
        <f>4.4566 * CHOOSE(CONTROL!$C$21, $C$12, 100%, $E$12)</f>
        <v>4.4565999999999999</v>
      </c>
      <c r="G193" s="61">
        <f>4.4568 * CHOOSE(CONTROL!$C$21, $C$12, 100%, $E$12)</f>
        <v>4.4568000000000003</v>
      </c>
      <c r="H193" s="61">
        <f>8.2835* CHOOSE(CONTROL!$C$21, $C$12, 100%, $E$12)</f>
        <v>8.2835000000000001</v>
      </c>
      <c r="I193" s="61">
        <f>8.2837 * CHOOSE(CONTROL!$C$21, $C$12, 100%, $E$12)</f>
        <v>8.2836999999999996</v>
      </c>
      <c r="J193" s="61">
        <f>4.4566 * CHOOSE(CONTROL!$C$21, $C$12, 100%, $E$12)</f>
        <v>4.4565999999999999</v>
      </c>
      <c r="K193" s="61">
        <f>4.4568 * CHOOSE(CONTROL!$C$21, $C$12, 100%, $E$12)</f>
        <v>4.4568000000000003</v>
      </c>
    </row>
    <row r="194" spans="1:11" ht="15">
      <c r="A194" s="13">
        <v>47788</v>
      </c>
      <c r="B194" s="60">
        <f>3.9168 * CHOOSE(CONTROL!$C$21, $C$12, 100%, $E$12)</f>
        <v>3.9167999999999998</v>
      </c>
      <c r="C194" s="60">
        <f>3.9168 * CHOOSE(CONTROL!$C$21, $C$12, 100%, $E$12)</f>
        <v>3.9167999999999998</v>
      </c>
      <c r="D194" s="60">
        <f>3.9273 * CHOOSE(CONTROL!$C$21, $C$12, 100%, $E$12)</f>
        <v>3.9272999999999998</v>
      </c>
      <c r="E194" s="61">
        <f>4.4691 * CHOOSE(CONTROL!$C$21, $C$12, 100%, $E$12)</f>
        <v>4.4691000000000001</v>
      </c>
      <c r="F194" s="61">
        <f>4.4691 * CHOOSE(CONTROL!$C$21, $C$12, 100%, $E$12)</f>
        <v>4.4691000000000001</v>
      </c>
      <c r="G194" s="61">
        <f>4.4693 * CHOOSE(CONTROL!$C$21, $C$12, 100%, $E$12)</f>
        <v>4.4692999999999996</v>
      </c>
      <c r="H194" s="61">
        <f>8.3007* CHOOSE(CONTROL!$C$21, $C$12, 100%, $E$12)</f>
        <v>8.3007000000000009</v>
      </c>
      <c r="I194" s="61">
        <f>8.3009 * CHOOSE(CONTROL!$C$21, $C$12, 100%, $E$12)</f>
        <v>8.3009000000000004</v>
      </c>
      <c r="J194" s="61">
        <f>4.4691 * CHOOSE(CONTROL!$C$21, $C$12, 100%, $E$12)</f>
        <v>4.4691000000000001</v>
      </c>
      <c r="K194" s="61">
        <f>4.4693 * CHOOSE(CONTROL!$C$21, $C$12, 100%, $E$12)</f>
        <v>4.4692999999999996</v>
      </c>
    </row>
    <row r="195" spans="1:11" ht="15">
      <c r="A195" s="13">
        <v>47818</v>
      </c>
      <c r="B195" s="60">
        <f>3.9168 * CHOOSE(CONTROL!$C$21, $C$12, 100%, $E$12)</f>
        <v>3.9167999999999998</v>
      </c>
      <c r="C195" s="60">
        <f>3.9168 * CHOOSE(CONTROL!$C$21, $C$12, 100%, $E$12)</f>
        <v>3.9167999999999998</v>
      </c>
      <c r="D195" s="60">
        <f>3.9273 * CHOOSE(CONTROL!$C$21, $C$12, 100%, $E$12)</f>
        <v>3.9272999999999998</v>
      </c>
      <c r="E195" s="61">
        <f>4.4432 * CHOOSE(CONTROL!$C$21, $C$12, 100%, $E$12)</f>
        <v>4.4432</v>
      </c>
      <c r="F195" s="61">
        <f>4.4432 * CHOOSE(CONTROL!$C$21, $C$12, 100%, $E$12)</f>
        <v>4.4432</v>
      </c>
      <c r="G195" s="61">
        <f>4.4434 * CHOOSE(CONTROL!$C$21, $C$12, 100%, $E$12)</f>
        <v>4.4433999999999996</v>
      </c>
      <c r="H195" s="61">
        <f>8.318* CHOOSE(CONTROL!$C$21, $C$12, 100%, $E$12)</f>
        <v>8.3179999999999996</v>
      </c>
      <c r="I195" s="61">
        <f>8.3182 * CHOOSE(CONTROL!$C$21, $C$12, 100%, $E$12)</f>
        <v>8.3181999999999992</v>
      </c>
      <c r="J195" s="61">
        <f>4.4432 * CHOOSE(CONTROL!$C$21, $C$12, 100%, $E$12)</f>
        <v>4.4432</v>
      </c>
      <c r="K195" s="61">
        <f>4.4434 * CHOOSE(CONTROL!$C$21, $C$12, 100%, $E$12)</f>
        <v>4.4433999999999996</v>
      </c>
    </row>
    <row r="196" spans="1:11" ht="15">
      <c r="A196" s="13">
        <v>47849</v>
      </c>
      <c r="B196" s="60">
        <f>3.9538 * CHOOSE(CONTROL!$C$21, $C$12, 100%, $E$12)</f>
        <v>3.9538000000000002</v>
      </c>
      <c r="C196" s="60">
        <f>3.9538 * CHOOSE(CONTROL!$C$21, $C$12, 100%, $E$12)</f>
        <v>3.9538000000000002</v>
      </c>
      <c r="D196" s="60">
        <f>3.9643 * CHOOSE(CONTROL!$C$21, $C$12, 100%, $E$12)</f>
        <v>3.9643000000000002</v>
      </c>
      <c r="E196" s="61">
        <f>4.5104 * CHOOSE(CONTROL!$C$21, $C$12, 100%, $E$12)</f>
        <v>4.5103999999999997</v>
      </c>
      <c r="F196" s="61">
        <f>4.5104 * CHOOSE(CONTROL!$C$21, $C$12, 100%, $E$12)</f>
        <v>4.5103999999999997</v>
      </c>
      <c r="G196" s="61">
        <f>4.5106 * CHOOSE(CONTROL!$C$21, $C$12, 100%, $E$12)</f>
        <v>4.5106000000000002</v>
      </c>
      <c r="H196" s="61">
        <f>8.3354* CHOOSE(CONTROL!$C$21, $C$12, 100%, $E$12)</f>
        <v>8.3353999999999999</v>
      </c>
      <c r="I196" s="61">
        <f>8.3355 * CHOOSE(CONTROL!$C$21, $C$12, 100%, $E$12)</f>
        <v>8.3354999999999997</v>
      </c>
      <c r="J196" s="61">
        <f>4.5104 * CHOOSE(CONTROL!$C$21, $C$12, 100%, $E$12)</f>
        <v>4.5103999999999997</v>
      </c>
      <c r="K196" s="61">
        <f>4.5106 * CHOOSE(CONTROL!$C$21, $C$12, 100%, $E$12)</f>
        <v>4.5106000000000002</v>
      </c>
    </row>
    <row r="197" spans="1:11" ht="15">
      <c r="A197" s="13">
        <v>47880</v>
      </c>
      <c r="B197" s="60">
        <f>3.9507 * CHOOSE(CONTROL!$C$21, $C$12, 100%, $E$12)</f>
        <v>3.9506999999999999</v>
      </c>
      <c r="C197" s="60">
        <f>3.9507 * CHOOSE(CONTROL!$C$21, $C$12, 100%, $E$12)</f>
        <v>3.9506999999999999</v>
      </c>
      <c r="D197" s="60">
        <f>3.9613 * CHOOSE(CONTROL!$C$21, $C$12, 100%, $E$12)</f>
        <v>3.9613</v>
      </c>
      <c r="E197" s="61">
        <f>4.4581 * CHOOSE(CONTROL!$C$21, $C$12, 100%, $E$12)</f>
        <v>4.4581</v>
      </c>
      <c r="F197" s="61">
        <f>4.4581 * CHOOSE(CONTROL!$C$21, $C$12, 100%, $E$12)</f>
        <v>4.4581</v>
      </c>
      <c r="G197" s="61">
        <f>4.4582 * CHOOSE(CONTROL!$C$21, $C$12, 100%, $E$12)</f>
        <v>4.4581999999999997</v>
      </c>
      <c r="H197" s="61">
        <f>8.3527* CHOOSE(CONTROL!$C$21, $C$12, 100%, $E$12)</f>
        <v>8.3527000000000005</v>
      </c>
      <c r="I197" s="61">
        <f>8.3529 * CHOOSE(CONTROL!$C$21, $C$12, 100%, $E$12)</f>
        <v>8.3529</v>
      </c>
      <c r="J197" s="61">
        <f>4.4581 * CHOOSE(CONTROL!$C$21, $C$12, 100%, $E$12)</f>
        <v>4.4581</v>
      </c>
      <c r="K197" s="61">
        <f>4.4582 * CHOOSE(CONTROL!$C$21, $C$12, 100%, $E$12)</f>
        <v>4.4581999999999997</v>
      </c>
    </row>
    <row r="198" spans="1:11" ht="15">
      <c r="A198" s="13">
        <v>47908</v>
      </c>
      <c r="B198" s="60">
        <f>3.9477 * CHOOSE(CONTROL!$C$21, $C$12, 100%, $E$12)</f>
        <v>3.9477000000000002</v>
      </c>
      <c r="C198" s="60">
        <f>3.9477 * CHOOSE(CONTROL!$C$21, $C$12, 100%, $E$12)</f>
        <v>3.9477000000000002</v>
      </c>
      <c r="D198" s="60">
        <f>3.9583 * CHOOSE(CONTROL!$C$21, $C$12, 100%, $E$12)</f>
        <v>3.9582999999999999</v>
      </c>
      <c r="E198" s="61">
        <f>4.4956 * CHOOSE(CONTROL!$C$21, $C$12, 100%, $E$12)</f>
        <v>4.4955999999999996</v>
      </c>
      <c r="F198" s="61">
        <f>4.4956 * CHOOSE(CONTROL!$C$21, $C$12, 100%, $E$12)</f>
        <v>4.4955999999999996</v>
      </c>
      <c r="G198" s="61">
        <f>4.4957 * CHOOSE(CONTROL!$C$21, $C$12, 100%, $E$12)</f>
        <v>4.4957000000000003</v>
      </c>
      <c r="H198" s="61">
        <f>8.3701* CHOOSE(CONTROL!$C$21, $C$12, 100%, $E$12)</f>
        <v>8.3701000000000008</v>
      </c>
      <c r="I198" s="61">
        <f>8.3703 * CHOOSE(CONTROL!$C$21, $C$12, 100%, $E$12)</f>
        <v>8.3703000000000003</v>
      </c>
      <c r="J198" s="61">
        <f>4.4956 * CHOOSE(CONTROL!$C$21, $C$12, 100%, $E$12)</f>
        <v>4.4955999999999996</v>
      </c>
      <c r="K198" s="61">
        <f>4.4957 * CHOOSE(CONTROL!$C$21, $C$12, 100%, $E$12)</f>
        <v>4.4957000000000003</v>
      </c>
    </row>
    <row r="199" spans="1:11" ht="15">
      <c r="A199" s="13">
        <v>47939</v>
      </c>
      <c r="B199" s="60">
        <f>3.9454 * CHOOSE(CONTROL!$C$21, $C$12, 100%, $E$12)</f>
        <v>3.9453999999999998</v>
      </c>
      <c r="C199" s="60">
        <f>3.9454 * CHOOSE(CONTROL!$C$21, $C$12, 100%, $E$12)</f>
        <v>3.9453999999999998</v>
      </c>
      <c r="D199" s="60">
        <f>3.9559 * CHOOSE(CONTROL!$C$21, $C$12, 100%, $E$12)</f>
        <v>3.9559000000000002</v>
      </c>
      <c r="E199" s="61">
        <f>4.5339 * CHOOSE(CONTROL!$C$21, $C$12, 100%, $E$12)</f>
        <v>4.5339</v>
      </c>
      <c r="F199" s="61">
        <f>4.5339 * CHOOSE(CONTROL!$C$21, $C$12, 100%, $E$12)</f>
        <v>4.5339</v>
      </c>
      <c r="G199" s="61">
        <f>4.5341 * CHOOSE(CONTROL!$C$21, $C$12, 100%, $E$12)</f>
        <v>4.5340999999999996</v>
      </c>
      <c r="H199" s="61">
        <f>8.3876* CHOOSE(CONTROL!$C$21, $C$12, 100%, $E$12)</f>
        <v>8.3876000000000008</v>
      </c>
      <c r="I199" s="61">
        <f>8.3877 * CHOOSE(CONTROL!$C$21, $C$12, 100%, $E$12)</f>
        <v>8.3877000000000006</v>
      </c>
      <c r="J199" s="61">
        <f>4.5339 * CHOOSE(CONTROL!$C$21, $C$12, 100%, $E$12)</f>
        <v>4.5339</v>
      </c>
      <c r="K199" s="61">
        <f>4.5341 * CHOOSE(CONTROL!$C$21, $C$12, 100%, $E$12)</f>
        <v>4.5340999999999996</v>
      </c>
    </row>
    <row r="200" spans="1:11" ht="15">
      <c r="A200" s="13">
        <v>47969</v>
      </c>
      <c r="B200" s="60">
        <f>3.9454 * CHOOSE(CONTROL!$C$21, $C$12, 100%, $E$12)</f>
        <v>3.9453999999999998</v>
      </c>
      <c r="C200" s="60">
        <f>3.9454 * CHOOSE(CONTROL!$C$21, $C$12, 100%, $E$12)</f>
        <v>3.9453999999999998</v>
      </c>
      <c r="D200" s="60">
        <f>3.9665 * CHOOSE(CONTROL!$C$21, $C$12, 100%, $E$12)</f>
        <v>3.9664999999999999</v>
      </c>
      <c r="E200" s="61">
        <f>4.5498 * CHOOSE(CONTROL!$C$21, $C$12, 100%, $E$12)</f>
        <v>4.5498000000000003</v>
      </c>
      <c r="F200" s="61">
        <f>4.5498 * CHOOSE(CONTROL!$C$21, $C$12, 100%, $E$12)</f>
        <v>4.5498000000000003</v>
      </c>
      <c r="G200" s="61">
        <f>4.5512 * CHOOSE(CONTROL!$C$21, $C$12, 100%, $E$12)</f>
        <v>4.5511999999999997</v>
      </c>
      <c r="H200" s="61">
        <f>8.405* CHOOSE(CONTROL!$C$21, $C$12, 100%, $E$12)</f>
        <v>8.4049999999999994</v>
      </c>
      <c r="I200" s="61">
        <f>8.4064 * CHOOSE(CONTROL!$C$21, $C$12, 100%, $E$12)</f>
        <v>8.4063999999999997</v>
      </c>
      <c r="J200" s="61">
        <f>4.5498 * CHOOSE(CONTROL!$C$21, $C$12, 100%, $E$12)</f>
        <v>4.5498000000000003</v>
      </c>
      <c r="K200" s="61">
        <f>4.5512 * CHOOSE(CONTROL!$C$21, $C$12, 100%, $E$12)</f>
        <v>4.5511999999999997</v>
      </c>
    </row>
    <row r="201" spans="1:11" ht="15">
      <c r="A201" s="13">
        <v>48000</v>
      </c>
      <c r="B201" s="60">
        <f>3.9515 * CHOOSE(CONTROL!$C$21, $C$12, 100%, $E$12)</f>
        <v>3.9514999999999998</v>
      </c>
      <c r="C201" s="60">
        <f>3.9515 * CHOOSE(CONTROL!$C$21, $C$12, 100%, $E$12)</f>
        <v>3.9514999999999998</v>
      </c>
      <c r="D201" s="60">
        <f>3.9726 * CHOOSE(CONTROL!$C$21, $C$12, 100%, $E$12)</f>
        <v>3.9725999999999999</v>
      </c>
      <c r="E201" s="61">
        <f>4.5381 * CHOOSE(CONTROL!$C$21, $C$12, 100%, $E$12)</f>
        <v>4.5381</v>
      </c>
      <c r="F201" s="61">
        <f>4.5381 * CHOOSE(CONTROL!$C$21, $C$12, 100%, $E$12)</f>
        <v>4.5381</v>
      </c>
      <c r="G201" s="61">
        <f>4.5395 * CHOOSE(CONTROL!$C$21, $C$12, 100%, $E$12)</f>
        <v>4.5395000000000003</v>
      </c>
      <c r="H201" s="61">
        <f>8.4226* CHOOSE(CONTROL!$C$21, $C$12, 100%, $E$12)</f>
        <v>8.4225999999999992</v>
      </c>
      <c r="I201" s="61">
        <f>8.4239 * CHOOSE(CONTROL!$C$21, $C$12, 100%, $E$12)</f>
        <v>8.4238999999999997</v>
      </c>
      <c r="J201" s="61">
        <f>4.5381 * CHOOSE(CONTROL!$C$21, $C$12, 100%, $E$12)</f>
        <v>4.5381</v>
      </c>
      <c r="K201" s="61">
        <f>4.5395 * CHOOSE(CONTROL!$C$21, $C$12, 100%, $E$12)</f>
        <v>4.5395000000000003</v>
      </c>
    </row>
    <row r="202" spans="1:11" ht="15">
      <c r="A202" s="13">
        <v>48030</v>
      </c>
      <c r="B202" s="60">
        <f>4.021 * CHOOSE(CONTROL!$C$21, $C$12, 100%, $E$12)</f>
        <v>4.0209999999999999</v>
      </c>
      <c r="C202" s="60">
        <f>4.021 * CHOOSE(CONTROL!$C$21, $C$12, 100%, $E$12)</f>
        <v>4.0209999999999999</v>
      </c>
      <c r="D202" s="60">
        <f>4.0421 * CHOOSE(CONTROL!$C$21, $C$12, 100%, $E$12)</f>
        <v>4.0420999999999996</v>
      </c>
      <c r="E202" s="61">
        <f>4.6515 * CHOOSE(CONTROL!$C$21, $C$12, 100%, $E$12)</f>
        <v>4.6515000000000004</v>
      </c>
      <c r="F202" s="61">
        <f>4.6515 * CHOOSE(CONTROL!$C$21, $C$12, 100%, $E$12)</f>
        <v>4.6515000000000004</v>
      </c>
      <c r="G202" s="61">
        <f>4.6528 * CHOOSE(CONTROL!$C$21, $C$12, 100%, $E$12)</f>
        <v>4.6528</v>
      </c>
      <c r="H202" s="61">
        <f>8.4401* CHOOSE(CONTROL!$C$21, $C$12, 100%, $E$12)</f>
        <v>8.4400999999999993</v>
      </c>
      <c r="I202" s="61">
        <f>8.4415 * CHOOSE(CONTROL!$C$21, $C$12, 100%, $E$12)</f>
        <v>8.4414999999999996</v>
      </c>
      <c r="J202" s="61">
        <f>4.6515 * CHOOSE(CONTROL!$C$21, $C$12, 100%, $E$12)</f>
        <v>4.6515000000000004</v>
      </c>
      <c r="K202" s="61">
        <f>4.6528 * CHOOSE(CONTROL!$C$21, $C$12, 100%, $E$12)</f>
        <v>4.6528</v>
      </c>
    </row>
    <row r="203" spans="1:11" ht="15">
      <c r="A203" s="13">
        <v>48061</v>
      </c>
      <c r="B203" s="60">
        <f>4.0277 * CHOOSE(CONTROL!$C$21, $C$12, 100%, $E$12)</f>
        <v>4.0277000000000003</v>
      </c>
      <c r="C203" s="60">
        <f>4.0277 * CHOOSE(CONTROL!$C$21, $C$12, 100%, $E$12)</f>
        <v>4.0277000000000003</v>
      </c>
      <c r="D203" s="60">
        <f>4.0488 * CHOOSE(CONTROL!$C$21, $C$12, 100%, $E$12)</f>
        <v>4.0488</v>
      </c>
      <c r="E203" s="61">
        <f>4.6083 * CHOOSE(CONTROL!$C$21, $C$12, 100%, $E$12)</f>
        <v>4.6082999999999998</v>
      </c>
      <c r="F203" s="61">
        <f>4.6083 * CHOOSE(CONTROL!$C$21, $C$12, 100%, $E$12)</f>
        <v>4.6082999999999998</v>
      </c>
      <c r="G203" s="61">
        <f>4.6096 * CHOOSE(CONTROL!$C$21, $C$12, 100%, $E$12)</f>
        <v>4.6096000000000004</v>
      </c>
      <c r="H203" s="61">
        <f>8.4577* CHOOSE(CONTROL!$C$21, $C$12, 100%, $E$12)</f>
        <v>8.4577000000000009</v>
      </c>
      <c r="I203" s="61">
        <f>8.4591 * CHOOSE(CONTROL!$C$21, $C$12, 100%, $E$12)</f>
        <v>8.4590999999999994</v>
      </c>
      <c r="J203" s="61">
        <f>4.6083 * CHOOSE(CONTROL!$C$21, $C$12, 100%, $E$12)</f>
        <v>4.6082999999999998</v>
      </c>
      <c r="K203" s="61">
        <f>4.6096 * CHOOSE(CONTROL!$C$21, $C$12, 100%, $E$12)</f>
        <v>4.6096000000000004</v>
      </c>
    </row>
    <row r="204" spans="1:11" ht="15">
      <c r="A204" s="13">
        <v>48092</v>
      </c>
      <c r="B204" s="60">
        <f>4.0246 * CHOOSE(CONTROL!$C$21, $C$12, 100%, $E$12)</f>
        <v>4.0246000000000004</v>
      </c>
      <c r="C204" s="60">
        <f>4.0246 * CHOOSE(CONTROL!$C$21, $C$12, 100%, $E$12)</f>
        <v>4.0246000000000004</v>
      </c>
      <c r="D204" s="60">
        <f>4.0457 * CHOOSE(CONTROL!$C$21, $C$12, 100%, $E$12)</f>
        <v>4.0457000000000001</v>
      </c>
      <c r="E204" s="61">
        <f>4.6008 * CHOOSE(CONTROL!$C$21, $C$12, 100%, $E$12)</f>
        <v>4.6007999999999996</v>
      </c>
      <c r="F204" s="61">
        <f>4.6008 * CHOOSE(CONTROL!$C$21, $C$12, 100%, $E$12)</f>
        <v>4.6007999999999996</v>
      </c>
      <c r="G204" s="61">
        <f>4.6022 * CHOOSE(CONTROL!$C$21, $C$12, 100%, $E$12)</f>
        <v>4.6021999999999998</v>
      </c>
      <c r="H204" s="61">
        <f>8.4753* CHOOSE(CONTROL!$C$21, $C$12, 100%, $E$12)</f>
        <v>8.4753000000000007</v>
      </c>
      <c r="I204" s="61">
        <f>8.4767 * CHOOSE(CONTROL!$C$21, $C$12, 100%, $E$12)</f>
        <v>8.4766999999999992</v>
      </c>
      <c r="J204" s="61">
        <f>4.6008 * CHOOSE(CONTROL!$C$21, $C$12, 100%, $E$12)</f>
        <v>4.6007999999999996</v>
      </c>
      <c r="K204" s="61">
        <f>4.6022 * CHOOSE(CONTROL!$C$21, $C$12, 100%, $E$12)</f>
        <v>4.6021999999999998</v>
      </c>
    </row>
    <row r="205" spans="1:11" ht="15">
      <c r="A205" s="13">
        <v>48122</v>
      </c>
      <c r="B205" s="60">
        <f>4.02 * CHOOSE(CONTROL!$C$21, $C$12, 100%, $E$12)</f>
        <v>4.0199999999999996</v>
      </c>
      <c r="C205" s="60">
        <f>4.02 * CHOOSE(CONTROL!$C$21, $C$12, 100%, $E$12)</f>
        <v>4.0199999999999996</v>
      </c>
      <c r="D205" s="60">
        <f>4.0306 * CHOOSE(CONTROL!$C$21, $C$12, 100%, $E$12)</f>
        <v>4.0305999999999997</v>
      </c>
      <c r="E205" s="61">
        <f>4.6087 * CHOOSE(CONTROL!$C$21, $C$12, 100%, $E$12)</f>
        <v>4.6086999999999998</v>
      </c>
      <c r="F205" s="61">
        <f>4.6087 * CHOOSE(CONTROL!$C$21, $C$12, 100%, $E$12)</f>
        <v>4.6086999999999998</v>
      </c>
      <c r="G205" s="61">
        <f>4.6089 * CHOOSE(CONTROL!$C$21, $C$12, 100%, $E$12)</f>
        <v>4.6089000000000002</v>
      </c>
      <c r="H205" s="61">
        <f>8.493* CHOOSE(CONTROL!$C$21, $C$12, 100%, $E$12)</f>
        <v>8.4930000000000003</v>
      </c>
      <c r="I205" s="61">
        <f>8.4931 * CHOOSE(CONTROL!$C$21, $C$12, 100%, $E$12)</f>
        <v>8.4931000000000001</v>
      </c>
      <c r="J205" s="61">
        <f>4.6087 * CHOOSE(CONTROL!$C$21, $C$12, 100%, $E$12)</f>
        <v>4.6086999999999998</v>
      </c>
      <c r="K205" s="61">
        <f>4.6089 * CHOOSE(CONTROL!$C$21, $C$12, 100%, $E$12)</f>
        <v>4.6089000000000002</v>
      </c>
    </row>
    <row r="206" spans="1:11" ht="15">
      <c r="A206" s="13">
        <v>48153</v>
      </c>
      <c r="B206" s="60">
        <f>4.0231 * CHOOSE(CONTROL!$C$21, $C$12, 100%, $E$12)</f>
        <v>4.0231000000000003</v>
      </c>
      <c r="C206" s="60">
        <f>4.0231 * CHOOSE(CONTROL!$C$21, $C$12, 100%, $E$12)</f>
        <v>4.0231000000000003</v>
      </c>
      <c r="D206" s="60">
        <f>4.0336 * CHOOSE(CONTROL!$C$21, $C$12, 100%, $E$12)</f>
        <v>4.0335999999999999</v>
      </c>
      <c r="E206" s="61">
        <f>4.6214 * CHOOSE(CONTROL!$C$21, $C$12, 100%, $E$12)</f>
        <v>4.6214000000000004</v>
      </c>
      <c r="F206" s="61">
        <f>4.6214 * CHOOSE(CONTROL!$C$21, $C$12, 100%, $E$12)</f>
        <v>4.6214000000000004</v>
      </c>
      <c r="G206" s="61">
        <f>4.6216 * CHOOSE(CONTROL!$C$21, $C$12, 100%, $E$12)</f>
        <v>4.6215999999999999</v>
      </c>
      <c r="H206" s="61">
        <f>8.5107* CHOOSE(CONTROL!$C$21, $C$12, 100%, $E$12)</f>
        <v>8.5106999999999999</v>
      </c>
      <c r="I206" s="61">
        <f>8.5108 * CHOOSE(CONTROL!$C$21, $C$12, 100%, $E$12)</f>
        <v>8.5107999999999997</v>
      </c>
      <c r="J206" s="61">
        <f>4.6214 * CHOOSE(CONTROL!$C$21, $C$12, 100%, $E$12)</f>
        <v>4.6214000000000004</v>
      </c>
      <c r="K206" s="61">
        <f>4.6216 * CHOOSE(CONTROL!$C$21, $C$12, 100%, $E$12)</f>
        <v>4.6215999999999999</v>
      </c>
    </row>
    <row r="207" spans="1:11" ht="15">
      <c r="A207" s="13">
        <v>48183</v>
      </c>
      <c r="B207" s="60">
        <f>4.0231 * CHOOSE(CONTROL!$C$21, $C$12, 100%, $E$12)</f>
        <v>4.0231000000000003</v>
      </c>
      <c r="C207" s="60">
        <f>4.0231 * CHOOSE(CONTROL!$C$21, $C$12, 100%, $E$12)</f>
        <v>4.0231000000000003</v>
      </c>
      <c r="D207" s="60">
        <f>4.0336 * CHOOSE(CONTROL!$C$21, $C$12, 100%, $E$12)</f>
        <v>4.0335999999999999</v>
      </c>
      <c r="E207" s="61">
        <f>4.5948 * CHOOSE(CONTROL!$C$21, $C$12, 100%, $E$12)</f>
        <v>4.5948000000000002</v>
      </c>
      <c r="F207" s="61">
        <f>4.5948 * CHOOSE(CONTROL!$C$21, $C$12, 100%, $E$12)</f>
        <v>4.5948000000000002</v>
      </c>
      <c r="G207" s="61">
        <f>4.595 * CHOOSE(CONTROL!$C$21, $C$12, 100%, $E$12)</f>
        <v>4.5949999999999998</v>
      </c>
      <c r="H207" s="61">
        <f>8.5284* CHOOSE(CONTROL!$C$21, $C$12, 100%, $E$12)</f>
        <v>8.5283999999999995</v>
      </c>
      <c r="I207" s="61">
        <f>8.5286 * CHOOSE(CONTROL!$C$21, $C$12, 100%, $E$12)</f>
        <v>8.5286000000000008</v>
      </c>
      <c r="J207" s="61">
        <f>4.5948 * CHOOSE(CONTROL!$C$21, $C$12, 100%, $E$12)</f>
        <v>4.5948000000000002</v>
      </c>
      <c r="K207" s="61">
        <f>4.595 * CHOOSE(CONTROL!$C$21, $C$12, 100%, $E$12)</f>
        <v>4.5949999999999998</v>
      </c>
    </row>
    <row r="208" spans="1:11" ht="15">
      <c r="A208" s="13">
        <v>48214</v>
      </c>
      <c r="B208" s="60">
        <f>4.0668 * CHOOSE(CONTROL!$C$21, $C$12, 100%, $E$12)</f>
        <v>4.0667999999999997</v>
      </c>
      <c r="C208" s="60">
        <f>4.0668 * CHOOSE(CONTROL!$C$21, $C$12, 100%, $E$12)</f>
        <v>4.0667999999999997</v>
      </c>
      <c r="D208" s="60">
        <f>4.0774 * CHOOSE(CONTROL!$C$21, $C$12, 100%, $E$12)</f>
        <v>4.0773999999999999</v>
      </c>
      <c r="E208" s="61">
        <f>4.6594 * CHOOSE(CONTROL!$C$21, $C$12, 100%, $E$12)</f>
        <v>4.6593999999999998</v>
      </c>
      <c r="F208" s="61">
        <f>4.6594 * CHOOSE(CONTROL!$C$21, $C$12, 100%, $E$12)</f>
        <v>4.6593999999999998</v>
      </c>
      <c r="G208" s="61">
        <f>4.6595 * CHOOSE(CONTROL!$C$21, $C$12, 100%, $E$12)</f>
        <v>4.6595000000000004</v>
      </c>
      <c r="H208" s="61">
        <f>8.5462* CHOOSE(CONTROL!$C$21, $C$12, 100%, $E$12)</f>
        <v>8.5462000000000007</v>
      </c>
      <c r="I208" s="61">
        <f>8.5463 * CHOOSE(CONTROL!$C$21, $C$12, 100%, $E$12)</f>
        <v>8.5463000000000005</v>
      </c>
      <c r="J208" s="61">
        <f>4.6594 * CHOOSE(CONTROL!$C$21, $C$12, 100%, $E$12)</f>
        <v>4.6593999999999998</v>
      </c>
      <c r="K208" s="61">
        <f>4.6595 * CHOOSE(CONTROL!$C$21, $C$12, 100%, $E$12)</f>
        <v>4.6595000000000004</v>
      </c>
    </row>
    <row r="209" spans="1:11" ht="15">
      <c r="A209" s="13">
        <v>48245</v>
      </c>
      <c r="B209" s="60">
        <f>4.0637 * CHOOSE(CONTROL!$C$21, $C$12, 100%, $E$12)</f>
        <v>4.0636999999999999</v>
      </c>
      <c r="C209" s="60">
        <f>4.0637 * CHOOSE(CONTROL!$C$21, $C$12, 100%, $E$12)</f>
        <v>4.0636999999999999</v>
      </c>
      <c r="D209" s="60">
        <f>4.0743 * CHOOSE(CONTROL!$C$21, $C$12, 100%, $E$12)</f>
        <v>4.0743</v>
      </c>
      <c r="E209" s="61">
        <f>4.6056 * CHOOSE(CONTROL!$C$21, $C$12, 100%, $E$12)</f>
        <v>4.6055999999999999</v>
      </c>
      <c r="F209" s="61">
        <f>4.6056 * CHOOSE(CONTROL!$C$21, $C$12, 100%, $E$12)</f>
        <v>4.6055999999999999</v>
      </c>
      <c r="G209" s="61">
        <f>4.6058 * CHOOSE(CONTROL!$C$21, $C$12, 100%, $E$12)</f>
        <v>4.6058000000000003</v>
      </c>
      <c r="H209" s="61">
        <f>8.564* CHOOSE(CONTROL!$C$21, $C$12, 100%, $E$12)</f>
        <v>8.5640000000000001</v>
      </c>
      <c r="I209" s="61">
        <f>8.5641 * CHOOSE(CONTROL!$C$21, $C$12, 100%, $E$12)</f>
        <v>8.5640999999999998</v>
      </c>
      <c r="J209" s="61">
        <f>4.6056 * CHOOSE(CONTROL!$C$21, $C$12, 100%, $E$12)</f>
        <v>4.6055999999999999</v>
      </c>
      <c r="K209" s="61">
        <f>4.6058 * CHOOSE(CONTROL!$C$21, $C$12, 100%, $E$12)</f>
        <v>4.6058000000000003</v>
      </c>
    </row>
    <row r="210" spans="1:11" ht="15">
      <c r="A210" s="13">
        <v>48274</v>
      </c>
      <c r="B210" s="60">
        <f>4.0607 * CHOOSE(CONTROL!$C$21, $C$12, 100%, $E$12)</f>
        <v>4.0606999999999998</v>
      </c>
      <c r="C210" s="60">
        <f>4.0607 * CHOOSE(CONTROL!$C$21, $C$12, 100%, $E$12)</f>
        <v>4.0606999999999998</v>
      </c>
      <c r="D210" s="60">
        <f>4.0713 * CHOOSE(CONTROL!$C$21, $C$12, 100%, $E$12)</f>
        <v>4.0712999999999999</v>
      </c>
      <c r="E210" s="61">
        <f>4.6442 * CHOOSE(CONTROL!$C$21, $C$12, 100%, $E$12)</f>
        <v>4.6441999999999997</v>
      </c>
      <c r="F210" s="61">
        <f>4.6442 * CHOOSE(CONTROL!$C$21, $C$12, 100%, $E$12)</f>
        <v>4.6441999999999997</v>
      </c>
      <c r="G210" s="61">
        <f>4.6444 * CHOOSE(CONTROL!$C$21, $C$12, 100%, $E$12)</f>
        <v>4.6444000000000001</v>
      </c>
      <c r="H210" s="61">
        <f>8.5818* CHOOSE(CONTROL!$C$21, $C$12, 100%, $E$12)</f>
        <v>8.5817999999999994</v>
      </c>
      <c r="I210" s="61">
        <f>8.582 * CHOOSE(CONTROL!$C$21, $C$12, 100%, $E$12)</f>
        <v>8.5820000000000007</v>
      </c>
      <c r="J210" s="61">
        <f>4.6442 * CHOOSE(CONTROL!$C$21, $C$12, 100%, $E$12)</f>
        <v>4.6441999999999997</v>
      </c>
      <c r="K210" s="61">
        <f>4.6444 * CHOOSE(CONTROL!$C$21, $C$12, 100%, $E$12)</f>
        <v>4.6444000000000001</v>
      </c>
    </row>
    <row r="211" spans="1:11" ht="15">
      <c r="A211" s="13">
        <v>48305</v>
      </c>
      <c r="B211" s="60">
        <f>4.0585 * CHOOSE(CONTROL!$C$21, $C$12, 100%, $E$12)</f>
        <v>4.0585000000000004</v>
      </c>
      <c r="C211" s="60">
        <f>4.0585 * CHOOSE(CONTROL!$C$21, $C$12, 100%, $E$12)</f>
        <v>4.0585000000000004</v>
      </c>
      <c r="D211" s="60">
        <f>4.069 * CHOOSE(CONTROL!$C$21, $C$12, 100%, $E$12)</f>
        <v>4.069</v>
      </c>
      <c r="E211" s="61">
        <f>4.6837 * CHOOSE(CONTROL!$C$21, $C$12, 100%, $E$12)</f>
        <v>4.6837</v>
      </c>
      <c r="F211" s="61">
        <f>4.6837 * CHOOSE(CONTROL!$C$21, $C$12, 100%, $E$12)</f>
        <v>4.6837</v>
      </c>
      <c r="G211" s="61">
        <f>4.6838 * CHOOSE(CONTROL!$C$21, $C$12, 100%, $E$12)</f>
        <v>4.6837999999999997</v>
      </c>
      <c r="H211" s="61">
        <f>8.5997* CHOOSE(CONTROL!$C$21, $C$12, 100%, $E$12)</f>
        <v>8.5997000000000003</v>
      </c>
      <c r="I211" s="61">
        <f>8.5999 * CHOOSE(CONTROL!$C$21, $C$12, 100%, $E$12)</f>
        <v>8.5998999999999999</v>
      </c>
      <c r="J211" s="61">
        <f>4.6837 * CHOOSE(CONTROL!$C$21, $C$12, 100%, $E$12)</f>
        <v>4.6837</v>
      </c>
      <c r="K211" s="61">
        <f>4.6838 * CHOOSE(CONTROL!$C$21, $C$12, 100%, $E$12)</f>
        <v>4.6837999999999997</v>
      </c>
    </row>
    <row r="212" spans="1:11" ht="15">
      <c r="A212" s="13">
        <v>48335</v>
      </c>
      <c r="B212" s="60">
        <f>4.0585 * CHOOSE(CONTROL!$C$21, $C$12, 100%, $E$12)</f>
        <v>4.0585000000000004</v>
      </c>
      <c r="C212" s="60">
        <f>4.0585 * CHOOSE(CONTROL!$C$21, $C$12, 100%, $E$12)</f>
        <v>4.0585000000000004</v>
      </c>
      <c r="D212" s="60">
        <f>4.0796 * CHOOSE(CONTROL!$C$21, $C$12, 100%, $E$12)</f>
        <v>4.0796000000000001</v>
      </c>
      <c r="E212" s="61">
        <f>4.7 * CHOOSE(CONTROL!$C$21, $C$12, 100%, $E$12)</f>
        <v>4.7</v>
      </c>
      <c r="F212" s="61">
        <f>4.7 * CHOOSE(CONTROL!$C$21, $C$12, 100%, $E$12)</f>
        <v>4.7</v>
      </c>
      <c r="G212" s="61">
        <f>4.7014 * CHOOSE(CONTROL!$C$21, $C$12, 100%, $E$12)</f>
        <v>4.7013999999999996</v>
      </c>
      <c r="H212" s="61">
        <f>8.6176* CHOOSE(CONTROL!$C$21, $C$12, 100%, $E$12)</f>
        <v>8.6175999999999995</v>
      </c>
      <c r="I212" s="61">
        <f>8.619 * CHOOSE(CONTROL!$C$21, $C$12, 100%, $E$12)</f>
        <v>8.6189999999999998</v>
      </c>
      <c r="J212" s="61">
        <f>4.7 * CHOOSE(CONTROL!$C$21, $C$12, 100%, $E$12)</f>
        <v>4.7</v>
      </c>
      <c r="K212" s="61">
        <f>4.7014 * CHOOSE(CONTROL!$C$21, $C$12, 100%, $E$12)</f>
        <v>4.7013999999999996</v>
      </c>
    </row>
    <row r="213" spans="1:11" ht="15">
      <c r="A213" s="13">
        <v>48366</v>
      </c>
      <c r="B213" s="60">
        <f>4.0646 * CHOOSE(CONTROL!$C$21, $C$12, 100%, $E$12)</f>
        <v>4.0646000000000004</v>
      </c>
      <c r="C213" s="60">
        <f>4.0646 * CHOOSE(CONTROL!$C$21, $C$12, 100%, $E$12)</f>
        <v>4.0646000000000004</v>
      </c>
      <c r="D213" s="60">
        <f>4.0857 * CHOOSE(CONTROL!$C$21, $C$12, 100%, $E$12)</f>
        <v>4.0857000000000001</v>
      </c>
      <c r="E213" s="61">
        <f>4.6879 * CHOOSE(CONTROL!$C$21, $C$12, 100%, $E$12)</f>
        <v>4.6879</v>
      </c>
      <c r="F213" s="61">
        <f>4.6879 * CHOOSE(CONTROL!$C$21, $C$12, 100%, $E$12)</f>
        <v>4.6879</v>
      </c>
      <c r="G213" s="61">
        <f>4.6893 * CHOOSE(CONTROL!$C$21, $C$12, 100%, $E$12)</f>
        <v>4.6893000000000002</v>
      </c>
      <c r="H213" s="61">
        <f>8.6355* CHOOSE(CONTROL!$C$21, $C$12, 100%, $E$12)</f>
        <v>8.6355000000000004</v>
      </c>
      <c r="I213" s="61">
        <f>8.6369 * CHOOSE(CONTROL!$C$21, $C$12, 100%, $E$12)</f>
        <v>8.6369000000000007</v>
      </c>
      <c r="J213" s="61">
        <f>4.6879 * CHOOSE(CONTROL!$C$21, $C$12, 100%, $E$12)</f>
        <v>4.6879</v>
      </c>
      <c r="K213" s="61">
        <f>4.6893 * CHOOSE(CONTROL!$C$21, $C$12, 100%, $E$12)</f>
        <v>4.6893000000000002</v>
      </c>
    </row>
    <row r="214" spans="1:11" ht="15">
      <c r="A214" s="13">
        <v>48396</v>
      </c>
      <c r="B214" s="60">
        <f>4.1497 * CHOOSE(CONTROL!$C$21, $C$12, 100%, $E$12)</f>
        <v>4.1497000000000002</v>
      </c>
      <c r="C214" s="60">
        <f>4.1497 * CHOOSE(CONTROL!$C$21, $C$12, 100%, $E$12)</f>
        <v>4.1497000000000002</v>
      </c>
      <c r="D214" s="60">
        <f>4.1708 * CHOOSE(CONTROL!$C$21, $C$12, 100%, $E$12)</f>
        <v>4.1707999999999998</v>
      </c>
      <c r="E214" s="61">
        <f>4.7922 * CHOOSE(CONTROL!$C$21, $C$12, 100%, $E$12)</f>
        <v>4.7922000000000002</v>
      </c>
      <c r="F214" s="61">
        <f>4.7922 * CHOOSE(CONTROL!$C$21, $C$12, 100%, $E$12)</f>
        <v>4.7922000000000002</v>
      </c>
      <c r="G214" s="61">
        <f>4.7935 * CHOOSE(CONTROL!$C$21, $C$12, 100%, $E$12)</f>
        <v>4.7934999999999999</v>
      </c>
      <c r="H214" s="61">
        <f>8.6535* CHOOSE(CONTROL!$C$21, $C$12, 100%, $E$12)</f>
        <v>8.6534999999999993</v>
      </c>
      <c r="I214" s="61">
        <f>8.6549 * CHOOSE(CONTROL!$C$21, $C$12, 100%, $E$12)</f>
        <v>8.6548999999999996</v>
      </c>
      <c r="J214" s="61">
        <f>4.7922 * CHOOSE(CONTROL!$C$21, $C$12, 100%, $E$12)</f>
        <v>4.7922000000000002</v>
      </c>
      <c r="K214" s="61">
        <f>4.7935 * CHOOSE(CONTROL!$C$21, $C$12, 100%, $E$12)</f>
        <v>4.7934999999999999</v>
      </c>
    </row>
    <row r="215" spans="1:11" ht="15">
      <c r="A215" s="13">
        <v>48427</v>
      </c>
      <c r="B215" s="60">
        <f>4.1564 * CHOOSE(CONTROL!$C$21, $C$12, 100%, $E$12)</f>
        <v>4.1563999999999997</v>
      </c>
      <c r="C215" s="60">
        <f>4.1564 * CHOOSE(CONTROL!$C$21, $C$12, 100%, $E$12)</f>
        <v>4.1563999999999997</v>
      </c>
      <c r="D215" s="60">
        <f>4.1775 * CHOOSE(CONTROL!$C$21, $C$12, 100%, $E$12)</f>
        <v>4.1775000000000002</v>
      </c>
      <c r="E215" s="61">
        <f>4.7477 * CHOOSE(CONTROL!$C$21, $C$12, 100%, $E$12)</f>
        <v>4.7477</v>
      </c>
      <c r="F215" s="61">
        <f>4.7477 * CHOOSE(CONTROL!$C$21, $C$12, 100%, $E$12)</f>
        <v>4.7477</v>
      </c>
      <c r="G215" s="61">
        <f>4.749 * CHOOSE(CONTROL!$C$21, $C$12, 100%, $E$12)</f>
        <v>4.7489999999999997</v>
      </c>
      <c r="H215" s="61">
        <f>8.6716* CHOOSE(CONTROL!$C$21, $C$12, 100%, $E$12)</f>
        <v>8.6715999999999998</v>
      </c>
      <c r="I215" s="61">
        <f>8.6729 * CHOOSE(CONTROL!$C$21, $C$12, 100%, $E$12)</f>
        <v>8.6729000000000003</v>
      </c>
      <c r="J215" s="61">
        <f>4.7477 * CHOOSE(CONTROL!$C$21, $C$12, 100%, $E$12)</f>
        <v>4.7477</v>
      </c>
      <c r="K215" s="61">
        <f>4.749 * CHOOSE(CONTROL!$C$21, $C$12, 100%, $E$12)</f>
        <v>4.7489999999999997</v>
      </c>
    </row>
    <row r="216" spans="1:11" ht="15">
      <c r="A216" s="13">
        <v>48458</v>
      </c>
      <c r="B216" s="60">
        <f>4.1533 * CHOOSE(CONTROL!$C$21, $C$12, 100%, $E$12)</f>
        <v>4.1532999999999998</v>
      </c>
      <c r="C216" s="60">
        <f>4.1533 * CHOOSE(CONTROL!$C$21, $C$12, 100%, $E$12)</f>
        <v>4.1532999999999998</v>
      </c>
      <c r="D216" s="60">
        <f>4.1744 * CHOOSE(CONTROL!$C$21, $C$12, 100%, $E$12)</f>
        <v>4.1744000000000003</v>
      </c>
      <c r="E216" s="61">
        <f>4.7401 * CHOOSE(CONTROL!$C$21, $C$12, 100%, $E$12)</f>
        <v>4.7401</v>
      </c>
      <c r="F216" s="61">
        <f>4.7401 * CHOOSE(CONTROL!$C$21, $C$12, 100%, $E$12)</f>
        <v>4.7401</v>
      </c>
      <c r="G216" s="61">
        <f>4.7415 * CHOOSE(CONTROL!$C$21, $C$12, 100%, $E$12)</f>
        <v>4.7415000000000003</v>
      </c>
      <c r="H216" s="61">
        <f>8.6896* CHOOSE(CONTROL!$C$21, $C$12, 100%, $E$12)</f>
        <v>8.6896000000000004</v>
      </c>
      <c r="I216" s="61">
        <f>8.691 * CHOOSE(CONTROL!$C$21, $C$12, 100%, $E$12)</f>
        <v>8.6910000000000007</v>
      </c>
      <c r="J216" s="61">
        <f>4.7401 * CHOOSE(CONTROL!$C$21, $C$12, 100%, $E$12)</f>
        <v>4.7401</v>
      </c>
      <c r="K216" s="61">
        <f>4.7415 * CHOOSE(CONTROL!$C$21, $C$12, 100%, $E$12)</f>
        <v>4.7415000000000003</v>
      </c>
    </row>
    <row r="217" spans="1:11" ht="15">
      <c r="A217" s="13">
        <v>48488</v>
      </c>
      <c r="B217" s="60">
        <f>4.1491 * CHOOSE(CONTROL!$C$21, $C$12, 100%, $E$12)</f>
        <v>4.1490999999999998</v>
      </c>
      <c r="C217" s="60">
        <f>4.1491 * CHOOSE(CONTROL!$C$21, $C$12, 100%, $E$12)</f>
        <v>4.1490999999999998</v>
      </c>
      <c r="D217" s="60">
        <f>4.1597 * CHOOSE(CONTROL!$C$21, $C$12, 100%, $E$12)</f>
        <v>4.1597</v>
      </c>
      <c r="E217" s="61">
        <f>4.7485 * CHOOSE(CONTROL!$C$21, $C$12, 100%, $E$12)</f>
        <v>4.7484999999999999</v>
      </c>
      <c r="F217" s="61">
        <f>4.7485 * CHOOSE(CONTROL!$C$21, $C$12, 100%, $E$12)</f>
        <v>4.7484999999999999</v>
      </c>
      <c r="G217" s="61">
        <f>4.7487 * CHOOSE(CONTROL!$C$21, $C$12, 100%, $E$12)</f>
        <v>4.7487000000000004</v>
      </c>
      <c r="H217" s="61">
        <f>8.7077* CHOOSE(CONTROL!$C$21, $C$12, 100%, $E$12)</f>
        <v>8.7077000000000009</v>
      </c>
      <c r="I217" s="61">
        <f>8.7079 * CHOOSE(CONTROL!$C$21, $C$12, 100%, $E$12)</f>
        <v>8.7079000000000004</v>
      </c>
      <c r="J217" s="61">
        <f>4.7485 * CHOOSE(CONTROL!$C$21, $C$12, 100%, $E$12)</f>
        <v>4.7484999999999999</v>
      </c>
      <c r="K217" s="61">
        <f>4.7487 * CHOOSE(CONTROL!$C$21, $C$12, 100%, $E$12)</f>
        <v>4.7487000000000004</v>
      </c>
    </row>
    <row r="218" spans="1:11" ht="15">
      <c r="A218" s="13">
        <v>48519</v>
      </c>
      <c r="B218" s="60">
        <f>4.1522 * CHOOSE(CONTROL!$C$21, $C$12, 100%, $E$12)</f>
        <v>4.1521999999999997</v>
      </c>
      <c r="C218" s="60">
        <f>4.1522 * CHOOSE(CONTROL!$C$21, $C$12, 100%, $E$12)</f>
        <v>4.1521999999999997</v>
      </c>
      <c r="D218" s="60">
        <f>4.1627 * CHOOSE(CONTROL!$C$21, $C$12, 100%, $E$12)</f>
        <v>4.1627000000000001</v>
      </c>
      <c r="E218" s="61">
        <f>4.7616 * CHOOSE(CONTROL!$C$21, $C$12, 100%, $E$12)</f>
        <v>4.7615999999999996</v>
      </c>
      <c r="F218" s="61">
        <f>4.7616 * CHOOSE(CONTROL!$C$21, $C$12, 100%, $E$12)</f>
        <v>4.7615999999999996</v>
      </c>
      <c r="G218" s="61">
        <f>4.7617 * CHOOSE(CONTROL!$C$21, $C$12, 100%, $E$12)</f>
        <v>4.7617000000000003</v>
      </c>
      <c r="H218" s="61">
        <f>8.7259* CHOOSE(CONTROL!$C$21, $C$12, 100%, $E$12)</f>
        <v>8.7258999999999993</v>
      </c>
      <c r="I218" s="61">
        <f>8.7261 * CHOOSE(CONTROL!$C$21, $C$12, 100%, $E$12)</f>
        <v>8.7261000000000006</v>
      </c>
      <c r="J218" s="61">
        <f>4.7616 * CHOOSE(CONTROL!$C$21, $C$12, 100%, $E$12)</f>
        <v>4.7615999999999996</v>
      </c>
      <c r="K218" s="61">
        <f>4.7617 * CHOOSE(CONTROL!$C$21, $C$12, 100%, $E$12)</f>
        <v>4.7617000000000003</v>
      </c>
    </row>
    <row r="219" spans="1:11" ht="15">
      <c r="A219" s="13">
        <v>48549</v>
      </c>
      <c r="B219" s="60">
        <f>4.1522 * CHOOSE(CONTROL!$C$21, $C$12, 100%, $E$12)</f>
        <v>4.1521999999999997</v>
      </c>
      <c r="C219" s="60">
        <f>4.1522 * CHOOSE(CONTROL!$C$21, $C$12, 100%, $E$12)</f>
        <v>4.1521999999999997</v>
      </c>
      <c r="D219" s="60">
        <f>4.1627 * CHOOSE(CONTROL!$C$21, $C$12, 100%, $E$12)</f>
        <v>4.1627000000000001</v>
      </c>
      <c r="E219" s="61">
        <f>4.7343 * CHOOSE(CONTROL!$C$21, $C$12, 100%, $E$12)</f>
        <v>4.7343000000000002</v>
      </c>
      <c r="F219" s="61">
        <f>4.7343 * CHOOSE(CONTROL!$C$21, $C$12, 100%, $E$12)</f>
        <v>4.7343000000000002</v>
      </c>
      <c r="G219" s="61">
        <f>4.7344 * CHOOSE(CONTROL!$C$21, $C$12, 100%, $E$12)</f>
        <v>4.7343999999999999</v>
      </c>
      <c r="H219" s="61">
        <f>8.7441* CHOOSE(CONTROL!$C$21, $C$12, 100%, $E$12)</f>
        <v>8.7440999999999995</v>
      </c>
      <c r="I219" s="61">
        <f>8.7442 * CHOOSE(CONTROL!$C$21, $C$12, 100%, $E$12)</f>
        <v>8.7441999999999993</v>
      </c>
      <c r="J219" s="61">
        <f>4.7343 * CHOOSE(CONTROL!$C$21, $C$12, 100%, $E$12)</f>
        <v>4.7343000000000002</v>
      </c>
      <c r="K219" s="61">
        <f>4.7344 * CHOOSE(CONTROL!$C$21, $C$12, 100%, $E$12)</f>
        <v>4.7343999999999999</v>
      </c>
    </row>
    <row r="220" spans="1:11" ht="15">
      <c r="A220" s="13">
        <v>48580</v>
      </c>
      <c r="B220" s="60">
        <f>4.1941 * CHOOSE(CONTROL!$C$21, $C$12, 100%, $E$12)</f>
        <v>4.1940999999999997</v>
      </c>
      <c r="C220" s="60">
        <f>4.1941 * CHOOSE(CONTROL!$C$21, $C$12, 100%, $E$12)</f>
        <v>4.1940999999999997</v>
      </c>
      <c r="D220" s="60">
        <f>4.2046 * CHOOSE(CONTROL!$C$21, $C$12, 100%, $E$12)</f>
        <v>4.2046000000000001</v>
      </c>
      <c r="E220" s="61">
        <f>4.8032 * CHOOSE(CONTROL!$C$21, $C$12, 100%, $E$12)</f>
        <v>4.8032000000000004</v>
      </c>
      <c r="F220" s="61">
        <f>4.8032 * CHOOSE(CONTROL!$C$21, $C$12, 100%, $E$12)</f>
        <v>4.8032000000000004</v>
      </c>
      <c r="G220" s="61">
        <f>4.8033 * CHOOSE(CONTROL!$C$21, $C$12, 100%, $E$12)</f>
        <v>4.8033000000000001</v>
      </c>
      <c r="H220" s="61">
        <f>8.7623* CHOOSE(CONTROL!$C$21, $C$12, 100%, $E$12)</f>
        <v>8.7622999999999998</v>
      </c>
      <c r="I220" s="61">
        <f>8.7624 * CHOOSE(CONTROL!$C$21, $C$12, 100%, $E$12)</f>
        <v>8.7623999999999995</v>
      </c>
      <c r="J220" s="61">
        <f>4.8032 * CHOOSE(CONTROL!$C$21, $C$12, 100%, $E$12)</f>
        <v>4.8032000000000004</v>
      </c>
      <c r="K220" s="61">
        <f>4.8033 * CHOOSE(CONTROL!$C$21, $C$12, 100%, $E$12)</f>
        <v>4.8033000000000001</v>
      </c>
    </row>
    <row r="221" spans="1:11" ht="15">
      <c r="A221" s="13">
        <v>48611</v>
      </c>
      <c r="B221" s="60">
        <f>4.191 * CHOOSE(CONTROL!$C$21, $C$12, 100%, $E$12)</f>
        <v>4.1909999999999998</v>
      </c>
      <c r="C221" s="60">
        <f>4.191 * CHOOSE(CONTROL!$C$21, $C$12, 100%, $E$12)</f>
        <v>4.1909999999999998</v>
      </c>
      <c r="D221" s="60">
        <f>4.2016 * CHOOSE(CONTROL!$C$21, $C$12, 100%, $E$12)</f>
        <v>4.2016</v>
      </c>
      <c r="E221" s="61">
        <f>4.7481 * CHOOSE(CONTROL!$C$21, $C$12, 100%, $E$12)</f>
        <v>4.7481</v>
      </c>
      <c r="F221" s="61">
        <f>4.7481 * CHOOSE(CONTROL!$C$21, $C$12, 100%, $E$12)</f>
        <v>4.7481</v>
      </c>
      <c r="G221" s="61">
        <f>4.7483 * CHOOSE(CONTROL!$C$21, $C$12, 100%, $E$12)</f>
        <v>4.7483000000000004</v>
      </c>
      <c r="H221" s="61">
        <f>8.7805* CHOOSE(CONTROL!$C$21, $C$12, 100%, $E$12)</f>
        <v>8.7805</v>
      </c>
      <c r="I221" s="61">
        <f>8.7807 * CHOOSE(CONTROL!$C$21, $C$12, 100%, $E$12)</f>
        <v>8.7806999999999995</v>
      </c>
      <c r="J221" s="61">
        <f>4.7481 * CHOOSE(CONTROL!$C$21, $C$12, 100%, $E$12)</f>
        <v>4.7481</v>
      </c>
      <c r="K221" s="61">
        <f>4.7483 * CHOOSE(CONTROL!$C$21, $C$12, 100%, $E$12)</f>
        <v>4.7483000000000004</v>
      </c>
    </row>
    <row r="222" spans="1:11" ht="15">
      <c r="A222" s="13">
        <v>48639</v>
      </c>
      <c r="B222" s="60">
        <f>4.188 * CHOOSE(CONTROL!$C$21, $C$12, 100%, $E$12)</f>
        <v>4.1879999999999997</v>
      </c>
      <c r="C222" s="60">
        <f>4.188 * CHOOSE(CONTROL!$C$21, $C$12, 100%, $E$12)</f>
        <v>4.1879999999999997</v>
      </c>
      <c r="D222" s="60">
        <f>4.1985 * CHOOSE(CONTROL!$C$21, $C$12, 100%, $E$12)</f>
        <v>4.1985000000000001</v>
      </c>
      <c r="E222" s="61">
        <f>4.7877 * CHOOSE(CONTROL!$C$21, $C$12, 100%, $E$12)</f>
        <v>4.7877000000000001</v>
      </c>
      <c r="F222" s="61">
        <f>4.7877 * CHOOSE(CONTROL!$C$21, $C$12, 100%, $E$12)</f>
        <v>4.7877000000000001</v>
      </c>
      <c r="G222" s="61">
        <f>4.7879 * CHOOSE(CONTROL!$C$21, $C$12, 100%, $E$12)</f>
        <v>4.7878999999999996</v>
      </c>
      <c r="H222" s="61">
        <f>8.7988* CHOOSE(CONTROL!$C$21, $C$12, 100%, $E$12)</f>
        <v>8.7988</v>
      </c>
      <c r="I222" s="61">
        <f>8.799 * CHOOSE(CONTROL!$C$21, $C$12, 100%, $E$12)</f>
        <v>8.7989999999999995</v>
      </c>
      <c r="J222" s="61">
        <f>4.7877 * CHOOSE(CONTROL!$C$21, $C$12, 100%, $E$12)</f>
        <v>4.7877000000000001</v>
      </c>
      <c r="K222" s="61">
        <f>4.7879 * CHOOSE(CONTROL!$C$21, $C$12, 100%, $E$12)</f>
        <v>4.7878999999999996</v>
      </c>
    </row>
    <row r="223" spans="1:11" ht="15">
      <c r="A223" s="13">
        <v>48670</v>
      </c>
      <c r="B223" s="60">
        <f>4.1858 * CHOOSE(CONTROL!$C$21, $C$12, 100%, $E$12)</f>
        <v>4.1858000000000004</v>
      </c>
      <c r="C223" s="60">
        <f>4.1858 * CHOOSE(CONTROL!$C$21, $C$12, 100%, $E$12)</f>
        <v>4.1858000000000004</v>
      </c>
      <c r="D223" s="60">
        <f>4.1964 * CHOOSE(CONTROL!$C$21, $C$12, 100%, $E$12)</f>
        <v>4.1963999999999997</v>
      </c>
      <c r="E223" s="61">
        <f>4.8283 * CHOOSE(CONTROL!$C$21, $C$12, 100%, $E$12)</f>
        <v>4.8282999999999996</v>
      </c>
      <c r="F223" s="61">
        <f>4.8283 * CHOOSE(CONTROL!$C$21, $C$12, 100%, $E$12)</f>
        <v>4.8282999999999996</v>
      </c>
      <c r="G223" s="61">
        <f>4.8285 * CHOOSE(CONTROL!$C$21, $C$12, 100%, $E$12)</f>
        <v>4.8285</v>
      </c>
      <c r="H223" s="61">
        <f>8.8171* CHOOSE(CONTROL!$C$21, $C$12, 100%, $E$12)</f>
        <v>8.8170999999999999</v>
      </c>
      <c r="I223" s="61">
        <f>8.8173 * CHOOSE(CONTROL!$C$21, $C$12, 100%, $E$12)</f>
        <v>8.8172999999999995</v>
      </c>
      <c r="J223" s="61">
        <f>4.8283 * CHOOSE(CONTROL!$C$21, $C$12, 100%, $E$12)</f>
        <v>4.8282999999999996</v>
      </c>
      <c r="K223" s="61">
        <f>4.8285 * CHOOSE(CONTROL!$C$21, $C$12, 100%, $E$12)</f>
        <v>4.8285</v>
      </c>
    </row>
    <row r="224" spans="1:11" ht="15">
      <c r="A224" s="13">
        <v>48700</v>
      </c>
      <c r="B224" s="60">
        <f>4.1858 * CHOOSE(CONTROL!$C$21, $C$12, 100%, $E$12)</f>
        <v>4.1858000000000004</v>
      </c>
      <c r="C224" s="60">
        <f>4.1858 * CHOOSE(CONTROL!$C$21, $C$12, 100%, $E$12)</f>
        <v>4.1858000000000004</v>
      </c>
      <c r="D224" s="60">
        <f>4.207 * CHOOSE(CONTROL!$C$21, $C$12, 100%, $E$12)</f>
        <v>4.2069999999999999</v>
      </c>
      <c r="E224" s="61">
        <f>4.8452 * CHOOSE(CONTROL!$C$21, $C$12, 100%, $E$12)</f>
        <v>4.8452000000000002</v>
      </c>
      <c r="F224" s="61">
        <f>4.8452 * CHOOSE(CONTROL!$C$21, $C$12, 100%, $E$12)</f>
        <v>4.8452000000000002</v>
      </c>
      <c r="G224" s="61">
        <f>4.8465 * CHOOSE(CONTROL!$C$21, $C$12, 100%, $E$12)</f>
        <v>4.8464999999999998</v>
      </c>
      <c r="H224" s="61">
        <f>8.8355* CHOOSE(CONTROL!$C$21, $C$12, 100%, $E$12)</f>
        <v>8.8354999999999997</v>
      </c>
      <c r="I224" s="61">
        <f>8.8369 * CHOOSE(CONTROL!$C$21, $C$12, 100%, $E$12)</f>
        <v>8.8369</v>
      </c>
      <c r="J224" s="61">
        <f>4.8452 * CHOOSE(CONTROL!$C$21, $C$12, 100%, $E$12)</f>
        <v>4.8452000000000002</v>
      </c>
      <c r="K224" s="61">
        <f>4.8465 * CHOOSE(CONTROL!$C$21, $C$12, 100%, $E$12)</f>
        <v>4.8464999999999998</v>
      </c>
    </row>
    <row r="225" spans="1:11" ht="15">
      <c r="A225" s="13">
        <v>48731</v>
      </c>
      <c r="B225" s="60">
        <f>4.1919 * CHOOSE(CONTROL!$C$21, $C$12, 100%, $E$12)</f>
        <v>4.1919000000000004</v>
      </c>
      <c r="C225" s="60">
        <f>4.1919 * CHOOSE(CONTROL!$C$21, $C$12, 100%, $E$12)</f>
        <v>4.1919000000000004</v>
      </c>
      <c r="D225" s="60">
        <f>4.2131 * CHOOSE(CONTROL!$C$21, $C$12, 100%, $E$12)</f>
        <v>4.2130999999999998</v>
      </c>
      <c r="E225" s="61">
        <f>4.8326 * CHOOSE(CONTROL!$C$21, $C$12, 100%, $E$12)</f>
        <v>4.8326000000000002</v>
      </c>
      <c r="F225" s="61">
        <f>4.8326 * CHOOSE(CONTROL!$C$21, $C$12, 100%, $E$12)</f>
        <v>4.8326000000000002</v>
      </c>
      <c r="G225" s="61">
        <f>4.8339 * CHOOSE(CONTROL!$C$21, $C$12, 100%, $E$12)</f>
        <v>4.8338999999999999</v>
      </c>
      <c r="H225" s="61">
        <f>8.8539* CHOOSE(CONTROL!$C$21, $C$12, 100%, $E$12)</f>
        <v>8.8538999999999994</v>
      </c>
      <c r="I225" s="61">
        <f>8.8553 * CHOOSE(CONTROL!$C$21, $C$12, 100%, $E$12)</f>
        <v>8.8552999999999997</v>
      </c>
      <c r="J225" s="61">
        <f>4.8326 * CHOOSE(CONTROL!$C$21, $C$12, 100%, $E$12)</f>
        <v>4.8326000000000002</v>
      </c>
      <c r="K225" s="61">
        <f>4.8339 * CHOOSE(CONTROL!$C$21, $C$12, 100%, $E$12)</f>
        <v>4.8338999999999999</v>
      </c>
    </row>
    <row r="226" spans="1:11" ht="15">
      <c r="A226" s="13">
        <v>48761</v>
      </c>
      <c r="B226" s="60">
        <f>4.2719 * CHOOSE(CONTROL!$C$21, $C$12, 100%, $E$12)</f>
        <v>4.2718999999999996</v>
      </c>
      <c r="C226" s="60">
        <f>4.2719 * CHOOSE(CONTROL!$C$21, $C$12, 100%, $E$12)</f>
        <v>4.2718999999999996</v>
      </c>
      <c r="D226" s="60">
        <f>4.2931 * CHOOSE(CONTROL!$C$21, $C$12, 100%, $E$12)</f>
        <v>4.2930999999999999</v>
      </c>
      <c r="E226" s="61">
        <f>4.9466 * CHOOSE(CONTROL!$C$21, $C$12, 100%, $E$12)</f>
        <v>4.9466000000000001</v>
      </c>
      <c r="F226" s="61">
        <f>4.9466 * CHOOSE(CONTROL!$C$21, $C$12, 100%, $E$12)</f>
        <v>4.9466000000000001</v>
      </c>
      <c r="G226" s="61">
        <f>4.948 * CHOOSE(CONTROL!$C$21, $C$12, 100%, $E$12)</f>
        <v>4.9480000000000004</v>
      </c>
      <c r="H226" s="61">
        <f>8.8724* CHOOSE(CONTROL!$C$21, $C$12, 100%, $E$12)</f>
        <v>8.8724000000000007</v>
      </c>
      <c r="I226" s="61">
        <f>8.8737 * CHOOSE(CONTROL!$C$21, $C$12, 100%, $E$12)</f>
        <v>8.8736999999999995</v>
      </c>
      <c r="J226" s="61">
        <f>4.9466 * CHOOSE(CONTROL!$C$21, $C$12, 100%, $E$12)</f>
        <v>4.9466000000000001</v>
      </c>
      <c r="K226" s="61">
        <f>4.948 * CHOOSE(CONTROL!$C$21, $C$12, 100%, $E$12)</f>
        <v>4.9480000000000004</v>
      </c>
    </row>
    <row r="227" spans="1:11" ht="15">
      <c r="A227" s="13">
        <v>48792</v>
      </c>
      <c r="B227" s="60">
        <f>4.2786 * CHOOSE(CONTROL!$C$21, $C$12, 100%, $E$12)</f>
        <v>4.2786</v>
      </c>
      <c r="C227" s="60">
        <f>4.2786 * CHOOSE(CONTROL!$C$21, $C$12, 100%, $E$12)</f>
        <v>4.2786</v>
      </c>
      <c r="D227" s="60">
        <f>4.2998 * CHOOSE(CONTROL!$C$21, $C$12, 100%, $E$12)</f>
        <v>4.2998000000000003</v>
      </c>
      <c r="E227" s="61">
        <f>4.9008 * CHOOSE(CONTROL!$C$21, $C$12, 100%, $E$12)</f>
        <v>4.9008000000000003</v>
      </c>
      <c r="F227" s="61">
        <f>4.9008 * CHOOSE(CONTROL!$C$21, $C$12, 100%, $E$12)</f>
        <v>4.9008000000000003</v>
      </c>
      <c r="G227" s="61">
        <f>4.9022 * CHOOSE(CONTROL!$C$21, $C$12, 100%, $E$12)</f>
        <v>4.9021999999999997</v>
      </c>
      <c r="H227" s="61">
        <f>8.8909* CHOOSE(CONTROL!$C$21, $C$12, 100%, $E$12)</f>
        <v>8.8909000000000002</v>
      </c>
      <c r="I227" s="61">
        <f>8.8922 * CHOOSE(CONTROL!$C$21, $C$12, 100%, $E$12)</f>
        <v>8.8922000000000008</v>
      </c>
      <c r="J227" s="61">
        <f>4.9008 * CHOOSE(CONTROL!$C$21, $C$12, 100%, $E$12)</f>
        <v>4.9008000000000003</v>
      </c>
      <c r="K227" s="61">
        <f>4.9022 * CHOOSE(CONTROL!$C$21, $C$12, 100%, $E$12)</f>
        <v>4.9021999999999997</v>
      </c>
    </row>
    <row r="228" spans="1:11" ht="15">
      <c r="A228" s="13">
        <v>48823</v>
      </c>
      <c r="B228" s="60">
        <f>4.2756 * CHOOSE(CONTROL!$C$21, $C$12, 100%, $E$12)</f>
        <v>4.2755999999999998</v>
      </c>
      <c r="C228" s="60">
        <f>4.2756 * CHOOSE(CONTROL!$C$21, $C$12, 100%, $E$12)</f>
        <v>4.2755999999999998</v>
      </c>
      <c r="D228" s="60">
        <f>4.2967 * CHOOSE(CONTROL!$C$21, $C$12, 100%, $E$12)</f>
        <v>4.2967000000000004</v>
      </c>
      <c r="E228" s="61">
        <f>4.8931 * CHOOSE(CONTROL!$C$21, $C$12, 100%, $E$12)</f>
        <v>4.8930999999999996</v>
      </c>
      <c r="F228" s="61">
        <f>4.8931 * CHOOSE(CONTROL!$C$21, $C$12, 100%, $E$12)</f>
        <v>4.8930999999999996</v>
      </c>
      <c r="G228" s="61">
        <f>4.8945 * CHOOSE(CONTROL!$C$21, $C$12, 100%, $E$12)</f>
        <v>4.8944999999999999</v>
      </c>
      <c r="H228" s="61">
        <f>8.9094* CHOOSE(CONTROL!$C$21, $C$12, 100%, $E$12)</f>
        <v>8.9093999999999998</v>
      </c>
      <c r="I228" s="61">
        <f>8.9108 * CHOOSE(CONTROL!$C$21, $C$12, 100%, $E$12)</f>
        <v>8.9108000000000001</v>
      </c>
      <c r="J228" s="61">
        <f>4.8931 * CHOOSE(CONTROL!$C$21, $C$12, 100%, $E$12)</f>
        <v>4.8930999999999996</v>
      </c>
      <c r="K228" s="61">
        <f>4.8945 * CHOOSE(CONTROL!$C$21, $C$12, 100%, $E$12)</f>
        <v>4.8944999999999999</v>
      </c>
    </row>
    <row r="229" spans="1:11" ht="15">
      <c r="A229" s="13">
        <v>48853</v>
      </c>
      <c r="B229" s="60">
        <f>4.2718 * CHOOSE(CONTROL!$C$21, $C$12, 100%, $E$12)</f>
        <v>4.2717999999999998</v>
      </c>
      <c r="C229" s="60">
        <f>4.2718 * CHOOSE(CONTROL!$C$21, $C$12, 100%, $E$12)</f>
        <v>4.2717999999999998</v>
      </c>
      <c r="D229" s="60">
        <f>4.2823 * CHOOSE(CONTROL!$C$21, $C$12, 100%, $E$12)</f>
        <v>4.2823000000000002</v>
      </c>
      <c r="E229" s="61">
        <f>4.9021 * CHOOSE(CONTROL!$C$21, $C$12, 100%, $E$12)</f>
        <v>4.9020999999999999</v>
      </c>
      <c r="F229" s="61">
        <f>4.9021 * CHOOSE(CONTROL!$C$21, $C$12, 100%, $E$12)</f>
        <v>4.9020999999999999</v>
      </c>
      <c r="G229" s="61">
        <f>4.9023 * CHOOSE(CONTROL!$C$21, $C$12, 100%, $E$12)</f>
        <v>4.9023000000000003</v>
      </c>
      <c r="H229" s="61">
        <f>8.9279* CHOOSE(CONTROL!$C$21, $C$12, 100%, $E$12)</f>
        <v>8.9278999999999993</v>
      </c>
      <c r="I229" s="61">
        <f>8.9281 * CHOOSE(CONTROL!$C$21, $C$12, 100%, $E$12)</f>
        <v>8.9281000000000006</v>
      </c>
      <c r="J229" s="61">
        <f>4.9021 * CHOOSE(CONTROL!$C$21, $C$12, 100%, $E$12)</f>
        <v>4.9020999999999999</v>
      </c>
      <c r="K229" s="61">
        <f>4.9023 * CHOOSE(CONTROL!$C$21, $C$12, 100%, $E$12)</f>
        <v>4.9023000000000003</v>
      </c>
    </row>
    <row r="230" spans="1:11" ht="15">
      <c r="A230" s="13">
        <v>48884</v>
      </c>
      <c r="B230" s="60">
        <f>4.2748 * CHOOSE(CONTROL!$C$21, $C$12, 100%, $E$12)</f>
        <v>4.2747999999999999</v>
      </c>
      <c r="C230" s="60">
        <f>4.2748 * CHOOSE(CONTROL!$C$21, $C$12, 100%, $E$12)</f>
        <v>4.2747999999999999</v>
      </c>
      <c r="D230" s="60">
        <f>4.2854 * CHOOSE(CONTROL!$C$21, $C$12, 100%, $E$12)</f>
        <v>4.2854000000000001</v>
      </c>
      <c r="E230" s="61">
        <f>4.9154 * CHOOSE(CONTROL!$C$21, $C$12, 100%, $E$12)</f>
        <v>4.9154</v>
      </c>
      <c r="F230" s="61">
        <f>4.9154 * CHOOSE(CONTROL!$C$21, $C$12, 100%, $E$12)</f>
        <v>4.9154</v>
      </c>
      <c r="G230" s="61">
        <f>4.9156 * CHOOSE(CONTROL!$C$21, $C$12, 100%, $E$12)</f>
        <v>4.9156000000000004</v>
      </c>
      <c r="H230" s="61">
        <f>8.9465* CHOOSE(CONTROL!$C$21, $C$12, 100%, $E$12)</f>
        <v>8.9465000000000003</v>
      </c>
      <c r="I230" s="61">
        <f>8.9467 * CHOOSE(CONTROL!$C$21, $C$12, 100%, $E$12)</f>
        <v>8.9466999999999999</v>
      </c>
      <c r="J230" s="61">
        <f>4.9154 * CHOOSE(CONTROL!$C$21, $C$12, 100%, $E$12)</f>
        <v>4.9154</v>
      </c>
      <c r="K230" s="61">
        <f>4.9156 * CHOOSE(CONTROL!$C$21, $C$12, 100%, $E$12)</f>
        <v>4.9156000000000004</v>
      </c>
    </row>
    <row r="231" spans="1:11" ht="15">
      <c r="A231" s="13">
        <v>48914</v>
      </c>
      <c r="B231" s="60">
        <f>4.2748 * CHOOSE(CONTROL!$C$21, $C$12, 100%, $E$12)</f>
        <v>4.2747999999999999</v>
      </c>
      <c r="C231" s="60">
        <f>4.2748 * CHOOSE(CONTROL!$C$21, $C$12, 100%, $E$12)</f>
        <v>4.2747999999999999</v>
      </c>
      <c r="D231" s="60">
        <f>4.2854 * CHOOSE(CONTROL!$C$21, $C$12, 100%, $E$12)</f>
        <v>4.2854000000000001</v>
      </c>
      <c r="E231" s="61">
        <f>4.8874 * CHOOSE(CONTROL!$C$21, $C$12, 100%, $E$12)</f>
        <v>4.8874000000000004</v>
      </c>
      <c r="F231" s="61">
        <f>4.8874 * CHOOSE(CONTROL!$C$21, $C$12, 100%, $E$12)</f>
        <v>4.8874000000000004</v>
      </c>
      <c r="G231" s="61">
        <f>4.8876 * CHOOSE(CONTROL!$C$21, $C$12, 100%, $E$12)</f>
        <v>4.8875999999999999</v>
      </c>
      <c r="H231" s="61">
        <f>8.9652* CHOOSE(CONTROL!$C$21, $C$12, 100%, $E$12)</f>
        <v>8.9651999999999994</v>
      </c>
      <c r="I231" s="61">
        <f>8.9654 * CHOOSE(CONTROL!$C$21, $C$12, 100%, $E$12)</f>
        <v>8.9654000000000007</v>
      </c>
      <c r="J231" s="61">
        <f>4.8874 * CHOOSE(CONTROL!$C$21, $C$12, 100%, $E$12)</f>
        <v>4.8874000000000004</v>
      </c>
      <c r="K231" s="61">
        <f>4.8876 * CHOOSE(CONTROL!$C$21, $C$12, 100%, $E$12)</f>
        <v>4.8875999999999999</v>
      </c>
    </row>
    <row r="232" spans="1:11" ht="15">
      <c r="A232" s="13">
        <v>48945</v>
      </c>
      <c r="B232" s="60">
        <f>4.32 * CHOOSE(CONTROL!$C$21, $C$12, 100%, $E$12)</f>
        <v>4.32</v>
      </c>
      <c r="C232" s="60">
        <f>4.32 * CHOOSE(CONTROL!$C$21, $C$12, 100%, $E$12)</f>
        <v>4.32</v>
      </c>
      <c r="D232" s="60">
        <f>4.3305 * CHOOSE(CONTROL!$C$21, $C$12, 100%, $E$12)</f>
        <v>4.3304999999999998</v>
      </c>
      <c r="E232" s="61">
        <f>4.957 * CHOOSE(CONTROL!$C$21, $C$12, 100%, $E$12)</f>
        <v>4.9569999999999999</v>
      </c>
      <c r="F232" s="61">
        <f>4.957 * CHOOSE(CONTROL!$C$21, $C$12, 100%, $E$12)</f>
        <v>4.9569999999999999</v>
      </c>
      <c r="G232" s="61">
        <f>4.9572 * CHOOSE(CONTROL!$C$21, $C$12, 100%, $E$12)</f>
        <v>4.9572000000000003</v>
      </c>
      <c r="H232" s="61">
        <f>8.9839* CHOOSE(CONTROL!$C$21, $C$12, 100%, $E$12)</f>
        <v>8.9839000000000002</v>
      </c>
      <c r="I232" s="61">
        <f>8.984 * CHOOSE(CONTROL!$C$21, $C$12, 100%, $E$12)</f>
        <v>8.984</v>
      </c>
      <c r="J232" s="61">
        <f>4.957 * CHOOSE(CONTROL!$C$21, $C$12, 100%, $E$12)</f>
        <v>4.9569999999999999</v>
      </c>
      <c r="K232" s="61">
        <f>4.9572 * CHOOSE(CONTROL!$C$21, $C$12, 100%, $E$12)</f>
        <v>4.9572000000000003</v>
      </c>
    </row>
    <row r="233" spans="1:11" ht="15">
      <c r="A233" s="13">
        <v>48976</v>
      </c>
      <c r="B233" s="60">
        <f>4.3169 * CHOOSE(CONTROL!$C$21, $C$12, 100%, $E$12)</f>
        <v>4.3169000000000004</v>
      </c>
      <c r="C233" s="60">
        <f>4.3169 * CHOOSE(CONTROL!$C$21, $C$12, 100%, $E$12)</f>
        <v>4.3169000000000004</v>
      </c>
      <c r="D233" s="60">
        <f>4.3275 * CHOOSE(CONTROL!$C$21, $C$12, 100%, $E$12)</f>
        <v>4.3274999999999997</v>
      </c>
      <c r="E233" s="61">
        <f>4.9005 * CHOOSE(CONTROL!$C$21, $C$12, 100%, $E$12)</f>
        <v>4.9005000000000001</v>
      </c>
      <c r="F233" s="61">
        <f>4.9005 * CHOOSE(CONTROL!$C$21, $C$12, 100%, $E$12)</f>
        <v>4.9005000000000001</v>
      </c>
      <c r="G233" s="61">
        <f>4.9007 * CHOOSE(CONTROL!$C$21, $C$12, 100%, $E$12)</f>
        <v>4.9006999999999996</v>
      </c>
      <c r="H233" s="61">
        <f>9.0026* CHOOSE(CONTROL!$C$21, $C$12, 100%, $E$12)</f>
        <v>9.0025999999999993</v>
      </c>
      <c r="I233" s="61">
        <f>9.0027 * CHOOSE(CONTROL!$C$21, $C$12, 100%, $E$12)</f>
        <v>9.0027000000000008</v>
      </c>
      <c r="J233" s="61">
        <f>4.9005 * CHOOSE(CONTROL!$C$21, $C$12, 100%, $E$12)</f>
        <v>4.9005000000000001</v>
      </c>
      <c r="K233" s="61">
        <f>4.9007 * CHOOSE(CONTROL!$C$21, $C$12, 100%, $E$12)</f>
        <v>4.9006999999999996</v>
      </c>
    </row>
    <row r="234" spans="1:11" ht="15">
      <c r="A234" s="13">
        <v>49004</v>
      </c>
      <c r="B234" s="60">
        <f>4.3139 * CHOOSE(CONTROL!$C$21, $C$12, 100%, $E$12)</f>
        <v>4.3139000000000003</v>
      </c>
      <c r="C234" s="60">
        <f>4.3139 * CHOOSE(CONTROL!$C$21, $C$12, 100%, $E$12)</f>
        <v>4.3139000000000003</v>
      </c>
      <c r="D234" s="60">
        <f>4.3245 * CHOOSE(CONTROL!$C$21, $C$12, 100%, $E$12)</f>
        <v>4.3244999999999996</v>
      </c>
      <c r="E234" s="61">
        <f>4.9413 * CHOOSE(CONTROL!$C$21, $C$12, 100%, $E$12)</f>
        <v>4.9413</v>
      </c>
      <c r="F234" s="61">
        <f>4.9413 * CHOOSE(CONTROL!$C$21, $C$12, 100%, $E$12)</f>
        <v>4.9413</v>
      </c>
      <c r="G234" s="61">
        <f>4.9414 * CHOOSE(CONTROL!$C$21, $C$12, 100%, $E$12)</f>
        <v>4.9413999999999998</v>
      </c>
      <c r="H234" s="61">
        <f>9.0213* CHOOSE(CONTROL!$C$21, $C$12, 100%, $E$12)</f>
        <v>9.0213000000000001</v>
      </c>
      <c r="I234" s="61">
        <f>9.0215 * CHOOSE(CONTROL!$C$21, $C$12, 100%, $E$12)</f>
        <v>9.0214999999999996</v>
      </c>
      <c r="J234" s="61">
        <f>4.9413 * CHOOSE(CONTROL!$C$21, $C$12, 100%, $E$12)</f>
        <v>4.9413</v>
      </c>
      <c r="K234" s="61">
        <f>4.9414 * CHOOSE(CONTROL!$C$21, $C$12, 100%, $E$12)</f>
        <v>4.9413999999999998</v>
      </c>
    </row>
    <row r="235" spans="1:11" ht="15">
      <c r="A235" s="13">
        <v>49035</v>
      </c>
      <c r="B235" s="60">
        <f>4.3119 * CHOOSE(CONTROL!$C$21, $C$12, 100%, $E$12)</f>
        <v>4.3118999999999996</v>
      </c>
      <c r="C235" s="60">
        <f>4.3119 * CHOOSE(CONTROL!$C$21, $C$12, 100%, $E$12)</f>
        <v>4.3118999999999996</v>
      </c>
      <c r="D235" s="60">
        <f>4.3224 * CHOOSE(CONTROL!$C$21, $C$12, 100%, $E$12)</f>
        <v>4.3224</v>
      </c>
      <c r="E235" s="61">
        <f>4.9831 * CHOOSE(CONTROL!$C$21, $C$12, 100%, $E$12)</f>
        <v>4.9831000000000003</v>
      </c>
      <c r="F235" s="61">
        <f>4.9831 * CHOOSE(CONTROL!$C$21, $C$12, 100%, $E$12)</f>
        <v>4.9831000000000003</v>
      </c>
      <c r="G235" s="61">
        <f>4.9833 * CHOOSE(CONTROL!$C$21, $C$12, 100%, $E$12)</f>
        <v>4.9832999999999998</v>
      </c>
      <c r="H235" s="61">
        <f>9.0401* CHOOSE(CONTROL!$C$21, $C$12, 100%, $E$12)</f>
        <v>9.0401000000000007</v>
      </c>
      <c r="I235" s="61">
        <f>9.0403 * CHOOSE(CONTROL!$C$21, $C$12, 100%, $E$12)</f>
        <v>9.0403000000000002</v>
      </c>
      <c r="J235" s="61">
        <f>4.9831 * CHOOSE(CONTROL!$C$21, $C$12, 100%, $E$12)</f>
        <v>4.9831000000000003</v>
      </c>
      <c r="K235" s="61">
        <f>4.9833 * CHOOSE(CONTROL!$C$21, $C$12, 100%, $E$12)</f>
        <v>4.9832999999999998</v>
      </c>
    </row>
    <row r="236" spans="1:11" ht="15">
      <c r="A236" s="13">
        <v>49065</v>
      </c>
      <c r="B236" s="60">
        <f>4.3119 * CHOOSE(CONTROL!$C$21, $C$12, 100%, $E$12)</f>
        <v>4.3118999999999996</v>
      </c>
      <c r="C236" s="60">
        <f>4.3119 * CHOOSE(CONTROL!$C$21, $C$12, 100%, $E$12)</f>
        <v>4.3118999999999996</v>
      </c>
      <c r="D236" s="60">
        <f>4.333 * CHOOSE(CONTROL!$C$21, $C$12, 100%, $E$12)</f>
        <v>4.3330000000000002</v>
      </c>
      <c r="E236" s="61">
        <f>5.0004 * CHOOSE(CONTROL!$C$21, $C$12, 100%, $E$12)</f>
        <v>5.0004</v>
      </c>
      <c r="F236" s="61">
        <f>5.0004 * CHOOSE(CONTROL!$C$21, $C$12, 100%, $E$12)</f>
        <v>5.0004</v>
      </c>
      <c r="G236" s="61">
        <f>5.0017 * CHOOSE(CONTROL!$C$21, $C$12, 100%, $E$12)</f>
        <v>5.0016999999999996</v>
      </c>
      <c r="H236" s="61">
        <f>9.059* CHOOSE(CONTROL!$C$21, $C$12, 100%, $E$12)</f>
        <v>9.0589999999999993</v>
      </c>
      <c r="I236" s="61">
        <f>9.0603 * CHOOSE(CONTROL!$C$21, $C$12, 100%, $E$12)</f>
        <v>9.0602999999999998</v>
      </c>
      <c r="J236" s="61">
        <f>5.0004 * CHOOSE(CONTROL!$C$21, $C$12, 100%, $E$12)</f>
        <v>5.0004</v>
      </c>
      <c r="K236" s="61">
        <f>5.0017 * CHOOSE(CONTROL!$C$21, $C$12, 100%, $E$12)</f>
        <v>5.0016999999999996</v>
      </c>
    </row>
    <row r="237" spans="1:11" ht="15">
      <c r="A237" s="13">
        <v>49096</v>
      </c>
      <c r="B237" s="60">
        <f>4.3179 * CHOOSE(CONTROL!$C$21, $C$12, 100%, $E$12)</f>
        <v>4.3178999999999998</v>
      </c>
      <c r="C237" s="60">
        <f>4.3179 * CHOOSE(CONTROL!$C$21, $C$12, 100%, $E$12)</f>
        <v>4.3178999999999998</v>
      </c>
      <c r="D237" s="60">
        <f>4.3391 * CHOOSE(CONTROL!$C$21, $C$12, 100%, $E$12)</f>
        <v>4.3391000000000002</v>
      </c>
      <c r="E237" s="61">
        <f>4.9873 * CHOOSE(CONTROL!$C$21, $C$12, 100%, $E$12)</f>
        <v>4.9873000000000003</v>
      </c>
      <c r="F237" s="61">
        <f>4.9873 * CHOOSE(CONTROL!$C$21, $C$12, 100%, $E$12)</f>
        <v>4.9873000000000003</v>
      </c>
      <c r="G237" s="61">
        <f>4.9887 * CHOOSE(CONTROL!$C$21, $C$12, 100%, $E$12)</f>
        <v>4.9886999999999997</v>
      </c>
      <c r="H237" s="61">
        <f>9.0778* CHOOSE(CONTROL!$C$21, $C$12, 100%, $E$12)</f>
        <v>9.0777999999999999</v>
      </c>
      <c r="I237" s="61">
        <f>9.0792 * CHOOSE(CONTROL!$C$21, $C$12, 100%, $E$12)</f>
        <v>9.0792000000000002</v>
      </c>
      <c r="J237" s="61">
        <f>4.9873 * CHOOSE(CONTROL!$C$21, $C$12, 100%, $E$12)</f>
        <v>4.9873000000000003</v>
      </c>
      <c r="K237" s="61">
        <f>4.9887 * CHOOSE(CONTROL!$C$21, $C$12, 100%, $E$12)</f>
        <v>4.9886999999999997</v>
      </c>
    </row>
    <row r="238" spans="1:11" ht="15">
      <c r="A238" s="13">
        <v>49126</v>
      </c>
      <c r="B238" s="60">
        <f>4.4051 * CHOOSE(CONTROL!$C$21, $C$12, 100%, $E$12)</f>
        <v>4.4051</v>
      </c>
      <c r="C238" s="60">
        <f>4.4051 * CHOOSE(CONTROL!$C$21, $C$12, 100%, $E$12)</f>
        <v>4.4051</v>
      </c>
      <c r="D238" s="60">
        <f>4.4263 * CHOOSE(CONTROL!$C$21, $C$12, 100%, $E$12)</f>
        <v>4.4263000000000003</v>
      </c>
      <c r="E238" s="61">
        <f>5.1009 * CHOOSE(CONTROL!$C$21, $C$12, 100%, $E$12)</f>
        <v>5.1009000000000002</v>
      </c>
      <c r="F238" s="61">
        <f>5.1009 * CHOOSE(CONTROL!$C$21, $C$12, 100%, $E$12)</f>
        <v>5.1009000000000002</v>
      </c>
      <c r="G238" s="61">
        <f>5.1023 * CHOOSE(CONTROL!$C$21, $C$12, 100%, $E$12)</f>
        <v>5.1022999999999996</v>
      </c>
      <c r="H238" s="61">
        <f>9.0967* CHOOSE(CONTROL!$C$21, $C$12, 100%, $E$12)</f>
        <v>9.0967000000000002</v>
      </c>
      <c r="I238" s="61">
        <f>9.0981 * CHOOSE(CONTROL!$C$21, $C$12, 100%, $E$12)</f>
        <v>9.0981000000000005</v>
      </c>
      <c r="J238" s="61">
        <f>5.1009 * CHOOSE(CONTROL!$C$21, $C$12, 100%, $E$12)</f>
        <v>5.1009000000000002</v>
      </c>
      <c r="K238" s="61">
        <f>5.1023 * CHOOSE(CONTROL!$C$21, $C$12, 100%, $E$12)</f>
        <v>5.1022999999999996</v>
      </c>
    </row>
    <row r="239" spans="1:11" ht="15">
      <c r="A239" s="13">
        <v>49157</v>
      </c>
      <c r="B239" s="60">
        <f>4.4118 * CHOOSE(CONTROL!$C$21, $C$12, 100%, $E$12)</f>
        <v>4.4118000000000004</v>
      </c>
      <c r="C239" s="60">
        <f>4.4118 * CHOOSE(CONTROL!$C$21, $C$12, 100%, $E$12)</f>
        <v>4.4118000000000004</v>
      </c>
      <c r="D239" s="60">
        <f>4.4329 * CHOOSE(CONTROL!$C$21, $C$12, 100%, $E$12)</f>
        <v>4.4329000000000001</v>
      </c>
      <c r="E239" s="61">
        <f>5.0538 * CHOOSE(CONTROL!$C$21, $C$12, 100%, $E$12)</f>
        <v>5.0537999999999998</v>
      </c>
      <c r="F239" s="61">
        <f>5.0538 * CHOOSE(CONTROL!$C$21, $C$12, 100%, $E$12)</f>
        <v>5.0537999999999998</v>
      </c>
      <c r="G239" s="61">
        <f>5.0551 * CHOOSE(CONTROL!$C$21, $C$12, 100%, $E$12)</f>
        <v>5.0551000000000004</v>
      </c>
      <c r="H239" s="61">
        <f>9.1157* CHOOSE(CONTROL!$C$21, $C$12, 100%, $E$12)</f>
        <v>9.1157000000000004</v>
      </c>
      <c r="I239" s="61">
        <f>9.1171 * CHOOSE(CONTROL!$C$21, $C$12, 100%, $E$12)</f>
        <v>9.1171000000000006</v>
      </c>
      <c r="J239" s="61">
        <f>5.0538 * CHOOSE(CONTROL!$C$21, $C$12, 100%, $E$12)</f>
        <v>5.0537999999999998</v>
      </c>
      <c r="K239" s="61">
        <f>5.0551 * CHOOSE(CONTROL!$C$21, $C$12, 100%, $E$12)</f>
        <v>5.0551000000000004</v>
      </c>
    </row>
    <row r="240" spans="1:11" ht="15">
      <c r="A240" s="13">
        <v>49188</v>
      </c>
      <c r="B240" s="60">
        <f>4.4088 * CHOOSE(CONTROL!$C$21, $C$12, 100%, $E$12)</f>
        <v>4.4088000000000003</v>
      </c>
      <c r="C240" s="60">
        <f>4.4088 * CHOOSE(CONTROL!$C$21, $C$12, 100%, $E$12)</f>
        <v>4.4088000000000003</v>
      </c>
      <c r="D240" s="60">
        <f>4.4299 * CHOOSE(CONTROL!$C$21, $C$12, 100%, $E$12)</f>
        <v>4.4298999999999999</v>
      </c>
      <c r="E240" s="61">
        <f>5.0459 * CHOOSE(CONTROL!$C$21, $C$12, 100%, $E$12)</f>
        <v>5.0458999999999996</v>
      </c>
      <c r="F240" s="61">
        <f>5.0459 * CHOOSE(CONTROL!$C$21, $C$12, 100%, $E$12)</f>
        <v>5.0458999999999996</v>
      </c>
      <c r="G240" s="61">
        <f>5.0473 * CHOOSE(CONTROL!$C$21, $C$12, 100%, $E$12)</f>
        <v>5.0472999999999999</v>
      </c>
      <c r="H240" s="61">
        <f>9.1347* CHOOSE(CONTROL!$C$21, $C$12, 100%, $E$12)</f>
        <v>9.1347000000000005</v>
      </c>
      <c r="I240" s="61">
        <f>9.1361 * CHOOSE(CONTROL!$C$21, $C$12, 100%, $E$12)</f>
        <v>9.1361000000000008</v>
      </c>
      <c r="J240" s="61">
        <f>5.0459 * CHOOSE(CONTROL!$C$21, $C$12, 100%, $E$12)</f>
        <v>5.0458999999999996</v>
      </c>
      <c r="K240" s="61">
        <f>5.0473 * CHOOSE(CONTROL!$C$21, $C$12, 100%, $E$12)</f>
        <v>5.0472999999999999</v>
      </c>
    </row>
    <row r="241" spans="1:11" ht="15">
      <c r="A241" s="13">
        <v>49218</v>
      </c>
      <c r="B241" s="60">
        <f>4.4054 * CHOOSE(CONTROL!$C$21, $C$12, 100%, $E$12)</f>
        <v>4.4054000000000002</v>
      </c>
      <c r="C241" s="60">
        <f>4.4054 * CHOOSE(CONTROL!$C$21, $C$12, 100%, $E$12)</f>
        <v>4.4054000000000002</v>
      </c>
      <c r="D241" s="60">
        <f>4.416 * CHOOSE(CONTROL!$C$21, $C$12, 100%, $E$12)</f>
        <v>4.4160000000000004</v>
      </c>
      <c r="E241" s="61">
        <f>5.0555 * CHOOSE(CONTROL!$C$21, $C$12, 100%, $E$12)</f>
        <v>5.0555000000000003</v>
      </c>
      <c r="F241" s="61">
        <f>5.0555 * CHOOSE(CONTROL!$C$21, $C$12, 100%, $E$12)</f>
        <v>5.0555000000000003</v>
      </c>
      <c r="G241" s="61">
        <f>5.0557 * CHOOSE(CONTROL!$C$21, $C$12, 100%, $E$12)</f>
        <v>5.0556999999999999</v>
      </c>
      <c r="H241" s="61">
        <f>9.1537* CHOOSE(CONTROL!$C$21, $C$12, 100%, $E$12)</f>
        <v>9.1537000000000006</v>
      </c>
      <c r="I241" s="61">
        <f>9.1539 * CHOOSE(CONTROL!$C$21, $C$12, 100%, $E$12)</f>
        <v>9.1539000000000001</v>
      </c>
      <c r="J241" s="61">
        <f>5.0555 * CHOOSE(CONTROL!$C$21, $C$12, 100%, $E$12)</f>
        <v>5.0555000000000003</v>
      </c>
      <c r="K241" s="61">
        <f>5.0557 * CHOOSE(CONTROL!$C$21, $C$12, 100%, $E$12)</f>
        <v>5.0556999999999999</v>
      </c>
    </row>
    <row r="242" spans="1:11" ht="15">
      <c r="A242" s="13">
        <v>49249</v>
      </c>
      <c r="B242" s="60">
        <f>4.4084 * CHOOSE(CONTROL!$C$21, $C$12, 100%, $E$12)</f>
        <v>4.4084000000000003</v>
      </c>
      <c r="C242" s="60">
        <f>4.4084 * CHOOSE(CONTROL!$C$21, $C$12, 100%, $E$12)</f>
        <v>4.4084000000000003</v>
      </c>
      <c r="D242" s="60">
        <f>4.419 * CHOOSE(CONTROL!$C$21, $C$12, 100%, $E$12)</f>
        <v>4.4189999999999996</v>
      </c>
      <c r="E242" s="61">
        <f>5.0691 * CHOOSE(CONTROL!$C$21, $C$12, 100%, $E$12)</f>
        <v>5.0690999999999997</v>
      </c>
      <c r="F242" s="61">
        <f>5.0691 * CHOOSE(CONTROL!$C$21, $C$12, 100%, $E$12)</f>
        <v>5.0690999999999997</v>
      </c>
      <c r="G242" s="61">
        <f>5.0693 * CHOOSE(CONTROL!$C$21, $C$12, 100%, $E$12)</f>
        <v>5.0693000000000001</v>
      </c>
      <c r="H242" s="61">
        <f>9.1728* CHOOSE(CONTROL!$C$21, $C$12, 100%, $E$12)</f>
        <v>9.1728000000000005</v>
      </c>
      <c r="I242" s="61">
        <f>9.173 * CHOOSE(CONTROL!$C$21, $C$12, 100%, $E$12)</f>
        <v>9.173</v>
      </c>
      <c r="J242" s="61">
        <f>5.0691 * CHOOSE(CONTROL!$C$21, $C$12, 100%, $E$12)</f>
        <v>5.0690999999999997</v>
      </c>
      <c r="K242" s="61">
        <f>5.0693 * CHOOSE(CONTROL!$C$21, $C$12, 100%, $E$12)</f>
        <v>5.0693000000000001</v>
      </c>
    </row>
    <row r="243" spans="1:11" ht="15">
      <c r="A243" s="13">
        <v>49279</v>
      </c>
      <c r="B243" s="60">
        <f>4.4084 * CHOOSE(CONTROL!$C$21, $C$12, 100%, $E$12)</f>
        <v>4.4084000000000003</v>
      </c>
      <c r="C243" s="60">
        <f>4.4084 * CHOOSE(CONTROL!$C$21, $C$12, 100%, $E$12)</f>
        <v>4.4084000000000003</v>
      </c>
      <c r="D243" s="60">
        <f>4.419 * CHOOSE(CONTROL!$C$21, $C$12, 100%, $E$12)</f>
        <v>4.4189999999999996</v>
      </c>
      <c r="E243" s="61">
        <f>5.0404 * CHOOSE(CONTROL!$C$21, $C$12, 100%, $E$12)</f>
        <v>5.0404</v>
      </c>
      <c r="F243" s="61">
        <f>5.0404 * CHOOSE(CONTROL!$C$21, $C$12, 100%, $E$12)</f>
        <v>5.0404</v>
      </c>
      <c r="G243" s="61">
        <f>5.0405 * CHOOSE(CONTROL!$C$21, $C$12, 100%, $E$12)</f>
        <v>5.0404999999999998</v>
      </c>
      <c r="H243" s="61">
        <f>9.1919* CHOOSE(CONTROL!$C$21, $C$12, 100%, $E$12)</f>
        <v>9.1919000000000004</v>
      </c>
      <c r="I243" s="61">
        <f>9.1921 * CHOOSE(CONTROL!$C$21, $C$12, 100%, $E$12)</f>
        <v>9.1920999999999999</v>
      </c>
      <c r="J243" s="61">
        <f>5.0404 * CHOOSE(CONTROL!$C$21, $C$12, 100%, $E$12)</f>
        <v>5.0404</v>
      </c>
      <c r="K243" s="61">
        <f>5.0405 * CHOOSE(CONTROL!$C$21, $C$12, 100%, $E$12)</f>
        <v>5.0404999999999998</v>
      </c>
    </row>
    <row r="244" spans="1:11" ht="15">
      <c r="A244" s="13">
        <v>49310</v>
      </c>
      <c r="B244" s="60">
        <f>4.4493 * CHOOSE(CONTROL!$C$21, $C$12, 100%, $E$12)</f>
        <v>4.4493</v>
      </c>
      <c r="C244" s="60">
        <f>4.4493 * CHOOSE(CONTROL!$C$21, $C$12, 100%, $E$12)</f>
        <v>4.4493</v>
      </c>
      <c r="D244" s="60">
        <f>4.4599 * CHOOSE(CONTROL!$C$21, $C$12, 100%, $E$12)</f>
        <v>4.4599000000000002</v>
      </c>
      <c r="E244" s="61">
        <f>5.1042 * CHOOSE(CONTROL!$C$21, $C$12, 100%, $E$12)</f>
        <v>5.1041999999999996</v>
      </c>
      <c r="F244" s="61">
        <f>5.1042 * CHOOSE(CONTROL!$C$21, $C$12, 100%, $E$12)</f>
        <v>5.1041999999999996</v>
      </c>
      <c r="G244" s="61">
        <f>5.1043 * CHOOSE(CONTROL!$C$21, $C$12, 100%, $E$12)</f>
        <v>5.1043000000000003</v>
      </c>
      <c r="H244" s="61">
        <f>9.211* CHOOSE(CONTROL!$C$21, $C$12, 100%, $E$12)</f>
        <v>9.2110000000000003</v>
      </c>
      <c r="I244" s="61">
        <f>9.2112 * CHOOSE(CONTROL!$C$21, $C$12, 100%, $E$12)</f>
        <v>9.2111999999999998</v>
      </c>
      <c r="J244" s="61">
        <f>5.1042 * CHOOSE(CONTROL!$C$21, $C$12, 100%, $E$12)</f>
        <v>5.1041999999999996</v>
      </c>
      <c r="K244" s="61">
        <f>5.1043 * CHOOSE(CONTROL!$C$21, $C$12, 100%, $E$12)</f>
        <v>5.1043000000000003</v>
      </c>
    </row>
    <row r="245" spans="1:11" ht="15">
      <c r="A245" s="13">
        <v>49341</v>
      </c>
      <c r="B245" s="60">
        <f>4.4463 * CHOOSE(CONTROL!$C$21, $C$12, 100%, $E$12)</f>
        <v>4.4462999999999999</v>
      </c>
      <c r="C245" s="60">
        <f>4.4463 * CHOOSE(CONTROL!$C$21, $C$12, 100%, $E$12)</f>
        <v>4.4462999999999999</v>
      </c>
      <c r="D245" s="60">
        <f>4.4568 * CHOOSE(CONTROL!$C$21, $C$12, 100%, $E$12)</f>
        <v>4.4568000000000003</v>
      </c>
      <c r="E245" s="61">
        <f>5.0462 * CHOOSE(CONTROL!$C$21, $C$12, 100%, $E$12)</f>
        <v>5.0461999999999998</v>
      </c>
      <c r="F245" s="61">
        <f>5.0462 * CHOOSE(CONTROL!$C$21, $C$12, 100%, $E$12)</f>
        <v>5.0461999999999998</v>
      </c>
      <c r="G245" s="61">
        <f>5.0464 * CHOOSE(CONTROL!$C$21, $C$12, 100%, $E$12)</f>
        <v>5.0464000000000002</v>
      </c>
      <c r="H245" s="61">
        <f>9.2302* CHOOSE(CONTROL!$C$21, $C$12, 100%, $E$12)</f>
        <v>9.2302</v>
      </c>
      <c r="I245" s="61">
        <f>9.2304 * CHOOSE(CONTROL!$C$21, $C$12, 100%, $E$12)</f>
        <v>9.2303999999999995</v>
      </c>
      <c r="J245" s="61">
        <f>5.0462 * CHOOSE(CONTROL!$C$21, $C$12, 100%, $E$12)</f>
        <v>5.0461999999999998</v>
      </c>
      <c r="K245" s="61">
        <f>5.0464 * CHOOSE(CONTROL!$C$21, $C$12, 100%, $E$12)</f>
        <v>5.0464000000000002</v>
      </c>
    </row>
    <row r="246" spans="1:11" ht="15">
      <c r="A246" s="13">
        <v>49369</v>
      </c>
      <c r="B246" s="60">
        <f>4.4432 * CHOOSE(CONTROL!$C$21, $C$12, 100%, $E$12)</f>
        <v>4.4432</v>
      </c>
      <c r="C246" s="60">
        <f>4.4432 * CHOOSE(CONTROL!$C$21, $C$12, 100%, $E$12)</f>
        <v>4.4432</v>
      </c>
      <c r="D246" s="60">
        <f>4.4538 * CHOOSE(CONTROL!$C$21, $C$12, 100%, $E$12)</f>
        <v>4.4538000000000002</v>
      </c>
      <c r="E246" s="61">
        <f>5.0881 * CHOOSE(CONTROL!$C$21, $C$12, 100%, $E$12)</f>
        <v>5.0880999999999998</v>
      </c>
      <c r="F246" s="61">
        <f>5.0881 * CHOOSE(CONTROL!$C$21, $C$12, 100%, $E$12)</f>
        <v>5.0880999999999998</v>
      </c>
      <c r="G246" s="61">
        <f>5.0883 * CHOOSE(CONTROL!$C$21, $C$12, 100%, $E$12)</f>
        <v>5.0883000000000003</v>
      </c>
      <c r="H246" s="61">
        <f>9.2495* CHOOSE(CONTROL!$C$21, $C$12, 100%, $E$12)</f>
        <v>9.2494999999999994</v>
      </c>
      <c r="I246" s="61">
        <f>9.2496 * CHOOSE(CONTROL!$C$21, $C$12, 100%, $E$12)</f>
        <v>9.2495999999999992</v>
      </c>
      <c r="J246" s="61">
        <f>5.0881 * CHOOSE(CONTROL!$C$21, $C$12, 100%, $E$12)</f>
        <v>5.0880999999999998</v>
      </c>
      <c r="K246" s="61">
        <f>5.0883 * CHOOSE(CONTROL!$C$21, $C$12, 100%, $E$12)</f>
        <v>5.0883000000000003</v>
      </c>
    </row>
    <row r="247" spans="1:11" ht="15">
      <c r="A247" s="13">
        <v>49400</v>
      </c>
      <c r="B247" s="60">
        <f>4.4413 * CHOOSE(CONTROL!$C$21, $C$12, 100%, $E$12)</f>
        <v>4.4413</v>
      </c>
      <c r="C247" s="60">
        <f>4.4413 * CHOOSE(CONTROL!$C$21, $C$12, 100%, $E$12)</f>
        <v>4.4413</v>
      </c>
      <c r="D247" s="60">
        <f>4.4519 * CHOOSE(CONTROL!$C$21, $C$12, 100%, $E$12)</f>
        <v>4.4519000000000002</v>
      </c>
      <c r="E247" s="61">
        <f>5.1311 * CHOOSE(CONTROL!$C$21, $C$12, 100%, $E$12)</f>
        <v>5.1311</v>
      </c>
      <c r="F247" s="61">
        <f>5.1311 * CHOOSE(CONTROL!$C$21, $C$12, 100%, $E$12)</f>
        <v>5.1311</v>
      </c>
      <c r="G247" s="61">
        <f>5.1313 * CHOOSE(CONTROL!$C$21, $C$12, 100%, $E$12)</f>
        <v>5.1313000000000004</v>
      </c>
      <c r="H247" s="61">
        <f>9.2687* CHOOSE(CONTROL!$C$21, $C$12, 100%, $E$12)</f>
        <v>9.2687000000000008</v>
      </c>
      <c r="I247" s="61">
        <f>9.2689 * CHOOSE(CONTROL!$C$21, $C$12, 100%, $E$12)</f>
        <v>9.2689000000000004</v>
      </c>
      <c r="J247" s="61">
        <f>5.1311 * CHOOSE(CONTROL!$C$21, $C$12, 100%, $E$12)</f>
        <v>5.1311</v>
      </c>
      <c r="K247" s="61">
        <f>5.1313 * CHOOSE(CONTROL!$C$21, $C$12, 100%, $E$12)</f>
        <v>5.1313000000000004</v>
      </c>
    </row>
    <row r="248" spans="1:11" ht="15">
      <c r="A248" s="13">
        <v>49430</v>
      </c>
      <c r="B248" s="60">
        <f>4.4413 * CHOOSE(CONTROL!$C$21, $C$12, 100%, $E$12)</f>
        <v>4.4413</v>
      </c>
      <c r="C248" s="60">
        <f>4.4413 * CHOOSE(CONTROL!$C$21, $C$12, 100%, $E$12)</f>
        <v>4.4413</v>
      </c>
      <c r="D248" s="60">
        <f>4.4624 * CHOOSE(CONTROL!$C$21, $C$12, 100%, $E$12)</f>
        <v>4.4623999999999997</v>
      </c>
      <c r="E248" s="61">
        <f>5.1489 * CHOOSE(CONTROL!$C$21, $C$12, 100%, $E$12)</f>
        <v>5.1489000000000003</v>
      </c>
      <c r="F248" s="61">
        <f>5.1489 * CHOOSE(CONTROL!$C$21, $C$12, 100%, $E$12)</f>
        <v>5.1489000000000003</v>
      </c>
      <c r="G248" s="61">
        <f>5.1503 * CHOOSE(CONTROL!$C$21, $C$12, 100%, $E$12)</f>
        <v>5.1502999999999997</v>
      </c>
      <c r="H248" s="61">
        <f>9.288* CHOOSE(CONTROL!$C$21, $C$12, 100%, $E$12)</f>
        <v>9.2880000000000003</v>
      </c>
      <c r="I248" s="61">
        <f>9.2894 * CHOOSE(CONTROL!$C$21, $C$12, 100%, $E$12)</f>
        <v>9.2894000000000005</v>
      </c>
      <c r="J248" s="61">
        <f>5.1489 * CHOOSE(CONTROL!$C$21, $C$12, 100%, $E$12)</f>
        <v>5.1489000000000003</v>
      </c>
      <c r="K248" s="61">
        <f>5.1503 * CHOOSE(CONTROL!$C$21, $C$12, 100%, $E$12)</f>
        <v>5.1502999999999997</v>
      </c>
    </row>
    <row r="249" spans="1:11" ht="15">
      <c r="A249" s="13">
        <v>49461</v>
      </c>
      <c r="B249" s="60">
        <f>4.4474 * CHOOSE(CONTROL!$C$21, $C$12, 100%, $E$12)</f>
        <v>4.4474</v>
      </c>
      <c r="C249" s="60">
        <f>4.4474 * CHOOSE(CONTROL!$C$21, $C$12, 100%, $E$12)</f>
        <v>4.4474</v>
      </c>
      <c r="D249" s="60">
        <f>4.4685 * CHOOSE(CONTROL!$C$21, $C$12, 100%, $E$12)</f>
        <v>4.4684999999999997</v>
      </c>
      <c r="E249" s="61">
        <f>5.1354 * CHOOSE(CONTROL!$C$21, $C$12, 100%, $E$12)</f>
        <v>5.1353999999999997</v>
      </c>
      <c r="F249" s="61">
        <f>5.1354 * CHOOSE(CONTROL!$C$21, $C$12, 100%, $E$12)</f>
        <v>5.1353999999999997</v>
      </c>
      <c r="G249" s="61">
        <f>5.1368 * CHOOSE(CONTROL!$C$21, $C$12, 100%, $E$12)</f>
        <v>5.1368</v>
      </c>
      <c r="H249" s="61">
        <f>9.3074* CHOOSE(CONTROL!$C$21, $C$12, 100%, $E$12)</f>
        <v>9.3073999999999995</v>
      </c>
      <c r="I249" s="61">
        <f>9.3088 * CHOOSE(CONTROL!$C$21, $C$12, 100%, $E$12)</f>
        <v>9.3087999999999997</v>
      </c>
      <c r="J249" s="61">
        <f>5.1354 * CHOOSE(CONTROL!$C$21, $C$12, 100%, $E$12)</f>
        <v>5.1353999999999997</v>
      </c>
      <c r="K249" s="61">
        <f>5.1368 * CHOOSE(CONTROL!$C$21, $C$12, 100%, $E$12)</f>
        <v>5.1368</v>
      </c>
    </row>
    <row r="250" spans="1:11" ht="15">
      <c r="A250" s="13">
        <v>49491</v>
      </c>
      <c r="B250" s="60">
        <f>4.5237 * CHOOSE(CONTROL!$C$21, $C$12, 100%, $E$12)</f>
        <v>4.5236999999999998</v>
      </c>
      <c r="C250" s="60">
        <f>4.5237 * CHOOSE(CONTROL!$C$21, $C$12, 100%, $E$12)</f>
        <v>4.5236999999999998</v>
      </c>
      <c r="D250" s="60">
        <f>4.5449 * CHOOSE(CONTROL!$C$21, $C$12, 100%, $E$12)</f>
        <v>4.5449000000000002</v>
      </c>
      <c r="E250" s="61">
        <f>5.2334 * CHOOSE(CONTROL!$C$21, $C$12, 100%, $E$12)</f>
        <v>5.2333999999999996</v>
      </c>
      <c r="F250" s="61">
        <f>5.2334 * CHOOSE(CONTROL!$C$21, $C$12, 100%, $E$12)</f>
        <v>5.2333999999999996</v>
      </c>
      <c r="G250" s="61">
        <f>5.2348 * CHOOSE(CONTROL!$C$21, $C$12, 100%, $E$12)</f>
        <v>5.2347999999999999</v>
      </c>
      <c r="H250" s="61">
        <f>9.3268* CHOOSE(CONTROL!$C$21, $C$12, 100%, $E$12)</f>
        <v>9.3268000000000004</v>
      </c>
      <c r="I250" s="61">
        <f>9.3282 * CHOOSE(CONTROL!$C$21, $C$12, 100%, $E$12)</f>
        <v>9.3282000000000007</v>
      </c>
      <c r="J250" s="61">
        <f>5.2334 * CHOOSE(CONTROL!$C$21, $C$12, 100%, $E$12)</f>
        <v>5.2333999999999996</v>
      </c>
      <c r="K250" s="61">
        <f>5.2348 * CHOOSE(CONTROL!$C$21, $C$12, 100%, $E$12)</f>
        <v>5.2347999999999999</v>
      </c>
    </row>
    <row r="251" spans="1:11" ht="15">
      <c r="A251" s="13">
        <v>49522</v>
      </c>
      <c r="B251" s="60">
        <f>4.5304 * CHOOSE(CONTROL!$C$21, $C$12, 100%, $E$12)</f>
        <v>4.5304000000000002</v>
      </c>
      <c r="C251" s="60">
        <f>4.5304 * CHOOSE(CONTROL!$C$21, $C$12, 100%, $E$12)</f>
        <v>4.5304000000000002</v>
      </c>
      <c r="D251" s="60">
        <f>4.5516 * CHOOSE(CONTROL!$C$21, $C$12, 100%, $E$12)</f>
        <v>4.5515999999999996</v>
      </c>
      <c r="E251" s="61">
        <f>5.1849 * CHOOSE(CONTROL!$C$21, $C$12, 100%, $E$12)</f>
        <v>5.1848999999999998</v>
      </c>
      <c r="F251" s="61">
        <f>5.1849 * CHOOSE(CONTROL!$C$21, $C$12, 100%, $E$12)</f>
        <v>5.1848999999999998</v>
      </c>
      <c r="G251" s="61">
        <f>5.1862 * CHOOSE(CONTROL!$C$21, $C$12, 100%, $E$12)</f>
        <v>5.1862000000000004</v>
      </c>
      <c r="H251" s="61">
        <f>9.3462* CHOOSE(CONTROL!$C$21, $C$12, 100%, $E$12)</f>
        <v>9.3461999999999996</v>
      </c>
      <c r="I251" s="61">
        <f>9.3476 * CHOOSE(CONTROL!$C$21, $C$12, 100%, $E$12)</f>
        <v>9.3475999999999999</v>
      </c>
      <c r="J251" s="61">
        <f>5.1849 * CHOOSE(CONTROL!$C$21, $C$12, 100%, $E$12)</f>
        <v>5.1848999999999998</v>
      </c>
      <c r="K251" s="61">
        <f>5.1862 * CHOOSE(CONTROL!$C$21, $C$12, 100%, $E$12)</f>
        <v>5.1862000000000004</v>
      </c>
    </row>
    <row r="252" spans="1:11" ht="15">
      <c r="A252" s="13">
        <v>49553</v>
      </c>
      <c r="B252" s="60">
        <f>4.5274 * CHOOSE(CONTROL!$C$21, $C$12, 100%, $E$12)</f>
        <v>4.5274000000000001</v>
      </c>
      <c r="C252" s="60">
        <f>4.5274 * CHOOSE(CONTROL!$C$21, $C$12, 100%, $E$12)</f>
        <v>4.5274000000000001</v>
      </c>
      <c r="D252" s="60">
        <f>4.5485 * CHOOSE(CONTROL!$C$21, $C$12, 100%, $E$12)</f>
        <v>4.5484999999999998</v>
      </c>
      <c r="E252" s="61">
        <f>5.1768 * CHOOSE(CONTROL!$C$21, $C$12, 100%, $E$12)</f>
        <v>5.1768000000000001</v>
      </c>
      <c r="F252" s="61">
        <f>5.1768 * CHOOSE(CONTROL!$C$21, $C$12, 100%, $E$12)</f>
        <v>5.1768000000000001</v>
      </c>
      <c r="G252" s="61">
        <f>5.1782 * CHOOSE(CONTROL!$C$21, $C$12, 100%, $E$12)</f>
        <v>5.1782000000000004</v>
      </c>
      <c r="H252" s="61">
        <f>9.3657* CHOOSE(CONTROL!$C$21, $C$12, 100%, $E$12)</f>
        <v>9.3657000000000004</v>
      </c>
      <c r="I252" s="61">
        <f>9.3671 * CHOOSE(CONTROL!$C$21, $C$12, 100%, $E$12)</f>
        <v>9.3671000000000006</v>
      </c>
      <c r="J252" s="61">
        <f>5.1768 * CHOOSE(CONTROL!$C$21, $C$12, 100%, $E$12)</f>
        <v>5.1768000000000001</v>
      </c>
      <c r="K252" s="61">
        <f>5.1782 * CHOOSE(CONTROL!$C$21, $C$12, 100%, $E$12)</f>
        <v>5.1782000000000004</v>
      </c>
    </row>
    <row r="253" spans="1:11" ht="15">
      <c r="A253" s="13">
        <v>49583</v>
      </c>
      <c r="B253" s="60">
        <f>4.5244 * CHOOSE(CONTROL!$C$21, $C$12, 100%, $E$12)</f>
        <v>4.5244</v>
      </c>
      <c r="C253" s="60">
        <f>4.5244 * CHOOSE(CONTROL!$C$21, $C$12, 100%, $E$12)</f>
        <v>4.5244</v>
      </c>
      <c r="D253" s="60">
        <f>4.535 * CHOOSE(CONTROL!$C$21, $C$12, 100%, $E$12)</f>
        <v>4.5350000000000001</v>
      </c>
      <c r="E253" s="61">
        <f>5.1871 * CHOOSE(CONTROL!$C$21, $C$12, 100%, $E$12)</f>
        <v>5.1871</v>
      </c>
      <c r="F253" s="61">
        <f>5.1871 * CHOOSE(CONTROL!$C$21, $C$12, 100%, $E$12)</f>
        <v>5.1871</v>
      </c>
      <c r="G253" s="61">
        <f>5.1872 * CHOOSE(CONTROL!$C$21, $C$12, 100%, $E$12)</f>
        <v>5.1871999999999998</v>
      </c>
      <c r="H253" s="61">
        <f>9.3852* CHOOSE(CONTROL!$C$21, $C$12, 100%, $E$12)</f>
        <v>9.3851999999999993</v>
      </c>
      <c r="I253" s="61">
        <f>9.3854 * CHOOSE(CONTROL!$C$21, $C$12, 100%, $E$12)</f>
        <v>9.3854000000000006</v>
      </c>
      <c r="J253" s="61">
        <f>5.1871 * CHOOSE(CONTROL!$C$21, $C$12, 100%, $E$12)</f>
        <v>5.1871</v>
      </c>
      <c r="K253" s="61">
        <f>5.1872 * CHOOSE(CONTROL!$C$21, $C$12, 100%, $E$12)</f>
        <v>5.1871999999999998</v>
      </c>
    </row>
    <row r="254" spans="1:11" ht="15">
      <c r="A254" s="13">
        <v>49614</v>
      </c>
      <c r="B254" s="60">
        <f>4.5275 * CHOOSE(CONTROL!$C$21, $C$12, 100%, $E$12)</f>
        <v>4.5274999999999999</v>
      </c>
      <c r="C254" s="60">
        <f>4.5275 * CHOOSE(CONTROL!$C$21, $C$12, 100%, $E$12)</f>
        <v>4.5274999999999999</v>
      </c>
      <c r="D254" s="60">
        <f>4.538 * CHOOSE(CONTROL!$C$21, $C$12, 100%, $E$12)</f>
        <v>4.5380000000000003</v>
      </c>
      <c r="E254" s="61">
        <f>5.201 * CHOOSE(CONTROL!$C$21, $C$12, 100%, $E$12)</f>
        <v>5.2009999999999996</v>
      </c>
      <c r="F254" s="61">
        <f>5.201 * CHOOSE(CONTROL!$C$21, $C$12, 100%, $E$12)</f>
        <v>5.2009999999999996</v>
      </c>
      <c r="G254" s="61">
        <f>5.2012 * CHOOSE(CONTROL!$C$21, $C$12, 100%, $E$12)</f>
        <v>5.2012</v>
      </c>
      <c r="H254" s="61">
        <f>9.4047* CHOOSE(CONTROL!$C$21, $C$12, 100%, $E$12)</f>
        <v>9.4047000000000001</v>
      </c>
      <c r="I254" s="61">
        <f>9.4049 * CHOOSE(CONTROL!$C$21, $C$12, 100%, $E$12)</f>
        <v>9.4048999999999996</v>
      </c>
      <c r="J254" s="61">
        <f>5.201 * CHOOSE(CONTROL!$C$21, $C$12, 100%, $E$12)</f>
        <v>5.2009999999999996</v>
      </c>
      <c r="K254" s="61">
        <f>5.2012 * CHOOSE(CONTROL!$C$21, $C$12, 100%, $E$12)</f>
        <v>5.2012</v>
      </c>
    </row>
    <row r="255" spans="1:11" ht="15">
      <c r="A255" s="13">
        <v>49644</v>
      </c>
      <c r="B255" s="60">
        <f>4.5275 * CHOOSE(CONTROL!$C$21, $C$12, 100%, $E$12)</f>
        <v>4.5274999999999999</v>
      </c>
      <c r="C255" s="60">
        <f>4.5275 * CHOOSE(CONTROL!$C$21, $C$12, 100%, $E$12)</f>
        <v>4.5274999999999999</v>
      </c>
      <c r="D255" s="60">
        <f>4.538 * CHOOSE(CONTROL!$C$21, $C$12, 100%, $E$12)</f>
        <v>4.5380000000000003</v>
      </c>
      <c r="E255" s="61">
        <f>5.1715 * CHOOSE(CONTROL!$C$21, $C$12, 100%, $E$12)</f>
        <v>5.1715</v>
      </c>
      <c r="F255" s="61">
        <f>5.1715 * CHOOSE(CONTROL!$C$21, $C$12, 100%, $E$12)</f>
        <v>5.1715</v>
      </c>
      <c r="G255" s="61">
        <f>5.1716 * CHOOSE(CONTROL!$C$21, $C$12, 100%, $E$12)</f>
        <v>5.1715999999999998</v>
      </c>
      <c r="H255" s="61">
        <f>9.4243* CHOOSE(CONTROL!$C$21, $C$12, 100%, $E$12)</f>
        <v>9.4243000000000006</v>
      </c>
      <c r="I255" s="61">
        <f>9.4245 * CHOOSE(CONTROL!$C$21, $C$12, 100%, $E$12)</f>
        <v>9.4245000000000001</v>
      </c>
      <c r="J255" s="61">
        <f>5.1715 * CHOOSE(CONTROL!$C$21, $C$12, 100%, $E$12)</f>
        <v>5.1715</v>
      </c>
      <c r="K255" s="61">
        <f>5.1716 * CHOOSE(CONTROL!$C$21, $C$12, 100%, $E$12)</f>
        <v>5.1715999999999998</v>
      </c>
    </row>
    <row r="256" spans="1:11" ht="15">
      <c r="A256" s="13">
        <v>49675</v>
      </c>
      <c r="B256" s="60">
        <f>4.5704 * CHOOSE(CONTROL!$C$21, $C$12, 100%, $E$12)</f>
        <v>4.5704000000000002</v>
      </c>
      <c r="C256" s="60">
        <f>4.5704 * CHOOSE(CONTROL!$C$21, $C$12, 100%, $E$12)</f>
        <v>4.5704000000000002</v>
      </c>
      <c r="D256" s="60">
        <f>4.5809 * CHOOSE(CONTROL!$C$21, $C$12, 100%, $E$12)</f>
        <v>4.5808999999999997</v>
      </c>
      <c r="E256" s="61">
        <f>5.2414 * CHOOSE(CONTROL!$C$21, $C$12, 100%, $E$12)</f>
        <v>5.2413999999999996</v>
      </c>
      <c r="F256" s="61">
        <f>5.2414 * CHOOSE(CONTROL!$C$21, $C$12, 100%, $E$12)</f>
        <v>5.2413999999999996</v>
      </c>
      <c r="G256" s="61">
        <f>5.2415 * CHOOSE(CONTROL!$C$21, $C$12, 100%, $E$12)</f>
        <v>5.2415000000000003</v>
      </c>
      <c r="H256" s="61">
        <f>9.444* CHOOSE(CONTROL!$C$21, $C$12, 100%, $E$12)</f>
        <v>9.4440000000000008</v>
      </c>
      <c r="I256" s="61">
        <f>9.4442 * CHOOSE(CONTROL!$C$21, $C$12, 100%, $E$12)</f>
        <v>9.4442000000000004</v>
      </c>
      <c r="J256" s="61">
        <f>5.2414 * CHOOSE(CONTROL!$C$21, $C$12, 100%, $E$12)</f>
        <v>5.2413999999999996</v>
      </c>
      <c r="K256" s="61">
        <f>5.2415 * CHOOSE(CONTROL!$C$21, $C$12, 100%, $E$12)</f>
        <v>5.2415000000000003</v>
      </c>
    </row>
    <row r="257" spans="1:11" ht="15">
      <c r="A257" s="13">
        <v>49706</v>
      </c>
      <c r="B257" s="60">
        <f>4.5673 * CHOOSE(CONTROL!$C$21, $C$12, 100%, $E$12)</f>
        <v>4.5673000000000004</v>
      </c>
      <c r="C257" s="60">
        <f>4.5673 * CHOOSE(CONTROL!$C$21, $C$12, 100%, $E$12)</f>
        <v>4.5673000000000004</v>
      </c>
      <c r="D257" s="60">
        <f>4.5779 * CHOOSE(CONTROL!$C$21, $C$12, 100%, $E$12)</f>
        <v>4.5778999999999996</v>
      </c>
      <c r="E257" s="61">
        <f>5.1819 * CHOOSE(CONTROL!$C$21, $C$12, 100%, $E$12)</f>
        <v>5.1818999999999997</v>
      </c>
      <c r="F257" s="61">
        <f>5.1819 * CHOOSE(CONTROL!$C$21, $C$12, 100%, $E$12)</f>
        <v>5.1818999999999997</v>
      </c>
      <c r="G257" s="61">
        <f>5.182 * CHOOSE(CONTROL!$C$21, $C$12, 100%, $E$12)</f>
        <v>5.1820000000000004</v>
      </c>
      <c r="H257" s="61">
        <f>9.4636* CHOOSE(CONTROL!$C$21, $C$12, 100%, $E$12)</f>
        <v>9.4635999999999996</v>
      </c>
      <c r="I257" s="61">
        <f>9.4638 * CHOOSE(CONTROL!$C$21, $C$12, 100%, $E$12)</f>
        <v>9.4638000000000009</v>
      </c>
      <c r="J257" s="61">
        <f>5.1819 * CHOOSE(CONTROL!$C$21, $C$12, 100%, $E$12)</f>
        <v>5.1818999999999997</v>
      </c>
      <c r="K257" s="61">
        <f>5.182 * CHOOSE(CONTROL!$C$21, $C$12, 100%, $E$12)</f>
        <v>5.1820000000000004</v>
      </c>
    </row>
    <row r="258" spans="1:11" ht="15">
      <c r="A258" s="13">
        <v>49735</v>
      </c>
      <c r="B258" s="60">
        <f>4.5643 * CHOOSE(CONTROL!$C$21, $C$12, 100%, $E$12)</f>
        <v>4.5643000000000002</v>
      </c>
      <c r="C258" s="60">
        <f>4.5643 * CHOOSE(CONTROL!$C$21, $C$12, 100%, $E$12)</f>
        <v>4.5643000000000002</v>
      </c>
      <c r="D258" s="60">
        <f>4.5749 * CHOOSE(CONTROL!$C$21, $C$12, 100%, $E$12)</f>
        <v>4.5749000000000004</v>
      </c>
      <c r="E258" s="61">
        <f>5.225 * CHOOSE(CONTROL!$C$21, $C$12, 100%, $E$12)</f>
        <v>5.2249999999999996</v>
      </c>
      <c r="F258" s="61">
        <f>5.225 * CHOOSE(CONTROL!$C$21, $C$12, 100%, $E$12)</f>
        <v>5.2249999999999996</v>
      </c>
      <c r="G258" s="61">
        <f>5.2251 * CHOOSE(CONTROL!$C$21, $C$12, 100%, $E$12)</f>
        <v>5.2251000000000003</v>
      </c>
      <c r="H258" s="61">
        <f>9.4834* CHOOSE(CONTROL!$C$21, $C$12, 100%, $E$12)</f>
        <v>9.4833999999999996</v>
      </c>
      <c r="I258" s="61">
        <f>9.4835 * CHOOSE(CONTROL!$C$21, $C$12, 100%, $E$12)</f>
        <v>9.4834999999999994</v>
      </c>
      <c r="J258" s="61">
        <f>5.225 * CHOOSE(CONTROL!$C$21, $C$12, 100%, $E$12)</f>
        <v>5.2249999999999996</v>
      </c>
      <c r="K258" s="61">
        <f>5.2251 * CHOOSE(CONTROL!$C$21, $C$12, 100%, $E$12)</f>
        <v>5.2251000000000003</v>
      </c>
    </row>
    <row r="259" spans="1:11" ht="15">
      <c r="A259" s="13">
        <v>49766</v>
      </c>
      <c r="B259" s="60">
        <f>4.5625 * CHOOSE(CONTROL!$C$21, $C$12, 100%, $E$12)</f>
        <v>4.5625</v>
      </c>
      <c r="C259" s="60">
        <f>4.5625 * CHOOSE(CONTROL!$C$21, $C$12, 100%, $E$12)</f>
        <v>4.5625</v>
      </c>
      <c r="D259" s="60">
        <f>4.5731 * CHOOSE(CONTROL!$C$21, $C$12, 100%, $E$12)</f>
        <v>4.5731000000000002</v>
      </c>
      <c r="E259" s="61">
        <f>5.2693 * CHOOSE(CONTROL!$C$21, $C$12, 100%, $E$12)</f>
        <v>5.2693000000000003</v>
      </c>
      <c r="F259" s="61">
        <f>5.2693 * CHOOSE(CONTROL!$C$21, $C$12, 100%, $E$12)</f>
        <v>5.2693000000000003</v>
      </c>
      <c r="G259" s="61">
        <f>5.2695 * CHOOSE(CONTROL!$C$21, $C$12, 100%, $E$12)</f>
        <v>5.2694999999999999</v>
      </c>
      <c r="H259" s="61">
        <f>9.5031* CHOOSE(CONTROL!$C$21, $C$12, 100%, $E$12)</f>
        <v>9.5030999999999999</v>
      </c>
      <c r="I259" s="61">
        <f>9.5033 * CHOOSE(CONTROL!$C$21, $C$12, 100%, $E$12)</f>
        <v>9.5032999999999994</v>
      </c>
      <c r="J259" s="61">
        <f>5.2693 * CHOOSE(CONTROL!$C$21, $C$12, 100%, $E$12)</f>
        <v>5.2693000000000003</v>
      </c>
      <c r="K259" s="61">
        <f>5.2695 * CHOOSE(CONTROL!$C$21, $C$12, 100%, $E$12)</f>
        <v>5.2694999999999999</v>
      </c>
    </row>
    <row r="260" spans="1:11" ht="15">
      <c r="A260" s="13">
        <v>49796</v>
      </c>
      <c r="B260" s="60">
        <f>4.5625 * CHOOSE(CONTROL!$C$21, $C$12, 100%, $E$12)</f>
        <v>4.5625</v>
      </c>
      <c r="C260" s="60">
        <f>4.5625 * CHOOSE(CONTROL!$C$21, $C$12, 100%, $E$12)</f>
        <v>4.5625</v>
      </c>
      <c r="D260" s="60">
        <f>4.5836 * CHOOSE(CONTROL!$C$21, $C$12, 100%, $E$12)</f>
        <v>4.5835999999999997</v>
      </c>
      <c r="E260" s="61">
        <f>5.2875 * CHOOSE(CONTROL!$C$21, $C$12, 100%, $E$12)</f>
        <v>5.2874999999999996</v>
      </c>
      <c r="F260" s="61">
        <f>5.2875 * CHOOSE(CONTROL!$C$21, $C$12, 100%, $E$12)</f>
        <v>5.2874999999999996</v>
      </c>
      <c r="G260" s="61">
        <f>5.2889 * CHOOSE(CONTROL!$C$21, $C$12, 100%, $E$12)</f>
        <v>5.2888999999999999</v>
      </c>
      <c r="H260" s="61">
        <f>9.5229* CHOOSE(CONTROL!$C$21, $C$12, 100%, $E$12)</f>
        <v>9.5228999999999999</v>
      </c>
      <c r="I260" s="61">
        <f>9.5243 * CHOOSE(CONTROL!$C$21, $C$12, 100%, $E$12)</f>
        <v>9.5243000000000002</v>
      </c>
      <c r="J260" s="61">
        <f>5.2875 * CHOOSE(CONTROL!$C$21, $C$12, 100%, $E$12)</f>
        <v>5.2874999999999996</v>
      </c>
      <c r="K260" s="61">
        <f>5.2889 * CHOOSE(CONTROL!$C$21, $C$12, 100%, $E$12)</f>
        <v>5.2888999999999999</v>
      </c>
    </row>
    <row r="261" spans="1:11" ht="15">
      <c r="A261" s="13">
        <v>49827</v>
      </c>
      <c r="B261" s="60">
        <f>4.5686 * CHOOSE(CONTROL!$C$21, $C$12, 100%, $E$12)</f>
        <v>4.5686</v>
      </c>
      <c r="C261" s="60">
        <f>4.5686 * CHOOSE(CONTROL!$C$21, $C$12, 100%, $E$12)</f>
        <v>4.5686</v>
      </c>
      <c r="D261" s="60">
        <f>4.5897 * CHOOSE(CONTROL!$C$21, $C$12, 100%, $E$12)</f>
        <v>4.5896999999999997</v>
      </c>
      <c r="E261" s="61">
        <f>5.2735 * CHOOSE(CONTROL!$C$21, $C$12, 100%, $E$12)</f>
        <v>5.2735000000000003</v>
      </c>
      <c r="F261" s="61">
        <f>5.2735 * CHOOSE(CONTROL!$C$21, $C$12, 100%, $E$12)</f>
        <v>5.2735000000000003</v>
      </c>
      <c r="G261" s="61">
        <f>5.2749 * CHOOSE(CONTROL!$C$21, $C$12, 100%, $E$12)</f>
        <v>5.2748999999999997</v>
      </c>
      <c r="H261" s="61">
        <f>9.5428* CHOOSE(CONTROL!$C$21, $C$12, 100%, $E$12)</f>
        <v>9.5427999999999997</v>
      </c>
      <c r="I261" s="61">
        <f>9.5441 * CHOOSE(CONTROL!$C$21, $C$12, 100%, $E$12)</f>
        <v>9.5441000000000003</v>
      </c>
      <c r="J261" s="61">
        <f>5.2735 * CHOOSE(CONTROL!$C$21, $C$12, 100%, $E$12)</f>
        <v>5.2735000000000003</v>
      </c>
      <c r="K261" s="61">
        <f>5.2749 * CHOOSE(CONTROL!$C$21, $C$12, 100%, $E$12)</f>
        <v>5.2748999999999997</v>
      </c>
    </row>
    <row r="262" spans="1:11" ht="15">
      <c r="A262" s="13">
        <v>49857</v>
      </c>
      <c r="B262" s="60">
        <f>4.6492 * CHOOSE(CONTROL!$C$21, $C$12, 100%, $E$12)</f>
        <v>4.6492000000000004</v>
      </c>
      <c r="C262" s="60">
        <f>4.6492 * CHOOSE(CONTROL!$C$21, $C$12, 100%, $E$12)</f>
        <v>4.6492000000000004</v>
      </c>
      <c r="D262" s="60">
        <f>4.6703 * CHOOSE(CONTROL!$C$21, $C$12, 100%, $E$12)</f>
        <v>4.6703000000000001</v>
      </c>
      <c r="E262" s="61">
        <f>5.3842 * CHOOSE(CONTROL!$C$21, $C$12, 100%, $E$12)</f>
        <v>5.3841999999999999</v>
      </c>
      <c r="F262" s="61">
        <f>5.3842 * CHOOSE(CONTROL!$C$21, $C$12, 100%, $E$12)</f>
        <v>5.3841999999999999</v>
      </c>
      <c r="G262" s="61">
        <f>5.3856 * CHOOSE(CONTROL!$C$21, $C$12, 100%, $E$12)</f>
        <v>5.3856000000000002</v>
      </c>
      <c r="H262" s="61">
        <f>9.5626* CHOOSE(CONTROL!$C$21, $C$12, 100%, $E$12)</f>
        <v>9.5625999999999998</v>
      </c>
      <c r="I262" s="61">
        <f>9.564 * CHOOSE(CONTROL!$C$21, $C$12, 100%, $E$12)</f>
        <v>9.5640000000000001</v>
      </c>
      <c r="J262" s="61">
        <f>5.3842 * CHOOSE(CONTROL!$C$21, $C$12, 100%, $E$12)</f>
        <v>5.3841999999999999</v>
      </c>
      <c r="K262" s="61">
        <f>5.3856 * CHOOSE(CONTROL!$C$21, $C$12, 100%, $E$12)</f>
        <v>5.3856000000000002</v>
      </c>
    </row>
    <row r="263" spans="1:11" ht="15">
      <c r="A263" s="13">
        <v>49888</v>
      </c>
      <c r="B263" s="60">
        <f>4.6559 * CHOOSE(CONTROL!$C$21, $C$12, 100%, $E$12)</f>
        <v>4.6558999999999999</v>
      </c>
      <c r="C263" s="60">
        <f>4.6559 * CHOOSE(CONTROL!$C$21, $C$12, 100%, $E$12)</f>
        <v>4.6558999999999999</v>
      </c>
      <c r="D263" s="60">
        <f>4.677 * CHOOSE(CONTROL!$C$21, $C$12, 100%, $E$12)</f>
        <v>4.6769999999999996</v>
      </c>
      <c r="E263" s="61">
        <f>5.3342 * CHOOSE(CONTROL!$C$21, $C$12, 100%, $E$12)</f>
        <v>5.3342000000000001</v>
      </c>
      <c r="F263" s="61">
        <f>5.3342 * CHOOSE(CONTROL!$C$21, $C$12, 100%, $E$12)</f>
        <v>5.3342000000000001</v>
      </c>
      <c r="G263" s="61">
        <f>5.3356 * CHOOSE(CONTROL!$C$21, $C$12, 100%, $E$12)</f>
        <v>5.3356000000000003</v>
      </c>
      <c r="H263" s="61">
        <f>9.5826* CHOOSE(CONTROL!$C$21, $C$12, 100%, $E$12)</f>
        <v>9.5825999999999993</v>
      </c>
      <c r="I263" s="61">
        <f>9.5839 * CHOOSE(CONTROL!$C$21, $C$12, 100%, $E$12)</f>
        <v>9.5838999999999999</v>
      </c>
      <c r="J263" s="61">
        <f>5.3342 * CHOOSE(CONTROL!$C$21, $C$12, 100%, $E$12)</f>
        <v>5.3342000000000001</v>
      </c>
      <c r="K263" s="61">
        <f>5.3356 * CHOOSE(CONTROL!$C$21, $C$12, 100%, $E$12)</f>
        <v>5.3356000000000003</v>
      </c>
    </row>
    <row r="264" spans="1:11" ht="15">
      <c r="A264" s="13">
        <v>49919</v>
      </c>
      <c r="B264" s="60">
        <f>4.6528 * CHOOSE(CONTROL!$C$21, $C$12, 100%, $E$12)</f>
        <v>4.6528</v>
      </c>
      <c r="C264" s="60">
        <f>4.6528 * CHOOSE(CONTROL!$C$21, $C$12, 100%, $E$12)</f>
        <v>4.6528</v>
      </c>
      <c r="D264" s="60">
        <f>4.674 * CHOOSE(CONTROL!$C$21, $C$12, 100%, $E$12)</f>
        <v>4.6740000000000004</v>
      </c>
      <c r="E264" s="61">
        <f>5.326 * CHOOSE(CONTROL!$C$21, $C$12, 100%, $E$12)</f>
        <v>5.3259999999999996</v>
      </c>
      <c r="F264" s="61">
        <f>5.326 * CHOOSE(CONTROL!$C$21, $C$12, 100%, $E$12)</f>
        <v>5.3259999999999996</v>
      </c>
      <c r="G264" s="61">
        <f>5.3274 * CHOOSE(CONTROL!$C$21, $C$12, 100%, $E$12)</f>
        <v>5.3273999999999999</v>
      </c>
      <c r="H264" s="61">
        <f>9.6025* CHOOSE(CONTROL!$C$21, $C$12, 100%, $E$12)</f>
        <v>9.6024999999999991</v>
      </c>
      <c r="I264" s="61">
        <f>9.6039 * CHOOSE(CONTROL!$C$21, $C$12, 100%, $E$12)</f>
        <v>9.6038999999999994</v>
      </c>
      <c r="J264" s="61">
        <f>5.326 * CHOOSE(CONTROL!$C$21, $C$12, 100%, $E$12)</f>
        <v>5.3259999999999996</v>
      </c>
      <c r="K264" s="61">
        <f>5.3274 * CHOOSE(CONTROL!$C$21, $C$12, 100%, $E$12)</f>
        <v>5.3273999999999999</v>
      </c>
    </row>
    <row r="265" spans="1:11" ht="15">
      <c r="A265" s="13">
        <v>49949</v>
      </c>
      <c r="B265" s="60">
        <f>4.6503 * CHOOSE(CONTROL!$C$21, $C$12, 100%, $E$12)</f>
        <v>4.6502999999999997</v>
      </c>
      <c r="C265" s="60">
        <f>4.6503 * CHOOSE(CONTROL!$C$21, $C$12, 100%, $E$12)</f>
        <v>4.6502999999999997</v>
      </c>
      <c r="D265" s="60">
        <f>4.6608 * CHOOSE(CONTROL!$C$21, $C$12, 100%, $E$12)</f>
        <v>4.6608000000000001</v>
      </c>
      <c r="E265" s="61">
        <f>5.3369 * CHOOSE(CONTROL!$C$21, $C$12, 100%, $E$12)</f>
        <v>5.3369</v>
      </c>
      <c r="F265" s="61">
        <f>5.3369 * CHOOSE(CONTROL!$C$21, $C$12, 100%, $E$12)</f>
        <v>5.3369</v>
      </c>
      <c r="G265" s="61">
        <f>5.3371 * CHOOSE(CONTROL!$C$21, $C$12, 100%, $E$12)</f>
        <v>5.3371000000000004</v>
      </c>
      <c r="H265" s="61">
        <f>9.6225* CHOOSE(CONTROL!$C$21, $C$12, 100%, $E$12)</f>
        <v>9.6225000000000005</v>
      </c>
      <c r="I265" s="61">
        <f>9.6227 * CHOOSE(CONTROL!$C$21, $C$12, 100%, $E$12)</f>
        <v>9.6227</v>
      </c>
      <c r="J265" s="61">
        <f>5.3369 * CHOOSE(CONTROL!$C$21, $C$12, 100%, $E$12)</f>
        <v>5.3369</v>
      </c>
      <c r="K265" s="61">
        <f>5.3371 * CHOOSE(CONTROL!$C$21, $C$12, 100%, $E$12)</f>
        <v>5.3371000000000004</v>
      </c>
    </row>
    <row r="266" spans="1:11" ht="15">
      <c r="A266" s="13">
        <v>49980</v>
      </c>
      <c r="B266" s="60">
        <f>4.6533 * CHOOSE(CONTROL!$C$21, $C$12, 100%, $E$12)</f>
        <v>4.6532999999999998</v>
      </c>
      <c r="C266" s="60">
        <f>4.6533 * CHOOSE(CONTROL!$C$21, $C$12, 100%, $E$12)</f>
        <v>4.6532999999999998</v>
      </c>
      <c r="D266" s="60">
        <f>4.6639 * CHOOSE(CONTROL!$C$21, $C$12, 100%, $E$12)</f>
        <v>4.6638999999999999</v>
      </c>
      <c r="E266" s="61">
        <f>5.3512 * CHOOSE(CONTROL!$C$21, $C$12, 100%, $E$12)</f>
        <v>5.3512000000000004</v>
      </c>
      <c r="F266" s="61">
        <f>5.3512 * CHOOSE(CONTROL!$C$21, $C$12, 100%, $E$12)</f>
        <v>5.3512000000000004</v>
      </c>
      <c r="G266" s="61">
        <f>5.3513 * CHOOSE(CONTROL!$C$21, $C$12, 100%, $E$12)</f>
        <v>5.3513000000000002</v>
      </c>
      <c r="H266" s="61">
        <f>9.6426* CHOOSE(CONTROL!$C$21, $C$12, 100%, $E$12)</f>
        <v>9.6425999999999998</v>
      </c>
      <c r="I266" s="61">
        <f>9.6428 * CHOOSE(CONTROL!$C$21, $C$12, 100%, $E$12)</f>
        <v>9.6427999999999994</v>
      </c>
      <c r="J266" s="61">
        <f>5.3512 * CHOOSE(CONTROL!$C$21, $C$12, 100%, $E$12)</f>
        <v>5.3512000000000004</v>
      </c>
      <c r="K266" s="61">
        <f>5.3513 * CHOOSE(CONTROL!$C$21, $C$12, 100%, $E$12)</f>
        <v>5.3513000000000002</v>
      </c>
    </row>
    <row r="267" spans="1:11" ht="15">
      <c r="A267" s="13">
        <v>50010</v>
      </c>
      <c r="B267" s="60">
        <f>4.6533 * CHOOSE(CONTROL!$C$21, $C$12, 100%, $E$12)</f>
        <v>4.6532999999999998</v>
      </c>
      <c r="C267" s="60">
        <f>4.6533 * CHOOSE(CONTROL!$C$21, $C$12, 100%, $E$12)</f>
        <v>4.6532999999999998</v>
      </c>
      <c r="D267" s="60">
        <f>4.6639 * CHOOSE(CONTROL!$C$21, $C$12, 100%, $E$12)</f>
        <v>4.6638999999999999</v>
      </c>
      <c r="E267" s="61">
        <f>5.3208 * CHOOSE(CONTROL!$C$21, $C$12, 100%, $E$12)</f>
        <v>5.3208000000000002</v>
      </c>
      <c r="F267" s="61">
        <f>5.3208 * CHOOSE(CONTROL!$C$21, $C$12, 100%, $E$12)</f>
        <v>5.3208000000000002</v>
      </c>
      <c r="G267" s="61">
        <f>5.321 * CHOOSE(CONTROL!$C$21, $C$12, 100%, $E$12)</f>
        <v>5.3209999999999997</v>
      </c>
      <c r="H267" s="61">
        <f>9.6627* CHOOSE(CONTROL!$C$21, $C$12, 100%, $E$12)</f>
        <v>9.6626999999999992</v>
      </c>
      <c r="I267" s="61">
        <f>9.6628 * CHOOSE(CONTROL!$C$21, $C$12, 100%, $E$12)</f>
        <v>9.6628000000000007</v>
      </c>
      <c r="J267" s="61">
        <f>5.3208 * CHOOSE(CONTROL!$C$21, $C$12, 100%, $E$12)</f>
        <v>5.3208000000000002</v>
      </c>
      <c r="K267" s="61">
        <f>5.321 * CHOOSE(CONTROL!$C$21, $C$12, 100%, $E$12)</f>
        <v>5.3209999999999997</v>
      </c>
    </row>
    <row r="268" spans="1:11" ht="15">
      <c r="A268" s="13">
        <v>50041</v>
      </c>
      <c r="B268" s="60">
        <f>4.6966 * CHOOSE(CONTROL!$C$21, $C$12, 100%, $E$12)</f>
        <v>4.6966000000000001</v>
      </c>
      <c r="C268" s="60">
        <f>4.6966 * CHOOSE(CONTROL!$C$21, $C$12, 100%, $E$12)</f>
        <v>4.6966000000000001</v>
      </c>
      <c r="D268" s="60">
        <f>4.7072 * CHOOSE(CONTROL!$C$21, $C$12, 100%, $E$12)</f>
        <v>4.7072000000000003</v>
      </c>
      <c r="E268" s="61">
        <f>5.3901 * CHOOSE(CONTROL!$C$21, $C$12, 100%, $E$12)</f>
        <v>5.3901000000000003</v>
      </c>
      <c r="F268" s="61">
        <f>5.3901 * CHOOSE(CONTROL!$C$21, $C$12, 100%, $E$12)</f>
        <v>5.3901000000000003</v>
      </c>
      <c r="G268" s="61">
        <f>5.3903 * CHOOSE(CONTROL!$C$21, $C$12, 100%, $E$12)</f>
        <v>5.3902999999999999</v>
      </c>
      <c r="H268" s="61">
        <f>9.6828* CHOOSE(CONTROL!$C$21, $C$12, 100%, $E$12)</f>
        <v>9.6828000000000003</v>
      </c>
      <c r="I268" s="61">
        <f>9.683 * CHOOSE(CONTROL!$C$21, $C$12, 100%, $E$12)</f>
        <v>9.6829999999999998</v>
      </c>
      <c r="J268" s="61">
        <f>5.3901 * CHOOSE(CONTROL!$C$21, $C$12, 100%, $E$12)</f>
        <v>5.3901000000000003</v>
      </c>
      <c r="K268" s="61">
        <f>5.3903 * CHOOSE(CONTROL!$C$21, $C$12, 100%, $E$12)</f>
        <v>5.3902999999999999</v>
      </c>
    </row>
    <row r="269" spans="1:11" ht="15">
      <c r="A269" s="13">
        <v>50072</v>
      </c>
      <c r="B269" s="60">
        <f>4.6936 * CHOOSE(CONTROL!$C$21, $C$12, 100%, $E$12)</f>
        <v>4.6936</v>
      </c>
      <c r="C269" s="60">
        <f>4.6936 * CHOOSE(CONTROL!$C$21, $C$12, 100%, $E$12)</f>
        <v>4.6936</v>
      </c>
      <c r="D269" s="60">
        <f>4.7041 * CHOOSE(CONTROL!$C$21, $C$12, 100%, $E$12)</f>
        <v>4.7041000000000004</v>
      </c>
      <c r="E269" s="61">
        <f>5.3291 * CHOOSE(CONTROL!$C$21, $C$12, 100%, $E$12)</f>
        <v>5.3291000000000004</v>
      </c>
      <c r="F269" s="61">
        <f>5.3291 * CHOOSE(CONTROL!$C$21, $C$12, 100%, $E$12)</f>
        <v>5.3291000000000004</v>
      </c>
      <c r="G269" s="61">
        <f>5.3293 * CHOOSE(CONTROL!$C$21, $C$12, 100%, $E$12)</f>
        <v>5.3292999999999999</v>
      </c>
      <c r="H269" s="61">
        <f>9.703* CHOOSE(CONTROL!$C$21, $C$12, 100%, $E$12)</f>
        <v>9.7029999999999994</v>
      </c>
      <c r="I269" s="61">
        <f>9.7031 * CHOOSE(CONTROL!$C$21, $C$12, 100%, $E$12)</f>
        <v>9.7030999999999992</v>
      </c>
      <c r="J269" s="61">
        <f>5.3291 * CHOOSE(CONTROL!$C$21, $C$12, 100%, $E$12)</f>
        <v>5.3291000000000004</v>
      </c>
      <c r="K269" s="61">
        <f>5.3293 * CHOOSE(CONTROL!$C$21, $C$12, 100%, $E$12)</f>
        <v>5.3292999999999999</v>
      </c>
    </row>
    <row r="270" spans="1:11" ht="15">
      <c r="A270" s="13">
        <v>50100</v>
      </c>
      <c r="B270" s="60">
        <f>4.6905 * CHOOSE(CONTROL!$C$21, $C$12, 100%, $E$12)</f>
        <v>4.6905000000000001</v>
      </c>
      <c r="C270" s="60">
        <f>4.6905 * CHOOSE(CONTROL!$C$21, $C$12, 100%, $E$12)</f>
        <v>4.6905000000000001</v>
      </c>
      <c r="D270" s="60">
        <f>4.7011 * CHOOSE(CONTROL!$C$21, $C$12, 100%, $E$12)</f>
        <v>4.7011000000000003</v>
      </c>
      <c r="E270" s="61">
        <f>5.3734 * CHOOSE(CONTROL!$C$21, $C$12, 100%, $E$12)</f>
        <v>5.3734000000000002</v>
      </c>
      <c r="F270" s="61">
        <f>5.3734 * CHOOSE(CONTROL!$C$21, $C$12, 100%, $E$12)</f>
        <v>5.3734000000000002</v>
      </c>
      <c r="G270" s="61">
        <f>5.3736 * CHOOSE(CONTROL!$C$21, $C$12, 100%, $E$12)</f>
        <v>5.3735999999999997</v>
      </c>
      <c r="H270" s="61">
        <f>9.7232* CHOOSE(CONTROL!$C$21, $C$12, 100%, $E$12)</f>
        <v>9.7232000000000003</v>
      </c>
      <c r="I270" s="61">
        <f>9.7234 * CHOOSE(CONTROL!$C$21, $C$12, 100%, $E$12)</f>
        <v>9.7233999999999998</v>
      </c>
      <c r="J270" s="61">
        <f>5.3734 * CHOOSE(CONTROL!$C$21, $C$12, 100%, $E$12)</f>
        <v>5.3734000000000002</v>
      </c>
      <c r="K270" s="61">
        <f>5.3736 * CHOOSE(CONTROL!$C$21, $C$12, 100%, $E$12)</f>
        <v>5.3735999999999997</v>
      </c>
    </row>
    <row r="271" spans="1:11" ht="15">
      <c r="A271" s="13">
        <v>50131</v>
      </c>
      <c r="B271" s="60">
        <f>4.6888 * CHOOSE(CONTROL!$C$21, $C$12, 100%, $E$12)</f>
        <v>4.6887999999999996</v>
      </c>
      <c r="C271" s="60">
        <f>4.6888 * CHOOSE(CONTROL!$C$21, $C$12, 100%, $E$12)</f>
        <v>4.6887999999999996</v>
      </c>
      <c r="D271" s="60">
        <f>4.6994 * CHOOSE(CONTROL!$C$21, $C$12, 100%, $E$12)</f>
        <v>4.6993999999999998</v>
      </c>
      <c r="E271" s="61">
        <f>5.4191 * CHOOSE(CONTROL!$C$21, $C$12, 100%, $E$12)</f>
        <v>5.4191000000000003</v>
      </c>
      <c r="F271" s="61">
        <f>5.4191 * CHOOSE(CONTROL!$C$21, $C$12, 100%, $E$12)</f>
        <v>5.4191000000000003</v>
      </c>
      <c r="G271" s="61">
        <f>5.4192 * CHOOSE(CONTROL!$C$21, $C$12, 100%, $E$12)</f>
        <v>5.4192</v>
      </c>
      <c r="H271" s="61">
        <f>9.7434* CHOOSE(CONTROL!$C$21, $C$12, 100%, $E$12)</f>
        <v>9.7433999999999994</v>
      </c>
      <c r="I271" s="61">
        <f>9.7436 * CHOOSE(CONTROL!$C$21, $C$12, 100%, $E$12)</f>
        <v>9.7436000000000007</v>
      </c>
      <c r="J271" s="61">
        <f>5.4191 * CHOOSE(CONTROL!$C$21, $C$12, 100%, $E$12)</f>
        <v>5.4191000000000003</v>
      </c>
      <c r="K271" s="61">
        <f>5.4192 * CHOOSE(CONTROL!$C$21, $C$12, 100%, $E$12)</f>
        <v>5.4192</v>
      </c>
    </row>
    <row r="272" spans="1:11" ht="15">
      <c r="A272" s="13">
        <v>50161</v>
      </c>
      <c r="B272" s="60">
        <f>4.6888 * CHOOSE(CONTROL!$C$21, $C$12, 100%, $E$12)</f>
        <v>4.6887999999999996</v>
      </c>
      <c r="C272" s="60">
        <f>4.6888 * CHOOSE(CONTROL!$C$21, $C$12, 100%, $E$12)</f>
        <v>4.6887999999999996</v>
      </c>
      <c r="D272" s="60">
        <f>4.71 * CHOOSE(CONTROL!$C$21, $C$12, 100%, $E$12)</f>
        <v>4.71</v>
      </c>
      <c r="E272" s="61">
        <f>5.4378 * CHOOSE(CONTROL!$C$21, $C$12, 100%, $E$12)</f>
        <v>5.4378000000000002</v>
      </c>
      <c r="F272" s="61">
        <f>5.4378 * CHOOSE(CONTROL!$C$21, $C$12, 100%, $E$12)</f>
        <v>5.4378000000000002</v>
      </c>
      <c r="G272" s="61">
        <f>5.4391 * CHOOSE(CONTROL!$C$21, $C$12, 100%, $E$12)</f>
        <v>5.4390999999999998</v>
      </c>
      <c r="H272" s="61">
        <f>9.7637* CHOOSE(CONTROL!$C$21, $C$12, 100%, $E$12)</f>
        <v>9.7637</v>
      </c>
      <c r="I272" s="61">
        <f>9.7651 * CHOOSE(CONTROL!$C$21, $C$12, 100%, $E$12)</f>
        <v>9.7651000000000003</v>
      </c>
      <c r="J272" s="61">
        <f>5.4378 * CHOOSE(CONTROL!$C$21, $C$12, 100%, $E$12)</f>
        <v>5.4378000000000002</v>
      </c>
      <c r="K272" s="61">
        <f>5.4391 * CHOOSE(CONTROL!$C$21, $C$12, 100%, $E$12)</f>
        <v>5.4390999999999998</v>
      </c>
    </row>
    <row r="273" spans="1:11" ht="15">
      <c r="A273" s="13">
        <v>50192</v>
      </c>
      <c r="B273" s="60">
        <f>4.6949 * CHOOSE(CONTROL!$C$21, $C$12, 100%, $E$12)</f>
        <v>4.6948999999999996</v>
      </c>
      <c r="C273" s="60">
        <f>4.6949 * CHOOSE(CONTROL!$C$21, $C$12, 100%, $E$12)</f>
        <v>4.6948999999999996</v>
      </c>
      <c r="D273" s="60">
        <f>4.716 * CHOOSE(CONTROL!$C$21, $C$12, 100%, $E$12)</f>
        <v>4.7160000000000002</v>
      </c>
      <c r="E273" s="61">
        <f>5.4233 * CHOOSE(CONTROL!$C$21, $C$12, 100%, $E$12)</f>
        <v>5.4233000000000002</v>
      </c>
      <c r="F273" s="61">
        <f>5.4233 * CHOOSE(CONTROL!$C$21, $C$12, 100%, $E$12)</f>
        <v>5.4233000000000002</v>
      </c>
      <c r="G273" s="61">
        <f>5.4247 * CHOOSE(CONTROL!$C$21, $C$12, 100%, $E$12)</f>
        <v>5.4246999999999996</v>
      </c>
      <c r="H273" s="61">
        <f>9.7841* CHOOSE(CONTROL!$C$21, $C$12, 100%, $E$12)</f>
        <v>9.7841000000000005</v>
      </c>
      <c r="I273" s="61">
        <f>9.7855 * CHOOSE(CONTROL!$C$21, $C$12, 100%, $E$12)</f>
        <v>9.7855000000000008</v>
      </c>
      <c r="J273" s="61">
        <f>5.4233 * CHOOSE(CONTROL!$C$21, $C$12, 100%, $E$12)</f>
        <v>5.4233000000000002</v>
      </c>
      <c r="K273" s="61">
        <f>5.4247 * CHOOSE(CONTROL!$C$21, $C$12, 100%, $E$12)</f>
        <v>5.4246999999999996</v>
      </c>
    </row>
    <row r="274" spans="1:11" ht="15">
      <c r="A274" s="13">
        <v>50222</v>
      </c>
      <c r="B274" s="60">
        <f>4.7758 * CHOOSE(CONTROL!$C$21, $C$12, 100%, $E$12)</f>
        <v>4.7758000000000003</v>
      </c>
      <c r="C274" s="60">
        <f>4.7758 * CHOOSE(CONTROL!$C$21, $C$12, 100%, $E$12)</f>
        <v>4.7758000000000003</v>
      </c>
      <c r="D274" s="60">
        <f>4.7969 * CHOOSE(CONTROL!$C$21, $C$12, 100%, $E$12)</f>
        <v>4.7968999999999999</v>
      </c>
      <c r="E274" s="61">
        <f>5.5312 * CHOOSE(CONTROL!$C$21, $C$12, 100%, $E$12)</f>
        <v>5.5312000000000001</v>
      </c>
      <c r="F274" s="61">
        <f>5.5312 * CHOOSE(CONTROL!$C$21, $C$12, 100%, $E$12)</f>
        <v>5.5312000000000001</v>
      </c>
      <c r="G274" s="61">
        <f>5.5326 * CHOOSE(CONTROL!$C$21, $C$12, 100%, $E$12)</f>
        <v>5.5326000000000004</v>
      </c>
      <c r="H274" s="61">
        <f>9.8045* CHOOSE(CONTROL!$C$21, $C$12, 100%, $E$12)</f>
        <v>9.8045000000000009</v>
      </c>
      <c r="I274" s="61">
        <f>9.8058 * CHOOSE(CONTROL!$C$21, $C$12, 100%, $E$12)</f>
        <v>9.8057999999999996</v>
      </c>
      <c r="J274" s="61">
        <f>5.5312 * CHOOSE(CONTROL!$C$21, $C$12, 100%, $E$12)</f>
        <v>5.5312000000000001</v>
      </c>
      <c r="K274" s="61">
        <f>5.5326 * CHOOSE(CONTROL!$C$21, $C$12, 100%, $E$12)</f>
        <v>5.5326000000000004</v>
      </c>
    </row>
    <row r="275" spans="1:11" ht="15">
      <c r="A275" s="13">
        <v>50253</v>
      </c>
      <c r="B275" s="60">
        <f>4.7825 * CHOOSE(CONTROL!$C$21, $C$12, 100%, $E$12)</f>
        <v>4.7824999999999998</v>
      </c>
      <c r="C275" s="60">
        <f>4.7825 * CHOOSE(CONTROL!$C$21, $C$12, 100%, $E$12)</f>
        <v>4.7824999999999998</v>
      </c>
      <c r="D275" s="60">
        <f>4.8036 * CHOOSE(CONTROL!$C$21, $C$12, 100%, $E$12)</f>
        <v>4.8036000000000003</v>
      </c>
      <c r="E275" s="61">
        <f>5.4797 * CHOOSE(CONTROL!$C$21, $C$12, 100%, $E$12)</f>
        <v>5.4797000000000002</v>
      </c>
      <c r="F275" s="61">
        <f>5.4797 * CHOOSE(CONTROL!$C$21, $C$12, 100%, $E$12)</f>
        <v>5.4797000000000002</v>
      </c>
      <c r="G275" s="61">
        <f>5.4811 * CHOOSE(CONTROL!$C$21, $C$12, 100%, $E$12)</f>
        <v>5.4810999999999996</v>
      </c>
      <c r="H275" s="61">
        <f>9.8249* CHOOSE(CONTROL!$C$21, $C$12, 100%, $E$12)</f>
        <v>9.8248999999999995</v>
      </c>
      <c r="I275" s="61">
        <f>9.8263 * CHOOSE(CONTROL!$C$21, $C$12, 100%, $E$12)</f>
        <v>9.8262999999999998</v>
      </c>
      <c r="J275" s="61">
        <f>5.4797 * CHOOSE(CONTROL!$C$21, $C$12, 100%, $E$12)</f>
        <v>5.4797000000000002</v>
      </c>
      <c r="K275" s="61">
        <f>5.4811 * CHOOSE(CONTROL!$C$21, $C$12, 100%, $E$12)</f>
        <v>5.4810999999999996</v>
      </c>
    </row>
    <row r="276" spans="1:11" ht="15">
      <c r="A276" s="13">
        <v>50284</v>
      </c>
      <c r="B276" s="60">
        <f>4.7794 * CHOOSE(CONTROL!$C$21, $C$12, 100%, $E$12)</f>
        <v>4.7793999999999999</v>
      </c>
      <c r="C276" s="60">
        <f>4.7794 * CHOOSE(CONTROL!$C$21, $C$12, 100%, $E$12)</f>
        <v>4.7793999999999999</v>
      </c>
      <c r="D276" s="60">
        <f>4.8006 * CHOOSE(CONTROL!$C$21, $C$12, 100%, $E$12)</f>
        <v>4.8006000000000002</v>
      </c>
      <c r="E276" s="61">
        <f>5.4714 * CHOOSE(CONTROL!$C$21, $C$12, 100%, $E$12)</f>
        <v>5.4714</v>
      </c>
      <c r="F276" s="61">
        <f>5.4714 * CHOOSE(CONTROL!$C$21, $C$12, 100%, $E$12)</f>
        <v>5.4714</v>
      </c>
      <c r="G276" s="61">
        <f>5.4728 * CHOOSE(CONTROL!$C$21, $C$12, 100%, $E$12)</f>
        <v>5.4728000000000003</v>
      </c>
      <c r="H276" s="61">
        <f>9.8454* CHOOSE(CONTROL!$C$21, $C$12, 100%, $E$12)</f>
        <v>9.8453999999999997</v>
      </c>
      <c r="I276" s="61">
        <f>9.8467 * CHOOSE(CONTROL!$C$21, $C$12, 100%, $E$12)</f>
        <v>9.8467000000000002</v>
      </c>
      <c r="J276" s="61">
        <f>5.4714 * CHOOSE(CONTROL!$C$21, $C$12, 100%, $E$12)</f>
        <v>5.4714</v>
      </c>
      <c r="K276" s="61">
        <f>5.4728 * CHOOSE(CONTROL!$C$21, $C$12, 100%, $E$12)</f>
        <v>5.4728000000000003</v>
      </c>
    </row>
    <row r="277" spans="1:11" ht="15">
      <c r="A277" s="13">
        <v>50314</v>
      </c>
      <c r="B277" s="60">
        <f>4.7773 * CHOOSE(CONTROL!$C$21, $C$12, 100%, $E$12)</f>
        <v>4.7773000000000003</v>
      </c>
      <c r="C277" s="60">
        <f>4.7773 * CHOOSE(CONTROL!$C$21, $C$12, 100%, $E$12)</f>
        <v>4.7773000000000003</v>
      </c>
      <c r="D277" s="60">
        <f>4.7879 * CHOOSE(CONTROL!$C$21, $C$12, 100%, $E$12)</f>
        <v>4.7878999999999996</v>
      </c>
      <c r="E277" s="61">
        <f>5.4829 * CHOOSE(CONTROL!$C$21, $C$12, 100%, $E$12)</f>
        <v>5.4828999999999999</v>
      </c>
      <c r="F277" s="61">
        <f>5.4829 * CHOOSE(CONTROL!$C$21, $C$12, 100%, $E$12)</f>
        <v>5.4828999999999999</v>
      </c>
      <c r="G277" s="61">
        <f>5.4831 * CHOOSE(CONTROL!$C$21, $C$12, 100%, $E$12)</f>
        <v>5.4831000000000003</v>
      </c>
      <c r="H277" s="61">
        <f>9.8659* CHOOSE(CONTROL!$C$21, $C$12, 100%, $E$12)</f>
        <v>9.8658999999999999</v>
      </c>
      <c r="I277" s="61">
        <f>9.866 * CHOOSE(CONTROL!$C$21, $C$12, 100%, $E$12)</f>
        <v>9.8659999999999997</v>
      </c>
      <c r="J277" s="61">
        <f>5.4829 * CHOOSE(CONTROL!$C$21, $C$12, 100%, $E$12)</f>
        <v>5.4828999999999999</v>
      </c>
      <c r="K277" s="61">
        <f>5.4831 * CHOOSE(CONTROL!$C$21, $C$12, 100%, $E$12)</f>
        <v>5.4831000000000003</v>
      </c>
    </row>
    <row r="278" spans="1:11" ht="15">
      <c r="A278" s="13">
        <v>50345</v>
      </c>
      <c r="B278" s="60">
        <f>4.7804 * CHOOSE(CONTROL!$C$21, $C$12, 100%, $E$12)</f>
        <v>4.7804000000000002</v>
      </c>
      <c r="C278" s="60">
        <f>4.7804 * CHOOSE(CONTROL!$C$21, $C$12, 100%, $E$12)</f>
        <v>4.7804000000000002</v>
      </c>
      <c r="D278" s="60">
        <f>4.7909 * CHOOSE(CONTROL!$C$21, $C$12, 100%, $E$12)</f>
        <v>4.7908999999999997</v>
      </c>
      <c r="E278" s="61">
        <f>5.4975 * CHOOSE(CONTROL!$C$21, $C$12, 100%, $E$12)</f>
        <v>5.4974999999999996</v>
      </c>
      <c r="F278" s="61">
        <f>5.4975 * CHOOSE(CONTROL!$C$21, $C$12, 100%, $E$12)</f>
        <v>5.4974999999999996</v>
      </c>
      <c r="G278" s="61">
        <f>5.4977 * CHOOSE(CONTROL!$C$21, $C$12, 100%, $E$12)</f>
        <v>5.4977</v>
      </c>
      <c r="H278" s="61">
        <f>9.8864* CHOOSE(CONTROL!$C$21, $C$12, 100%, $E$12)</f>
        <v>9.8864000000000001</v>
      </c>
      <c r="I278" s="61">
        <f>9.8866 * CHOOSE(CONTROL!$C$21, $C$12, 100%, $E$12)</f>
        <v>9.8865999999999996</v>
      </c>
      <c r="J278" s="61">
        <f>5.4975 * CHOOSE(CONTROL!$C$21, $C$12, 100%, $E$12)</f>
        <v>5.4974999999999996</v>
      </c>
      <c r="K278" s="61">
        <f>5.4977 * CHOOSE(CONTROL!$C$21, $C$12, 100%, $E$12)</f>
        <v>5.4977</v>
      </c>
    </row>
    <row r="279" spans="1:11" ht="15">
      <c r="A279" s="13">
        <v>50375</v>
      </c>
      <c r="B279" s="60">
        <f>4.7804 * CHOOSE(CONTROL!$C$21, $C$12, 100%, $E$12)</f>
        <v>4.7804000000000002</v>
      </c>
      <c r="C279" s="60">
        <f>4.7804 * CHOOSE(CONTROL!$C$21, $C$12, 100%, $E$12)</f>
        <v>4.7804000000000002</v>
      </c>
      <c r="D279" s="60">
        <f>4.7909 * CHOOSE(CONTROL!$C$21, $C$12, 100%, $E$12)</f>
        <v>4.7908999999999997</v>
      </c>
      <c r="E279" s="61">
        <f>5.4663 * CHOOSE(CONTROL!$C$21, $C$12, 100%, $E$12)</f>
        <v>5.4663000000000004</v>
      </c>
      <c r="F279" s="61">
        <f>5.4663 * CHOOSE(CONTROL!$C$21, $C$12, 100%, $E$12)</f>
        <v>5.4663000000000004</v>
      </c>
      <c r="G279" s="61">
        <f>5.4665 * CHOOSE(CONTROL!$C$21, $C$12, 100%, $E$12)</f>
        <v>5.4664999999999999</v>
      </c>
      <c r="H279" s="61">
        <f>9.907* CHOOSE(CONTROL!$C$21, $C$12, 100%, $E$12)</f>
        <v>9.907</v>
      </c>
      <c r="I279" s="61">
        <f>9.9072 * CHOOSE(CONTROL!$C$21, $C$12, 100%, $E$12)</f>
        <v>9.9071999999999996</v>
      </c>
      <c r="J279" s="61">
        <f>5.4663 * CHOOSE(CONTROL!$C$21, $C$12, 100%, $E$12)</f>
        <v>5.4663000000000004</v>
      </c>
      <c r="K279" s="61">
        <f>5.4665 * CHOOSE(CONTROL!$C$21, $C$12, 100%, $E$12)</f>
        <v>5.4664999999999999</v>
      </c>
    </row>
    <row r="280" spans="1:11" ht="15">
      <c r="A280" s="13">
        <v>50406</v>
      </c>
      <c r="B280" s="60">
        <f>4.8249 * CHOOSE(CONTROL!$C$21, $C$12, 100%, $E$12)</f>
        <v>4.8249000000000004</v>
      </c>
      <c r="C280" s="60">
        <f>4.8249 * CHOOSE(CONTROL!$C$21, $C$12, 100%, $E$12)</f>
        <v>4.8249000000000004</v>
      </c>
      <c r="D280" s="60">
        <f>4.8355 * CHOOSE(CONTROL!$C$21, $C$12, 100%, $E$12)</f>
        <v>4.8354999999999997</v>
      </c>
      <c r="E280" s="61">
        <f>5.5383 * CHOOSE(CONTROL!$C$21, $C$12, 100%, $E$12)</f>
        <v>5.5382999999999996</v>
      </c>
      <c r="F280" s="61">
        <f>5.5383 * CHOOSE(CONTROL!$C$21, $C$12, 100%, $E$12)</f>
        <v>5.5382999999999996</v>
      </c>
      <c r="G280" s="61">
        <f>5.5385 * CHOOSE(CONTROL!$C$21, $C$12, 100%, $E$12)</f>
        <v>5.5385</v>
      </c>
      <c r="H280" s="61">
        <f>9.9277* CHOOSE(CONTROL!$C$21, $C$12, 100%, $E$12)</f>
        <v>9.9276999999999997</v>
      </c>
      <c r="I280" s="61">
        <f>9.9278 * CHOOSE(CONTROL!$C$21, $C$12, 100%, $E$12)</f>
        <v>9.9277999999999995</v>
      </c>
      <c r="J280" s="61">
        <f>5.5383 * CHOOSE(CONTROL!$C$21, $C$12, 100%, $E$12)</f>
        <v>5.5382999999999996</v>
      </c>
      <c r="K280" s="61">
        <f>5.5385 * CHOOSE(CONTROL!$C$21, $C$12, 100%, $E$12)</f>
        <v>5.5385</v>
      </c>
    </row>
    <row r="281" spans="1:11" ht="15">
      <c r="A281" s="13">
        <v>50437</v>
      </c>
      <c r="B281" s="60">
        <f>4.8219 * CHOOSE(CONTROL!$C$21, $C$12, 100%, $E$12)</f>
        <v>4.8219000000000003</v>
      </c>
      <c r="C281" s="60">
        <f>4.8219 * CHOOSE(CONTROL!$C$21, $C$12, 100%, $E$12)</f>
        <v>4.8219000000000003</v>
      </c>
      <c r="D281" s="60">
        <f>4.8324 * CHOOSE(CONTROL!$C$21, $C$12, 100%, $E$12)</f>
        <v>4.8323999999999998</v>
      </c>
      <c r="E281" s="61">
        <f>5.4757 * CHOOSE(CONTROL!$C$21, $C$12, 100%, $E$12)</f>
        <v>5.4756999999999998</v>
      </c>
      <c r="F281" s="61">
        <f>5.4757 * CHOOSE(CONTROL!$C$21, $C$12, 100%, $E$12)</f>
        <v>5.4756999999999998</v>
      </c>
      <c r="G281" s="61">
        <f>5.4759 * CHOOSE(CONTROL!$C$21, $C$12, 100%, $E$12)</f>
        <v>5.4759000000000002</v>
      </c>
      <c r="H281" s="61">
        <f>9.9483* CHOOSE(CONTROL!$C$21, $C$12, 100%, $E$12)</f>
        <v>9.9482999999999997</v>
      </c>
      <c r="I281" s="61">
        <f>9.9485 * CHOOSE(CONTROL!$C$21, $C$12, 100%, $E$12)</f>
        <v>9.9484999999999992</v>
      </c>
      <c r="J281" s="61">
        <f>5.4757 * CHOOSE(CONTROL!$C$21, $C$12, 100%, $E$12)</f>
        <v>5.4756999999999998</v>
      </c>
      <c r="K281" s="61">
        <f>5.4759 * CHOOSE(CONTROL!$C$21, $C$12, 100%, $E$12)</f>
        <v>5.4759000000000002</v>
      </c>
    </row>
    <row r="282" spans="1:11" ht="15">
      <c r="A282" s="13">
        <v>50465</v>
      </c>
      <c r="B282" s="60">
        <f>4.8188 * CHOOSE(CONTROL!$C$21, $C$12, 100%, $E$12)</f>
        <v>4.8188000000000004</v>
      </c>
      <c r="C282" s="60">
        <f>4.8188 * CHOOSE(CONTROL!$C$21, $C$12, 100%, $E$12)</f>
        <v>4.8188000000000004</v>
      </c>
      <c r="D282" s="60">
        <f>4.8294 * CHOOSE(CONTROL!$C$21, $C$12, 100%, $E$12)</f>
        <v>4.8293999999999997</v>
      </c>
      <c r="E282" s="61">
        <f>5.5212 * CHOOSE(CONTROL!$C$21, $C$12, 100%, $E$12)</f>
        <v>5.5212000000000003</v>
      </c>
      <c r="F282" s="61">
        <f>5.5212 * CHOOSE(CONTROL!$C$21, $C$12, 100%, $E$12)</f>
        <v>5.5212000000000003</v>
      </c>
      <c r="G282" s="61">
        <f>5.5214 * CHOOSE(CONTROL!$C$21, $C$12, 100%, $E$12)</f>
        <v>5.5213999999999999</v>
      </c>
      <c r="H282" s="61">
        <f>9.9691* CHOOSE(CONTROL!$C$21, $C$12, 100%, $E$12)</f>
        <v>9.9690999999999992</v>
      </c>
      <c r="I282" s="61">
        <f>9.9692 * CHOOSE(CONTROL!$C$21, $C$12, 100%, $E$12)</f>
        <v>9.9692000000000007</v>
      </c>
      <c r="J282" s="61">
        <f>5.5212 * CHOOSE(CONTROL!$C$21, $C$12, 100%, $E$12)</f>
        <v>5.5212000000000003</v>
      </c>
      <c r="K282" s="61">
        <f>5.5214 * CHOOSE(CONTROL!$C$21, $C$12, 100%, $E$12)</f>
        <v>5.5213999999999999</v>
      </c>
    </row>
    <row r="283" spans="1:11" ht="15">
      <c r="A283" s="13">
        <v>50496</v>
      </c>
      <c r="B283" s="60">
        <f>4.8172 * CHOOSE(CONTROL!$C$21, $C$12, 100%, $E$12)</f>
        <v>4.8171999999999997</v>
      </c>
      <c r="C283" s="60">
        <f>4.8172 * CHOOSE(CONTROL!$C$21, $C$12, 100%, $E$12)</f>
        <v>4.8171999999999997</v>
      </c>
      <c r="D283" s="60">
        <f>4.8278 * CHOOSE(CONTROL!$C$21, $C$12, 100%, $E$12)</f>
        <v>4.8277999999999999</v>
      </c>
      <c r="E283" s="61">
        <f>5.5682 * CHOOSE(CONTROL!$C$21, $C$12, 100%, $E$12)</f>
        <v>5.5682</v>
      </c>
      <c r="F283" s="61">
        <f>5.5682 * CHOOSE(CONTROL!$C$21, $C$12, 100%, $E$12)</f>
        <v>5.5682</v>
      </c>
      <c r="G283" s="61">
        <f>5.5684 * CHOOSE(CONTROL!$C$21, $C$12, 100%, $E$12)</f>
        <v>5.5683999999999996</v>
      </c>
      <c r="H283" s="61">
        <f>9.9898* CHOOSE(CONTROL!$C$21, $C$12, 100%, $E$12)</f>
        <v>9.9898000000000007</v>
      </c>
      <c r="I283" s="61">
        <f>9.99 * CHOOSE(CONTROL!$C$21, $C$12, 100%, $E$12)</f>
        <v>9.99</v>
      </c>
      <c r="J283" s="61">
        <f>5.5682 * CHOOSE(CONTROL!$C$21, $C$12, 100%, $E$12)</f>
        <v>5.5682</v>
      </c>
      <c r="K283" s="61">
        <f>5.5684 * CHOOSE(CONTROL!$C$21, $C$12, 100%, $E$12)</f>
        <v>5.5683999999999996</v>
      </c>
    </row>
    <row r="284" spans="1:11" ht="15">
      <c r="A284" s="13">
        <v>50526</v>
      </c>
      <c r="B284" s="60">
        <f>4.8172 * CHOOSE(CONTROL!$C$21, $C$12, 100%, $E$12)</f>
        <v>4.8171999999999997</v>
      </c>
      <c r="C284" s="60">
        <f>4.8172 * CHOOSE(CONTROL!$C$21, $C$12, 100%, $E$12)</f>
        <v>4.8171999999999997</v>
      </c>
      <c r="D284" s="60">
        <f>4.8384 * CHOOSE(CONTROL!$C$21, $C$12, 100%, $E$12)</f>
        <v>4.8384</v>
      </c>
      <c r="E284" s="61">
        <f>5.5874 * CHOOSE(CONTROL!$C$21, $C$12, 100%, $E$12)</f>
        <v>5.5873999999999997</v>
      </c>
      <c r="F284" s="61">
        <f>5.5874 * CHOOSE(CONTROL!$C$21, $C$12, 100%, $E$12)</f>
        <v>5.5873999999999997</v>
      </c>
      <c r="G284" s="61">
        <f>5.5888 * CHOOSE(CONTROL!$C$21, $C$12, 100%, $E$12)</f>
        <v>5.5888</v>
      </c>
      <c r="H284" s="61">
        <f>10.0107* CHOOSE(CONTROL!$C$21, $C$12, 100%, $E$12)</f>
        <v>10.0107</v>
      </c>
      <c r="I284" s="61">
        <f>10.012 * CHOOSE(CONTROL!$C$21, $C$12, 100%, $E$12)</f>
        <v>10.012</v>
      </c>
      <c r="J284" s="61">
        <f>5.5874 * CHOOSE(CONTROL!$C$21, $C$12, 100%, $E$12)</f>
        <v>5.5873999999999997</v>
      </c>
      <c r="K284" s="61">
        <f>5.5888 * CHOOSE(CONTROL!$C$21, $C$12, 100%, $E$12)</f>
        <v>5.5888</v>
      </c>
    </row>
    <row r="285" spans="1:11" ht="15">
      <c r="A285" s="13">
        <v>50557</v>
      </c>
      <c r="B285" s="60">
        <f>4.8233 * CHOOSE(CONTROL!$C$21, $C$12, 100%, $E$12)</f>
        <v>4.8232999999999997</v>
      </c>
      <c r="C285" s="60">
        <f>4.8233 * CHOOSE(CONTROL!$C$21, $C$12, 100%, $E$12)</f>
        <v>4.8232999999999997</v>
      </c>
      <c r="D285" s="60">
        <f>4.8444 * CHOOSE(CONTROL!$C$21, $C$12, 100%, $E$12)</f>
        <v>4.8444000000000003</v>
      </c>
      <c r="E285" s="61">
        <f>5.5724 * CHOOSE(CONTROL!$C$21, $C$12, 100%, $E$12)</f>
        <v>5.5724</v>
      </c>
      <c r="F285" s="61">
        <f>5.5724 * CHOOSE(CONTROL!$C$21, $C$12, 100%, $E$12)</f>
        <v>5.5724</v>
      </c>
      <c r="G285" s="61">
        <f>5.5738 * CHOOSE(CONTROL!$C$21, $C$12, 100%, $E$12)</f>
        <v>5.5738000000000003</v>
      </c>
      <c r="H285" s="61">
        <f>10.0315* CHOOSE(CONTROL!$C$21, $C$12, 100%, $E$12)</f>
        <v>10.031499999999999</v>
      </c>
      <c r="I285" s="61">
        <f>10.0329 * CHOOSE(CONTROL!$C$21, $C$12, 100%, $E$12)</f>
        <v>10.0329</v>
      </c>
      <c r="J285" s="61">
        <f>5.5724 * CHOOSE(CONTROL!$C$21, $C$12, 100%, $E$12)</f>
        <v>5.5724</v>
      </c>
      <c r="K285" s="61">
        <f>5.5738 * CHOOSE(CONTROL!$C$21, $C$12, 100%, $E$12)</f>
        <v>5.5738000000000003</v>
      </c>
    </row>
    <row r="286" spans="1:11" ht="15">
      <c r="A286" s="13">
        <v>50587</v>
      </c>
      <c r="B286" s="60">
        <f>4.9066 * CHOOSE(CONTROL!$C$21, $C$12, 100%, $E$12)</f>
        <v>4.9066000000000001</v>
      </c>
      <c r="C286" s="60">
        <f>4.9066 * CHOOSE(CONTROL!$C$21, $C$12, 100%, $E$12)</f>
        <v>4.9066000000000001</v>
      </c>
      <c r="D286" s="60">
        <f>4.9277 * CHOOSE(CONTROL!$C$21, $C$12, 100%, $E$12)</f>
        <v>4.9276999999999997</v>
      </c>
      <c r="E286" s="61">
        <f>5.6862 * CHOOSE(CONTROL!$C$21, $C$12, 100%, $E$12)</f>
        <v>5.6862000000000004</v>
      </c>
      <c r="F286" s="61">
        <f>5.6862 * CHOOSE(CONTROL!$C$21, $C$12, 100%, $E$12)</f>
        <v>5.6862000000000004</v>
      </c>
      <c r="G286" s="61">
        <f>5.6875 * CHOOSE(CONTROL!$C$21, $C$12, 100%, $E$12)</f>
        <v>5.6875</v>
      </c>
      <c r="H286" s="61">
        <f>10.0524* CHOOSE(CONTROL!$C$21, $C$12, 100%, $E$12)</f>
        <v>10.0524</v>
      </c>
      <c r="I286" s="61">
        <f>10.0538 * CHOOSE(CONTROL!$C$21, $C$12, 100%, $E$12)</f>
        <v>10.053800000000001</v>
      </c>
      <c r="J286" s="61">
        <f>5.6862 * CHOOSE(CONTROL!$C$21, $C$12, 100%, $E$12)</f>
        <v>5.6862000000000004</v>
      </c>
      <c r="K286" s="61">
        <f>5.6875 * CHOOSE(CONTROL!$C$21, $C$12, 100%, $E$12)</f>
        <v>5.6875</v>
      </c>
    </row>
    <row r="287" spans="1:11" ht="15">
      <c r="A287" s="13">
        <v>50618</v>
      </c>
      <c r="B287" s="60">
        <f>4.9133 * CHOOSE(CONTROL!$C$21, $C$12, 100%, $E$12)</f>
        <v>4.9132999999999996</v>
      </c>
      <c r="C287" s="60">
        <f>4.9133 * CHOOSE(CONTROL!$C$21, $C$12, 100%, $E$12)</f>
        <v>4.9132999999999996</v>
      </c>
      <c r="D287" s="60">
        <f>4.9344 * CHOOSE(CONTROL!$C$21, $C$12, 100%, $E$12)</f>
        <v>4.9344000000000001</v>
      </c>
      <c r="E287" s="61">
        <f>5.6332 * CHOOSE(CONTROL!$C$21, $C$12, 100%, $E$12)</f>
        <v>5.6332000000000004</v>
      </c>
      <c r="F287" s="61">
        <f>5.6332 * CHOOSE(CONTROL!$C$21, $C$12, 100%, $E$12)</f>
        <v>5.6332000000000004</v>
      </c>
      <c r="G287" s="61">
        <f>5.6346 * CHOOSE(CONTROL!$C$21, $C$12, 100%, $E$12)</f>
        <v>5.6345999999999998</v>
      </c>
      <c r="H287" s="61">
        <f>10.0733* CHOOSE(CONTROL!$C$21, $C$12, 100%, $E$12)</f>
        <v>10.0733</v>
      </c>
      <c r="I287" s="61">
        <f>10.0747 * CHOOSE(CONTROL!$C$21, $C$12, 100%, $E$12)</f>
        <v>10.0747</v>
      </c>
      <c r="J287" s="61">
        <f>5.6332 * CHOOSE(CONTROL!$C$21, $C$12, 100%, $E$12)</f>
        <v>5.6332000000000004</v>
      </c>
      <c r="K287" s="61">
        <f>5.6346 * CHOOSE(CONTROL!$C$21, $C$12, 100%, $E$12)</f>
        <v>5.6345999999999998</v>
      </c>
    </row>
    <row r="288" spans="1:11" ht="15">
      <c r="A288" s="13">
        <v>50649</v>
      </c>
      <c r="B288" s="60">
        <f>4.9102 * CHOOSE(CONTROL!$C$21, $C$12, 100%, $E$12)</f>
        <v>4.9101999999999997</v>
      </c>
      <c r="C288" s="60">
        <f>4.9102 * CHOOSE(CONTROL!$C$21, $C$12, 100%, $E$12)</f>
        <v>4.9101999999999997</v>
      </c>
      <c r="D288" s="60">
        <f>4.9314 * CHOOSE(CONTROL!$C$21, $C$12, 100%, $E$12)</f>
        <v>4.9314</v>
      </c>
      <c r="E288" s="61">
        <f>5.6247 * CHOOSE(CONTROL!$C$21, $C$12, 100%, $E$12)</f>
        <v>5.6246999999999998</v>
      </c>
      <c r="F288" s="61">
        <f>5.6247 * CHOOSE(CONTROL!$C$21, $C$12, 100%, $E$12)</f>
        <v>5.6246999999999998</v>
      </c>
      <c r="G288" s="61">
        <f>5.6261 * CHOOSE(CONTROL!$C$21, $C$12, 100%, $E$12)</f>
        <v>5.6261000000000001</v>
      </c>
      <c r="H288" s="61">
        <f>10.0943* CHOOSE(CONTROL!$C$21, $C$12, 100%, $E$12)</f>
        <v>10.0943</v>
      </c>
      <c r="I288" s="61">
        <f>10.0957 * CHOOSE(CONTROL!$C$21, $C$12, 100%, $E$12)</f>
        <v>10.095700000000001</v>
      </c>
      <c r="J288" s="61">
        <f>5.6247 * CHOOSE(CONTROL!$C$21, $C$12, 100%, $E$12)</f>
        <v>5.6246999999999998</v>
      </c>
      <c r="K288" s="61">
        <f>5.6261 * CHOOSE(CONTROL!$C$21, $C$12, 100%, $E$12)</f>
        <v>5.6261000000000001</v>
      </c>
    </row>
    <row r="289" spans="1:11" ht="15">
      <c r="A289" s="13">
        <v>50679</v>
      </c>
      <c r="B289" s="60">
        <f>4.9086 * CHOOSE(CONTROL!$C$21, $C$12, 100%, $E$12)</f>
        <v>4.9085999999999999</v>
      </c>
      <c r="C289" s="60">
        <f>4.9086 * CHOOSE(CONTROL!$C$21, $C$12, 100%, $E$12)</f>
        <v>4.9085999999999999</v>
      </c>
      <c r="D289" s="60">
        <f>4.9191 * CHOOSE(CONTROL!$C$21, $C$12, 100%, $E$12)</f>
        <v>4.9191000000000003</v>
      </c>
      <c r="E289" s="61">
        <f>5.6369 * CHOOSE(CONTROL!$C$21, $C$12, 100%, $E$12)</f>
        <v>5.6368999999999998</v>
      </c>
      <c r="F289" s="61">
        <f>5.6369 * CHOOSE(CONTROL!$C$21, $C$12, 100%, $E$12)</f>
        <v>5.6368999999999998</v>
      </c>
      <c r="G289" s="61">
        <f>5.6371 * CHOOSE(CONTROL!$C$21, $C$12, 100%, $E$12)</f>
        <v>5.6371000000000002</v>
      </c>
      <c r="H289" s="61">
        <f>10.1154* CHOOSE(CONTROL!$C$21, $C$12, 100%, $E$12)</f>
        <v>10.115399999999999</v>
      </c>
      <c r="I289" s="61">
        <f>10.1155 * CHOOSE(CONTROL!$C$21, $C$12, 100%, $E$12)</f>
        <v>10.115500000000001</v>
      </c>
      <c r="J289" s="61">
        <f>5.6369 * CHOOSE(CONTROL!$C$21, $C$12, 100%, $E$12)</f>
        <v>5.6368999999999998</v>
      </c>
      <c r="K289" s="61">
        <f>5.6371 * CHOOSE(CONTROL!$C$21, $C$12, 100%, $E$12)</f>
        <v>5.6371000000000002</v>
      </c>
    </row>
    <row r="290" spans="1:11" ht="15">
      <c r="A290" s="13">
        <v>50710</v>
      </c>
      <c r="B290" s="60">
        <f>4.9116 * CHOOSE(CONTROL!$C$21, $C$12, 100%, $E$12)</f>
        <v>4.9116</v>
      </c>
      <c r="C290" s="60">
        <f>4.9116 * CHOOSE(CONTROL!$C$21, $C$12, 100%, $E$12)</f>
        <v>4.9116</v>
      </c>
      <c r="D290" s="60">
        <f>4.9222 * CHOOSE(CONTROL!$C$21, $C$12, 100%, $E$12)</f>
        <v>4.9222000000000001</v>
      </c>
      <c r="E290" s="61">
        <f>5.6518 * CHOOSE(CONTROL!$C$21, $C$12, 100%, $E$12)</f>
        <v>5.6517999999999997</v>
      </c>
      <c r="F290" s="61">
        <f>5.6518 * CHOOSE(CONTROL!$C$21, $C$12, 100%, $E$12)</f>
        <v>5.6517999999999997</v>
      </c>
      <c r="G290" s="61">
        <f>5.652 * CHOOSE(CONTROL!$C$21, $C$12, 100%, $E$12)</f>
        <v>5.6520000000000001</v>
      </c>
      <c r="H290" s="61">
        <f>10.1364* CHOOSE(CONTROL!$C$21, $C$12, 100%, $E$12)</f>
        <v>10.1364</v>
      </c>
      <c r="I290" s="61">
        <f>10.1366 * CHOOSE(CONTROL!$C$21, $C$12, 100%, $E$12)</f>
        <v>10.1366</v>
      </c>
      <c r="J290" s="61">
        <f>5.6518 * CHOOSE(CONTROL!$C$21, $C$12, 100%, $E$12)</f>
        <v>5.6517999999999997</v>
      </c>
      <c r="K290" s="61">
        <f>5.652 * CHOOSE(CONTROL!$C$21, $C$12, 100%, $E$12)</f>
        <v>5.6520000000000001</v>
      </c>
    </row>
    <row r="291" spans="1:11" ht="15">
      <c r="A291" s="13">
        <v>50740</v>
      </c>
      <c r="B291" s="60">
        <f>4.9116 * CHOOSE(CONTROL!$C$21, $C$12, 100%, $E$12)</f>
        <v>4.9116</v>
      </c>
      <c r="C291" s="60">
        <f>4.9116 * CHOOSE(CONTROL!$C$21, $C$12, 100%, $E$12)</f>
        <v>4.9116</v>
      </c>
      <c r="D291" s="60">
        <f>4.9222 * CHOOSE(CONTROL!$C$21, $C$12, 100%, $E$12)</f>
        <v>4.9222000000000001</v>
      </c>
      <c r="E291" s="61">
        <f>5.6369 * CHOOSE(CONTROL!$C$21, $C$12, 100%, $E$12)</f>
        <v>5.6368999999999998</v>
      </c>
      <c r="F291" s="61">
        <f>5.6369 * CHOOSE(CONTROL!$C$21, $C$12, 100%, $E$12)</f>
        <v>5.6368999999999998</v>
      </c>
      <c r="G291" s="61">
        <f>5.6371 * CHOOSE(CONTROL!$C$21, $C$12, 100%, $E$12)</f>
        <v>5.6371000000000002</v>
      </c>
      <c r="H291" s="61">
        <f>10.1576* CHOOSE(CONTROL!$C$21, $C$12, 100%, $E$12)</f>
        <v>10.1576</v>
      </c>
      <c r="I291" s="61">
        <f>10.1577 * CHOOSE(CONTROL!$C$21, $C$12, 100%, $E$12)</f>
        <v>10.1577</v>
      </c>
      <c r="J291" s="61">
        <f>5.6369 * CHOOSE(CONTROL!$C$21, $C$12, 100%, $E$12)</f>
        <v>5.6368999999999998</v>
      </c>
      <c r="K291" s="61">
        <f>5.6371 * CHOOSE(CONTROL!$C$21, $C$12, 100%, $E$12)</f>
        <v>5.6371000000000002</v>
      </c>
    </row>
    <row r="292" spans="1:11" ht="15">
      <c r="A292" s="13">
        <v>50771</v>
      </c>
      <c r="B292" s="60">
        <f>4.9579 * CHOOSE(CONTROL!$C$21, $C$12, 100%, $E$12)</f>
        <v>4.9579000000000004</v>
      </c>
      <c r="C292" s="60">
        <f>4.9579 * CHOOSE(CONTROL!$C$21, $C$12, 100%, $E$12)</f>
        <v>4.9579000000000004</v>
      </c>
      <c r="D292" s="60">
        <f>4.9685 * CHOOSE(CONTROL!$C$21, $C$12, 100%, $E$12)</f>
        <v>4.9684999999999997</v>
      </c>
      <c r="E292" s="61">
        <f>5.6938 * CHOOSE(CONTROL!$C$21, $C$12, 100%, $E$12)</f>
        <v>5.6938000000000004</v>
      </c>
      <c r="F292" s="61">
        <f>5.6938 * CHOOSE(CONTROL!$C$21, $C$12, 100%, $E$12)</f>
        <v>5.6938000000000004</v>
      </c>
      <c r="G292" s="61">
        <f>5.6939 * CHOOSE(CONTROL!$C$21, $C$12, 100%, $E$12)</f>
        <v>5.6939000000000002</v>
      </c>
      <c r="H292" s="61">
        <f>10.1787* CHOOSE(CONTROL!$C$21, $C$12, 100%, $E$12)</f>
        <v>10.178699999999999</v>
      </c>
      <c r="I292" s="61">
        <f>10.1789 * CHOOSE(CONTROL!$C$21, $C$12, 100%, $E$12)</f>
        <v>10.178900000000001</v>
      </c>
      <c r="J292" s="61">
        <f>5.6938 * CHOOSE(CONTROL!$C$21, $C$12, 100%, $E$12)</f>
        <v>5.6938000000000004</v>
      </c>
      <c r="K292" s="61">
        <f>5.6939 * CHOOSE(CONTROL!$C$21, $C$12, 100%, $E$12)</f>
        <v>5.6939000000000002</v>
      </c>
    </row>
    <row r="293" spans="1:11" ht="15">
      <c r="A293" s="13">
        <v>50802</v>
      </c>
      <c r="B293" s="60">
        <f>4.9549 * CHOOSE(CONTROL!$C$21, $C$12, 100%, $E$12)</f>
        <v>4.9549000000000003</v>
      </c>
      <c r="C293" s="60">
        <f>4.9549 * CHOOSE(CONTROL!$C$21, $C$12, 100%, $E$12)</f>
        <v>4.9549000000000003</v>
      </c>
      <c r="D293" s="60">
        <f>4.9654 * CHOOSE(CONTROL!$C$21, $C$12, 100%, $E$12)</f>
        <v>4.9653999999999998</v>
      </c>
      <c r="E293" s="61">
        <f>5.6295 * CHOOSE(CONTROL!$C$21, $C$12, 100%, $E$12)</f>
        <v>5.6295000000000002</v>
      </c>
      <c r="F293" s="61">
        <f>5.6295 * CHOOSE(CONTROL!$C$21, $C$12, 100%, $E$12)</f>
        <v>5.6295000000000002</v>
      </c>
      <c r="G293" s="61">
        <f>5.6297 * CHOOSE(CONTROL!$C$21, $C$12, 100%, $E$12)</f>
        <v>5.6296999999999997</v>
      </c>
      <c r="H293" s="61">
        <f>10.1999* CHOOSE(CONTROL!$C$21, $C$12, 100%, $E$12)</f>
        <v>10.1999</v>
      </c>
      <c r="I293" s="61">
        <f>10.2001 * CHOOSE(CONTROL!$C$21, $C$12, 100%, $E$12)</f>
        <v>10.200100000000001</v>
      </c>
      <c r="J293" s="61">
        <f>5.6295 * CHOOSE(CONTROL!$C$21, $C$12, 100%, $E$12)</f>
        <v>5.6295000000000002</v>
      </c>
      <c r="K293" s="61">
        <f>5.6297 * CHOOSE(CONTROL!$C$21, $C$12, 100%, $E$12)</f>
        <v>5.6296999999999997</v>
      </c>
    </row>
    <row r="294" spans="1:11" ht="15">
      <c r="A294" s="13">
        <v>50830</v>
      </c>
      <c r="B294" s="60">
        <f>4.9518 * CHOOSE(CONTROL!$C$21, $C$12, 100%, $E$12)</f>
        <v>4.9518000000000004</v>
      </c>
      <c r="C294" s="60">
        <f>4.9518 * CHOOSE(CONTROL!$C$21, $C$12, 100%, $E$12)</f>
        <v>4.9518000000000004</v>
      </c>
      <c r="D294" s="60">
        <f>4.9624 * CHOOSE(CONTROL!$C$21, $C$12, 100%, $E$12)</f>
        <v>4.9623999999999997</v>
      </c>
      <c r="E294" s="61">
        <f>5.6764 * CHOOSE(CONTROL!$C$21, $C$12, 100%, $E$12)</f>
        <v>5.6764000000000001</v>
      </c>
      <c r="F294" s="61">
        <f>5.6764 * CHOOSE(CONTROL!$C$21, $C$12, 100%, $E$12)</f>
        <v>5.6764000000000001</v>
      </c>
      <c r="G294" s="61">
        <f>5.6766 * CHOOSE(CONTROL!$C$21, $C$12, 100%, $E$12)</f>
        <v>5.6765999999999996</v>
      </c>
      <c r="H294" s="61">
        <f>10.2212* CHOOSE(CONTROL!$C$21, $C$12, 100%, $E$12)</f>
        <v>10.2212</v>
      </c>
      <c r="I294" s="61">
        <f>10.2213 * CHOOSE(CONTROL!$C$21, $C$12, 100%, $E$12)</f>
        <v>10.221299999999999</v>
      </c>
      <c r="J294" s="61">
        <f>5.6764 * CHOOSE(CONTROL!$C$21, $C$12, 100%, $E$12)</f>
        <v>5.6764000000000001</v>
      </c>
      <c r="K294" s="61">
        <f>5.6766 * CHOOSE(CONTROL!$C$21, $C$12, 100%, $E$12)</f>
        <v>5.6765999999999996</v>
      </c>
    </row>
    <row r="295" spans="1:11" ht="15">
      <c r="A295" s="13">
        <v>50861</v>
      </c>
      <c r="B295" s="60">
        <f>4.9504 * CHOOSE(CONTROL!$C$21, $C$12, 100%, $E$12)</f>
        <v>4.9504000000000001</v>
      </c>
      <c r="C295" s="60">
        <f>4.9504 * CHOOSE(CONTROL!$C$21, $C$12, 100%, $E$12)</f>
        <v>4.9504000000000001</v>
      </c>
      <c r="D295" s="60">
        <f>4.9609 * CHOOSE(CONTROL!$C$21, $C$12, 100%, $E$12)</f>
        <v>4.9608999999999996</v>
      </c>
      <c r="E295" s="61">
        <f>5.7247 * CHOOSE(CONTROL!$C$21, $C$12, 100%, $E$12)</f>
        <v>5.7247000000000003</v>
      </c>
      <c r="F295" s="61">
        <f>5.7247 * CHOOSE(CONTROL!$C$21, $C$12, 100%, $E$12)</f>
        <v>5.7247000000000003</v>
      </c>
      <c r="G295" s="61">
        <f>5.7249 * CHOOSE(CONTROL!$C$21, $C$12, 100%, $E$12)</f>
        <v>5.7248999999999999</v>
      </c>
      <c r="H295" s="61">
        <f>10.2425* CHOOSE(CONTROL!$C$21, $C$12, 100%, $E$12)</f>
        <v>10.2425</v>
      </c>
      <c r="I295" s="61">
        <f>10.2426 * CHOOSE(CONTROL!$C$21, $C$12, 100%, $E$12)</f>
        <v>10.242599999999999</v>
      </c>
      <c r="J295" s="61">
        <f>5.7247 * CHOOSE(CONTROL!$C$21, $C$12, 100%, $E$12)</f>
        <v>5.7247000000000003</v>
      </c>
      <c r="K295" s="61">
        <f>5.7249 * CHOOSE(CONTROL!$C$21, $C$12, 100%, $E$12)</f>
        <v>5.7248999999999999</v>
      </c>
    </row>
    <row r="296" spans="1:11" ht="15">
      <c r="A296" s="13">
        <v>50891</v>
      </c>
      <c r="B296" s="60">
        <f>4.9504 * CHOOSE(CONTROL!$C$21, $C$12, 100%, $E$12)</f>
        <v>4.9504000000000001</v>
      </c>
      <c r="C296" s="60">
        <f>4.9504 * CHOOSE(CONTROL!$C$21, $C$12, 100%, $E$12)</f>
        <v>4.9504000000000001</v>
      </c>
      <c r="D296" s="60">
        <f>4.9715 * CHOOSE(CONTROL!$C$21, $C$12, 100%, $E$12)</f>
        <v>4.9714999999999998</v>
      </c>
      <c r="E296" s="61">
        <f>5.7445 * CHOOSE(CONTROL!$C$21, $C$12, 100%, $E$12)</f>
        <v>5.7445000000000004</v>
      </c>
      <c r="F296" s="61">
        <f>5.7445 * CHOOSE(CONTROL!$C$21, $C$12, 100%, $E$12)</f>
        <v>5.7445000000000004</v>
      </c>
      <c r="G296" s="61">
        <f>5.7459 * CHOOSE(CONTROL!$C$21, $C$12, 100%, $E$12)</f>
        <v>5.7458999999999998</v>
      </c>
      <c r="H296" s="61">
        <f>10.2638* CHOOSE(CONTROL!$C$21, $C$12, 100%, $E$12)</f>
        <v>10.2638</v>
      </c>
      <c r="I296" s="61">
        <f>10.2652 * CHOOSE(CONTROL!$C$21, $C$12, 100%, $E$12)</f>
        <v>10.2652</v>
      </c>
      <c r="J296" s="61">
        <f>5.7445 * CHOOSE(CONTROL!$C$21, $C$12, 100%, $E$12)</f>
        <v>5.7445000000000004</v>
      </c>
      <c r="K296" s="61">
        <f>5.7459 * CHOOSE(CONTROL!$C$21, $C$12, 100%, $E$12)</f>
        <v>5.7458999999999998</v>
      </c>
    </row>
    <row r="297" spans="1:11" ht="15">
      <c r="A297" s="13">
        <v>50922</v>
      </c>
      <c r="B297" s="60">
        <f>4.9565 * CHOOSE(CONTROL!$C$21, $C$12, 100%, $E$12)</f>
        <v>4.9565000000000001</v>
      </c>
      <c r="C297" s="60">
        <f>4.9565 * CHOOSE(CONTROL!$C$21, $C$12, 100%, $E$12)</f>
        <v>4.9565000000000001</v>
      </c>
      <c r="D297" s="60">
        <f>4.9776 * CHOOSE(CONTROL!$C$21, $C$12, 100%, $E$12)</f>
        <v>4.9775999999999998</v>
      </c>
      <c r="E297" s="61">
        <f>5.729 * CHOOSE(CONTROL!$C$21, $C$12, 100%, $E$12)</f>
        <v>5.7290000000000001</v>
      </c>
      <c r="F297" s="61">
        <f>5.729 * CHOOSE(CONTROL!$C$21, $C$12, 100%, $E$12)</f>
        <v>5.7290000000000001</v>
      </c>
      <c r="G297" s="61">
        <f>5.7304 * CHOOSE(CONTROL!$C$21, $C$12, 100%, $E$12)</f>
        <v>5.7304000000000004</v>
      </c>
      <c r="H297" s="61">
        <f>10.2852* CHOOSE(CONTROL!$C$21, $C$12, 100%, $E$12)</f>
        <v>10.2852</v>
      </c>
      <c r="I297" s="61">
        <f>10.2866 * CHOOSE(CONTROL!$C$21, $C$12, 100%, $E$12)</f>
        <v>10.2866</v>
      </c>
      <c r="J297" s="61">
        <f>5.729 * CHOOSE(CONTROL!$C$21, $C$12, 100%, $E$12)</f>
        <v>5.7290000000000001</v>
      </c>
      <c r="K297" s="61">
        <f>5.7304 * CHOOSE(CONTROL!$C$21, $C$12, 100%, $E$12)</f>
        <v>5.7304000000000004</v>
      </c>
    </row>
    <row r="298" spans="1:11" ht="15">
      <c r="A298" s="13">
        <v>50952</v>
      </c>
      <c r="B298" s="60">
        <f>5.043 * CHOOSE(CONTROL!$C$21, $C$12, 100%, $E$12)</f>
        <v>5.0430000000000001</v>
      </c>
      <c r="C298" s="60">
        <f>5.043 * CHOOSE(CONTROL!$C$21, $C$12, 100%, $E$12)</f>
        <v>5.0430000000000001</v>
      </c>
      <c r="D298" s="60">
        <f>5.0642 * CHOOSE(CONTROL!$C$21, $C$12, 100%, $E$12)</f>
        <v>5.0641999999999996</v>
      </c>
      <c r="E298" s="61">
        <f>5.8439 * CHOOSE(CONTROL!$C$21, $C$12, 100%, $E$12)</f>
        <v>5.8438999999999997</v>
      </c>
      <c r="F298" s="61">
        <f>5.8439 * CHOOSE(CONTROL!$C$21, $C$12, 100%, $E$12)</f>
        <v>5.8438999999999997</v>
      </c>
      <c r="G298" s="61">
        <f>5.8453 * CHOOSE(CONTROL!$C$21, $C$12, 100%, $E$12)</f>
        <v>5.8452999999999999</v>
      </c>
      <c r="H298" s="61">
        <f>10.3066* CHOOSE(CONTROL!$C$21, $C$12, 100%, $E$12)</f>
        <v>10.3066</v>
      </c>
      <c r="I298" s="61">
        <f>10.308 * CHOOSE(CONTROL!$C$21, $C$12, 100%, $E$12)</f>
        <v>10.308</v>
      </c>
      <c r="J298" s="61">
        <f>5.8439 * CHOOSE(CONTROL!$C$21, $C$12, 100%, $E$12)</f>
        <v>5.8438999999999997</v>
      </c>
      <c r="K298" s="61">
        <f>5.8453 * CHOOSE(CONTROL!$C$21, $C$12, 100%, $E$12)</f>
        <v>5.8452999999999999</v>
      </c>
    </row>
    <row r="299" spans="1:11" ht="15">
      <c r="A299" s="13">
        <v>50983</v>
      </c>
      <c r="B299" s="60">
        <f>5.0497 * CHOOSE(CONTROL!$C$21, $C$12, 100%, $E$12)</f>
        <v>5.0496999999999996</v>
      </c>
      <c r="C299" s="60">
        <f>5.0497 * CHOOSE(CONTROL!$C$21, $C$12, 100%, $E$12)</f>
        <v>5.0496999999999996</v>
      </c>
      <c r="D299" s="60">
        <f>5.0708 * CHOOSE(CONTROL!$C$21, $C$12, 100%, $E$12)</f>
        <v>5.0708000000000002</v>
      </c>
      <c r="E299" s="61">
        <f>5.7894 * CHOOSE(CONTROL!$C$21, $C$12, 100%, $E$12)</f>
        <v>5.7893999999999997</v>
      </c>
      <c r="F299" s="61">
        <f>5.7894 * CHOOSE(CONTROL!$C$21, $C$12, 100%, $E$12)</f>
        <v>5.7893999999999997</v>
      </c>
      <c r="G299" s="61">
        <f>5.7908 * CHOOSE(CONTROL!$C$21, $C$12, 100%, $E$12)</f>
        <v>5.7907999999999999</v>
      </c>
      <c r="H299" s="61">
        <f>10.3281* CHOOSE(CONTROL!$C$21, $C$12, 100%, $E$12)</f>
        <v>10.328099999999999</v>
      </c>
      <c r="I299" s="61">
        <f>10.3295 * CHOOSE(CONTROL!$C$21, $C$12, 100%, $E$12)</f>
        <v>10.329499999999999</v>
      </c>
      <c r="J299" s="61">
        <f>5.7894 * CHOOSE(CONTROL!$C$21, $C$12, 100%, $E$12)</f>
        <v>5.7893999999999997</v>
      </c>
      <c r="K299" s="61">
        <f>5.7908 * CHOOSE(CONTROL!$C$21, $C$12, 100%, $E$12)</f>
        <v>5.7907999999999999</v>
      </c>
    </row>
    <row r="300" spans="1:11" ht="15">
      <c r="A300" s="13">
        <v>51014</v>
      </c>
      <c r="B300" s="60">
        <f>5.0467 * CHOOSE(CONTROL!$C$21, $C$12, 100%, $E$12)</f>
        <v>5.0467000000000004</v>
      </c>
      <c r="C300" s="60">
        <f>5.0467 * CHOOSE(CONTROL!$C$21, $C$12, 100%, $E$12)</f>
        <v>5.0467000000000004</v>
      </c>
      <c r="D300" s="60">
        <f>5.0678 * CHOOSE(CONTROL!$C$21, $C$12, 100%, $E$12)</f>
        <v>5.0678000000000001</v>
      </c>
      <c r="E300" s="61">
        <f>5.7807 * CHOOSE(CONTROL!$C$21, $C$12, 100%, $E$12)</f>
        <v>5.7807000000000004</v>
      </c>
      <c r="F300" s="61">
        <f>5.7807 * CHOOSE(CONTROL!$C$21, $C$12, 100%, $E$12)</f>
        <v>5.7807000000000004</v>
      </c>
      <c r="G300" s="61">
        <f>5.7821 * CHOOSE(CONTROL!$C$21, $C$12, 100%, $E$12)</f>
        <v>5.7820999999999998</v>
      </c>
      <c r="H300" s="61">
        <f>10.3496* CHOOSE(CONTROL!$C$21, $C$12, 100%, $E$12)</f>
        <v>10.349600000000001</v>
      </c>
      <c r="I300" s="61">
        <f>10.351 * CHOOSE(CONTROL!$C$21, $C$12, 100%, $E$12)</f>
        <v>10.351000000000001</v>
      </c>
      <c r="J300" s="61">
        <f>5.7807 * CHOOSE(CONTROL!$C$21, $C$12, 100%, $E$12)</f>
        <v>5.7807000000000004</v>
      </c>
      <c r="K300" s="61">
        <f>5.7821 * CHOOSE(CONTROL!$C$21, $C$12, 100%, $E$12)</f>
        <v>5.7820999999999998</v>
      </c>
    </row>
    <row r="301" spans="1:11" ht="15">
      <c r="A301" s="13">
        <v>51044</v>
      </c>
      <c r="B301" s="60">
        <f>5.0455 * CHOOSE(CONTROL!$C$21, $C$12, 100%, $E$12)</f>
        <v>5.0454999999999997</v>
      </c>
      <c r="C301" s="60">
        <f>5.0455 * CHOOSE(CONTROL!$C$21, $C$12, 100%, $E$12)</f>
        <v>5.0454999999999997</v>
      </c>
      <c r="D301" s="60">
        <f>5.056 * CHOOSE(CONTROL!$C$21, $C$12, 100%, $E$12)</f>
        <v>5.056</v>
      </c>
      <c r="E301" s="61">
        <f>5.7936 * CHOOSE(CONTROL!$C$21, $C$12, 100%, $E$12)</f>
        <v>5.7935999999999996</v>
      </c>
      <c r="F301" s="61">
        <f>5.7936 * CHOOSE(CONTROL!$C$21, $C$12, 100%, $E$12)</f>
        <v>5.7935999999999996</v>
      </c>
      <c r="G301" s="61">
        <f>5.7938 * CHOOSE(CONTROL!$C$21, $C$12, 100%, $E$12)</f>
        <v>5.7938000000000001</v>
      </c>
      <c r="H301" s="61">
        <f>10.3712* CHOOSE(CONTROL!$C$21, $C$12, 100%, $E$12)</f>
        <v>10.3712</v>
      </c>
      <c r="I301" s="61">
        <f>10.3713 * CHOOSE(CONTROL!$C$21, $C$12, 100%, $E$12)</f>
        <v>10.3713</v>
      </c>
      <c r="J301" s="61">
        <f>5.7936 * CHOOSE(CONTROL!$C$21, $C$12, 100%, $E$12)</f>
        <v>5.7935999999999996</v>
      </c>
      <c r="K301" s="61">
        <f>5.7938 * CHOOSE(CONTROL!$C$21, $C$12, 100%, $E$12)</f>
        <v>5.7938000000000001</v>
      </c>
    </row>
    <row r="302" spans="1:11" ht="15">
      <c r="A302" s="13">
        <v>51075</v>
      </c>
      <c r="B302" s="60">
        <f>5.0485 * CHOOSE(CONTROL!$C$21, $C$12, 100%, $E$12)</f>
        <v>5.0484999999999998</v>
      </c>
      <c r="C302" s="60">
        <f>5.0485 * CHOOSE(CONTROL!$C$21, $C$12, 100%, $E$12)</f>
        <v>5.0484999999999998</v>
      </c>
      <c r="D302" s="60">
        <f>5.0591 * CHOOSE(CONTROL!$C$21, $C$12, 100%, $E$12)</f>
        <v>5.0590999999999999</v>
      </c>
      <c r="E302" s="61">
        <f>5.8089 * CHOOSE(CONTROL!$C$21, $C$12, 100%, $E$12)</f>
        <v>5.8089000000000004</v>
      </c>
      <c r="F302" s="61">
        <f>5.8089 * CHOOSE(CONTROL!$C$21, $C$12, 100%, $E$12)</f>
        <v>5.8089000000000004</v>
      </c>
      <c r="G302" s="61">
        <f>5.809 * CHOOSE(CONTROL!$C$21, $C$12, 100%, $E$12)</f>
        <v>5.8090000000000002</v>
      </c>
      <c r="H302" s="61">
        <f>10.3928* CHOOSE(CONTROL!$C$21, $C$12, 100%, $E$12)</f>
        <v>10.392799999999999</v>
      </c>
      <c r="I302" s="61">
        <f>10.3929 * CHOOSE(CONTROL!$C$21, $C$12, 100%, $E$12)</f>
        <v>10.392899999999999</v>
      </c>
      <c r="J302" s="61">
        <f>5.8089 * CHOOSE(CONTROL!$C$21, $C$12, 100%, $E$12)</f>
        <v>5.8089000000000004</v>
      </c>
      <c r="K302" s="61">
        <f>5.809 * CHOOSE(CONTROL!$C$21, $C$12, 100%, $E$12)</f>
        <v>5.8090000000000002</v>
      </c>
    </row>
    <row r="303" spans="1:11" ht="15">
      <c r="A303" s="13">
        <v>51105</v>
      </c>
      <c r="B303" s="60">
        <f>5.0485 * CHOOSE(CONTROL!$C$21, $C$12, 100%, $E$12)</f>
        <v>5.0484999999999998</v>
      </c>
      <c r="C303" s="60">
        <f>5.0485 * CHOOSE(CONTROL!$C$21, $C$12, 100%, $E$12)</f>
        <v>5.0484999999999998</v>
      </c>
      <c r="D303" s="60">
        <f>5.0591 * CHOOSE(CONTROL!$C$21, $C$12, 100%, $E$12)</f>
        <v>5.0590999999999999</v>
      </c>
      <c r="E303" s="61">
        <f>5.776 * CHOOSE(CONTROL!$C$21, $C$12, 100%, $E$12)</f>
        <v>5.7759999999999998</v>
      </c>
      <c r="F303" s="61">
        <f>5.776 * CHOOSE(CONTROL!$C$21, $C$12, 100%, $E$12)</f>
        <v>5.7759999999999998</v>
      </c>
      <c r="G303" s="61">
        <f>5.7762 * CHOOSE(CONTROL!$C$21, $C$12, 100%, $E$12)</f>
        <v>5.7762000000000002</v>
      </c>
      <c r="H303" s="61">
        <f>10.4144* CHOOSE(CONTROL!$C$21, $C$12, 100%, $E$12)</f>
        <v>10.414400000000001</v>
      </c>
      <c r="I303" s="61">
        <f>10.4146 * CHOOSE(CONTROL!$C$21, $C$12, 100%, $E$12)</f>
        <v>10.4146</v>
      </c>
      <c r="J303" s="61">
        <f>5.776 * CHOOSE(CONTROL!$C$21, $C$12, 100%, $E$12)</f>
        <v>5.7759999999999998</v>
      </c>
      <c r="K303" s="61">
        <f>5.7762 * CHOOSE(CONTROL!$C$21, $C$12, 100%, $E$12)</f>
        <v>5.7762000000000002</v>
      </c>
    </row>
    <row r="304" spans="1:11" ht="15">
      <c r="A304" s="13">
        <v>51136</v>
      </c>
      <c r="B304" s="60">
        <f>5.0944 * CHOOSE(CONTROL!$C$21, $C$12, 100%, $E$12)</f>
        <v>5.0944000000000003</v>
      </c>
      <c r="C304" s="60">
        <f>5.0944 * CHOOSE(CONTROL!$C$21, $C$12, 100%, $E$12)</f>
        <v>5.0944000000000003</v>
      </c>
      <c r="D304" s="60">
        <f>5.1049 * CHOOSE(CONTROL!$C$21, $C$12, 100%, $E$12)</f>
        <v>5.1048999999999998</v>
      </c>
      <c r="E304" s="61">
        <f>5.8526 * CHOOSE(CONTROL!$C$21, $C$12, 100%, $E$12)</f>
        <v>5.8525999999999998</v>
      </c>
      <c r="F304" s="61">
        <f>5.8526 * CHOOSE(CONTROL!$C$21, $C$12, 100%, $E$12)</f>
        <v>5.8525999999999998</v>
      </c>
      <c r="G304" s="61">
        <f>5.8528 * CHOOSE(CONTROL!$C$21, $C$12, 100%, $E$12)</f>
        <v>5.8528000000000002</v>
      </c>
      <c r="H304" s="61">
        <f>10.4361* CHOOSE(CONTROL!$C$21, $C$12, 100%, $E$12)</f>
        <v>10.4361</v>
      </c>
      <c r="I304" s="61">
        <f>10.4363 * CHOOSE(CONTROL!$C$21, $C$12, 100%, $E$12)</f>
        <v>10.436299999999999</v>
      </c>
      <c r="J304" s="61">
        <f>5.8526 * CHOOSE(CONTROL!$C$21, $C$12, 100%, $E$12)</f>
        <v>5.8525999999999998</v>
      </c>
      <c r="K304" s="61">
        <f>5.8528 * CHOOSE(CONTROL!$C$21, $C$12, 100%, $E$12)</f>
        <v>5.8528000000000002</v>
      </c>
    </row>
    <row r="305" spans="1:11" ht="15">
      <c r="A305" s="13">
        <v>51167</v>
      </c>
      <c r="B305" s="60">
        <f>5.0913 * CHOOSE(CONTROL!$C$21, $C$12, 100%, $E$12)</f>
        <v>5.0913000000000004</v>
      </c>
      <c r="C305" s="60">
        <f>5.0913 * CHOOSE(CONTROL!$C$21, $C$12, 100%, $E$12)</f>
        <v>5.0913000000000004</v>
      </c>
      <c r="D305" s="60">
        <f>5.1019 * CHOOSE(CONTROL!$C$21, $C$12, 100%, $E$12)</f>
        <v>5.1018999999999997</v>
      </c>
      <c r="E305" s="61">
        <f>5.7866 * CHOOSE(CONTROL!$C$21, $C$12, 100%, $E$12)</f>
        <v>5.7866</v>
      </c>
      <c r="F305" s="61">
        <f>5.7866 * CHOOSE(CONTROL!$C$21, $C$12, 100%, $E$12)</f>
        <v>5.7866</v>
      </c>
      <c r="G305" s="61">
        <f>5.7868 * CHOOSE(CONTROL!$C$21, $C$12, 100%, $E$12)</f>
        <v>5.7868000000000004</v>
      </c>
      <c r="H305" s="61">
        <f>10.4579* CHOOSE(CONTROL!$C$21, $C$12, 100%, $E$12)</f>
        <v>10.4579</v>
      </c>
      <c r="I305" s="61">
        <f>10.458 * CHOOSE(CONTROL!$C$21, $C$12, 100%, $E$12)</f>
        <v>10.458</v>
      </c>
      <c r="J305" s="61">
        <f>5.7866 * CHOOSE(CONTROL!$C$21, $C$12, 100%, $E$12)</f>
        <v>5.7866</v>
      </c>
      <c r="K305" s="61">
        <f>5.7868 * CHOOSE(CONTROL!$C$21, $C$12, 100%, $E$12)</f>
        <v>5.7868000000000004</v>
      </c>
    </row>
    <row r="306" spans="1:11" ht="15">
      <c r="A306" s="13">
        <v>51196</v>
      </c>
      <c r="B306" s="60">
        <f>5.0883 * CHOOSE(CONTROL!$C$21, $C$12, 100%, $E$12)</f>
        <v>5.0883000000000003</v>
      </c>
      <c r="C306" s="60">
        <f>5.0883 * CHOOSE(CONTROL!$C$21, $C$12, 100%, $E$12)</f>
        <v>5.0883000000000003</v>
      </c>
      <c r="D306" s="60">
        <f>5.0988 * CHOOSE(CONTROL!$C$21, $C$12, 100%, $E$12)</f>
        <v>5.0987999999999998</v>
      </c>
      <c r="E306" s="61">
        <f>5.8349 * CHOOSE(CONTROL!$C$21, $C$12, 100%, $E$12)</f>
        <v>5.8349000000000002</v>
      </c>
      <c r="F306" s="61">
        <f>5.8349 * CHOOSE(CONTROL!$C$21, $C$12, 100%, $E$12)</f>
        <v>5.8349000000000002</v>
      </c>
      <c r="G306" s="61">
        <f>5.835 * CHOOSE(CONTROL!$C$21, $C$12, 100%, $E$12)</f>
        <v>5.835</v>
      </c>
      <c r="H306" s="61">
        <f>10.4796* CHOOSE(CONTROL!$C$21, $C$12, 100%, $E$12)</f>
        <v>10.4796</v>
      </c>
      <c r="I306" s="61">
        <f>10.4798 * CHOOSE(CONTROL!$C$21, $C$12, 100%, $E$12)</f>
        <v>10.479799999999999</v>
      </c>
      <c r="J306" s="61">
        <f>5.8349 * CHOOSE(CONTROL!$C$21, $C$12, 100%, $E$12)</f>
        <v>5.8349000000000002</v>
      </c>
      <c r="K306" s="61">
        <f>5.835 * CHOOSE(CONTROL!$C$21, $C$12, 100%, $E$12)</f>
        <v>5.835</v>
      </c>
    </row>
    <row r="307" spans="1:11" ht="15">
      <c r="A307" s="13">
        <v>51227</v>
      </c>
      <c r="B307" s="60">
        <f>5.0869 * CHOOSE(CONTROL!$C$21, $C$12, 100%, $E$12)</f>
        <v>5.0869</v>
      </c>
      <c r="C307" s="60">
        <f>5.0869 * CHOOSE(CONTROL!$C$21, $C$12, 100%, $E$12)</f>
        <v>5.0869</v>
      </c>
      <c r="D307" s="60">
        <f>5.0975 * CHOOSE(CONTROL!$C$21, $C$12, 100%, $E$12)</f>
        <v>5.0975000000000001</v>
      </c>
      <c r="E307" s="61">
        <f>5.8847 * CHOOSE(CONTROL!$C$21, $C$12, 100%, $E$12)</f>
        <v>5.8846999999999996</v>
      </c>
      <c r="F307" s="61">
        <f>5.8847 * CHOOSE(CONTROL!$C$21, $C$12, 100%, $E$12)</f>
        <v>5.8846999999999996</v>
      </c>
      <c r="G307" s="61">
        <f>5.8849 * CHOOSE(CONTROL!$C$21, $C$12, 100%, $E$12)</f>
        <v>5.8849</v>
      </c>
      <c r="H307" s="61">
        <f>10.5015* CHOOSE(CONTROL!$C$21, $C$12, 100%, $E$12)</f>
        <v>10.5015</v>
      </c>
      <c r="I307" s="61">
        <f>10.5017 * CHOOSE(CONTROL!$C$21, $C$12, 100%, $E$12)</f>
        <v>10.5017</v>
      </c>
      <c r="J307" s="61">
        <f>5.8847 * CHOOSE(CONTROL!$C$21, $C$12, 100%, $E$12)</f>
        <v>5.8846999999999996</v>
      </c>
      <c r="K307" s="61">
        <f>5.8849 * CHOOSE(CONTROL!$C$21, $C$12, 100%, $E$12)</f>
        <v>5.8849</v>
      </c>
    </row>
    <row r="308" spans="1:11" ht="15">
      <c r="A308" s="13">
        <v>51257</v>
      </c>
      <c r="B308" s="60">
        <f>5.0869 * CHOOSE(CONTROL!$C$21, $C$12, 100%, $E$12)</f>
        <v>5.0869</v>
      </c>
      <c r="C308" s="60">
        <f>5.0869 * CHOOSE(CONTROL!$C$21, $C$12, 100%, $E$12)</f>
        <v>5.0869</v>
      </c>
      <c r="D308" s="60">
        <f>5.1081 * CHOOSE(CONTROL!$C$21, $C$12, 100%, $E$12)</f>
        <v>5.1081000000000003</v>
      </c>
      <c r="E308" s="61">
        <f>5.905 * CHOOSE(CONTROL!$C$21, $C$12, 100%, $E$12)</f>
        <v>5.9050000000000002</v>
      </c>
      <c r="F308" s="61">
        <f>5.905 * CHOOSE(CONTROL!$C$21, $C$12, 100%, $E$12)</f>
        <v>5.9050000000000002</v>
      </c>
      <c r="G308" s="61">
        <f>5.9064 * CHOOSE(CONTROL!$C$21, $C$12, 100%, $E$12)</f>
        <v>5.9063999999999997</v>
      </c>
      <c r="H308" s="61">
        <f>10.5234* CHOOSE(CONTROL!$C$21, $C$12, 100%, $E$12)</f>
        <v>10.523400000000001</v>
      </c>
      <c r="I308" s="61">
        <f>10.5247 * CHOOSE(CONTROL!$C$21, $C$12, 100%, $E$12)</f>
        <v>10.524699999999999</v>
      </c>
      <c r="J308" s="61">
        <f>5.905 * CHOOSE(CONTROL!$C$21, $C$12, 100%, $E$12)</f>
        <v>5.9050000000000002</v>
      </c>
      <c r="K308" s="61">
        <f>5.9064 * CHOOSE(CONTROL!$C$21, $C$12, 100%, $E$12)</f>
        <v>5.9063999999999997</v>
      </c>
    </row>
    <row r="309" spans="1:11" ht="15">
      <c r="A309" s="13">
        <v>51288</v>
      </c>
      <c r="B309" s="60">
        <f>5.093 * CHOOSE(CONTROL!$C$21, $C$12, 100%, $E$12)</f>
        <v>5.093</v>
      </c>
      <c r="C309" s="60">
        <f>5.093 * CHOOSE(CONTROL!$C$21, $C$12, 100%, $E$12)</f>
        <v>5.093</v>
      </c>
      <c r="D309" s="60">
        <f>5.1141 * CHOOSE(CONTROL!$C$21, $C$12, 100%, $E$12)</f>
        <v>5.1140999999999996</v>
      </c>
      <c r="E309" s="61">
        <f>5.889 * CHOOSE(CONTROL!$C$21, $C$12, 100%, $E$12)</f>
        <v>5.8890000000000002</v>
      </c>
      <c r="F309" s="61">
        <f>5.889 * CHOOSE(CONTROL!$C$21, $C$12, 100%, $E$12)</f>
        <v>5.8890000000000002</v>
      </c>
      <c r="G309" s="61">
        <f>5.8903 * CHOOSE(CONTROL!$C$21, $C$12, 100%, $E$12)</f>
        <v>5.8902999999999999</v>
      </c>
      <c r="H309" s="61">
        <f>10.5453* CHOOSE(CONTROL!$C$21, $C$12, 100%, $E$12)</f>
        <v>10.545299999999999</v>
      </c>
      <c r="I309" s="61">
        <f>10.5467 * CHOOSE(CONTROL!$C$21, $C$12, 100%, $E$12)</f>
        <v>10.5467</v>
      </c>
      <c r="J309" s="61">
        <f>5.889 * CHOOSE(CONTROL!$C$21, $C$12, 100%, $E$12)</f>
        <v>5.8890000000000002</v>
      </c>
      <c r="K309" s="61">
        <f>5.8903 * CHOOSE(CONTROL!$C$21, $C$12, 100%, $E$12)</f>
        <v>5.8902999999999999</v>
      </c>
    </row>
    <row r="310" spans="1:11" ht="15">
      <c r="A310" s="13">
        <v>51318</v>
      </c>
      <c r="B310" s="60">
        <f>5.1785 * CHOOSE(CONTROL!$C$21, $C$12, 100%, $E$12)</f>
        <v>5.1784999999999997</v>
      </c>
      <c r="C310" s="60">
        <f>5.1785 * CHOOSE(CONTROL!$C$21, $C$12, 100%, $E$12)</f>
        <v>5.1784999999999997</v>
      </c>
      <c r="D310" s="60">
        <f>5.1997 * CHOOSE(CONTROL!$C$21, $C$12, 100%, $E$12)</f>
        <v>5.1997</v>
      </c>
      <c r="E310" s="61">
        <f>6.0078 * CHOOSE(CONTROL!$C$21, $C$12, 100%, $E$12)</f>
        <v>6.0077999999999996</v>
      </c>
      <c r="F310" s="61">
        <f>6.0078 * CHOOSE(CONTROL!$C$21, $C$12, 100%, $E$12)</f>
        <v>6.0077999999999996</v>
      </c>
      <c r="G310" s="61">
        <f>6.0092 * CHOOSE(CONTROL!$C$21, $C$12, 100%, $E$12)</f>
        <v>6.0091999999999999</v>
      </c>
      <c r="H310" s="61">
        <f>10.5673* CHOOSE(CONTROL!$C$21, $C$12, 100%, $E$12)</f>
        <v>10.567299999999999</v>
      </c>
      <c r="I310" s="61">
        <f>10.5686 * CHOOSE(CONTROL!$C$21, $C$12, 100%, $E$12)</f>
        <v>10.5686</v>
      </c>
      <c r="J310" s="61">
        <f>6.0078 * CHOOSE(CONTROL!$C$21, $C$12, 100%, $E$12)</f>
        <v>6.0077999999999996</v>
      </c>
      <c r="K310" s="61">
        <f>6.0092 * CHOOSE(CONTROL!$C$21, $C$12, 100%, $E$12)</f>
        <v>6.0091999999999999</v>
      </c>
    </row>
    <row r="311" spans="1:11" ht="15">
      <c r="A311" s="13">
        <v>51349</v>
      </c>
      <c r="B311" s="60">
        <f>5.1852 * CHOOSE(CONTROL!$C$21, $C$12, 100%, $E$12)</f>
        <v>5.1852</v>
      </c>
      <c r="C311" s="60">
        <f>5.1852 * CHOOSE(CONTROL!$C$21, $C$12, 100%, $E$12)</f>
        <v>5.1852</v>
      </c>
      <c r="D311" s="60">
        <f>5.2063 * CHOOSE(CONTROL!$C$21, $C$12, 100%, $E$12)</f>
        <v>5.2062999999999997</v>
      </c>
      <c r="E311" s="61">
        <f>5.9516 * CHOOSE(CONTROL!$C$21, $C$12, 100%, $E$12)</f>
        <v>5.9516</v>
      </c>
      <c r="F311" s="61">
        <f>5.9516 * CHOOSE(CONTROL!$C$21, $C$12, 100%, $E$12)</f>
        <v>5.9516</v>
      </c>
      <c r="G311" s="61">
        <f>5.953 * CHOOSE(CONTROL!$C$21, $C$12, 100%, $E$12)</f>
        <v>5.9530000000000003</v>
      </c>
      <c r="H311" s="61">
        <f>10.5893* CHOOSE(CONTROL!$C$21, $C$12, 100%, $E$12)</f>
        <v>10.5893</v>
      </c>
      <c r="I311" s="61">
        <f>10.5906 * CHOOSE(CONTROL!$C$21, $C$12, 100%, $E$12)</f>
        <v>10.5906</v>
      </c>
      <c r="J311" s="61">
        <f>5.9516 * CHOOSE(CONTROL!$C$21, $C$12, 100%, $E$12)</f>
        <v>5.9516</v>
      </c>
      <c r="K311" s="61">
        <f>5.953 * CHOOSE(CONTROL!$C$21, $C$12, 100%, $E$12)</f>
        <v>5.9530000000000003</v>
      </c>
    </row>
    <row r="312" spans="1:11" ht="15">
      <c r="A312" s="13">
        <v>51380</v>
      </c>
      <c r="B312" s="60">
        <f>5.1822 * CHOOSE(CONTROL!$C$21, $C$12, 100%, $E$12)</f>
        <v>5.1821999999999999</v>
      </c>
      <c r="C312" s="60">
        <f>5.1822 * CHOOSE(CONTROL!$C$21, $C$12, 100%, $E$12)</f>
        <v>5.1821999999999999</v>
      </c>
      <c r="D312" s="60">
        <f>5.2033 * CHOOSE(CONTROL!$C$21, $C$12, 100%, $E$12)</f>
        <v>5.2032999999999996</v>
      </c>
      <c r="E312" s="61">
        <f>5.9427 * CHOOSE(CONTROL!$C$21, $C$12, 100%, $E$12)</f>
        <v>5.9427000000000003</v>
      </c>
      <c r="F312" s="61">
        <f>5.9427 * CHOOSE(CONTROL!$C$21, $C$12, 100%, $E$12)</f>
        <v>5.9427000000000003</v>
      </c>
      <c r="G312" s="61">
        <f>5.9441 * CHOOSE(CONTROL!$C$21, $C$12, 100%, $E$12)</f>
        <v>5.9440999999999997</v>
      </c>
      <c r="H312" s="61">
        <f>10.6113* CHOOSE(CONTROL!$C$21, $C$12, 100%, $E$12)</f>
        <v>10.6113</v>
      </c>
      <c r="I312" s="61">
        <f>10.6127 * CHOOSE(CONTROL!$C$21, $C$12, 100%, $E$12)</f>
        <v>10.6127</v>
      </c>
      <c r="J312" s="61">
        <f>5.9427 * CHOOSE(CONTROL!$C$21, $C$12, 100%, $E$12)</f>
        <v>5.9427000000000003</v>
      </c>
      <c r="K312" s="61">
        <f>5.9441 * CHOOSE(CONTROL!$C$21, $C$12, 100%, $E$12)</f>
        <v>5.9440999999999997</v>
      </c>
    </row>
    <row r="313" spans="1:11" ht="15">
      <c r="A313" s="13">
        <v>51410</v>
      </c>
      <c r="B313" s="60">
        <f>5.1814 * CHOOSE(CONTROL!$C$21, $C$12, 100%, $E$12)</f>
        <v>5.1814</v>
      </c>
      <c r="C313" s="60">
        <f>5.1814 * CHOOSE(CONTROL!$C$21, $C$12, 100%, $E$12)</f>
        <v>5.1814</v>
      </c>
      <c r="D313" s="60">
        <f>5.192 * CHOOSE(CONTROL!$C$21, $C$12, 100%, $E$12)</f>
        <v>5.1920000000000002</v>
      </c>
      <c r="E313" s="61">
        <f>5.9563 * CHOOSE(CONTROL!$C$21, $C$12, 100%, $E$12)</f>
        <v>5.9562999999999997</v>
      </c>
      <c r="F313" s="61">
        <f>5.9563 * CHOOSE(CONTROL!$C$21, $C$12, 100%, $E$12)</f>
        <v>5.9562999999999997</v>
      </c>
      <c r="G313" s="61">
        <f>5.9565 * CHOOSE(CONTROL!$C$21, $C$12, 100%, $E$12)</f>
        <v>5.9565000000000001</v>
      </c>
      <c r="H313" s="61">
        <f>10.6334* CHOOSE(CONTROL!$C$21, $C$12, 100%, $E$12)</f>
        <v>10.6334</v>
      </c>
      <c r="I313" s="61">
        <f>10.6336 * CHOOSE(CONTROL!$C$21, $C$12, 100%, $E$12)</f>
        <v>10.633599999999999</v>
      </c>
      <c r="J313" s="61">
        <f>5.9563 * CHOOSE(CONTROL!$C$21, $C$12, 100%, $E$12)</f>
        <v>5.9562999999999997</v>
      </c>
      <c r="K313" s="61">
        <f>5.9565 * CHOOSE(CONTROL!$C$21, $C$12, 100%, $E$12)</f>
        <v>5.9565000000000001</v>
      </c>
    </row>
    <row r="314" spans="1:11" ht="15">
      <c r="A314" s="13">
        <v>51441</v>
      </c>
      <c r="B314" s="60">
        <f>5.1845 * CHOOSE(CONTROL!$C$21, $C$12, 100%, $E$12)</f>
        <v>5.1844999999999999</v>
      </c>
      <c r="C314" s="60">
        <f>5.1845 * CHOOSE(CONTROL!$C$21, $C$12, 100%, $E$12)</f>
        <v>5.1844999999999999</v>
      </c>
      <c r="D314" s="60">
        <f>5.195 * CHOOSE(CONTROL!$C$21, $C$12, 100%, $E$12)</f>
        <v>5.1950000000000003</v>
      </c>
      <c r="E314" s="61">
        <f>5.972 * CHOOSE(CONTROL!$C$21, $C$12, 100%, $E$12)</f>
        <v>5.9720000000000004</v>
      </c>
      <c r="F314" s="61">
        <f>5.972 * CHOOSE(CONTROL!$C$21, $C$12, 100%, $E$12)</f>
        <v>5.9720000000000004</v>
      </c>
      <c r="G314" s="61">
        <f>5.9722 * CHOOSE(CONTROL!$C$21, $C$12, 100%, $E$12)</f>
        <v>5.9722</v>
      </c>
      <c r="H314" s="61">
        <f>10.6556* CHOOSE(CONTROL!$C$21, $C$12, 100%, $E$12)</f>
        <v>10.6556</v>
      </c>
      <c r="I314" s="61">
        <f>10.6558 * CHOOSE(CONTROL!$C$21, $C$12, 100%, $E$12)</f>
        <v>10.655799999999999</v>
      </c>
      <c r="J314" s="61">
        <f>5.972 * CHOOSE(CONTROL!$C$21, $C$12, 100%, $E$12)</f>
        <v>5.9720000000000004</v>
      </c>
      <c r="K314" s="61">
        <f>5.9722 * CHOOSE(CONTROL!$C$21, $C$12, 100%, $E$12)</f>
        <v>5.9722</v>
      </c>
    </row>
    <row r="315" spans="1:11" ht="15">
      <c r="A315" s="13">
        <v>51471</v>
      </c>
      <c r="B315" s="60">
        <f>5.1845 * CHOOSE(CONTROL!$C$21, $C$12, 100%, $E$12)</f>
        <v>5.1844999999999999</v>
      </c>
      <c r="C315" s="60">
        <f>5.1845 * CHOOSE(CONTROL!$C$21, $C$12, 100%, $E$12)</f>
        <v>5.1844999999999999</v>
      </c>
      <c r="D315" s="60">
        <f>5.195 * CHOOSE(CONTROL!$C$21, $C$12, 100%, $E$12)</f>
        <v>5.1950000000000003</v>
      </c>
      <c r="E315" s="61">
        <f>5.9382 * CHOOSE(CONTROL!$C$21, $C$12, 100%, $E$12)</f>
        <v>5.9382000000000001</v>
      </c>
      <c r="F315" s="61">
        <f>5.9382 * CHOOSE(CONTROL!$C$21, $C$12, 100%, $E$12)</f>
        <v>5.9382000000000001</v>
      </c>
      <c r="G315" s="61">
        <f>5.9384 * CHOOSE(CONTROL!$C$21, $C$12, 100%, $E$12)</f>
        <v>5.9383999999999997</v>
      </c>
      <c r="H315" s="61">
        <f>10.6778* CHOOSE(CONTROL!$C$21, $C$12, 100%, $E$12)</f>
        <v>10.6778</v>
      </c>
      <c r="I315" s="61">
        <f>10.678 * CHOOSE(CONTROL!$C$21, $C$12, 100%, $E$12)</f>
        <v>10.678000000000001</v>
      </c>
      <c r="J315" s="61">
        <f>5.9382 * CHOOSE(CONTROL!$C$21, $C$12, 100%, $E$12)</f>
        <v>5.9382000000000001</v>
      </c>
      <c r="K315" s="61">
        <f>5.9384 * CHOOSE(CONTROL!$C$21, $C$12, 100%, $E$12)</f>
        <v>5.9383999999999997</v>
      </c>
    </row>
    <row r="316" spans="1:11" ht="15">
      <c r="A316" s="13">
        <v>51502</v>
      </c>
      <c r="B316" s="60">
        <f>5.2322 * CHOOSE(CONTROL!$C$21, $C$12, 100%, $E$12)</f>
        <v>5.2321999999999997</v>
      </c>
      <c r="C316" s="60">
        <f>5.2322 * CHOOSE(CONTROL!$C$21, $C$12, 100%, $E$12)</f>
        <v>5.2321999999999997</v>
      </c>
      <c r="D316" s="60">
        <f>5.2428 * CHOOSE(CONTROL!$C$21, $C$12, 100%, $E$12)</f>
        <v>5.2427999999999999</v>
      </c>
      <c r="E316" s="61">
        <f>6.0167 * CHOOSE(CONTROL!$C$21, $C$12, 100%, $E$12)</f>
        <v>6.0167000000000002</v>
      </c>
      <c r="F316" s="61">
        <f>6.0167 * CHOOSE(CONTROL!$C$21, $C$12, 100%, $E$12)</f>
        <v>6.0167000000000002</v>
      </c>
      <c r="G316" s="61">
        <f>6.0168 * CHOOSE(CONTROL!$C$21, $C$12, 100%, $E$12)</f>
        <v>6.0167999999999999</v>
      </c>
      <c r="H316" s="61">
        <f>10.7* CHOOSE(CONTROL!$C$21, $C$12, 100%, $E$12)</f>
        <v>10.7</v>
      </c>
      <c r="I316" s="61">
        <f>10.7002 * CHOOSE(CONTROL!$C$21, $C$12, 100%, $E$12)</f>
        <v>10.700200000000001</v>
      </c>
      <c r="J316" s="61">
        <f>6.0167 * CHOOSE(CONTROL!$C$21, $C$12, 100%, $E$12)</f>
        <v>6.0167000000000002</v>
      </c>
      <c r="K316" s="61">
        <f>6.0168 * CHOOSE(CONTROL!$C$21, $C$12, 100%, $E$12)</f>
        <v>6.0167999999999999</v>
      </c>
    </row>
    <row r="317" spans="1:11" ht="15">
      <c r="A317" s="13">
        <v>51533</v>
      </c>
      <c r="B317" s="60">
        <f>5.2292 * CHOOSE(CONTROL!$C$21, $C$12, 100%, $E$12)</f>
        <v>5.2291999999999996</v>
      </c>
      <c r="C317" s="60">
        <f>5.2292 * CHOOSE(CONTROL!$C$21, $C$12, 100%, $E$12)</f>
        <v>5.2291999999999996</v>
      </c>
      <c r="D317" s="60">
        <f>5.2398 * CHOOSE(CONTROL!$C$21, $C$12, 100%, $E$12)</f>
        <v>5.2397999999999998</v>
      </c>
      <c r="E317" s="61">
        <f>5.9489 * CHOOSE(CONTROL!$C$21, $C$12, 100%, $E$12)</f>
        <v>5.9489000000000001</v>
      </c>
      <c r="F317" s="61">
        <f>5.9489 * CHOOSE(CONTROL!$C$21, $C$12, 100%, $E$12)</f>
        <v>5.9489000000000001</v>
      </c>
      <c r="G317" s="61">
        <f>5.949 * CHOOSE(CONTROL!$C$21, $C$12, 100%, $E$12)</f>
        <v>5.9489999999999998</v>
      </c>
      <c r="H317" s="61">
        <f>10.7223* CHOOSE(CONTROL!$C$21, $C$12, 100%, $E$12)</f>
        <v>10.722300000000001</v>
      </c>
      <c r="I317" s="61">
        <f>10.7225 * CHOOSE(CONTROL!$C$21, $C$12, 100%, $E$12)</f>
        <v>10.7225</v>
      </c>
      <c r="J317" s="61">
        <f>5.9489 * CHOOSE(CONTROL!$C$21, $C$12, 100%, $E$12)</f>
        <v>5.9489000000000001</v>
      </c>
      <c r="K317" s="61">
        <f>5.949 * CHOOSE(CONTROL!$C$21, $C$12, 100%, $E$12)</f>
        <v>5.9489999999999998</v>
      </c>
    </row>
    <row r="318" spans="1:11" ht="15">
      <c r="A318" s="13">
        <v>51561</v>
      </c>
      <c r="B318" s="60">
        <f>5.2262 * CHOOSE(CONTROL!$C$21, $C$12, 100%, $E$12)</f>
        <v>5.2262000000000004</v>
      </c>
      <c r="C318" s="60">
        <f>5.2262 * CHOOSE(CONTROL!$C$21, $C$12, 100%, $E$12)</f>
        <v>5.2262000000000004</v>
      </c>
      <c r="D318" s="60">
        <f>5.2367 * CHOOSE(CONTROL!$C$21, $C$12, 100%, $E$12)</f>
        <v>5.2366999999999999</v>
      </c>
      <c r="E318" s="61">
        <f>5.9985 * CHOOSE(CONTROL!$C$21, $C$12, 100%, $E$12)</f>
        <v>5.9984999999999999</v>
      </c>
      <c r="F318" s="61">
        <f>5.9985 * CHOOSE(CONTROL!$C$21, $C$12, 100%, $E$12)</f>
        <v>5.9984999999999999</v>
      </c>
      <c r="G318" s="61">
        <f>5.9987 * CHOOSE(CONTROL!$C$21, $C$12, 100%, $E$12)</f>
        <v>5.9987000000000004</v>
      </c>
      <c r="H318" s="61">
        <f>10.7447* CHOOSE(CONTROL!$C$21, $C$12, 100%, $E$12)</f>
        <v>10.7447</v>
      </c>
      <c r="I318" s="61">
        <f>10.7448 * CHOOSE(CONTROL!$C$21, $C$12, 100%, $E$12)</f>
        <v>10.7448</v>
      </c>
      <c r="J318" s="61">
        <f>5.9985 * CHOOSE(CONTROL!$C$21, $C$12, 100%, $E$12)</f>
        <v>5.9984999999999999</v>
      </c>
      <c r="K318" s="61">
        <f>5.9987 * CHOOSE(CONTROL!$C$21, $C$12, 100%, $E$12)</f>
        <v>5.9987000000000004</v>
      </c>
    </row>
    <row r="319" spans="1:11" ht="15">
      <c r="A319" s="13">
        <v>51592</v>
      </c>
      <c r="B319" s="60">
        <f>5.2249 * CHOOSE(CONTROL!$C$21, $C$12, 100%, $E$12)</f>
        <v>5.2248999999999999</v>
      </c>
      <c r="C319" s="60">
        <f>5.2249 * CHOOSE(CONTROL!$C$21, $C$12, 100%, $E$12)</f>
        <v>5.2248999999999999</v>
      </c>
      <c r="D319" s="60">
        <f>5.2355 * CHOOSE(CONTROL!$C$21, $C$12, 100%, $E$12)</f>
        <v>5.2355</v>
      </c>
      <c r="E319" s="61">
        <f>6.0499 * CHOOSE(CONTROL!$C$21, $C$12, 100%, $E$12)</f>
        <v>6.0499000000000001</v>
      </c>
      <c r="F319" s="61">
        <f>6.0499 * CHOOSE(CONTROL!$C$21, $C$12, 100%, $E$12)</f>
        <v>6.0499000000000001</v>
      </c>
      <c r="G319" s="61">
        <f>6.0501 * CHOOSE(CONTROL!$C$21, $C$12, 100%, $E$12)</f>
        <v>6.0500999999999996</v>
      </c>
      <c r="H319" s="61">
        <f>10.767* CHOOSE(CONTROL!$C$21, $C$12, 100%, $E$12)</f>
        <v>10.766999999999999</v>
      </c>
      <c r="I319" s="61">
        <f>10.7672 * CHOOSE(CONTROL!$C$21, $C$12, 100%, $E$12)</f>
        <v>10.767200000000001</v>
      </c>
      <c r="J319" s="61">
        <f>6.0499 * CHOOSE(CONTROL!$C$21, $C$12, 100%, $E$12)</f>
        <v>6.0499000000000001</v>
      </c>
      <c r="K319" s="61">
        <f>6.0501 * CHOOSE(CONTROL!$C$21, $C$12, 100%, $E$12)</f>
        <v>6.0500999999999996</v>
      </c>
    </row>
    <row r="320" spans="1:11" ht="15">
      <c r="A320" s="13">
        <v>51622</v>
      </c>
      <c r="B320" s="60">
        <f>5.2249 * CHOOSE(CONTROL!$C$21, $C$12, 100%, $E$12)</f>
        <v>5.2248999999999999</v>
      </c>
      <c r="C320" s="60">
        <f>5.2249 * CHOOSE(CONTROL!$C$21, $C$12, 100%, $E$12)</f>
        <v>5.2248999999999999</v>
      </c>
      <c r="D320" s="60">
        <f>5.2461 * CHOOSE(CONTROL!$C$21, $C$12, 100%, $E$12)</f>
        <v>5.2461000000000002</v>
      </c>
      <c r="E320" s="61">
        <f>6.0707 * CHOOSE(CONTROL!$C$21, $C$12, 100%, $E$12)</f>
        <v>6.0707000000000004</v>
      </c>
      <c r="F320" s="61">
        <f>6.0707 * CHOOSE(CONTROL!$C$21, $C$12, 100%, $E$12)</f>
        <v>6.0707000000000004</v>
      </c>
      <c r="G320" s="61">
        <f>6.0721 * CHOOSE(CONTROL!$C$21, $C$12, 100%, $E$12)</f>
        <v>6.0720999999999998</v>
      </c>
      <c r="H320" s="61">
        <f>10.7895* CHOOSE(CONTROL!$C$21, $C$12, 100%, $E$12)</f>
        <v>10.7895</v>
      </c>
      <c r="I320" s="61">
        <f>10.7909 * CHOOSE(CONTROL!$C$21, $C$12, 100%, $E$12)</f>
        <v>10.790900000000001</v>
      </c>
      <c r="J320" s="61">
        <f>6.0707 * CHOOSE(CONTROL!$C$21, $C$12, 100%, $E$12)</f>
        <v>6.0707000000000004</v>
      </c>
      <c r="K320" s="61">
        <f>6.0721 * CHOOSE(CONTROL!$C$21, $C$12, 100%, $E$12)</f>
        <v>6.0720999999999998</v>
      </c>
    </row>
    <row r="321" spans="1:11" ht="15">
      <c r="A321" s="13">
        <v>51653</v>
      </c>
      <c r="B321" s="60">
        <f>5.231 * CHOOSE(CONTROL!$C$21, $C$12, 100%, $E$12)</f>
        <v>5.2309999999999999</v>
      </c>
      <c r="C321" s="60">
        <f>5.231 * CHOOSE(CONTROL!$C$21, $C$12, 100%, $E$12)</f>
        <v>5.2309999999999999</v>
      </c>
      <c r="D321" s="60">
        <f>5.2521 * CHOOSE(CONTROL!$C$21, $C$12, 100%, $E$12)</f>
        <v>5.2521000000000004</v>
      </c>
      <c r="E321" s="61">
        <f>6.0541 * CHOOSE(CONTROL!$C$21, $C$12, 100%, $E$12)</f>
        <v>6.0541</v>
      </c>
      <c r="F321" s="61">
        <f>6.0541 * CHOOSE(CONTROL!$C$21, $C$12, 100%, $E$12)</f>
        <v>6.0541</v>
      </c>
      <c r="G321" s="61">
        <f>6.0555 * CHOOSE(CONTROL!$C$21, $C$12, 100%, $E$12)</f>
        <v>6.0555000000000003</v>
      </c>
      <c r="H321" s="61">
        <f>10.812* CHOOSE(CONTROL!$C$21, $C$12, 100%, $E$12)</f>
        <v>10.811999999999999</v>
      </c>
      <c r="I321" s="61">
        <f>10.8133 * CHOOSE(CONTROL!$C$21, $C$12, 100%, $E$12)</f>
        <v>10.8133</v>
      </c>
      <c r="J321" s="61">
        <f>6.0541 * CHOOSE(CONTROL!$C$21, $C$12, 100%, $E$12)</f>
        <v>6.0541</v>
      </c>
      <c r="K321" s="61">
        <f>6.0555 * CHOOSE(CONTROL!$C$21, $C$12, 100%, $E$12)</f>
        <v>6.0555000000000003</v>
      </c>
    </row>
    <row r="322" spans="1:11" ht="15">
      <c r="A322" s="13">
        <v>51683</v>
      </c>
      <c r="B322" s="60">
        <f>5.3201 * CHOOSE(CONTROL!$C$21, $C$12, 100%, $E$12)</f>
        <v>5.3201000000000001</v>
      </c>
      <c r="C322" s="60">
        <f>5.3201 * CHOOSE(CONTROL!$C$21, $C$12, 100%, $E$12)</f>
        <v>5.3201000000000001</v>
      </c>
      <c r="D322" s="60">
        <f>5.3412 * CHOOSE(CONTROL!$C$21, $C$12, 100%, $E$12)</f>
        <v>5.3411999999999997</v>
      </c>
      <c r="E322" s="61">
        <f>6.1755 * CHOOSE(CONTROL!$C$21, $C$12, 100%, $E$12)</f>
        <v>6.1755000000000004</v>
      </c>
      <c r="F322" s="61">
        <f>6.1755 * CHOOSE(CONTROL!$C$21, $C$12, 100%, $E$12)</f>
        <v>6.1755000000000004</v>
      </c>
      <c r="G322" s="61">
        <f>6.1769 * CHOOSE(CONTROL!$C$21, $C$12, 100%, $E$12)</f>
        <v>6.1768999999999998</v>
      </c>
      <c r="H322" s="61">
        <f>10.8345* CHOOSE(CONTROL!$C$21, $C$12, 100%, $E$12)</f>
        <v>10.8345</v>
      </c>
      <c r="I322" s="61">
        <f>10.8359 * CHOOSE(CONTROL!$C$21, $C$12, 100%, $E$12)</f>
        <v>10.835900000000001</v>
      </c>
      <c r="J322" s="61">
        <f>6.1755 * CHOOSE(CONTROL!$C$21, $C$12, 100%, $E$12)</f>
        <v>6.1755000000000004</v>
      </c>
      <c r="K322" s="61">
        <f>6.1769 * CHOOSE(CONTROL!$C$21, $C$12, 100%, $E$12)</f>
        <v>6.1768999999999998</v>
      </c>
    </row>
    <row r="323" spans="1:11" ht="15">
      <c r="A323" s="13">
        <v>51714</v>
      </c>
      <c r="B323" s="60">
        <f>5.3268 * CHOOSE(CONTROL!$C$21, $C$12, 100%, $E$12)</f>
        <v>5.3268000000000004</v>
      </c>
      <c r="C323" s="60">
        <f>5.3268 * CHOOSE(CONTROL!$C$21, $C$12, 100%, $E$12)</f>
        <v>5.3268000000000004</v>
      </c>
      <c r="D323" s="60">
        <f>5.3479 * CHOOSE(CONTROL!$C$21, $C$12, 100%, $E$12)</f>
        <v>5.3479000000000001</v>
      </c>
      <c r="E323" s="61">
        <f>6.1176 * CHOOSE(CONTROL!$C$21, $C$12, 100%, $E$12)</f>
        <v>6.1176000000000004</v>
      </c>
      <c r="F323" s="61">
        <f>6.1176 * CHOOSE(CONTROL!$C$21, $C$12, 100%, $E$12)</f>
        <v>6.1176000000000004</v>
      </c>
      <c r="G323" s="61">
        <f>6.119 * CHOOSE(CONTROL!$C$21, $C$12, 100%, $E$12)</f>
        <v>6.1189999999999998</v>
      </c>
      <c r="H323" s="61">
        <f>10.8571* CHOOSE(CONTROL!$C$21, $C$12, 100%, $E$12)</f>
        <v>10.857100000000001</v>
      </c>
      <c r="I323" s="61">
        <f>10.8584 * CHOOSE(CONTROL!$C$21, $C$12, 100%, $E$12)</f>
        <v>10.8584</v>
      </c>
      <c r="J323" s="61">
        <f>6.1176 * CHOOSE(CONTROL!$C$21, $C$12, 100%, $E$12)</f>
        <v>6.1176000000000004</v>
      </c>
      <c r="K323" s="61">
        <f>6.119 * CHOOSE(CONTROL!$C$21, $C$12, 100%, $E$12)</f>
        <v>6.1189999999999998</v>
      </c>
    </row>
    <row r="324" spans="1:11" ht="15">
      <c r="A324" s="13">
        <v>51745</v>
      </c>
      <c r="B324" s="60">
        <f>5.3237 * CHOOSE(CONTROL!$C$21, $C$12, 100%, $E$12)</f>
        <v>5.3236999999999997</v>
      </c>
      <c r="C324" s="60">
        <f>5.3237 * CHOOSE(CONTROL!$C$21, $C$12, 100%, $E$12)</f>
        <v>5.3236999999999997</v>
      </c>
      <c r="D324" s="60">
        <f>5.3448 * CHOOSE(CONTROL!$C$21, $C$12, 100%, $E$12)</f>
        <v>5.3448000000000002</v>
      </c>
      <c r="E324" s="61">
        <f>6.1085 * CHOOSE(CONTROL!$C$21, $C$12, 100%, $E$12)</f>
        <v>6.1085000000000003</v>
      </c>
      <c r="F324" s="61">
        <f>6.1085 * CHOOSE(CONTROL!$C$21, $C$12, 100%, $E$12)</f>
        <v>6.1085000000000003</v>
      </c>
      <c r="G324" s="61">
        <f>6.1099 * CHOOSE(CONTROL!$C$21, $C$12, 100%, $E$12)</f>
        <v>6.1098999999999997</v>
      </c>
      <c r="H324" s="61">
        <f>10.8797* CHOOSE(CONTROL!$C$21, $C$12, 100%, $E$12)</f>
        <v>10.8797</v>
      </c>
      <c r="I324" s="61">
        <f>10.881 * CHOOSE(CONTROL!$C$21, $C$12, 100%, $E$12)</f>
        <v>10.881</v>
      </c>
      <c r="J324" s="61">
        <f>6.1085 * CHOOSE(CONTROL!$C$21, $C$12, 100%, $E$12)</f>
        <v>6.1085000000000003</v>
      </c>
      <c r="K324" s="61">
        <f>6.1099 * CHOOSE(CONTROL!$C$21, $C$12, 100%, $E$12)</f>
        <v>6.1098999999999997</v>
      </c>
    </row>
    <row r="325" spans="1:11" ht="15">
      <c r="A325" s="13">
        <v>51775</v>
      </c>
      <c r="B325" s="60">
        <f>5.3234 * CHOOSE(CONTROL!$C$21, $C$12, 100%, $E$12)</f>
        <v>5.3234000000000004</v>
      </c>
      <c r="C325" s="60">
        <f>5.3234 * CHOOSE(CONTROL!$C$21, $C$12, 100%, $E$12)</f>
        <v>5.3234000000000004</v>
      </c>
      <c r="D325" s="60">
        <f>5.334 * CHOOSE(CONTROL!$C$21, $C$12, 100%, $E$12)</f>
        <v>5.3339999999999996</v>
      </c>
      <c r="E325" s="61">
        <f>6.1229 * CHOOSE(CONTROL!$C$21, $C$12, 100%, $E$12)</f>
        <v>6.1228999999999996</v>
      </c>
      <c r="F325" s="61">
        <f>6.1229 * CHOOSE(CONTROL!$C$21, $C$12, 100%, $E$12)</f>
        <v>6.1228999999999996</v>
      </c>
      <c r="G325" s="61">
        <f>6.1231 * CHOOSE(CONTROL!$C$21, $C$12, 100%, $E$12)</f>
        <v>6.1231</v>
      </c>
      <c r="H325" s="61">
        <f>10.9023* CHOOSE(CONTROL!$C$21, $C$12, 100%, $E$12)</f>
        <v>10.9023</v>
      </c>
      <c r="I325" s="61">
        <f>10.9025 * CHOOSE(CONTROL!$C$21, $C$12, 100%, $E$12)</f>
        <v>10.9025</v>
      </c>
      <c r="J325" s="61">
        <f>6.1229 * CHOOSE(CONTROL!$C$21, $C$12, 100%, $E$12)</f>
        <v>6.1228999999999996</v>
      </c>
      <c r="K325" s="61">
        <f>6.1231 * CHOOSE(CONTROL!$C$21, $C$12, 100%, $E$12)</f>
        <v>6.1231</v>
      </c>
    </row>
    <row r="326" spans="1:11" ht="15">
      <c r="A326" s="13">
        <v>51806</v>
      </c>
      <c r="B326" s="60">
        <f>5.3265 * CHOOSE(CONTROL!$C$21, $C$12, 100%, $E$12)</f>
        <v>5.3265000000000002</v>
      </c>
      <c r="C326" s="60">
        <f>5.3265 * CHOOSE(CONTROL!$C$21, $C$12, 100%, $E$12)</f>
        <v>5.3265000000000002</v>
      </c>
      <c r="D326" s="60">
        <f>5.3371 * CHOOSE(CONTROL!$C$21, $C$12, 100%, $E$12)</f>
        <v>5.3371000000000004</v>
      </c>
      <c r="E326" s="61">
        <f>6.1389 * CHOOSE(CONTROL!$C$21, $C$12, 100%, $E$12)</f>
        <v>6.1388999999999996</v>
      </c>
      <c r="F326" s="61">
        <f>6.1389 * CHOOSE(CONTROL!$C$21, $C$12, 100%, $E$12)</f>
        <v>6.1388999999999996</v>
      </c>
      <c r="G326" s="61">
        <f>6.1391 * CHOOSE(CONTROL!$C$21, $C$12, 100%, $E$12)</f>
        <v>6.1391</v>
      </c>
      <c r="H326" s="61">
        <f>10.9251* CHOOSE(CONTROL!$C$21, $C$12, 100%, $E$12)</f>
        <v>10.9251</v>
      </c>
      <c r="I326" s="61">
        <f>10.9252 * CHOOSE(CONTROL!$C$21, $C$12, 100%, $E$12)</f>
        <v>10.9252</v>
      </c>
      <c r="J326" s="61">
        <f>6.1389 * CHOOSE(CONTROL!$C$21, $C$12, 100%, $E$12)</f>
        <v>6.1388999999999996</v>
      </c>
      <c r="K326" s="61">
        <f>6.1391 * CHOOSE(CONTROL!$C$21, $C$12, 100%, $E$12)</f>
        <v>6.1391</v>
      </c>
    </row>
    <row r="327" spans="1:11" ht="15">
      <c r="A327" s="13">
        <v>51836</v>
      </c>
      <c r="B327" s="60">
        <f>5.3265 * CHOOSE(CONTROL!$C$21, $C$12, 100%, $E$12)</f>
        <v>5.3265000000000002</v>
      </c>
      <c r="C327" s="60">
        <f>5.3265 * CHOOSE(CONTROL!$C$21, $C$12, 100%, $E$12)</f>
        <v>5.3265000000000002</v>
      </c>
      <c r="D327" s="60">
        <f>5.3371 * CHOOSE(CONTROL!$C$21, $C$12, 100%, $E$12)</f>
        <v>5.3371000000000004</v>
      </c>
      <c r="E327" s="61">
        <f>6.1042 * CHOOSE(CONTROL!$C$21, $C$12, 100%, $E$12)</f>
        <v>6.1041999999999996</v>
      </c>
      <c r="F327" s="61">
        <f>6.1042 * CHOOSE(CONTROL!$C$21, $C$12, 100%, $E$12)</f>
        <v>6.1041999999999996</v>
      </c>
      <c r="G327" s="61">
        <f>6.1044 * CHOOSE(CONTROL!$C$21, $C$12, 100%, $E$12)</f>
        <v>6.1044</v>
      </c>
      <c r="H327" s="61">
        <f>10.9478* CHOOSE(CONTROL!$C$21, $C$12, 100%, $E$12)</f>
        <v>10.947800000000001</v>
      </c>
      <c r="I327" s="61">
        <f>10.948 * CHOOSE(CONTROL!$C$21, $C$12, 100%, $E$12)</f>
        <v>10.948</v>
      </c>
      <c r="J327" s="61">
        <f>6.1042 * CHOOSE(CONTROL!$C$21, $C$12, 100%, $E$12)</f>
        <v>6.1041999999999996</v>
      </c>
      <c r="K327" s="61">
        <f>6.1044 * CHOOSE(CONTROL!$C$21, $C$12, 100%, $E$12)</f>
        <v>6.1044</v>
      </c>
    </row>
    <row r="328" spans="1:11" ht="15">
      <c r="A328" s="13">
        <v>51867</v>
      </c>
      <c r="B328" s="60">
        <f>5.375 * CHOOSE(CONTROL!$C$21, $C$12, 100%, $E$12)</f>
        <v>5.375</v>
      </c>
      <c r="C328" s="60">
        <f>5.375 * CHOOSE(CONTROL!$C$21, $C$12, 100%, $E$12)</f>
        <v>5.375</v>
      </c>
      <c r="D328" s="60">
        <f>5.3856 * CHOOSE(CONTROL!$C$21, $C$12, 100%, $E$12)</f>
        <v>5.3856000000000002</v>
      </c>
      <c r="E328" s="61">
        <f>6.1849 * CHOOSE(CONTROL!$C$21, $C$12, 100%, $E$12)</f>
        <v>6.1848999999999998</v>
      </c>
      <c r="F328" s="61">
        <f>6.1849 * CHOOSE(CONTROL!$C$21, $C$12, 100%, $E$12)</f>
        <v>6.1848999999999998</v>
      </c>
      <c r="G328" s="61">
        <f>6.1851 * CHOOSE(CONTROL!$C$21, $C$12, 100%, $E$12)</f>
        <v>6.1851000000000003</v>
      </c>
      <c r="H328" s="61">
        <f>10.9706* CHOOSE(CONTROL!$C$21, $C$12, 100%, $E$12)</f>
        <v>10.970599999999999</v>
      </c>
      <c r="I328" s="61">
        <f>10.9708 * CHOOSE(CONTROL!$C$21, $C$12, 100%, $E$12)</f>
        <v>10.970800000000001</v>
      </c>
      <c r="J328" s="61">
        <f>6.1849 * CHOOSE(CONTROL!$C$21, $C$12, 100%, $E$12)</f>
        <v>6.1848999999999998</v>
      </c>
      <c r="K328" s="61">
        <f>6.1851 * CHOOSE(CONTROL!$C$21, $C$12, 100%, $E$12)</f>
        <v>6.1851000000000003</v>
      </c>
    </row>
    <row r="329" spans="1:11" ht="15">
      <c r="A329" s="13">
        <v>51898</v>
      </c>
      <c r="B329" s="60">
        <f>5.372 * CHOOSE(CONTROL!$C$21, $C$12, 100%, $E$12)</f>
        <v>5.3719999999999999</v>
      </c>
      <c r="C329" s="60">
        <f>5.372 * CHOOSE(CONTROL!$C$21, $C$12, 100%, $E$12)</f>
        <v>5.3719999999999999</v>
      </c>
      <c r="D329" s="60">
        <f>5.3826 * CHOOSE(CONTROL!$C$21, $C$12, 100%, $E$12)</f>
        <v>5.3826000000000001</v>
      </c>
      <c r="E329" s="61">
        <f>6.1153 * CHOOSE(CONTROL!$C$21, $C$12, 100%, $E$12)</f>
        <v>6.1153000000000004</v>
      </c>
      <c r="F329" s="61">
        <f>6.1153 * CHOOSE(CONTROL!$C$21, $C$12, 100%, $E$12)</f>
        <v>6.1153000000000004</v>
      </c>
      <c r="G329" s="61">
        <f>6.1154 * CHOOSE(CONTROL!$C$21, $C$12, 100%, $E$12)</f>
        <v>6.1154000000000002</v>
      </c>
      <c r="H329" s="61">
        <f>10.9935* CHOOSE(CONTROL!$C$21, $C$12, 100%, $E$12)</f>
        <v>10.993499999999999</v>
      </c>
      <c r="I329" s="61">
        <f>10.9937 * CHOOSE(CONTROL!$C$21, $C$12, 100%, $E$12)</f>
        <v>10.9937</v>
      </c>
      <c r="J329" s="61">
        <f>6.1153 * CHOOSE(CONTROL!$C$21, $C$12, 100%, $E$12)</f>
        <v>6.1153000000000004</v>
      </c>
      <c r="K329" s="61">
        <f>6.1154 * CHOOSE(CONTROL!$C$21, $C$12, 100%, $E$12)</f>
        <v>6.1154000000000002</v>
      </c>
    </row>
    <row r="330" spans="1:11" ht="15">
      <c r="A330" s="13">
        <v>51926</v>
      </c>
      <c r="B330" s="60">
        <f>5.369 * CHOOSE(CONTROL!$C$21, $C$12, 100%, $E$12)</f>
        <v>5.3689999999999998</v>
      </c>
      <c r="C330" s="60">
        <f>5.369 * CHOOSE(CONTROL!$C$21, $C$12, 100%, $E$12)</f>
        <v>5.3689999999999998</v>
      </c>
      <c r="D330" s="60">
        <f>5.3795 * CHOOSE(CONTROL!$C$21, $C$12, 100%, $E$12)</f>
        <v>5.3795000000000002</v>
      </c>
      <c r="E330" s="61">
        <f>6.1664 * CHOOSE(CONTROL!$C$21, $C$12, 100%, $E$12)</f>
        <v>6.1664000000000003</v>
      </c>
      <c r="F330" s="61">
        <f>6.1664 * CHOOSE(CONTROL!$C$21, $C$12, 100%, $E$12)</f>
        <v>6.1664000000000003</v>
      </c>
      <c r="G330" s="61">
        <f>6.1665 * CHOOSE(CONTROL!$C$21, $C$12, 100%, $E$12)</f>
        <v>6.1665000000000001</v>
      </c>
      <c r="H330" s="61">
        <f>11.0164* CHOOSE(CONTROL!$C$21, $C$12, 100%, $E$12)</f>
        <v>11.016400000000001</v>
      </c>
      <c r="I330" s="61">
        <f>11.0166 * CHOOSE(CONTROL!$C$21, $C$12, 100%, $E$12)</f>
        <v>11.0166</v>
      </c>
      <c r="J330" s="61">
        <f>6.1664 * CHOOSE(CONTROL!$C$21, $C$12, 100%, $E$12)</f>
        <v>6.1664000000000003</v>
      </c>
      <c r="K330" s="61">
        <f>6.1665 * CHOOSE(CONTROL!$C$21, $C$12, 100%, $E$12)</f>
        <v>6.1665000000000001</v>
      </c>
    </row>
    <row r="331" spans="1:11" ht="15">
      <c r="A331" s="13">
        <v>51957</v>
      </c>
      <c r="B331" s="60">
        <f>5.3679 * CHOOSE(CONTROL!$C$21, $C$12, 100%, $E$12)</f>
        <v>5.3678999999999997</v>
      </c>
      <c r="C331" s="60">
        <f>5.3679 * CHOOSE(CONTROL!$C$21, $C$12, 100%, $E$12)</f>
        <v>5.3678999999999997</v>
      </c>
      <c r="D331" s="60">
        <f>5.3784 * CHOOSE(CONTROL!$C$21, $C$12, 100%, $E$12)</f>
        <v>5.3784000000000001</v>
      </c>
      <c r="E331" s="61">
        <f>6.2193 * CHOOSE(CONTROL!$C$21, $C$12, 100%, $E$12)</f>
        <v>6.2192999999999996</v>
      </c>
      <c r="F331" s="61">
        <f>6.2193 * CHOOSE(CONTROL!$C$21, $C$12, 100%, $E$12)</f>
        <v>6.2192999999999996</v>
      </c>
      <c r="G331" s="61">
        <f>6.2195 * CHOOSE(CONTROL!$C$21, $C$12, 100%, $E$12)</f>
        <v>6.2195</v>
      </c>
      <c r="H331" s="61">
        <f>11.0393* CHOOSE(CONTROL!$C$21, $C$12, 100%, $E$12)</f>
        <v>11.039300000000001</v>
      </c>
      <c r="I331" s="61">
        <f>11.0395 * CHOOSE(CONTROL!$C$21, $C$12, 100%, $E$12)</f>
        <v>11.0395</v>
      </c>
      <c r="J331" s="61">
        <f>6.2193 * CHOOSE(CONTROL!$C$21, $C$12, 100%, $E$12)</f>
        <v>6.2192999999999996</v>
      </c>
      <c r="K331" s="61">
        <f>6.2195 * CHOOSE(CONTROL!$C$21, $C$12, 100%, $E$12)</f>
        <v>6.2195</v>
      </c>
    </row>
    <row r="332" spans="1:11" ht="15">
      <c r="A332" s="13">
        <v>51987</v>
      </c>
      <c r="B332" s="60">
        <f>5.3679 * CHOOSE(CONTROL!$C$21, $C$12, 100%, $E$12)</f>
        <v>5.3678999999999997</v>
      </c>
      <c r="C332" s="60">
        <f>5.3679 * CHOOSE(CONTROL!$C$21, $C$12, 100%, $E$12)</f>
        <v>5.3678999999999997</v>
      </c>
      <c r="D332" s="60">
        <f>5.389 * CHOOSE(CONTROL!$C$21, $C$12, 100%, $E$12)</f>
        <v>5.3890000000000002</v>
      </c>
      <c r="E332" s="61">
        <f>6.2407 * CHOOSE(CONTROL!$C$21, $C$12, 100%, $E$12)</f>
        <v>6.2407000000000004</v>
      </c>
      <c r="F332" s="61">
        <f>6.2407 * CHOOSE(CONTROL!$C$21, $C$12, 100%, $E$12)</f>
        <v>6.2407000000000004</v>
      </c>
      <c r="G332" s="61">
        <f>6.2421 * CHOOSE(CONTROL!$C$21, $C$12, 100%, $E$12)</f>
        <v>6.2420999999999998</v>
      </c>
      <c r="H332" s="61">
        <f>11.0623* CHOOSE(CONTROL!$C$21, $C$12, 100%, $E$12)</f>
        <v>11.0623</v>
      </c>
      <c r="I332" s="61">
        <f>11.0637 * CHOOSE(CONTROL!$C$21, $C$12, 100%, $E$12)</f>
        <v>11.063700000000001</v>
      </c>
      <c r="J332" s="61">
        <f>6.2407 * CHOOSE(CONTROL!$C$21, $C$12, 100%, $E$12)</f>
        <v>6.2407000000000004</v>
      </c>
      <c r="K332" s="61">
        <f>6.2421 * CHOOSE(CONTROL!$C$21, $C$12, 100%, $E$12)</f>
        <v>6.2420999999999998</v>
      </c>
    </row>
    <row r="333" spans="1:11" ht="15">
      <c r="A333" s="13">
        <v>52018</v>
      </c>
      <c r="B333" s="60">
        <f>5.3739 * CHOOSE(CONTROL!$C$21, $C$12, 100%, $E$12)</f>
        <v>5.3738999999999999</v>
      </c>
      <c r="C333" s="60">
        <f>5.3739 * CHOOSE(CONTROL!$C$21, $C$12, 100%, $E$12)</f>
        <v>5.3738999999999999</v>
      </c>
      <c r="D333" s="60">
        <f>5.3951 * CHOOSE(CONTROL!$C$21, $C$12, 100%, $E$12)</f>
        <v>5.3951000000000002</v>
      </c>
      <c r="E333" s="61">
        <f>6.2235 * CHOOSE(CONTROL!$C$21, $C$12, 100%, $E$12)</f>
        <v>6.2234999999999996</v>
      </c>
      <c r="F333" s="61">
        <f>6.2235 * CHOOSE(CONTROL!$C$21, $C$12, 100%, $E$12)</f>
        <v>6.2234999999999996</v>
      </c>
      <c r="G333" s="61">
        <f>6.2249 * CHOOSE(CONTROL!$C$21, $C$12, 100%, $E$12)</f>
        <v>6.2248999999999999</v>
      </c>
      <c r="H333" s="61">
        <f>11.0854* CHOOSE(CONTROL!$C$21, $C$12, 100%, $E$12)</f>
        <v>11.0854</v>
      </c>
      <c r="I333" s="61">
        <f>11.0868 * CHOOSE(CONTROL!$C$21, $C$12, 100%, $E$12)</f>
        <v>11.0868</v>
      </c>
      <c r="J333" s="61">
        <f>6.2235 * CHOOSE(CONTROL!$C$21, $C$12, 100%, $E$12)</f>
        <v>6.2234999999999996</v>
      </c>
      <c r="K333" s="61">
        <f>6.2249 * CHOOSE(CONTROL!$C$21, $C$12, 100%, $E$12)</f>
        <v>6.2248999999999999</v>
      </c>
    </row>
    <row r="334" spans="1:11" ht="15">
      <c r="A334" s="13">
        <v>52048</v>
      </c>
      <c r="B334" s="60">
        <f>5.4644 * CHOOSE(CONTROL!$C$21, $C$12, 100%, $E$12)</f>
        <v>5.4644000000000004</v>
      </c>
      <c r="C334" s="60">
        <f>5.4644 * CHOOSE(CONTROL!$C$21, $C$12, 100%, $E$12)</f>
        <v>5.4644000000000004</v>
      </c>
      <c r="D334" s="60">
        <f>5.4855 * CHOOSE(CONTROL!$C$21, $C$12, 100%, $E$12)</f>
        <v>5.4855</v>
      </c>
      <c r="E334" s="61">
        <f>6.3483 * CHOOSE(CONTROL!$C$21, $C$12, 100%, $E$12)</f>
        <v>6.3483000000000001</v>
      </c>
      <c r="F334" s="61">
        <f>6.3483 * CHOOSE(CONTROL!$C$21, $C$12, 100%, $E$12)</f>
        <v>6.3483000000000001</v>
      </c>
      <c r="G334" s="61">
        <f>6.3497 * CHOOSE(CONTROL!$C$21, $C$12, 100%, $E$12)</f>
        <v>6.3497000000000003</v>
      </c>
      <c r="H334" s="61">
        <f>11.1085* CHOOSE(CONTROL!$C$21, $C$12, 100%, $E$12)</f>
        <v>11.108499999999999</v>
      </c>
      <c r="I334" s="61">
        <f>11.1098 * CHOOSE(CONTROL!$C$21, $C$12, 100%, $E$12)</f>
        <v>11.1098</v>
      </c>
      <c r="J334" s="61">
        <f>6.3483 * CHOOSE(CONTROL!$C$21, $C$12, 100%, $E$12)</f>
        <v>6.3483000000000001</v>
      </c>
      <c r="K334" s="61">
        <f>6.3497 * CHOOSE(CONTROL!$C$21, $C$12, 100%, $E$12)</f>
        <v>6.3497000000000003</v>
      </c>
    </row>
    <row r="335" spans="1:11" ht="15">
      <c r="A335" s="13">
        <v>52079</v>
      </c>
      <c r="B335" s="60">
        <f>5.4711 * CHOOSE(CONTROL!$C$21, $C$12, 100%, $E$12)</f>
        <v>5.4710999999999999</v>
      </c>
      <c r="C335" s="60">
        <f>5.4711 * CHOOSE(CONTROL!$C$21, $C$12, 100%, $E$12)</f>
        <v>5.4710999999999999</v>
      </c>
      <c r="D335" s="60">
        <f>5.4922 * CHOOSE(CONTROL!$C$21, $C$12, 100%, $E$12)</f>
        <v>5.4922000000000004</v>
      </c>
      <c r="E335" s="61">
        <f>6.2886 * CHOOSE(CONTROL!$C$21, $C$12, 100%, $E$12)</f>
        <v>6.2885999999999997</v>
      </c>
      <c r="F335" s="61">
        <f>6.2886 * CHOOSE(CONTROL!$C$21, $C$12, 100%, $E$12)</f>
        <v>6.2885999999999997</v>
      </c>
      <c r="G335" s="61">
        <f>6.29 * CHOOSE(CONTROL!$C$21, $C$12, 100%, $E$12)</f>
        <v>6.29</v>
      </c>
      <c r="H335" s="61">
        <f>11.1316* CHOOSE(CONTROL!$C$21, $C$12, 100%, $E$12)</f>
        <v>11.131600000000001</v>
      </c>
      <c r="I335" s="61">
        <f>11.133 * CHOOSE(CONTROL!$C$21, $C$12, 100%, $E$12)</f>
        <v>11.132999999999999</v>
      </c>
      <c r="J335" s="61">
        <f>6.2886 * CHOOSE(CONTROL!$C$21, $C$12, 100%, $E$12)</f>
        <v>6.2885999999999997</v>
      </c>
      <c r="K335" s="61">
        <f>6.29 * CHOOSE(CONTROL!$C$21, $C$12, 100%, $E$12)</f>
        <v>6.29</v>
      </c>
    </row>
    <row r="336" spans="1:11" ht="15">
      <c r="A336" s="13">
        <v>52110</v>
      </c>
      <c r="B336" s="60">
        <f>5.468 * CHOOSE(CONTROL!$C$21, $C$12, 100%, $E$12)</f>
        <v>5.468</v>
      </c>
      <c r="C336" s="60">
        <f>5.468 * CHOOSE(CONTROL!$C$21, $C$12, 100%, $E$12)</f>
        <v>5.468</v>
      </c>
      <c r="D336" s="60">
        <f>5.4891 * CHOOSE(CONTROL!$C$21, $C$12, 100%, $E$12)</f>
        <v>5.4890999999999996</v>
      </c>
      <c r="E336" s="61">
        <f>6.2794 * CHOOSE(CONTROL!$C$21, $C$12, 100%, $E$12)</f>
        <v>6.2793999999999999</v>
      </c>
      <c r="F336" s="61">
        <f>6.2794 * CHOOSE(CONTROL!$C$21, $C$12, 100%, $E$12)</f>
        <v>6.2793999999999999</v>
      </c>
      <c r="G336" s="61">
        <f>6.2808 * CHOOSE(CONTROL!$C$21, $C$12, 100%, $E$12)</f>
        <v>6.2808000000000002</v>
      </c>
      <c r="H336" s="61">
        <f>11.1548* CHOOSE(CONTROL!$C$21, $C$12, 100%, $E$12)</f>
        <v>11.1548</v>
      </c>
      <c r="I336" s="61">
        <f>11.1562 * CHOOSE(CONTROL!$C$21, $C$12, 100%, $E$12)</f>
        <v>11.1562</v>
      </c>
      <c r="J336" s="61">
        <f>6.2794 * CHOOSE(CONTROL!$C$21, $C$12, 100%, $E$12)</f>
        <v>6.2793999999999999</v>
      </c>
      <c r="K336" s="61">
        <f>6.2808 * CHOOSE(CONTROL!$C$21, $C$12, 100%, $E$12)</f>
        <v>6.2808000000000002</v>
      </c>
    </row>
    <row r="337" spans="1:11" ht="15">
      <c r="A337" s="13">
        <v>52140</v>
      </c>
      <c r="B337" s="60">
        <f>5.4682 * CHOOSE(CONTROL!$C$21, $C$12, 100%, $E$12)</f>
        <v>5.4682000000000004</v>
      </c>
      <c r="C337" s="60">
        <f>5.4682 * CHOOSE(CONTROL!$C$21, $C$12, 100%, $E$12)</f>
        <v>5.4682000000000004</v>
      </c>
      <c r="D337" s="60">
        <f>5.4788 * CHOOSE(CONTROL!$C$21, $C$12, 100%, $E$12)</f>
        <v>5.4787999999999997</v>
      </c>
      <c r="E337" s="61">
        <f>6.2945 * CHOOSE(CONTROL!$C$21, $C$12, 100%, $E$12)</f>
        <v>6.2945000000000002</v>
      </c>
      <c r="F337" s="61">
        <f>6.2945 * CHOOSE(CONTROL!$C$21, $C$12, 100%, $E$12)</f>
        <v>6.2945000000000002</v>
      </c>
      <c r="G337" s="61">
        <f>6.2947 * CHOOSE(CONTROL!$C$21, $C$12, 100%, $E$12)</f>
        <v>6.2946999999999997</v>
      </c>
      <c r="H337" s="61">
        <f>11.178* CHOOSE(CONTROL!$C$21, $C$12, 100%, $E$12)</f>
        <v>11.178000000000001</v>
      </c>
      <c r="I337" s="61">
        <f>11.1782 * CHOOSE(CONTROL!$C$21, $C$12, 100%, $E$12)</f>
        <v>11.1782</v>
      </c>
      <c r="J337" s="61">
        <f>6.2945 * CHOOSE(CONTROL!$C$21, $C$12, 100%, $E$12)</f>
        <v>6.2945000000000002</v>
      </c>
      <c r="K337" s="61">
        <f>6.2947 * CHOOSE(CONTROL!$C$21, $C$12, 100%, $E$12)</f>
        <v>6.2946999999999997</v>
      </c>
    </row>
    <row r="338" spans="1:11" ht="15">
      <c r="A338" s="13">
        <v>52171</v>
      </c>
      <c r="B338" s="60">
        <f>5.4713 * CHOOSE(CONTROL!$C$21, $C$12, 100%, $E$12)</f>
        <v>5.4713000000000003</v>
      </c>
      <c r="C338" s="60">
        <f>5.4713 * CHOOSE(CONTROL!$C$21, $C$12, 100%, $E$12)</f>
        <v>5.4713000000000003</v>
      </c>
      <c r="D338" s="60">
        <f>5.4818 * CHOOSE(CONTROL!$C$21, $C$12, 100%, $E$12)</f>
        <v>5.4817999999999998</v>
      </c>
      <c r="E338" s="61">
        <f>6.311 * CHOOSE(CONTROL!$C$21, $C$12, 100%, $E$12)</f>
        <v>6.3109999999999999</v>
      </c>
      <c r="F338" s="61">
        <f>6.311 * CHOOSE(CONTROL!$C$21, $C$12, 100%, $E$12)</f>
        <v>6.3109999999999999</v>
      </c>
      <c r="G338" s="61">
        <f>6.3111 * CHOOSE(CONTROL!$C$21, $C$12, 100%, $E$12)</f>
        <v>6.3110999999999997</v>
      </c>
      <c r="H338" s="61">
        <f>11.2013* CHOOSE(CONTROL!$C$21, $C$12, 100%, $E$12)</f>
        <v>11.2013</v>
      </c>
      <c r="I338" s="61">
        <f>11.2015 * CHOOSE(CONTROL!$C$21, $C$12, 100%, $E$12)</f>
        <v>11.201499999999999</v>
      </c>
      <c r="J338" s="61">
        <f>6.311 * CHOOSE(CONTROL!$C$21, $C$12, 100%, $E$12)</f>
        <v>6.3109999999999999</v>
      </c>
      <c r="K338" s="61">
        <f>6.3111 * CHOOSE(CONTROL!$C$21, $C$12, 100%, $E$12)</f>
        <v>6.3110999999999997</v>
      </c>
    </row>
    <row r="339" spans="1:11" ht="15">
      <c r="A339" s="13">
        <v>52201</v>
      </c>
      <c r="B339" s="60">
        <f>5.4713 * CHOOSE(CONTROL!$C$21, $C$12, 100%, $E$12)</f>
        <v>5.4713000000000003</v>
      </c>
      <c r="C339" s="60">
        <f>5.4713 * CHOOSE(CONTROL!$C$21, $C$12, 100%, $E$12)</f>
        <v>5.4713000000000003</v>
      </c>
      <c r="D339" s="60">
        <f>5.4818 * CHOOSE(CONTROL!$C$21, $C$12, 100%, $E$12)</f>
        <v>5.4817999999999998</v>
      </c>
      <c r="E339" s="61">
        <f>6.2752 * CHOOSE(CONTROL!$C$21, $C$12, 100%, $E$12)</f>
        <v>6.2751999999999999</v>
      </c>
      <c r="F339" s="61">
        <f>6.2752 * CHOOSE(CONTROL!$C$21, $C$12, 100%, $E$12)</f>
        <v>6.2751999999999999</v>
      </c>
      <c r="G339" s="61">
        <f>6.2754 * CHOOSE(CONTROL!$C$21, $C$12, 100%, $E$12)</f>
        <v>6.2754000000000003</v>
      </c>
      <c r="H339" s="61">
        <f>11.2247* CHOOSE(CONTROL!$C$21, $C$12, 100%, $E$12)</f>
        <v>11.2247</v>
      </c>
      <c r="I339" s="61">
        <f>11.2248 * CHOOSE(CONTROL!$C$21, $C$12, 100%, $E$12)</f>
        <v>11.2248</v>
      </c>
      <c r="J339" s="61">
        <f>6.2752 * CHOOSE(CONTROL!$C$21, $C$12, 100%, $E$12)</f>
        <v>6.2751999999999999</v>
      </c>
      <c r="K339" s="61">
        <f>6.2754 * CHOOSE(CONTROL!$C$21, $C$12, 100%, $E$12)</f>
        <v>6.2754000000000003</v>
      </c>
    </row>
    <row r="340" spans="1:11" ht="15">
      <c r="A340" s="13">
        <v>52232</v>
      </c>
      <c r="B340" s="60">
        <f>5.5212 * CHOOSE(CONTROL!$C$21, $C$12, 100%, $E$12)</f>
        <v>5.5212000000000003</v>
      </c>
      <c r="C340" s="60">
        <f>5.5212 * CHOOSE(CONTROL!$C$21, $C$12, 100%, $E$12)</f>
        <v>5.5212000000000003</v>
      </c>
      <c r="D340" s="60">
        <f>5.5318 * CHOOSE(CONTROL!$C$21, $C$12, 100%, $E$12)</f>
        <v>5.5317999999999996</v>
      </c>
      <c r="E340" s="61">
        <f>6.358 * CHOOSE(CONTROL!$C$21, $C$12, 100%, $E$12)</f>
        <v>6.3579999999999997</v>
      </c>
      <c r="F340" s="61">
        <f>6.358 * CHOOSE(CONTROL!$C$21, $C$12, 100%, $E$12)</f>
        <v>6.3579999999999997</v>
      </c>
      <c r="G340" s="61">
        <f>6.3582 * CHOOSE(CONTROL!$C$21, $C$12, 100%, $E$12)</f>
        <v>6.3582000000000001</v>
      </c>
      <c r="H340" s="61">
        <f>11.2481* CHOOSE(CONTROL!$C$21, $C$12, 100%, $E$12)</f>
        <v>11.248100000000001</v>
      </c>
      <c r="I340" s="61">
        <f>11.2482 * CHOOSE(CONTROL!$C$21, $C$12, 100%, $E$12)</f>
        <v>11.248200000000001</v>
      </c>
      <c r="J340" s="61">
        <f>6.358 * CHOOSE(CONTROL!$C$21, $C$12, 100%, $E$12)</f>
        <v>6.3579999999999997</v>
      </c>
      <c r="K340" s="61">
        <f>6.3582 * CHOOSE(CONTROL!$C$21, $C$12, 100%, $E$12)</f>
        <v>6.3582000000000001</v>
      </c>
    </row>
    <row r="341" spans="1:11" ht="15">
      <c r="A341" s="13">
        <v>52263</v>
      </c>
      <c r="B341" s="60">
        <f>5.5182 * CHOOSE(CONTROL!$C$21, $C$12, 100%, $E$12)</f>
        <v>5.5182000000000002</v>
      </c>
      <c r="C341" s="60">
        <f>5.5182 * CHOOSE(CONTROL!$C$21, $C$12, 100%, $E$12)</f>
        <v>5.5182000000000002</v>
      </c>
      <c r="D341" s="60">
        <f>5.5287 * CHOOSE(CONTROL!$C$21, $C$12, 100%, $E$12)</f>
        <v>5.5286999999999997</v>
      </c>
      <c r="E341" s="61">
        <f>6.2865 * CHOOSE(CONTROL!$C$21, $C$12, 100%, $E$12)</f>
        <v>6.2865000000000002</v>
      </c>
      <c r="F341" s="61">
        <f>6.2865 * CHOOSE(CONTROL!$C$21, $C$12, 100%, $E$12)</f>
        <v>6.2865000000000002</v>
      </c>
      <c r="G341" s="61">
        <f>6.2867 * CHOOSE(CONTROL!$C$21, $C$12, 100%, $E$12)</f>
        <v>6.2866999999999997</v>
      </c>
      <c r="H341" s="61">
        <f>11.2715* CHOOSE(CONTROL!$C$21, $C$12, 100%, $E$12)</f>
        <v>11.2715</v>
      </c>
      <c r="I341" s="61">
        <f>11.2717 * CHOOSE(CONTROL!$C$21, $C$12, 100%, $E$12)</f>
        <v>11.271699999999999</v>
      </c>
      <c r="J341" s="61">
        <f>6.2865 * CHOOSE(CONTROL!$C$21, $C$12, 100%, $E$12)</f>
        <v>6.2865000000000002</v>
      </c>
      <c r="K341" s="61">
        <f>6.2867 * CHOOSE(CONTROL!$C$21, $C$12, 100%, $E$12)</f>
        <v>6.2866999999999997</v>
      </c>
    </row>
    <row r="342" spans="1:11" ht="15">
      <c r="A342" s="13">
        <v>52291</v>
      </c>
      <c r="B342" s="60">
        <f>5.5151 * CHOOSE(CONTROL!$C$21, $C$12, 100%, $E$12)</f>
        <v>5.5151000000000003</v>
      </c>
      <c r="C342" s="60">
        <f>5.5151 * CHOOSE(CONTROL!$C$21, $C$12, 100%, $E$12)</f>
        <v>5.5151000000000003</v>
      </c>
      <c r="D342" s="60">
        <f>5.5257 * CHOOSE(CONTROL!$C$21, $C$12, 100%, $E$12)</f>
        <v>5.5256999999999996</v>
      </c>
      <c r="E342" s="61">
        <f>6.3391 * CHOOSE(CONTROL!$C$21, $C$12, 100%, $E$12)</f>
        <v>6.3391000000000002</v>
      </c>
      <c r="F342" s="61">
        <f>6.3391 * CHOOSE(CONTROL!$C$21, $C$12, 100%, $E$12)</f>
        <v>6.3391000000000002</v>
      </c>
      <c r="G342" s="61">
        <f>6.3393 * CHOOSE(CONTROL!$C$21, $C$12, 100%, $E$12)</f>
        <v>6.3392999999999997</v>
      </c>
      <c r="H342" s="61">
        <f>11.295* CHOOSE(CONTROL!$C$21, $C$12, 100%, $E$12)</f>
        <v>11.295</v>
      </c>
      <c r="I342" s="61">
        <f>11.2951 * CHOOSE(CONTROL!$C$21, $C$12, 100%, $E$12)</f>
        <v>11.2951</v>
      </c>
      <c r="J342" s="61">
        <f>6.3391 * CHOOSE(CONTROL!$C$21, $C$12, 100%, $E$12)</f>
        <v>6.3391000000000002</v>
      </c>
      <c r="K342" s="61">
        <f>6.3393 * CHOOSE(CONTROL!$C$21, $C$12, 100%, $E$12)</f>
        <v>6.3392999999999997</v>
      </c>
    </row>
    <row r="343" spans="1:11" ht="15">
      <c r="A343" s="13">
        <v>52322</v>
      </c>
      <c r="B343" s="60">
        <f>5.5142 * CHOOSE(CONTROL!$C$21, $C$12, 100%, $E$12)</f>
        <v>5.5141999999999998</v>
      </c>
      <c r="C343" s="60">
        <f>5.5142 * CHOOSE(CONTROL!$C$21, $C$12, 100%, $E$12)</f>
        <v>5.5141999999999998</v>
      </c>
      <c r="D343" s="60">
        <f>5.5247 * CHOOSE(CONTROL!$C$21, $C$12, 100%, $E$12)</f>
        <v>5.5247000000000002</v>
      </c>
      <c r="E343" s="61">
        <f>6.3936 * CHOOSE(CONTROL!$C$21, $C$12, 100%, $E$12)</f>
        <v>6.3936000000000002</v>
      </c>
      <c r="F343" s="61">
        <f>6.3936 * CHOOSE(CONTROL!$C$21, $C$12, 100%, $E$12)</f>
        <v>6.3936000000000002</v>
      </c>
      <c r="G343" s="61">
        <f>6.3938 * CHOOSE(CONTROL!$C$21, $C$12, 100%, $E$12)</f>
        <v>6.3937999999999997</v>
      </c>
      <c r="H343" s="61">
        <f>11.3185* CHOOSE(CONTROL!$C$21, $C$12, 100%, $E$12)</f>
        <v>11.3185</v>
      </c>
      <c r="I343" s="61">
        <f>11.3187 * CHOOSE(CONTROL!$C$21, $C$12, 100%, $E$12)</f>
        <v>11.3187</v>
      </c>
      <c r="J343" s="61">
        <f>6.3936 * CHOOSE(CONTROL!$C$21, $C$12, 100%, $E$12)</f>
        <v>6.3936000000000002</v>
      </c>
      <c r="K343" s="61">
        <f>6.3938 * CHOOSE(CONTROL!$C$21, $C$12, 100%, $E$12)</f>
        <v>6.3937999999999997</v>
      </c>
    </row>
    <row r="344" spans="1:11" ht="15">
      <c r="A344" s="13">
        <v>52352</v>
      </c>
      <c r="B344" s="60">
        <f>5.5142 * CHOOSE(CONTROL!$C$21, $C$12, 100%, $E$12)</f>
        <v>5.5141999999999998</v>
      </c>
      <c r="C344" s="60">
        <f>5.5142 * CHOOSE(CONTROL!$C$21, $C$12, 100%, $E$12)</f>
        <v>5.5141999999999998</v>
      </c>
      <c r="D344" s="60">
        <f>5.5353 * CHOOSE(CONTROL!$C$21, $C$12, 100%, $E$12)</f>
        <v>5.5353000000000003</v>
      </c>
      <c r="E344" s="61">
        <f>6.4157 * CHOOSE(CONTROL!$C$21, $C$12, 100%, $E$12)</f>
        <v>6.4157000000000002</v>
      </c>
      <c r="F344" s="61">
        <f>6.4157 * CHOOSE(CONTROL!$C$21, $C$12, 100%, $E$12)</f>
        <v>6.4157000000000002</v>
      </c>
      <c r="G344" s="61">
        <f>6.417 * CHOOSE(CONTROL!$C$21, $C$12, 100%, $E$12)</f>
        <v>6.4169999999999998</v>
      </c>
      <c r="H344" s="61">
        <f>11.3421* CHOOSE(CONTROL!$C$21, $C$12, 100%, $E$12)</f>
        <v>11.3421</v>
      </c>
      <c r="I344" s="61">
        <f>11.3435 * CHOOSE(CONTROL!$C$21, $C$12, 100%, $E$12)</f>
        <v>11.343500000000001</v>
      </c>
      <c r="J344" s="61">
        <f>6.4157 * CHOOSE(CONTROL!$C$21, $C$12, 100%, $E$12)</f>
        <v>6.4157000000000002</v>
      </c>
      <c r="K344" s="61">
        <f>6.417 * CHOOSE(CONTROL!$C$21, $C$12, 100%, $E$12)</f>
        <v>6.4169999999999998</v>
      </c>
    </row>
    <row r="345" spans="1:11" ht="15">
      <c r="A345" s="13">
        <v>52383</v>
      </c>
      <c r="B345" s="60">
        <f>5.5202 * CHOOSE(CONTROL!$C$21, $C$12, 100%, $E$12)</f>
        <v>5.5202</v>
      </c>
      <c r="C345" s="60">
        <f>5.5202 * CHOOSE(CONTROL!$C$21, $C$12, 100%, $E$12)</f>
        <v>5.5202</v>
      </c>
      <c r="D345" s="60">
        <f>5.5414 * CHOOSE(CONTROL!$C$21, $C$12, 100%, $E$12)</f>
        <v>5.5414000000000003</v>
      </c>
      <c r="E345" s="61">
        <f>6.3979 * CHOOSE(CONTROL!$C$21, $C$12, 100%, $E$12)</f>
        <v>6.3978999999999999</v>
      </c>
      <c r="F345" s="61">
        <f>6.3979 * CHOOSE(CONTROL!$C$21, $C$12, 100%, $E$12)</f>
        <v>6.3978999999999999</v>
      </c>
      <c r="G345" s="61">
        <f>6.3992 * CHOOSE(CONTROL!$C$21, $C$12, 100%, $E$12)</f>
        <v>6.3992000000000004</v>
      </c>
      <c r="H345" s="61">
        <f>11.3657* CHOOSE(CONTROL!$C$21, $C$12, 100%, $E$12)</f>
        <v>11.3657</v>
      </c>
      <c r="I345" s="61">
        <f>11.3671 * CHOOSE(CONTROL!$C$21, $C$12, 100%, $E$12)</f>
        <v>11.367100000000001</v>
      </c>
      <c r="J345" s="61">
        <f>6.3979 * CHOOSE(CONTROL!$C$21, $C$12, 100%, $E$12)</f>
        <v>6.3978999999999999</v>
      </c>
      <c r="K345" s="61">
        <f>6.3992 * CHOOSE(CONTROL!$C$21, $C$12, 100%, $E$12)</f>
        <v>6.3992000000000004</v>
      </c>
    </row>
    <row r="346" spans="1:11" ht="15">
      <c r="A346" s="13">
        <v>52413</v>
      </c>
      <c r="B346" s="60">
        <f>5.6132 * CHOOSE(CONTROL!$C$21, $C$12, 100%, $E$12)</f>
        <v>5.6132</v>
      </c>
      <c r="C346" s="60">
        <f>5.6132 * CHOOSE(CONTROL!$C$21, $C$12, 100%, $E$12)</f>
        <v>5.6132</v>
      </c>
      <c r="D346" s="60">
        <f>5.6343 * CHOOSE(CONTROL!$C$21, $C$12, 100%, $E$12)</f>
        <v>5.6342999999999996</v>
      </c>
      <c r="E346" s="61">
        <f>6.5257 * CHOOSE(CONTROL!$C$21, $C$12, 100%, $E$12)</f>
        <v>6.5256999999999996</v>
      </c>
      <c r="F346" s="61">
        <f>6.5257 * CHOOSE(CONTROL!$C$21, $C$12, 100%, $E$12)</f>
        <v>6.5256999999999996</v>
      </c>
      <c r="G346" s="61">
        <f>6.5271 * CHOOSE(CONTROL!$C$21, $C$12, 100%, $E$12)</f>
        <v>6.5270999999999999</v>
      </c>
      <c r="H346" s="61">
        <f>11.3894* CHOOSE(CONTROL!$C$21, $C$12, 100%, $E$12)</f>
        <v>11.3894</v>
      </c>
      <c r="I346" s="61">
        <f>11.3908 * CHOOSE(CONTROL!$C$21, $C$12, 100%, $E$12)</f>
        <v>11.3908</v>
      </c>
      <c r="J346" s="61">
        <f>6.5257 * CHOOSE(CONTROL!$C$21, $C$12, 100%, $E$12)</f>
        <v>6.5256999999999996</v>
      </c>
      <c r="K346" s="61">
        <f>6.5271 * CHOOSE(CONTROL!$C$21, $C$12, 100%, $E$12)</f>
        <v>6.5270999999999999</v>
      </c>
    </row>
    <row r="347" spans="1:11" ht="15">
      <c r="A347" s="13">
        <v>52444</v>
      </c>
      <c r="B347" s="60">
        <f>5.6199 * CHOOSE(CONTROL!$C$21, $C$12, 100%, $E$12)</f>
        <v>5.6199000000000003</v>
      </c>
      <c r="C347" s="60">
        <f>5.6199 * CHOOSE(CONTROL!$C$21, $C$12, 100%, $E$12)</f>
        <v>5.6199000000000003</v>
      </c>
      <c r="D347" s="60">
        <f>5.641 * CHOOSE(CONTROL!$C$21, $C$12, 100%, $E$12)</f>
        <v>5.641</v>
      </c>
      <c r="E347" s="61">
        <f>6.4643 * CHOOSE(CONTROL!$C$21, $C$12, 100%, $E$12)</f>
        <v>6.4642999999999997</v>
      </c>
      <c r="F347" s="61">
        <f>6.4643 * CHOOSE(CONTROL!$C$21, $C$12, 100%, $E$12)</f>
        <v>6.4642999999999997</v>
      </c>
      <c r="G347" s="61">
        <f>6.4656 * CHOOSE(CONTROL!$C$21, $C$12, 100%, $E$12)</f>
        <v>6.4656000000000002</v>
      </c>
      <c r="H347" s="61">
        <f>11.4131* CHOOSE(CONTROL!$C$21, $C$12, 100%, $E$12)</f>
        <v>11.4131</v>
      </c>
      <c r="I347" s="61">
        <f>11.4145 * CHOOSE(CONTROL!$C$21, $C$12, 100%, $E$12)</f>
        <v>11.4145</v>
      </c>
      <c r="J347" s="61">
        <f>6.4643 * CHOOSE(CONTROL!$C$21, $C$12, 100%, $E$12)</f>
        <v>6.4642999999999997</v>
      </c>
      <c r="K347" s="61">
        <f>6.4656 * CHOOSE(CONTROL!$C$21, $C$12, 100%, $E$12)</f>
        <v>6.4656000000000002</v>
      </c>
    </row>
    <row r="348" spans="1:11" ht="15">
      <c r="A348" s="13">
        <v>52475</v>
      </c>
      <c r="B348" s="60">
        <f>5.6168 * CHOOSE(CONTROL!$C$21, $C$12, 100%, $E$12)</f>
        <v>5.6167999999999996</v>
      </c>
      <c r="C348" s="60">
        <f>5.6168 * CHOOSE(CONTROL!$C$21, $C$12, 100%, $E$12)</f>
        <v>5.6167999999999996</v>
      </c>
      <c r="D348" s="60">
        <f>5.638 * CHOOSE(CONTROL!$C$21, $C$12, 100%, $E$12)</f>
        <v>5.6379999999999999</v>
      </c>
      <c r="E348" s="61">
        <f>6.4548 * CHOOSE(CONTROL!$C$21, $C$12, 100%, $E$12)</f>
        <v>6.4547999999999996</v>
      </c>
      <c r="F348" s="61">
        <f>6.4548 * CHOOSE(CONTROL!$C$21, $C$12, 100%, $E$12)</f>
        <v>6.4547999999999996</v>
      </c>
      <c r="G348" s="61">
        <f>6.4562 * CHOOSE(CONTROL!$C$21, $C$12, 100%, $E$12)</f>
        <v>6.4561999999999999</v>
      </c>
      <c r="H348" s="61">
        <f>11.4369* CHOOSE(CONTROL!$C$21, $C$12, 100%, $E$12)</f>
        <v>11.4369</v>
      </c>
      <c r="I348" s="61">
        <f>11.4383 * CHOOSE(CONTROL!$C$21, $C$12, 100%, $E$12)</f>
        <v>11.4383</v>
      </c>
      <c r="J348" s="61">
        <f>6.4548 * CHOOSE(CONTROL!$C$21, $C$12, 100%, $E$12)</f>
        <v>6.4547999999999996</v>
      </c>
      <c r="K348" s="61">
        <f>6.4562 * CHOOSE(CONTROL!$C$21, $C$12, 100%, $E$12)</f>
        <v>6.4561999999999999</v>
      </c>
    </row>
    <row r="349" spans="1:11" ht="15">
      <c r="A349" s="13">
        <v>52505</v>
      </c>
      <c r="B349" s="60">
        <f>5.6175 * CHOOSE(CONTROL!$C$21, $C$12, 100%, $E$12)</f>
        <v>5.6174999999999997</v>
      </c>
      <c r="C349" s="60">
        <f>5.6175 * CHOOSE(CONTROL!$C$21, $C$12, 100%, $E$12)</f>
        <v>5.6174999999999997</v>
      </c>
      <c r="D349" s="60">
        <f>5.6281 * CHOOSE(CONTROL!$C$21, $C$12, 100%, $E$12)</f>
        <v>5.6280999999999999</v>
      </c>
      <c r="E349" s="61">
        <f>6.4708 * CHOOSE(CONTROL!$C$21, $C$12, 100%, $E$12)</f>
        <v>6.4707999999999997</v>
      </c>
      <c r="F349" s="61">
        <f>6.4708 * CHOOSE(CONTROL!$C$21, $C$12, 100%, $E$12)</f>
        <v>6.4707999999999997</v>
      </c>
      <c r="G349" s="61">
        <f>6.4709 * CHOOSE(CONTROL!$C$21, $C$12, 100%, $E$12)</f>
        <v>6.4709000000000003</v>
      </c>
      <c r="H349" s="61">
        <f>11.4607* CHOOSE(CONTROL!$C$21, $C$12, 100%, $E$12)</f>
        <v>11.460699999999999</v>
      </c>
      <c r="I349" s="61">
        <f>11.4609 * CHOOSE(CONTROL!$C$21, $C$12, 100%, $E$12)</f>
        <v>11.460900000000001</v>
      </c>
      <c r="J349" s="61">
        <f>6.4708 * CHOOSE(CONTROL!$C$21, $C$12, 100%, $E$12)</f>
        <v>6.4707999999999997</v>
      </c>
      <c r="K349" s="61">
        <f>6.4709 * CHOOSE(CONTROL!$C$21, $C$12, 100%, $E$12)</f>
        <v>6.4709000000000003</v>
      </c>
    </row>
    <row r="350" spans="1:11" ht="15">
      <c r="A350" s="13">
        <v>52536</v>
      </c>
      <c r="B350" s="60">
        <f>5.6206 * CHOOSE(CONTROL!$C$21, $C$12, 100%, $E$12)</f>
        <v>5.6205999999999996</v>
      </c>
      <c r="C350" s="60">
        <f>5.6206 * CHOOSE(CONTROL!$C$21, $C$12, 100%, $E$12)</f>
        <v>5.6205999999999996</v>
      </c>
      <c r="D350" s="60">
        <f>5.6311 * CHOOSE(CONTROL!$C$21, $C$12, 100%, $E$12)</f>
        <v>5.6311</v>
      </c>
      <c r="E350" s="61">
        <f>6.4876 * CHOOSE(CONTROL!$C$21, $C$12, 100%, $E$12)</f>
        <v>6.4875999999999996</v>
      </c>
      <c r="F350" s="61">
        <f>6.4876 * CHOOSE(CONTROL!$C$21, $C$12, 100%, $E$12)</f>
        <v>6.4875999999999996</v>
      </c>
      <c r="G350" s="61">
        <f>6.4877 * CHOOSE(CONTROL!$C$21, $C$12, 100%, $E$12)</f>
        <v>6.4877000000000002</v>
      </c>
      <c r="H350" s="61">
        <f>11.4846* CHOOSE(CONTROL!$C$21, $C$12, 100%, $E$12)</f>
        <v>11.4846</v>
      </c>
      <c r="I350" s="61">
        <f>11.4848 * CHOOSE(CONTROL!$C$21, $C$12, 100%, $E$12)</f>
        <v>11.4848</v>
      </c>
      <c r="J350" s="61">
        <f>6.4876 * CHOOSE(CONTROL!$C$21, $C$12, 100%, $E$12)</f>
        <v>6.4875999999999996</v>
      </c>
      <c r="K350" s="61">
        <f>6.4877 * CHOOSE(CONTROL!$C$21, $C$12, 100%, $E$12)</f>
        <v>6.4877000000000002</v>
      </c>
    </row>
    <row r="351" spans="1:11" ht="15">
      <c r="A351" s="13">
        <v>52566</v>
      </c>
      <c r="B351" s="60">
        <f>5.6206 * CHOOSE(CONTROL!$C$21, $C$12, 100%, $E$12)</f>
        <v>5.6205999999999996</v>
      </c>
      <c r="C351" s="60">
        <f>5.6206 * CHOOSE(CONTROL!$C$21, $C$12, 100%, $E$12)</f>
        <v>5.6205999999999996</v>
      </c>
      <c r="D351" s="60">
        <f>5.6311 * CHOOSE(CONTROL!$C$21, $C$12, 100%, $E$12)</f>
        <v>5.6311</v>
      </c>
      <c r="E351" s="61">
        <f>6.4508 * CHOOSE(CONTROL!$C$21, $C$12, 100%, $E$12)</f>
        <v>6.4508000000000001</v>
      </c>
      <c r="F351" s="61">
        <f>6.4508 * CHOOSE(CONTROL!$C$21, $C$12, 100%, $E$12)</f>
        <v>6.4508000000000001</v>
      </c>
      <c r="G351" s="61">
        <f>6.451 * CHOOSE(CONTROL!$C$21, $C$12, 100%, $E$12)</f>
        <v>6.4509999999999996</v>
      </c>
      <c r="H351" s="61">
        <f>11.5085* CHOOSE(CONTROL!$C$21, $C$12, 100%, $E$12)</f>
        <v>11.5085</v>
      </c>
      <c r="I351" s="61">
        <f>11.5087 * CHOOSE(CONTROL!$C$21, $C$12, 100%, $E$12)</f>
        <v>11.508699999999999</v>
      </c>
      <c r="J351" s="61">
        <f>6.4508 * CHOOSE(CONTROL!$C$21, $C$12, 100%, $E$12)</f>
        <v>6.4508000000000001</v>
      </c>
      <c r="K351" s="61">
        <f>6.451 * CHOOSE(CONTROL!$C$21, $C$12, 100%, $E$12)</f>
        <v>6.4509999999999996</v>
      </c>
    </row>
    <row r="352" spans="1:11" ht="15">
      <c r="A352" s="13">
        <v>52597</v>
      </c>
      <c r="B352" s="60">
        <f>5.6717 * CHOOSE(CONTROL!$C$21, $C$12, 100%, $E$12)</f>
        <v>5.6717000000000004</v>
      </c>
      <c r="C352" s="60">
        <f>5.6717 * CHOOSE(CONTROL!$C$21, $C$12, 100%, $E$12)</f>
        <v>5.6717000000000004</v>
      </c>
      <c r="D352" s="60">
        <f>5.6822 * CHOOSE(CONTROL!$C$21, $C$12, 100%, $E$12)</f>
        <v>5.6821999999999999</v>
      </c>
      <c r="E352" s="61">
        <f>6.5359 * CHOOSE(CONTROL!$C$21, $C$12, 100%, $E$12)</f>
        <v>6.5358999999999998</v>
      </c>
      <c r="F352" s="61">
        <f>6.5359 * CHOOSE(CONTROL!$C$21, $C$12, 100%, $E$12)</f>
        <v>6.5358999999999998</v>
      </c>
      <c r="G352" s="61">
        <f>6.5361 * CHOOSE(CONTROL!$C$21, $C$12, 100%, $E$12)</f>
        <v>6.5361000000000002</v>
      </c>
      <c r="H352" s="61">
        <f>11.5325* CHOOSE(CONTROL!$C$21, $C$12, 100%, $E$12)</f>
        <v>11.532500000000001</v>
      </c>
      <c r="I352" s="61">
        <f>11.5327 * CHOOSE(CONTROL!$C$21, $C$12, 100%, $E$12)</f>
        <v>11.5327</v>
      </c>
      <c r="J352" s="61">
        <f>6.5359 * CHOOSE(CONTROL!$C$21, $C$12, 100%, $E$12)</f>
        <v>6.5358999999999998</v>
      </c>
      <c r="K352" s="61">
        <f>6.5361 * CHOOSE(CONTROL!$C$21, $C$12, 100%, $E$12)</f>
        <v>6.5361000000000002</v>
      </c>
    </row>
    <row r="353" spans="1:11" ht="15">
      <c r="A353" s="13">
        <v>52628</v>
      </c>
      <c r="B353" s="60">
        <f>5.6686 * CHOOSE(CONTROL!$C$21, $C$12, 100%, $E$12)</f>
        <v>5.6685999999999996</v>
      </c>
      <c r="C353" s="60">
        <f>5.6686 * CHOOSE(CONTROL!$C$21, $C$12, 100%, $E$12)</f>
        <v>5.6685999999999996</v>
      </c>
      <c r="D353" s="60">
        <f>5.6792 * CHOOSE(CONTROL!$C$21, $C$12, 100%, $E$12)</f>
        <v>5.6791999999999998</v>
      </c>
      <c r="E353" s="61">
        <f>6.4624 * CHOOSE(CONTROL!$C$21, $C$12, 100%, $E$12)</f>
        <v>6.4623999999999997</v>
      </c>
      <c r="F353" s="61">
        <f>6.4624 * CHOOSE(CONTROL!$C$21, $C$12, 100%, $E$12)</f>
        <v>6.4623999999999997</v>
      </c>
      <c r="G353" s="61">
        <f>6.4626 * CHOOSE(CONTROL!$C$21, $C$12, 100%, $E$12)</f>
        <v>6.4626000000000001</v>
      </c>
      <c r="H353" s="61">
        <f>11.5565* CHOOSE(CONTROL!$C$21, $C$12, 100%, $E$12)</f>
        <v>11.5565</v>
      </c>
      <c r="I353" s="61">
        <f>11.5567 * CHOOSE(CONTROL!$C$21, $C$12, 100%, $E$12)</f>
        <v>11.556699999999999</v>
      </c>
      <c r="J353" s="61">
        <f>6.4624 * CHOOSE(CONTROL!$C$21, $C$12, 100%, $E$12)</f>
        <v>6.4623999999999997</v>
      </c>
      <c r="K353" s="61">
        <f>6.4626 * CHOOSE(CONTROL!$C$21, $C$12, 100%, $E$12)</f>
        <v>6.4626000000000001</v>
      </c>
    </row>
    <row r="354" spans="1:11" ht="15">
      <c r="A354" s="13">
        <v>52657</v>
      </c>
      <c r="B354" s="60">
        <f>5.6656 * CHOOSE(CONTROL!$C$21, $C$12, 100%, $E$12)</f>
        <v>5.6656000000000004</v>
      </c>
      <c r="C354" s="60">
        <f>5.6656 * CHOOSE(CONTROL!$C$21, $C$12, 100%, $E$12)</f>
        <v>5.6656000000000004</v>
      </c>
      <c r="D354" s="60">
        <f>5.6762 * CHOOSE(CONTROL!$C$21, $C$12, 100%, $E$12)</f>
        <v>5.6761999999999997</v>
      </c>
      <c r="E354" s="61">
        <f>6.5166 * CHOOSE(CONTROL!$C$21, $C$12, 100%, $E$12)</f>
        <v>6.5166000000000004</v>
      </c>
      <c r="F354" s="61">
        <f>6.5166 * CHOOSE(CONTROL!$C$21, $C$12, 100%, $E$12)</f>
        <v>6.5166000000000004</v>
      </c>
      <c r="G354" s="61">
        <f>6.5167 * CHOOSE(CONTROL!$C$21, $C$12, 100%, $E$12)</f>
        <v>6.5167000000000002</v>
      </c>
      <c r="H354" s="61">
        <f>11.5806* CHOOSE(CONTROL!$C$21, $C$12, 100%, $E$12)</f>
        <v>11.5806</v>
      </c>
      <c r="I354" s="61">
        <f>11.5808 * CHOOSE(CONTROL!$C$21, $C$12, 100%, $E$12)</f>
        <v>11.5808</v>
      </c>
      <c r="J354" s="61">
        <f>6.5166 * CHOOSE(CONTROL!$C$21, $C$12, 100%, $E$12)</f>
        <v>6.5166000000000004</v>
      </c>
      <c r="K354" s="61">
        <f>6.5167 * CHOOSE(CONTROL!$C$21, $C$12, 100%, $E$12)</f>
        <v>6.5167000000000002</v>
      </c>
    </row>
    <row r="355" spans="1:11" ht="15">
      <c r="A355" s="13">
        <v>52688</v>
      </c>
      <c r="B355" s="60">
        <f>5.6648 * CHOOSE(CONTROL!$C$21, $C$12, 100%, $E$12)</f>
        <v>5.6647999999999996</v>
      </c>
      <c r="C355" s="60">
        <f>5.6648 * CHOOSE(CONTROL!$C$21, $C$12, 100%, $E$12)</f>
        <v>5.6647999999999996</v>
      </c>
      <c r="D355" s="60">
        <f>5.6753 * CHOOSE(CONTROL!$C$21, $C$12, 100%, $E$12)</f>
        <v>5.6753</v>
      </c>
      <c r="E355" s="61">
        <f>6.5727 * CHOOSE(CONTROL!$C$21, $C$12, 100%, $E$12)</f>
        <v>6.5727000000000002</v>
      </c>
      <c r="F355" s="61">
        <f>6.5727 * CHOOSE(CONTROL!$C$21, $C$12, 100%, $E$12)</f>
        <v>6.5727000000000002</v>
      </c>
      <c r="G355" s="61">
        <f>6.5729 * CHOOSE(CONTROL!$C$21, $C$12, 100%, $E$12)</f>
        <v>6.5728999999999997</v>
      </c>
      <c r="H355" s="61">
        <f>11.6047* CHOOSE(CONTROL!$C$21, $C$12, 100%, $E$12)</f>
        <v>11.604699999999999</v>
      </c>
      <c r="I355" s="61">
        <f>11.6049 * CHOOSE(CONTROL!$C$21, $C$12, 100%, $E$12)</f>
        <v>11.604900000000001</v>
      </c>
      <c r="J355" s="61">
        <f>6.5727 * CHOOSE(CONTROL!$C$21, $C$12, 100%, $E$12)</f>
        <v>6.5727000000000002</v>
      </c>
      <c r="K355" s="61">
        <f>6.5729 * CHOOSE(CONTROL!$C$21, $C$12, 100%, $E$12)</f>
        <v>6.5728999999999997</v>
      </c>
    </row>
    <row r="356" spans="1:11" ht="15">
      <c r="A356" s="13">
        <v>52718</v>
      </c>
      <c r="B356" s="60">
        <f>5.6648 * CHOOSE(CONTROL!$C$21, $C$12, 100%, $E$12)</f>
        <v>5.6647999999999996</v>
      </c>
      <c r="C356" s="60">
        <f>5.6648 * CHOOSE(CONTROL!$C$21, $C$12, 100%, $E$12)</f>
        <v>5.6647999999999996</v>
      </c>
      <c r="D356" s="60">
        <f>5.6859 * CHOOSE(CONTROL!$C$21, $C$12, 100%, $E$12)</f>
        <v>5.6859000000000002</v>
      </c>
      <c r="E356" s="61">
        <f>6.5954 * CHOOSE(CONTROL!$C$21, $C$12, 100%, $E$12)</f>
        <v>6.5953999999999997</v>
      </c>
      <c r="F356" s="61">
        <f>6.5954 * CHOOSE(CONTROL!$C$21, $C$12, 100%, $E$12)</f>
        <v>6.5953999999999997</v>
      </c>
      <c r="G356" s="61">
        <f>6.5968 * CHOOSE(CONTROL!$C$21, $C$12, 100%, $E$12)</f>
        <v>6.5968</v>
      </c>
      <c r="H356" s="61">
        <f>11.6289* CHOOSE(CONTROL!$C$21, $C$12, 100%, $E$12)</f>
        <v>11.6289</v>
      </c>
      <c r="I356" s="61">
        <f>11.6303 * CHOOSE(CONTROL!$C$21, $C$12, 100%, $E$12)</f>
        <v>11.6303</v>
      </c>
      <c r="J356" s="61">
        <f>6.5954 * CHOOSE(CONTROL!$C$21, $C$12, 100%, $E$12)</f>
        <v>6.5953999999999997</v>
      </c>
      <c r="K356" s="61">
        <f>6.5968 * CHOOSE(CONTROL!$C$21, $C$12, 100%, $E$12)</f>
        <v>6.5968</v>
      </c>
    </row>
    <row r="357" spans="1:11" ht="15">
      <c r="A357" s="13">
        <v>52749</v>
      </c>
      <c r="B357" s="60">
        <f>5.6708 * CHOOSE(CONTROL!$C$21, $C$12, 100%, $E$12)</f>
        <v>5.6707999999999998</v>
      </c>
      <c r="C357" s="60">
        <f>5.6708 * CHOOSE(CONTROL!$C$21, $C$12, 100%, $E$12)</f>
        <v>5.6707999999999998</v>
      </c>
      <c r="D357" s="60">
        <f>5.692 * CHOOSE(CONTROL!$C$21, $C$12, 100%, $E$12)</f>
        <v>5.6920000000000002</v>
      </c>
      <c r="E357" s="61">
        <f>6.577 * CHOOSE(CONTROL!$C$21, $C$12, 100%, $E$12)</f>
        <v>6.577</v>
      </c>
      <c r="F357" s="61">
        <f>6.577 * CHOOSE(CONTROL!$C$21, $C$12, 100%, $E$12)</f>
        <v>6.577</v>
      </c>
      <c r="G357" s="61">
        <f>6.5784 * CHOOSE(CONTROL!$C$21, $C$12, 100%, $E$12)</f>
        <v>6.5784000000000002</v>
      </c>
      <c r="H357" s="61">
        <f>11.6531* CHOOSE(CONTROL!$C$21, $C$12, 100%, $E$12)</f>
        <v>11.6531</v>
      </c>
      <c r="I357" s="61">
        <f>11.6545 * CHOOSE(CONTROL!$C$21, $C$12, 100%, $E$12)</f>
        <v>11.654500000000001</v>
      </c>
      <c r="J357" s="61">
        <f>6.577 * CHOOSE(CONTROL!$C$21, $C$12, 100%, $E$12)</f>
        <v>6.577</v>
      </c>
      <c r="K357" s="61">
        <f>6.5784 * CHOOSE(CONTROL!$C$21, $C$12, 100%, $E$12)</f>
        <v>6.5784000000000002</v>
      </c>
    </row>
    <row r="358" spans="1:11" ht="15">
      <c r="A358" s="13">
        <v>52779</v>
      </c>
      <c r="B358" s="60">
        <f>5.7658 * CHOOSE(CONTROL!$C$21, $C$12, 100%, $E$12)</f>
        <v>5.7657999999999996</v>
      </c>
      <c r="C358" s="60">
        <f>5.7658 * CHOOSE(CONTROL!$C$21, $C$12, 100%, $E$12)</f>
        <v>5.7657999999999996</v>
      </c>
      <c r="D358" s="60">
        <f>5.7869 * CHOOSE(CONTROL!$C$21, $C$12, 100%, $E$12)</f>
        <v>5.7869000000000002</v>
      </c>
      <c r="E358" s="61">
        <f>6.7082 * CHOOSE(CONTROL!$C$21, $C$12, 100%, $E$12)</f>
        <v>6.7081999999999997</v>
      </c>
      <c r="F358" s="61">
        <f>6.7082 * CHOOSE(CONTROL!$C$21, $C$12, 100%, $E$12)</f>
        <v>6.7081999999999997</v>
      </c>
      <c r="G358" s="61">
        <f>6.7096 * CHOOSE(CONTROL!$C$21, $C$12, 100%, $E$12)</f>
        <v>6.7096</v>
      </c>
      <c r="H358" s="61">
        <f>11.6774* CHOOSE(CONTROL!$C$21, $C$12, 100%, $E$12)</f>
        <v>11.6774</v>
      </c>
      <c r="I358" s="61">
        <f>11.6788 * CHOOSE(CONTROL!$C$21, $C$12, 100%, $E$12)</f>
        <v>11.678800000000001</v>
      </c>
      <c r="J358" s="61">
        <f>6.7082 * CHOOSE(CONTROL!$C$21, $C$12, 100%, $E$12)</f>
        <v>6.7081999999999997</v>
      </c>
      <c r="K358" s="61">
        <f>6.7096 * CHOOSE(CONTROL!$C$21, $C$12, 100%, $E$12)</f>
        <v>6.7096</v>
      </c>
    </row>
    <row r="359" spans="1:11" ht="15">
      <c r="A359" s="13">
        <v>52810</v>
      </c>
      <c r="B359" s="60">
        <f>5.7725 * CHOOSE(CONTROL!$C$21, $C$12, 100%, $E$12)</f>
        <v>5.7725</v>
      </c>
      <c r="C359" s="60">
        <f>5.7725 * CHOOSE(CONTROL!$C$21, $C$12, 100%, $E$12)</f>
        <v>5.7725</v>
      </c>
      <c r="D359" s="60">
        <f>5.7936 * CHOOSE(CONTROL!$C$21, $C$12, 100%, $E$12)</f>
        <v>5.7935999999999996</v>
      </c>
      <c r="E359" s="61">
        <f>6.6449 * CHOOSE(CONTROL!$C$21, $C$12, 100%, $E$12)</f>
        <v>6.6448999999999998</v>
      </c>
      <c r="F359" s="61">
        <f>6.6449 * CHOOSE(CONTROL!$C$21, $C$12, 100%, $E$12)</f>
        <v>6.6448999999999998</v>
      </c>
      <c r="G359" s="61">
        <f>6.6463 * CHOOSE(CONTROL!$C$21, $C$12, 100%, $E$12)</f>
        <v>6.6463000000000001</v>
      </c>
      <c r="H359" s="61">
        <f>11.7017* CHOOSE(CONTROL!$C$21, $C$12, 100%, $E$12)</f>
        <v>11.701700000000001</v>
      </c>
      <c r="I359" s="61">
        <f>11.7031 * CHOOSE(CONTROL!$C$21, $C$12, 100%, $E$12)</f>
        <v>11.703099999999999</v>
      </c>
      <c r="J359" s="61">
        <f>6.6449 * CHOOSE(CONTROL!$C$21, $C$12, 100%, $E$12)</f>
        <v>6.6448999999999998</v>
      </c>
      <c r="K359" s="61">
        <f>6.6463 * CHOOSE(CONTROL!$C$21, $C$12, 100%, $E$12)</f>
        <v>6.6463000000000001</v>
      </c>
    </row>
    <row r="360" spans="1:11" ht="15">
      <c r="A360" s="13">
        <v>52841</v>
      </c>
      <c r="B360" s="60">
        <f>5.7695 * CHOOSE(CONTROL!$C$21, $C$12, 100%, $E$12)</f>
        <v>5.7694999999999999</v>
      </c>
      <c r="C360" s="60">
        <f>5.7695 * CHOOSE(CONTROL!$C$21, $C$12, 100%, $E$12)</f>
        <v>5.7694999999999999</v>
      </c>
      <c r="D360" s="60">
        <f>5.7906 * CHOOSE(CONTROL!$C$21, $C$12, 100%, $E$12)</f>
        <v>5.7906000000000004</v>
      </c>
      <c r="E360" s="61">
        <f>6.6352 * CHOOSE(CONTROL!$C$21, $C$12, 100%, $E$12)</f>
        <v>6.6352000000000002</v>
      </c>
      <c r="F360" s="61">
        <f>6.6352 * CHOOSE(CONTROL!$C$21, $C$12, 100%, $E$12)</f>
        <v>6.6352000000000002</v>
      </c>
      <c r="G360" s="61">
        <f>6.6366 * CHOOSE(CONTROL!$C$21, $C$12, 100%, $E$12)</f>
        <v>6.6365999999999996</v>
      </c>
      <c r="H360" s="61">
        <f>11.7261* CHOOSE(CONTROL!$C$21, $C$12, 100%, $E$12)</f>
        <v>11.726100000000001</v>
      </c>
      <c r="I360" s="61">
        <f>11.7275 * CHOOSE(CONTROL!$C$21, $C$12, 100%, $E$12)</f>
        <v>11.727499999999999</v>
      </c>
      <c r="J360" s="61">
        <f>6.6352 * CHOOSE(CONTROL!$C$21, $C$12, 100%, $E$12)</f>
        <v>6.6352000000000002</v>
      </c>
      <c r="K360" s="61">
        <f>6.6366 * CHOOSE(CONTROL!$C$21, $C$12, 100%, $E$12)</f>
        <v>6.6365999999999996</v>
      </c>
    </row>
    <row r="361" spans="1:11" ht="15">
      <c r="A361" s="13">
        <v>52871</v>
      </c>
      <c r="B361" s="60">
        <f>5.7707 * CHOOSE(CONTROL!$C$21, $C$12, 100%, $E$12)</f>
        <v>5.7706999999999997</v>
      </c>
      <c r="C361" s="60">
        <f>5.7707 * CHOOSE(CONTROL!$C$21, $C$12, 100%, $E$12)</f>
        <v>5.7706999999999997</v>
      </c>
      <c r="D361" s="60">
        <f>5.7812 * CHOOSE(CONTROL!$C$21, $C$12, 100%, $E$12)</f>
        <v>5.7812000000000001</v>
      </c>
      <c r="E361" s="61">
        <f>6.652 * CHOOSE(CONTROL!$C$21, $C$12, 100%, $E$12)</f>
        <v>6.6520000000000001</v>
      </c>
      <c r="F361" s="61">
        <f>6.652 * CHOOSE(CONTROL!$C$21, $C$12, 100%, $E$12)</f>
        <v>6.6520000000000001</v>
      </c>
      <c r="G361" s="61">
        <f>6.6522 * CHOOSE(CONTROL!$C$21, $C$12, 100%, $E$12)</f>
        <v>6.6521999999999997</v>
      </c>
      <c r="H361" s="61">
        <f>11.7505* CHOOSE(CONTROL!$C$21, $C$12, 100%, $E$12)</f>
        <v>11.750500000000001</v>
      </c>
      <c r="I361" s="61">
        <f>11.7507 * CHOOSE(CONTROL!$C$21, $C$12, 100%, $E$12)</f>
        <v>11.7507</v>
      </c>
      <c r="J361" s="61">
        <f>6.652 * CHOOSE(CONTROL!$C$21, $C$12, 100%, $E$12)</f>
        <v>6.6520000000000001</v>
      </c>
      <c r="K361" s="61">
        <f>6.6522 * CHOOSE(CONTROL!$C$21, $C$12, 100%, $E$12)</f>
        <v>6.6521999999999997</v>
      </c>
    </row>
    <row r="362" spans="1:11" ht="15">
      <c r="A362" s="13">
        <v>52902</v>
      </c>
      <c r="B362" s="60">
        <f>5.7737 * CHOOSE(CONTROL!$C$21, $C$12, 100%, $E$12)</f>
        <v>5.7736999999999998</v>
      </c>
      <c r="C362" s="60">
        <f>5.7737 * CHOOSE(CONTROL!$C$21, $C$12, 100%, $E$12)</f>
        <v>5.7736999999999998</v>
      </c>
      <c r="D362" s="60">
        <f>5.7843 * CHOOSE(CONTROL!$C$21, $C$12, 100%, $E$12)</f>
        <v>5.7843</v>
      </c>
      <c r="E362" s="61">
        <f>6.6693 * CHOOSE(CONTROL!$C$21, $C$12, 100%, $E$12)</f>
        <v>6.6692999999999998</v>
      </c>
      <c r="F362" s="61">
        <f>6.6693 * CHOOSE(CONTROL!$C$21, $C$12, 100%, $E$12)</f>
        <v>6.6692999999999998</v>
      </c>
      <c r="G362" s="61">
        <f>6.6694 * CHOOSE(CONTROL!$C$21, $C$12, 100%, $E$12)</f>
        <v>6.6694000000000004</v>
      </c>
      <c r="H362" s="61">
        <f>11.775* CHOOSE(CONTROL!$C$21, $C$12, 100%, $E$12)</f>
        <v>11.775</v>
      </c>
      <c r="I362" s="61">
        <f>11.7752 * CHOOSE(CONTROL!$C$21, $C$12, 100%, $E$12)</f>
        <v>11.7752</v>
      </c>
      <c r="J362" s="61">
        <f>6.6693 * CHOOSE(CONTROL!$C$21, $C$12, 100%, $E$12)</f>
        <v>6.6692999999999998</v>
      </c>
      <c r="K362" s="61">
        <f>6.6694 * CHOOSE(CONTROL!$C$21, $C$12, 100%, $E$12)</f>
        <v>6.6694000000000004</v>
      </c>
    </row>
    <row r="363" spans="1:11" ht="15">
      <c r="A363" s="13">
        <v>52932</v>
      </c>
      <c r="B363" s="60">
        <f>5.7737 * CHOOSE(CONTROL!$C$21, $C$12, 100%, $E$12)</f>
        <v>5.7736999999999998</v>
      </c>
      <c r="C363" s="60">
        <f>5.7737 * CHOOSE(CONTROL!$C$21, $C$12, 100%, $E$12)</f>
        <v>5.7736999999999998</v>
      </c>
      <c r="D363" s="60">
        <f>5.7843 * CHOOSE(CONTROL!$C$21, $C$12, 100%, $E$12)</f>
        <v>5.7843</v>
      </c>
      <c r="E363" s="61">
        <f>6.6315 * CHOOSE(CONTROL!$C$21, $C$12, 100%, $E$12)</f>
        <v>6.6315</v>
      </c>
      <c r="F363" s="61">
        <f>6.6315 * CHOOSE(CONTROL!$C$21, $C$12, 100%, $E$12)</f>
        <v>6.6315</v>
      </c>
      <c r="G363" s="61">
        <f>6.6317 * CHOOSE(CONTROL!$C$21, $C$12, 100%, $E$12)</f>
        <v>6.6317000000000004</v>
      </c>
      <c r="H363" s="61">
        <f>11.7996* CHOOSE(CONTROL!$C$21, $C$12, 100%, $E$12)</f>
        <v>11.7996</v>
      </c>
      <c r="I363" s="61">
        <f>11.7997 * CHOOSE(CONTROL!$C$21, $C$12, 100%, $E$12)</f>
        <v>11.7997</v>
      </c>
      <c r="J363" s="61">
        <f>6.6315 * CHOOSE(CONTROL!$C$21, $C$12, 100%, $E$12)</f>
        <v>6.6315</v>
      </c>
      <c r="K363" s="61">
        <f>6.6317 * CHOOSE(CONTROL!$C$21, $C$12, 100%, $E$12)</f>
        <v>6.6317000000000004</v>
      </c>
    </row>
    <row r="364" spans="1:11" ht="15">
      <c r="A364" s="13">
        <v>52963</v>
      </c>
      <c r="B364" s="60">
        <f>5.8261 * CHOOSE(CONTROL!$C$21, $C$12, 100%, $E$12)</f>
        <v>5.8261000000000003</v>
      </c>
      <c r="C364" s="60">
        <f>5.8261 * CHOOSE(CONTROL!$C$21, $C$12, 100%, $E$12)</f>
        <v>5.8261000000000003</v>
      </c>
      <c r="D364" s="60">
        <f>5.8367 * CHOOSE(CONTROL!$C$21, $C$12, 100%, $E$12)</f>
        <v>5.8367000000000004</v>
      </c>
      <c r="E364" s="61">
        <f>6.7188 * CHOOSE(CONTROL!$C$21, $C$12, 100%, $E$12)</f>
        <v>6.7187999999999999</v>
      </c>
      <c r="F364" s="61">
        <f>6.7188 * CHOOSE(CONTROL!$C$21, $C$12, 100%, $E$12)</f>
        <v>6.7187999999999999</v>
      </c>
      <c r="G364" s="61">
        <f>6.719 * CHOOSE(CONTROL!$C$21, $C$12, 100%, $E$12)</f>
        <v>6.7190000000000003</v>
      </c>
      <c r="H364" s="61">
        <f>11.8241* CHOOSE(CONTROL!$C$21, $C$12, 100%, $E$12)</f>
        <v>11.8241</v>
      </c>
      <c r="I364" s="61">
        <f>11.8243 * CHOOSE(CONTROL!$C$21, $C$12, 100%, $E$12)</f>
        <v>11.824299999999999</v>
      </c>
      <c r="J364" s="61">
        <f>6.7188 * CHOOSE(CONTROL!$C$21, $C$12, 100%, $E$12)</f>
        <v>6.7187999999999999</v>
      </c>
      <c r="K364" s="61">
        <f>6.719 * CHOOSE(CONTROL!$C$21, $C$12, 100%, $E$12)</f>
        <v>6.7190000000000003</v>
      </c>
    </row>
    <row r="365" spans="1:11" ht="15">
      <c r="A365" s="13">
        <v>52994</v>
      </c>
      <c r="B365" s="60">
        <f>5.8231 * CHOOSE(CONTROL!$C$21, $C$12, 100%, $E$12)</f>
        <v>5.8231000000000002</v>
      </c>
      <c r="C365" s="60">
        <f>5.8231 * CHOOSE(CONTROL!$C$21, $C$12, 100%, $E$12)</f>
        <v>5.8231000000000002</v>
      </c>
      <c r="D365" s="60">
        <f>5.8337 * CHOOSE(CONTROL!$C$21, $C$12, 100%, $E$12)</f>
        <v>5.8337000000000003</v>
      </c>
      <c r="E365" s="61">
        <f>6.6434 * CHOOSE(CONTROL!$C$21, $C$12, 100%, $E$12)</f>
        <v>6.6433999999999997</v>
      </c>
      <c r="F365" s="61">
        <f>6.6434 * CHOOSE(CONTROL!$C$21, $C$12, 100%, $E$12)</f>
        <v>6.6433999999999997</v>
      </c>
      <c r="G365" s="61">
        <f>6.6435 * CHOOSE(CONTROL!$C$21, $C$12, 100%, $E$12)</f>
        <v>6.6435000000000004</v>
      </c>
      <c r="H365" s="61">
        <f>11.8488* CHOOSE(CONTROL!$C$21, $C$12, 100%, $E$12)</f>
        <v>11.848800000000001</v>
      </c>
      <c r="I365" s="61">
        <f>11.8489 * CHOOSE(CONTROL!$C$21, $C$12, 100%, $E$12)</f>
        <v>11.8489</v>
      </c>
      <c r="J365" s="61">
        <f>6.6434 * CHOOSE(CONTROL!$C$21, $C$12, 100%, $E$12)</f>
        <v>6.6433999999999997</v>
      </c>
      <c r="K365" s="61">
        <f>6.6435 * CHOOSE(CONTROL!$C$21, $C$12, 100%, $E$12)</f>
        <v>6.6435000000000004</v>
      </c>
    </row>
    <row r="366" spans="1:11" ht="15">
      <c r="A366" s="13">
        <v>53022</v>
      </c>
      <c r="B366" s="60">
        <f>5.8201 * CHOOSE(CONTROL!$C$21, $C$12, 100%, $E$12)</f>
        <v>5.8201000000000001</v>
      </c>
      <c r="C366" s="60">
        <f>5.8201 * CHOOSE(CONTROL!$C$21, $C$12, 100%, $E$12)</f>
        <v>5.8201000000000001</v>
      </c>
      <c r="D366" s="60">
        <f>5.8306 * CHOOSE(CONTROL!$C$21, $C$12, 100%, $E$12)</f>
        <v>5.8305999999999996</v>
      </c>
      <c r="E366" s="61">
        <f>6.6991 * CHOOSE(CONTROL!$C$21, $C$12, 100%, $E$12)</f>
        <v>6.6990999999999996</v>
      </c>
      <c r="F366" s="61">
        <f>6.6991 * CHOOSE(CONTROL!$C$21, $C$12, 100%, $E$12)</f>
        <v>6.6990999999999996</v>
      </c>
      <c r="G366" s="61">
        <f>6.6992 * CHOOSE(CONTROL!$C$21, $C$12, 100%, $E$12)</f>
        <v>6.6992000000000003</v>
      </c>
      <c r="H366" s="61">
        <f>11.8735* CHOOSE(CONTROL!$C$21, $C$12, 100%, $E$12)</f>
        <v>11.8735</v>
      </c>
      <c r="I366" s="61">
        <f>11.8736 * CHOOSE(CONTROL!$C$21, $C$12, 100%, $E$12)</f>
        <v>11.8736</v>
      </c>
      <c r="J366" s="61">
        <f>6.6991 * CHOOSE(CONTROL!$C$21, $C$12, 100%, $E$12)</f>
        <v>6.6990999999999996</v>
      </c>
      <c r="K366" s="61">
        <f>6.6992 * CHOOSE(CONTROL!$C$21, $C$12, 100%, $E$12)</f>
        <v>6.6992000000000003</v>
      </c>
    </row>
    <row r="367" spans="1:11" ht="15">
      <c r="A367" s="13">
        <v>53053</v>
      </c>
      <c r="B367" s="60">
        <f>5.8194 * CHOOSE(CONTROL!$C$21, $C$12, 100%, $E$12)</f>
        <v>5.8193999999999999</v>
      </c>
      <c r="C367" s="60">
        <f>5.8194 * CHOOSE(CONTROL!$C$21, $C$12, 100%, $E$12)</f>
        <v>5.8193999999999999</v>
      </c>
      <c r="D367" s="60">
        <f>5.8299 * CHOOSE(CONTROL!$C$21, $C$12, 100%, $E$12)</f>
        <v>5.8299000000000003</v>
      </c>
      <c r="E367" s="61">
        <f>6.7569 * CHOOSE(CONTROL!$C$21, $C$12, 100%, $E$12)</f>
        <v>6.7568999999999999</v>
      </c>
      <c r="F367" s="61">
        <f>6.7569 * CHOOSE(CONTROL!$C$21, $C$12, 100%, $E$12)</f>
        <v>6.7568999999999999</v>
      </c>
      <c r="G367" s="61">
        <f>6.7571 * CHOOSE(CONTROL!$C$21, $C$12, 100%, $E$12)</f>
        <v>6.7571000000000003</v>
      </c>
      <c r="H367" s="61">
        <f>11.8982* CHOOSE(CONTROL!$C$21, $C$12, 100%, $E$12)</f>
        <v>11.898199999999999</v>
      </c>
      <c r="I367" s="61">
        <f>11.8984 * CHOOSE(CONTROL!$C$21, $C$12, 100%, $E$12)</f>
        <v>11.898400000000001</v>
      </c>
      <c r="J367" s="61">
        <f>6.7569 * CHOOSE(CONTROL!$C$21, $C$12, 100%, $E$12)</f>
        <v>6.7568999999999999</v>
      </c>
      <c r="K367" s="61">
        <f>6.7571 * CHOOSE(CONTROL!$C$21, $C$12, 100%, $E$12)</f>
        <v>6.7571000000000003</v>
      </c>
    </row>
    <row r="368" spans="1:11" ht="15">
      <c r="A368" s="13">
        <v>53083</v>
      </c>
      <c r="B368" s="60">
        <f>5.8194 * CHOOSE(CONTROL!$C$21, $C$12, 100%, $E$12)</f>
        <v>5.8193999999999999</v>
      </c>
      <c r="C368" s="60">
        <f>5.8194 * CHOOSE(CONTROL!$C$21, $C$12, 100%, $E$12)</f>
        <v>5.8193999999999999</v>
      </c>
      <c r="D368" s="60">
        <f>5.8405 * CHOOSE(CONTROL!$C$21, $C$12, 100%, $E$12)</f>
        <v>5.8404999999999996</v>
      </c>
      <c r="E368" s="61">
        <f>6.7802 * CHOOSE(CONTROL!$C$21, $C$12, 100%, $E$12)</f>
        <v>6.7801999999999998</v>
      </c>
      <c r="F368" s="61">
        <f>6.7802 * CHOOSE(CONTROL!$C$21, $C$12, 100%, $E$12)</f>
        <v>6.7801999999999998</v>
      </c>
      <c r="G368" s="61">
        <f>6.7816 * CHOOSE(CONTROL!$C$21, $C$12, 100%, $E$12)</f>
        <v>6.7816000000000001</v>
      </c>
      <c r="H368" s="61">
        <f>11.923* CHOOSE(CONTROL!$C$21, $C$12, 100%, $E$12)</f>
        <v>11.923</v>
      </c>
      <c r="I368" s="61">
        <f>11.9244 * CHOOSE(CONTROL!$C$21, $C$12, 100%, $E$12)</f>
        <v>11.9244</v>
      </c>
      <c r="J368" s="61">
        <f>6.7802 * CHOOSE(CONTROL!$C$21, $C$12, 100%, $E$12)</f>
        <v>6.7801999999999998</v>
      </c>
      <c r="K368" s="61">
        <f>6.7816 * CHOOSE(CONTROL!$C$21, $C$12, 100%, $E$12)</f>
        <v>6.7816000000000001</v>
      </c>
    </row>
    <row r="369" spans="1:11" ht="15">
      <c r="A369" s="13">
        <v>53114</v>
      </c>
      <c r="B369" s="60">
        <f>5.8254 * CHOOSE(CONTROL!$C$21, $C$12, 100%, $E$12)</f>
        <v>5.8254000000000001</v>
      </c>
      <c r="C369" s="60">
        <f>5.8254 * CHOOSE(CONTROL!$C$21, $C$12, 100%, $E$12)</f>
        <v>5.8254000000000001</v>
      </c>
      <c r="D369" s="60">
        <f>5.8466 * CHOOSE(CONTROL!$C$21, $C$12, 100%, $E$12)</f>
        <v>5.8465999999999996</v>
      </c>
      <c r="E369" s="61">
        <f>6.7612 * CHOOSE(CONTROL!$C$21, $C$12, 100%, $E$12)</f>
        <v>6.7611999999999997</v>
      </c>
      <c r="F369" s="61">
        <f>6.7612 * CHOOSE(CONTROL!$C$21, $C$12, 100%, $E$12)</f>
        <v>6.7611999999999997</v>
      </c>
      <c r="G369" s="61">
        <f>6.7626 * CHOOSE(CONTROL!$C$21, $C$12, 100%, $E$12)</f>
        <v>6.7625999999999999</v>
      </c>
      <c r="H369" s="61">
        <f>11.9478* CHOOSE(CONTROL!$C$21, $C$12, 100%, $E$12)</f>
        <v>11.947800000000001</v>
      </c>
      <c r="I369" s="61">
        <f>11.9492 * CHOOSE(CONTROL!$C$21, $C$12, 100%, $E$12)</f>
        <v>11.949199999999999</v>
      </c>
      <c r="J369" s="61">
        <f>6.7612 * CHOOSE(CONTROL!$C$21, $C$12, 100%, $E$12)</f>
        <v>6.7611999999999997</v>
      </c>
      <c r="K369" s="61">
        <f>6.7626 * CHOOSE(CONTROL!$C$21, $C$12, 100%, $E$12)</f>
        <v>6.7625999999999999</v>
      </c>
    </row>
    <row r="370" spans="1:11" ht="15">
      <c r="A370" s="13">
        <v>53144</v>
      </c>
      <c r="B370" s="60">
        <f>5.9228 * CHOOSE(CONTROL!$C$21, $C$12, 100%, $E$12)</f>
        <v>5.9227999999999996</v>
      </c>
      <c r="C370" s="60">
        <f>5.9228 * CHOOSE(CONTROL!$C$21, $C$12, 100%, $E$12)</f>
        <v>5.9227999999999996</v>
      </c>
      <c r="D370" s="60">
        <f>5.9439 * CHOOSE(CONTROL!$C$21, $C$12, 100%, $E$12)</f>
        <v>5.9439000000000002</v>
      </c>
      <c r="E370" s="61">
        <f>6.8958 * CHOOSE(CONTROL!$C$21, $C$12, 100%, $E$12)</f>
        <v>6.8958000000000004</v>
      </c>
      <c r="F370" s="61">
        <f>6.8958 * CHOOSE(CONTROL!$C$21, $C$12, 100%, $E$12)</f>
        <v>6.8958000000000004</v>
      </c>
      <c r="G370" s="61">
        <f>6.8971 * CHOOSE(CONTROL!$C$21, $C$12, 100%, $E$12)</f>
        <v>6.8971</v>
      </c>
      <c r="H370" s="61">
        <f>11.9727* CHOOSE(CONTROL!$C$21, $C$12, 100%, $E$12)</f>
        <v>11.9727</v>
      </c>
      <c r="I370" s="61">
        <f>11.9741 * CHOOSE(CONTROL!$C$21, $C$12, 100%, $E$12)</f>
        <v>11.9741</v>
      </c>
      <c r="J370" s="61">
        <f>6.8958 * CHOOSE(CONTROL!$C$21, $C$12, 100%, $E$12)</f>
        <v>6.8958000000000004</v>
      </c>
      <c r="K370" s="61">
        <f>6.8971 * CHOOSE(CONTROL!$C$21, $C$12, 100%, $E$12)</f>
        <v>6.8971</v>
      </c>
    </row>
    <row r="371" spans="1:11" ht="15">
      <c r="A371" s="13">
        <v>53175</v>
      </c>
      <c r="B371" s="60">
        <f>5.9295 * CHOOSE(CONTROL!$C$21, $C$12, 100%, $E$12)</f>
        <v>5.9295</v>
      </c>
      <c r="C371" s="60">
        <f>5.9295 * CHOOSE(CONTROL!$C$21, $C$12, 100%, $E$12)</f>
        <v>5.9295</v>
      </c>
      <c r="D371" s="60">
        <f>5.9506 * CHOOSE(CONTROL!$C$21, $C$12, 100%, $E$12)</f>
        <v>5.9505999999999997</v>
      </c>
      <c r="E371" s="61">
        <f>6.8306 * CHOOSE(CONTROL!$C$21, $C$12, 100%, $E$12)</f>
        <v>6.8305999999999996</v>
      </c>
      <c r="F371" s="61">
        <f>6.8306 * CHOOSE(CONTROL!$C$21, $C$12, 100%, $E$12)</f>
        <v>6.8305999999999996</v>
      </c>
      <c r="G371" s="61">
        <f>6.8319 * CHOOSE(CONTROL!$C$21, $C$12, 100%, $E$12)</f>
        <v>6.8319000000000001</v>
      </c>
      <c r="H371" s="61">
        <f>11.9977* CHOOSE(CONTROL!$C$21, $C$12, 100%, $E$12)</f>
        <v>11.9977</v>
      </c>
      <c r="I371" s="61">
        <f>11.999 * CHOOSE(CONTROL!$C$21, $C$12, 100%, $E$12)</f>
        <v>11.999000000000001</v>
      </c>
      <c r="J371" s="61">
        <f>6.8306 * CHOOSE(CONTROL!$C$21, $C$12, 100%, $E$12)</f>
        <v>6.8305999999999996</v>
      </c>
      <c r="K371" s="61">
        <f>6.8319 * CHOOSE(CONTROL!$C$21, $C$12, 100%, $E$12)</f>
        <v>6.8319000000000001</v>
      </c>
    </row>
    <row r="372" spans="1:11" ht="15">
      <c r="A372" s="13">
        <v>53206</v>
      </c>
      <c r="B372" s="60">
        <f>5.9264 * CHOOSE(CONTROL!$C$21, $C$12, 100%, $E$12)</f>
        <v>5.9264000000000001</v>
      </c>
      <c r="C372" s="60">
        <f>5.9264 * CHOOSE(CONTROL!$C$21, $C$12, 100%, $E$12)</f>
        <v>5.9264000000000001</v>
      </c>
      <c r="D372" s="60">
        <f>5.9476 * CHOOSE(CONTROL!$C$21, $C$12, 100%, $E$12)</f>
        <v>5.9476000000000004</v>
      </c>
      <c r="E372" s="61">
        <f>6.8207 * CHOOSE(CONTROL!$C$21, $C$12, 100%, $E$12)</f>
        <v>6.8207000000000004</v>
      </c>
      <c r="F372" s="61">
        <f>6.8207 * CHOOSE(CONTROL!$C$21, $C$12, 100%, $E$12)</f>
        <v>6.8207000000000004</v>
      </c>
      <c r="G372" s="61">
        <f>6.822 * CHOOSE(CONTROL!$C$21, $C$12, 100%, $E$12)</f>
        <v>6.8220000000000001</v>
      </c>
      <c r="H372" s="61">
        <f>12.0226* CHOOSE(CONTROL!$C$21, $C$12, 100%, $E$12)</f>
        <v>12.022600000000001</v>
      </c>
      <c r="I372" s="61">
        <f>12.024 * CHOOSE(CONTROL!$C$21, $C$12, 100%, $E$12)</f>
        <v>12.023999999999999</v>
      </c>
      <c r="J372" s="61">
        <f>6.8207 * CHOOSE(CONTROL!$C$21, $C$12, 100%, $E$12)</f>
        <v>6.8207000000000004</v>
      </c>
      <c r="K372" s="61">
        <f>6.822 * CHOOSE(CONTROL!$C$21, $C$12, 100%, $E$12)</f>
        <v>6.8220000000000001</v>
      </c>
    </row>
    <row r="373" spans="1:11" ht="15">
      <c r="A373" s="13">
        <v>53236</v>
      </c>
      <c r="B373" s="60">
        <f>5.9282 * CHOOSE(CONTROL!$C$21, $C$12, 100%, $E$12)</f>
        <v>5.9282000000000004</v>
      </c>
      <c r="C373" s="60">
        <f>5.9282 * CHOOSE(CONTROL!$C$21, $C$12, 100%, $E$12)</f>
        <v>5.9282000000000004</v>
      </c>
      <c r="D373" s="60">
        <f>5.9387 * CHOOSE(CONTROL!$C$21, $C$12, 100%, $E$12)</f>
        <v>5.9386999999999999</v>
      </c>
      <c r="E373" s="61">
        <f>6.8383 * CHOOSE(CONTROL!$C$21, $C$12, 100%, $E$12)</f>
        <v>6.8383000000000003</v>
      </c>
      <c r="F373" s="61">
        <f>6.8383 * CHOOSE(CONTROL!$C$21, $C$12, 100%, $E$12)</f>
        <v>6.8383000000000003</v>
      </c>
      <c r="G373" s="61">
        <f>6.8385 * CHOOSE(CONTROL!$C$21, $C$12, 100%, $E$12)</f>
        <v>6.8384999999999998</v>
      </c>
      <c r="H373" s="61">
        <f>12.0477* CHOOSE(CONTROL!$C$21, $C$12, 100%, $E$12)</f>
        <v>12.047700000000001</v>
      </c>
      <c r="I373" s="61">
        <f>12.0479 * CHOOSE(CONTROL!$C$21, $C$12, 100%, $E$12)</f>
        <v>12.0479</v>
      </c>
      <c r="J373" s="61">
        <f>6.8383 * CHOOSE(CONTROL!$C$21, $C$12, 100%, $E$12)</f>
        <v>6.8383000000000003</v>
      </c>
      <c r="K373" s="61">
        <f>6.8385 * CHOOSE(CONTROL!$C$21, $C$12, 100%, $E$12)</f>
        <v>6.8384999999999998</v>
      </c>
    </row>
    <row r="374" spans="1:11" ht="15">
      <c r="A374" s="13">
        <v>53267</v>
      </c>
      <c r="B374" s="60">
        <f>5.9312 * CHOOSE(CONTROL!$C$21, $C$12, 100%, $E$12)</f>
        <v>5.9311999999999996</v>
      </c>
      <c r="C374" s="60">
        <f>5.9312 * CHOOSE(CONTROL!$C$21, $C$12, 100%, $E$12)</f>
        <v>5.9311999999999996</v>
      </c>
      <c r="D374" s="60">
        <f>5.9418 * CHOOSE(CONTROL!$C$21, $C$12, 100%, $E$12)</f>
        <v>5.9417999999999997</v>
      </c>
      <c r="E374" s="61">
        <f>6.856 * CHOOSE(CONTROL!$C$21, $C$12, 100%, $E$12)</f>
        <v>6.8559999999999999</v>
      </c>
      <c r="F374" s="61">
        <f>6.856 * CHOOSE(CONTROL!$C$21, $C$12, 100%, $E$12)</f>
        <v>6.8559999999999999</v>
      </c>
      <c r="G374" s="61">
        <f>6.8561 * CHOOSE(CONTROL!$C$21, $C$12, 100%, $E$12)</f>
        <v>6.8560999999999996</v>
      </c>
      <c r="H374" s="61">
        <f>12.0728* CHOOSE(CONTROL!$C$21, $C$12, 100%, $E$12)</f>
        <v>12.072800000000001</v>
      </c>
      <c r="I374" s="61">
        <f>12.073 * CHOOSE(CONTROL!$C$21, $C$12, 100%, $E$12)</f>
        <v>12.073</v>
      </c>
      <c r="J374" s="61">
        <f>6.856 * CHOOSE(CONTROL!$C$21, $C$12, 100%, $E$12)</f>
        <v>6.8559999999999999</v>
      </c>
      <c r="K374" s="61">
        <f>6.8561 * CHOOSE(CONTROL!$C$21, $C$12, 100%, $E$12)</f>
        <v>6.8560999999999996</v>
      </c>
    </row>
    <row r="375" spans="1:11" ht="15">
      <c r="A375" s="13">
        <v>53297</v>
      </c>
      <c r="B375" s="60">
        <f>5.9312 * CHOOSE(CONTROL!$C$21, $C$12, 100%, $E$12)</f>
        <v>5.9311999999999996</v>
      </c>
      <c r="C375" s="60">
        <f>5.9312 * CHOOSE(CONTROL!$C$21, $C$12, 100%, $E$12)</f>
        <v>5.9311999999999996</v>
      </c>
      <c r="D375" s="60">
        <f>5.9418 * CHOOSE(CONTROL!$C$21, $C$12, 100%, $E$12)</f>
        <v>5.9417999999999997</v>
      </c>
      <c r="E375" s="61">
        <f>6.8171 * CHOOSE(CONTROL!$C$21, $C$12, 100%, $E$12)</f>
        <v>6.8170999999999999</v>
      </c>
      <c r="F375" s="61">
        <f>6.8171 * CHOOSE(CONTROL!$C$21, $C$12, 100%, $E$12)</f>
        <v>6.8170999999999999</v>
      </c>
      <c r="G375" s="61">
        <f>6.8173 * CHOOSE(CONTROL!$C$21, $C$12, 100%, $E$12)</f>
        <v>6.8173000000000004</v>
      </c>
      <c r="H375" s="61">
        <f>12.0979* CHOOSE(CONTROL!$C$21, $C$12, 100%, $E$12)</f>
        <v>12.097899999999999</v>
      </c>
      <c r="I375" s="61">
        <f>12.0981 * CHOOSE(CONTROL!$C$21, $C$12, 100%, $E$12)</f>
        <v>12.098100000000001</v>
      </c>
      <c r="J375" s="61">
        <f>6.8171 * CHOOSE(CONTROL!$C$21, $C$12, 100%, $E$12)</f>
        <v>6.8170999999999999</v>
      </c>
      <c r="K375" s="61">
        <f>6.8173 * CHOOSE(CONTROL!$C$21, $C$12, 100%, $E$12)</f>
        <v>6.8173000000000004</v>
      </c>
    </row>
    <row r="376" spans="1:11" ht="15">
      <c r="A376" s="13">
        <v>53328</v>
      </c>
      <c r="B376" s="60">
        <f>5.9849 * CHOOSE(CONTROL!$C$21, $C$12, 100%, $E$12)</f>
        <v>5.9848999999999997</v>
      </c>
      <c r="C376" s="60">
        <f>5.9849 * CHOOSE(CONTROL!$C$21, $C$12, 100%, $E$12)</f>
        <v>5.9848999999999997</v>
      </c>
      <c r="D376" s="60">
        <f>5.9955 * CHOOSE(CONTROL!$C$21, $C$12, 100%, $E$12)</f>
        <v>5.9954999999999998</v>
      </c>
      <c r="E376" s="61">
        <f>6.9068 * CHOOSE(CONTROL!$C$21, $C$12, 100%, $E$12)</f>
        <v>6.9067999999999996</v>
      </c>
      <c r="F376" s="61">
        <f>6.9068 * CHOOSE(CONTROL!$C$21, $C$12, 100%, $E$12)</f>
        <v>6.9067999999999996</v>
      </c>
      <c r="G376" s="61">
        <f>6.907 * CHOOSE(CONTROL!$C$21, $C$12, 100%, $E$12)</f>
        <v>6.907</v>
      </c>
      <c r="H376" s="61">
        <f>12.1231* CHOOSE(CONTROL!$C$21, $C$12, 100%, $E$12)</f>
        <v>12.123100000000001</v>
      </c>
      <c r="I376" s="61">
        <f>12.1233 * CHOOSE(CONTROL!$C$21, $C$12, 100%, $E$12)</f>
        <v>12.1233</v>
      </c>
      <c r="J376" s="61">
        <f>6.9068 * CHOOSE(CONTROL!$C$21, $C$12, 100%, $E$12)</f>
        <v>6.9067999999999996</v>
      </c>
      <c r="K376" s="61">
        <f>6.907 * CHOOSE(CONTROL!$C$21, $C$12, 100%, $E$12)</f>
        <v>6.907</v>
      </c>
    </row>
    <row r="377" spans="1:11" ht="15">
      <c r="A377" s="13">
        <v>53359</v>
      </c>
      <c r="B377" s="60">
        <f>5.9819 * CHOOSE(CONTROL!$C$21, $C$12, 100%, $E$12)</f>
        <v>5.9819000000000004</v>
      </c>
      <c r="C377" s="60">
        <f>5.9819 * CHOOSE(CONTROL!$C$21, $C$12, 100%, $E$12)</f>
        <v>5.9819000000000004</v>
      </c>
      <c r="D377" s="60">
        <f>5.9924 * CHOOSE(CONTROL!$C$21, $C$12, 100%, $E$12)</f>
        <v>5.9923999999999999</v>
      </c>
      <c r="E377" s="61">
        <f>6.8293 * CHOOSE(CONTROL!$C$21, $C$12, 100%, $E$12)</f>
        <v>6.8292999999999999</v>
      </c>
      <c r="F377" s="61">
        <f>6.8293 * CHOOSE(CONTROL!$C$21, $C$12, 100%, $E$12)</f>
        <v>6.8292999999999999</v>
      </c>
      <c r="G377" s="61">
        <f>6.8295 * CHOOSE(CONTROL!$C$21, $C$12, 100%, $E$12)</f>
        <v>6.8295000000000003</v>
      </c>
      <c r="H377" s="61">
        <f>12.1484* CHOOSE(CONTROL!$C$21, $C$12, 100%, $E$12)</f>
        <v>12.148400000000001</v>
      </c>
      <c r="I377" s="61">
        <f>12.1486 * CHOOSE(CONTROL!$C$21, $C$12, 100%, $E$12)</f>
        <v>12.1486</v>
      </c>
      <c r="J377" s="61">
        <f>6.8293 * CHOOSE(CONTROL!$C$21, $C$12, 100%, $E$12)</f>
        <v>6.8292999999999999</v>
      </c>
      <c r="K377" s="61">
        <f>6.8295 * CHOOSE(CONTROL!$C$21, $C$12, 100%, $E$12)</f>
        <v>6.8295000000000003</v>
      </c>
    </row>
    <row r="378" spans="1:11" ht="15">
      <c r="A378" s="13">
        <v>53387</v>
      </c>
      <c r="B378" s="60">
        <f>5.9788 * CHOOSE(CONTROL!$C$21, $C$12, 100%, $E$12)</f>
        <v>5.9787999999999997</v>
      </c>
      <c r="C378" s="60">
        <f>5.9788 * CHOOSE(CONTROL!$C$21, $C$12, 100%, $E$12)</f>
        <v>5.9787999999999997</v>
      </c>
      <c r="D378" s="60">
        <f>5.9894 * CHOOSE(CONTROL!$C$21, $C$12, 100%, $E$12)</f>
        <v>5.9893999999999998</v>
      </c>
      <c r="E378" s="61">
        <f>6.8866 * CHOOSE(CONTROL!$C$21, $C$12, 100%, $E$12)</f>
        <v>6.8865999999999996</v>
      </c>
      <c r="F378" s="61">
        <f>6.8866 * CHOOSE(CONTROL!$C$21, $C$12, 100%, $E$12)</f>
        <v>6.8865999999999996</v>
      </c>
      <c r="G378" s="61">
        <f>6.8868 * CHOOSE(CONTROL!$C$21, $C$12, 100%, $E$12)</f>
        <v>6.8868</v>
      </c>
      <c r="H378" s="61">
        <f>12.1737* CHOOSE(CONTROL!$C$21, $C$12, 100%, $E$12)</f>
        <v>12.1737</v>
      </c>
      <c r="I378" s="61">
        <f>12.1739 * CHOOSE(CONTROL!$C$21, $C$12, 100%, $E$12)</f>
        <v>12.1739</v>
      </c>
      <c r="J378" s="61">
        <f>6.8866 * CHOOSE(CONTROL!$C$21, $C$12, 100%, $E$12)</f>
        <v>6.8865999999999996</v>
      </c>
      <c r="K378" s="61">
        <f>6.8868 * CHOOSE(CONTROL!$C$21, $C$12, 100%, $E$12)</f>
        <v>6.8868</v>
      </c>
    </row>
    <row r="379" spans="1:11" ht="15">
      <c r="A379" s="13">
        <v>53418</v>
      </c>
      <c r="B379" s="60">
        <f>5.9783 * CHOOSE(CONTROL!$C$21, $C$12, 100%, $E$12)</f>
        <v>5.9782999999999999</v>
      </c>
      <c r="C379" s="60">
        <f>5.9783 * CHOOSE(CONTROL!$C$21, $C$12, 100%, $E$12)</f>
        <v>5.9782999999999999</v>
      </c>
      <c r="D379" s="60">
        <f>5.9888 * CHOOSE(CONTROL!$C$21, $C$12, 100%, $E$12)</f>
        <v>5.9888000000000003</v>
      </c>
      <c r="E379" s="61">
        <f>6.9463 * CHOOSE(CONTROL!$C$21, $C$12, 100%, $E$12)</f>
        <v>6.9462999999999999</v>
      </c>
      <c r="F379" s="61">
        <f>6.9463 * CHOOSE(CONTROL!$C$21, $C$12, 100%, $E$12)</f>
        <v>6.9462999999999999</v>
      </c>
      <c r="G379" s="61">
        <f>6.9464 * CHOOSE(CONTROL!$C$21, $C$12, 100%, $E$12)</f>
        <v>6.9463999999999997</v>
      </c>
      <c r="H379" s="61">
        <f>12.1991* CHOOSE(CONTROL!$C$21, $C$12, 100%, $E$12)</f>
        <v>12.1991</v>
      </c>
      <c r="I379" s="61">
        <f>12.1993 * CHOOSE(CONTROL!$C$21, $C$12, 100%, $E$12)</f>
        <v>12.199299999999999</v>
      </c>
      <c r="J379" s="61">
        <f>6.9463 * CHOOSE(CONTROL!$C$21, $C$12, 100%, $E$12)</f>
        <v>6.9462999999999999</v>
      </c>
      <c r="K379" s="61">
        <f>6.9464 * CHOOSE(CONTROL!$C$21, $C$12, 100%, $E$12)</f>
        <v>6.9463999999999997</v>
      </c>
    </row>
    <row r="380" spans="1:11" ht="15">
      <c r="A380" s="13">
        <v>53448</v>
      </c>
      <c r="B380" s="60">
        <f>5.9783 * CHOOSE(CONTROL!$C$21, $C$12, 100%, $E$12)</f>
        <v>5.9782999999999999</v>
      </c>
      <c r="C380" s="60">
        <f>5.9783 * CHOOSE(CONTROL!$C$21, $C$12, 100%, $E$12)</f>
        <v>5.9782999999999999</v>
      </c>
      <c r="D380" s="60">
        <f>5.9994 * CHOOSE(CONTROL!$C$21, $C$12, 100%, $E$12)</f>
        <v>5.9993999999999996</v>
      </c>
      <c r="E380" s="61">
        <f>6.9702 * CHOOSE(CONTROL!$C$21, $C$12, 100%, $E$12)</f>
        <v>6.9702000000000002</v>
      </c>
      <c r="F380" s="61">
        <f>6.9702 * CHOOSE(CONTROL!$C$21, $C$12, 100%, $E$12)</f>
        <v>6.9702000000000002</v>
      </c>
      <c r="G380" s="61">
        <f>6.9716 * CHOOSE(CONTROL!$C$21, $C$12, 100%, $E$12)</f>
        <v>6.9715999999999996</v>
      </c>
      <c r="H380" s="61">
        <f>12.2245* CHOOSE(CONTROL!$C$21, $C$12, 100%, $E$12)</f>
        <v>12.224500000000001</v>
      </c>
      <c r="I380" s="61">
        <f>12.2259 * CHOOSE(CONTROL!$C$21, $C$12, 100%, $E$12)</f>
        <v>12.225899999999999</v>
      </c>
      <c r="J380" s="61">
        <f>6.9702 * CHOOSE(CONTROL!$C$21, $C$12, 100%, $E$12)</f>
        <v>6.9702000000000002</v>
      </c>
      <c r="K380" s="61">
        <f>6.9716 * CHOOSE(CONTROL!$C$21, $C$12, 100%, $E$12)</f>
        <v>6.9715999999999996</v>
      </c>
    </row>
    <row r="381" spans="1:11" ht="15">
      <c r="A381" s="13">
        <v>53479</v>
      </c>
      <c r="B381" s="60">
        <f>5.9843 * CHOOSE(CONTROL!$C$21, $C$12, 100%, $E$12)</f>
        <v>5.9843000000000002</v>
      </c>
      <c r="C381" s="60">
        <f>5.9843 * CHOOSE(CONTROL!$C$21, $C$12, 100%, $E$12)</f>
        <v>5.9843000000000002</v>
      </c>
      <c r="D381" s="60">
        <f>6.0055 * CHOOSE(CONTROL!$C$21, $C$12, 100%, $E$12)</f>
        <v>6.0054999999999996</v>
      </c>
      <c r="E381" s="61">
        <f>6.9505 * CHOOSE(CONTROL!$C$21, $C$12, 100%, $E$12)</f>
        <v>6.9504999999999999</v>
      </c>
      <c r="F381" s="61">
        <f>6.9505 * CHOOSE(CONTROL!$C$21, $C$12, 100%, $E$12)</f>
        <v>6.9504999999999999</v>
      </c>
      <c r="G381" s="61">
        <f>6.9519 * CHOOSE(CONTROL!$C$21, $C$12, 100%, $E$12)</f>
        <v>6.9519000000000002</v>
      </c>
      <c r="H381" s="61">
        <f>12.25* CHOOSE(CONTROL!$C$21, $C$12, 100%, $E$12)</f>
        <v>12.25</v>
      </c>
      <c r="I381" s="61">
        <f>12.2513 * CHOOSE(CONTROL!$C$21, $C$12, 100%, $E$12)</f>
        <v>12.251300000000001</v>
      </c>
      <c r="J381" s="61">
        <f>6.9505 * CHOOSE(CONTROL!$C$21, $C$12, 100%, $E$12)</f>
        <v>6.9504999999999999</v>
      </c>
      <c r="K381" s="61">
        <f>6.9519 * CHOOSE(CONTROL!$C$21, $C$12, 100%, $E$12)</f>
        <v>6.9519000000000002</v>
      </c>
    </row>
    <row r="382" spans="1:11" ht="15">
      <c r="A382" s="13">
        <v>53509</v>
      </c>
      <c r="B382" s="60">
        <f>6.084 * CHOOSE(CONTROL!$C$21, $C$12, 100%, $E$12)</f>
        <v>6.0839999999999996</v>
      </c>
      <c r="C382" s="60">
        <f>6.084 * CHOOSE(CONTROL!$C$21, $C$12, 100%, $E$12)</f>
        <v>6.0839999999999996</v>
      </c>
      <c r="D382" s="60">
        <f>6.1051 * CHOOSE(CONTROL!$C$21, $C$12, 100%, $E$12)</f>
        <v>6.1051000000000002</v>
      </c>
      <c r="E382" s="61">
        <f>7.0886 * CHOOSE(CONTROL!$C$21, $C$12, 100%, $E$12)</f>
        <v>7.0885999999999996</v>
      </c>
      <c r="F382" s="61">
        <f>7.0886 * CHOOSE(CONTROL!$C$21, $C$12, 100%, $E$12)</f>
        <v>7.0885999999999996</v>
      </c>
      <c r="G382" s="61">
        <f>7.09 * CHOOSE(CONTROL!$C$21, $C$12, 100%, $E$12)</f>
        <v>7.09</v>
      </c>
      <c r="H382" s="61">
        <f>12.2755* CHOOSE(CONTROL!$C$21, $C$12, 100%, $E$12)</f>
        <v>12.275499999999999</v>
      </c>
      <c r="I382" s="61">
        <f>12.2769 * CHOOSE(CONTROL!$C$21, $C$12, 100%, $E$12)</f>
        <v>12.276899999999999</v>
      </c>
      <c r="J382" s="61">
        <f>7.0886 * CHOOSE(CONTROL!$C$21, $C$12, 100%, $E$12)</f>
        <v>7.0885999999999996</v>
      </c>
      <c r="K382" s="61">
        <f>7.09 * CHOOSE(CONTROL!$C$21, $C$12, 100%, $E$12)</f>
        <v>7.09</v>
      </c>
    </row>
    <row r="383" spans="1:11" ht="15">
      <c r="A383" s="13">
        <v>53540</v>
      </c>
      <c r="B383" s="60">
        <f>6.0907 * CHOOSE(CONTROL!$C$21, $C$12, 100%, $E$12)</f>
        <v>6.0907</v>
      </c>
      <c r="C383" s="60">
        <f>6.0907 * CHOOSE(CONTROL!$C$21, $C$12, 100%, $E$12)</f>
        <v>6.0907</v>
      </c>
      <c r="D383" s="60">
        <f>6.1118 * CHOOSE(CONTROL!$C$21, $C$12, 100%, $E$12)</f>
        <v>6.1117999999999997</v>
      </c>
      <c r="E383" s="61">
        <f>7.0214 * CHOOSE(CONTROL!$C$21, $C$12, 100%, $E$12)</f>
        <v>7.0213999999999999</v>
      </c>
      <c r="F383" s="61">
        <f>7.0214 * CHOOSE(CONTROL!$C$21, $C$12, 100%, $E$12)</f>
        <v>7.0213999999999999</v>
      </c>
      <c r="G383" s="61">
        <f>7.0228 * CHOOSE(CONTROL!$C$21, $C$12, 100%, $E$12)</f>
        <v>7.0228000000000002</v>
      </c>
      <c r="H383" s="61">
        <f>12.3011* CHOOSE(CONTROL!$C$21, $C$12, 100%, $E$12)</f>
        <v>12.3011</v>
      </c>
      <c r="I383" s="61">
        <f>12.3024 * CHOOSE(CONTROL!$C$21, $C$12, 100%, $E$12)</f>
        <v>12.3024</v>
      </c>
      <c r="J383" s="61">
        <f>7.0214 * CHOOSE(CONTROL!$C$21, $C$12, 100%, $E$12)</f>
        <v>7.0213999999999999</v>
      </c>
      <c r="K383" s="61">
        <f>7.0228 * CHOOSE(CONTROL!$C$21, $C$12, 100%, $E$12)</f>
        <v>7.0228000000000002</v>
      </c>
    </row>
    <row r="384" spans="1:11" ht="15">
      <c r="A384" s="13">
        <v>53571</v>
      </c>
      <c r="B384" s="60">
        <f>6.0877 * CHOOSE(CONTROL!$C$21, $C$12, 100%, $E$12)</f>
        <v>6.0876999999999999</v>
      </c>
      <c r="C384" s="60">
        <f>6.0877 * CHOOSE(CONTROL!$C$21, $C$12, 100%, $E$12)</f>
        <v>6.0876999999999999</v>
      </c>
      <c r="D384" s="60">
        <f>6.1088 * CHOOSE(CONTROL!$C$21, $C$12, 100%, $E$12)</f>
        <v>6.1087999999999996</v>
      </c>
      <c r="E384" s="61">
        <f>7.0113 * CHOOSE(CONTROL!$C$21, $C$12, 100%, $E$12)</f>
        <v>7.0113000000000003</v>
      </c>
      <c r="F384" s="61">
        <f>7.0113 * CHOOSE(CONTROL!$C$21, $C$12, 100%, $E$12)</f>
        <v>7.0113000000000003</v>
      </c>
      <c r="G384" s="61">
        <f>7.0127 * CHOOSE(CONTROL!$C$21, $C$12, 100%, $E$12)</f>
        <v>7.0126999999999997</v>
      </c>
      <c r="H384" s="61">
        <f>12.3267* CHOOSE(CONTROL!$C$21, $C$12, 100%, $E$12)</f>
        <v>12.326700000000001</v>
      </c>
      <c r="I384" s="61">
        <f>12.3281 * CHOOSE(CONTROL!$C$21, $C$12, 100%, $E$12)</f>
        <v>12.328099999999999</v>
      </c>
      <c r="J384" s="61">
        <f>7.0113 * CHOOSE(CONTROL!$C$21, $C$12, 100%, $E$12)</f>
        <v>7.0113000000000003</v>
      </c>
      <c r="K384" s="61">
        <f>7.0127 * CHOOSE(CONTROL!$C$21, $C$12, 100%, $E$12)</f>
        <v>7.0126999999999997</v>
      </c>
    </row>
    <row r="385" spans="1:11" ht="15">
      <c r="A385" s="13">
        <v>53601</v>
      </c>
      <c r="B385" s="60">
        <f>6.0899 * CHOOSE(CONTROL!$C$21, $C$12, 100%, $E$12)</f>
        <v>6.0899000000000001</v>
      </c>
      <c r="C385" s="60">
        <f>6.0899 * CHOOSE(CONTROL!$C$21, $C$12, 100%, $E$12)</f>
        <v>6.0899000000000001</v>
      </c>
      <c r="D385" s="60">
        <f>6.1005 * CHOOSE(CONTROL!$C$21, $C$12, 100%, $E$12)</f>
        <v>6.1005000000000003</v>
      </c>
      <c r="E385" s="61">
        <f>7.0298 * CHOOSE(CONTROL!$C$21, $C$12, 100%, $E$12)</f>
        <v>7.0297999999999998</v>
      </c>
      <c r="F385" s="61">
        <f>7.0298 * CHOOSE(CONTROL!$C$21, $C$12, 100%, $E$12)</f>
        <v>7.0297999999999998</v>
      </c>
      <c r="G385" s="61">
        <f>7.03 * CHOOSE(CONTROL!$C$21, $C$12, 100%, $E$12)</f>
        <v>7.03</v>
      </c>
      <c r="H385" s="61">
        <f>12.3524* CHOOSE(CONTROL!$C$21, $C$12, 100%, $E$12)</f>
        <v>12.352399999999999</v>
      </c>
      <c r="I385" s="61">
        <f>12.3525 * CHOOSE(CONTROL!$C$21, $C$12, 100%, $E$12)</f>
        <v>12.352499999999999</v>
      </c>
      <c r="J385" s="61">
        <f>7.0298 * CHOOSE(CONTROL!$C$21, $C$12, 100%, $E$12)</f>
        <v>7.0297999999999998</v>
      </c>
      <c r="K385" s="61">
        <f>7.03 * CHOOSE(CONTROL!$C$21, $C$12, 100%, $E$12)</f>
        <v>7.03</v>
      </c>
    </row>
    <row r="386" spans="1:11" ht="15">
      <c r="A386" s="13">
        <v>53632</v>
      </c>
      <c r="B386" s="60">
        <f>6.093 * CHOOSE(CONTROL!$C$21, $C$12, 100%, $E$12)</f>
        <v>6.093</v>
      </c>
      <c r="C386" s="60">
        <f>6.093 * CHOOSE(CONTROL!$C$21, $C$12, 100%, $E$12)</f>
        <v>6.093</v>
      </c>
      <c r="D386" s="60">
        <f>6.1035 * CHOOSE(CONTROL!$C$21, $C$12, 100%, $E$12)</f>
        <v>6.1035000000000004</v>
      </c>
      <c r="E386" s="61">
        <f>7.0479 * CHOOSE(CONTROL!$C$21, $C$12, 100%, $E$12)</f>
        <v>7.0479000000000003</v>
      </c>
      <c r="F386" s="61">
        <f>7.0479 * CHOOSE(CONTROL!$C$21, $C$12, 100%, $E$12)</f>
        <v>7.0479000000000003</v>
      </c>
      <c r="G386" s="61">
        <f>7.0481 * CHOOSE(CONTROL!$C$21, $C$12, 100%, $E$12)</f>
        <v>7.0480999999999998</v>
      </c>
      <c r="H386" s="61">
        <f>12.3781* CHOOSE(CONTROL!$C$21, $C$12, 100%, $E$12)</f>
        <v>12.3781</v>
      </c>
      <c r="I386" s="61">
        <f>12.3783 * CHOOSE(CONTROL!$C$21, $C$12, 100%, $E$12)</f>
        <v>12.378299999999999</v>
      </c>
      <c r="J386" s="61">
        <f>7.0479 * CHOOSE(CONTROL!$C$21, $C$12, 100%, $E$12)</f>
        <v>7.0479000000000003</v>
      </c>
      <c r="K386" s="61">
        <f>7.0481 * CHOOSE(CONTROL!$C$21, $C$12, 100%, $E$12)</f>
        <v>7.0480999999999998</v>
      </c>
    </row>
    <row r="387" spans="1:11" ht="15">
      <c r="A387" s="13">
        <v>53662</v>
      </c>
      <c r="B387" s="60">
        <f>6.093 * CHOOSE(CONTROL!$C$21, $C$12, 100%, $E$12)</f>
        <v>6.093</v>
      </c>
      <c r="C387" s="60">
        <f>6.093 * CHOOSE(CONTROL!$C$21, $C$12, 100%, $E$12)</f>
        <v>6.093</v>
      </c>
      <c r="D387" s="60">
        <f>6.1035 * CHOOSE(CONTROL!$C$21, $C$12, 100%, $E$12)</f>
        <v>6.1035000000000004</v>
      </c>
      <c r="E387" s="61">
        <f>7.008 * CHOOSE(CONTROL!$C$21, $C$12, 100%, $E$12)</f>
        <v>7.008</v>
      </c>
      <c r="F387" s="61">
        <f>7.008 * CHOOSE(CONTROL!$C$21, $C$12, 100%, $E$12)</f>
        <v>7.008</v>
      </c>
      <c r="G387" s="61">
        <f>7.0082 * CHOOSE(CONTROL!$C$21, $C$12, 100%, $E$12)</f>
        <v>7.0082000000000004</v>
      </c>
      <c r="H387" s="61">
        <f>12.4039* CHOOSE(CONTROL!$C$21, $C$12, 100%, $E$12)</f>
        <v>12.4039</v>
      </c>
      <c r="I387" s="61">
        <f>12.4041 * CHOOSE(CONTROL!$C$21, $C$12, 100%, $E$12)</f>
        <v>12.4041</v>
      </c>
      <c r="J387" s="61">
        <f>7.008 * CHOOSE(CONTROL!$C$21, $C$12, 100%, $E$12)</f>
        <v>7.008</v>
      </c>
      <c r="K387" s="61">
        <f>7.0082 * CHOOSE(CONTROL!$C$21, $C$12, 100%, $E$12)</f>
        <v>7.0082000000000004</v>
      </c>
    </row>
    <row r="388" spans="1:11" ht="15">
      <c r="A388" s="13">
        <v>53693</v>
      </c>
      <c r="B388" s="60">
        <f>6.148 * CHOOSE(CONTROL!$C$21, $C$12, 100%, $E$12)</f>
        <v>6.1479999999999997</v>
      </c>
      <c r="C388" s="60">
        <f>6.148 * CHOOSE(CONTROL!$C$21, $C$12, 100%, $E$12)</f>
        <v>6.1479999999999997</v>
      </c>
      <c r="D388" s="60">
        <f>6.1586 * CHOOSE(CONTROL!$C$21, $C$12, 100%, $E$12)</f>
        <v>6.1585999999999999</v>
      </c>
      <c r="E388" s="61">
        <f>7.1001 * CHOOSE(CONTROL!$C$21, $C$12, 100%, $E$12)</f>
        <v>7.1001000000000003</v>
      </c>
      <c r="F388" s="61">
        <f>7.1001 * CHOOSE(CONTROL!$C$21, $C$12, 100%, $E$12)</f>
        <v>7.1001000000000003</v>
      </c>
      <c r="G388" s="61">
        <f>7.1003 * CHOOSE(CONTROL!$C$21, $C$12, 100%, $E$12)</f>
        <v>7.1002999999999998</v>
      </c>
      <c r="H388" s="61">
        <f>12.4297* CHOOSE(CONTROL!$C$21, $C$12, 100%, $E$12)</f>
        <v>12.4297</v>
      </c>
      <c r="I388" s="61">
        <f>12.4299 * CHOOSE(CONTROL!$C$21, $C$12, 100%, $E$12)</f>
        <v>12.4299</v>
      </c>
      <c r="J388" s="61">
        <f>7.1001 * CHOOSE(CONTROL!$C$21, $C$12, 100%, $E$12)</f>
        <v>7.1001000000000003</v>
      </c>
      <c r="K388" s="61">
        <f>7.1003 * CHOOSE(CONTROL!$C$21, $C$12, 100%, $E$12)</f>
        <v>7.1002999999999998</v>
      </c>
    </row>
    <row r="389" spans="1:11" ht="15">
      <c r="A389" s="13">
        <v>53724</v>
      </c>
      <c r="B389" s="60">
        <f>6.145 * CHOOSE(CONTROL!$C$21, $C$12, 100%, $E$12)</f>
        <v>6.1449999999999996</v>
      </c>
      <c r="C389" s="60">
        <f>6.145 * CHOOSE(CONTROL!$C$21, $C$12, 100%, $E$12)</f>
        <v>6.1449999999999996</v>
      </c>
      <c r="D389" s="60">
        <f>6.1556 * CHOOSE(CONTROL!$C$21, $C$12, 100%, $E$12)</f>
        <v>6.1555999999999997</v>
      </c>
      <c r="E389" s="61">
        <f>7.0205 * CHOOSE(CONTROL!$C$21, $C$12, 100%, $E$12)</f>
        <v>7.0205000000000002</v>
      </c>
      <c r="F389" s="61">
        <f>7.0205 * CHOOSE(CONTROL!$C$21, $C$12, 100%, $E$12)</f>
        <v>7.0205000000000002</v>
      </c>
      <c r="G389" s="61">
        <f>7.0206 * CHOOSE(CONTROL!$C$21, $C$12, 100%, $E$12)</f>
        <v>7.0206</v>
      </c>
      <c r="H389" s="61">
        <f>12.4556* CHOOSE(CONTROL!$C$21, $C$12, 100%, $E$12)</f>
        <v>12.4556</v>
      </c>
      <c r="I389" s="61">
        <f>12.4558 * CHOOSE(CONTROL!$C$21, $C$12, 100%, $E$12)</f>
        <v>12.4558</v>
      </c>
      <c r="J389" s="61">
        <f>7.0205 * CHOOSE(CONTROL!$C$21, $C$12, 100%, $E$12)</f>
        <v>7.0205000000000002</v>
      </c>
      <c r="K389" s="61">
        <f>7.0206 * CHOOSE(CONTROL!$C$21, $C$12, 100%, $E$12)</f>
        <v>7.0206</v>
      </c>
    </row>
    <row r="390" spans="1:11" ht="15">
      <c r="A390" s="13">
        <v>53752</v>
      </c>
      <c r="B390" s="60">
        <f>6.1419 * CHOOSE(CONTROL!$C$21, $C$12, 100%, $E$12)</f>
        <v>6.1418999999999997</v>
      </c>
      <c r="C390" s="60">
        <f>6.1419 * CHOOSE(CONTROL!$C$21, $C$12, 100%, $E$12)</f>
        <v>6.1418999999999997</v>
      </c>
      <c r="D390" s="60">
        <f>6.1525 * CHOOSE(CONTROL!$C$21, $C$12, 100%, $E$12)</f>
        <v>6.1524999999999999</v>
      </c>
      <c r="E390" s="61">
        <f>7.0795 * CHOOSE(CONTROL!$C$21, $C$12, 100%, $E$12)</f>
        <v>7.0795000000000003</v>
      </c>
      <c r="F390" s="61">
        <f>7.0795 * CHOOSE(CONTROL!$C$21, $C$12, 100%, $E$12)</f>
        <v>7.0795000000000003</v>
      </c>
      <c r="G390" s="61">
        <f>7.0797 * CHOOSE(CONTROL!$C$21, $C$12, 100%, $E$12)</f>
        <v>7.0796999999999999</v>
      </c>
      <c r="H390" s="61">
        <f>12.4816* CHOOSE(CONTROL!$C$21, $C$12, 100%, $E$12)</f>
        <v>12.4816</v>
      </c>
      <c r="I390" s="61">
        <f>12.4817 * CHOOSE(CONTROL!$C$21, $C$12, 100%, $E$12)</f>
        <v>12.4817</v>
      </c>
      <c r="J390" s="61">
        <f>7.0795 * CHOOSE(CONTROL!$C$21, $C$12, 100%, $E$12)</f>
        <v>7.0795000000000003</v>
      </c>
      <c r="K390" s="61">
        <f>7.0797 * CHOOSE(CONTROL!$C$21, $C$12, 100%, $E$12)</f>
        <v>7.0796999999999999</v>
      </c>
    </row>
    <row r="391" spans="1:11" ht="15">
      <c r="A391" s="13">
        <v>53783</v>
      </c>
      <c r="B391" s="60">
        <f>6.1415 * CHOOSE(CONTROL!$C$21, $C$12, 100%, $E$12)</f>
        <v>6.1414999999999997</v>
      </c>
      <c r="C391" s="60">
        <f>6.1415 * CHOOSE(CONTROL!$C$21, $C$12, 100%, $E$12)</f>
        <v>6.1414999999999997</v>
      </c>
      <c r="D391" s="60">
        <f>6.1521 * CHOOSE(CONTROL!$C$21, $C$12, 100%, $E$12)</f>
        <v>6.1520999999999999</v>
      </c>
      <c r="E391" s="61">
        <f>7.1409 * CHOOSE(CONTROL!$C$21, $C$12, 100%, $E$12)</f>
        <v>7.1409000000000002</v>
      </c>
      <c r="F391" s="61">
        <f>7.1409 * CHOOSE(CONTROL!$C$21, $C$12, 100%, $E$12)</f>
        <v>7.1409000000000002</v>
      </c>
      <c r="G391" s="61">
        <f>7.1411 * CHOOSE(CONTROL!$C$21, $C$12, 100%, $E$12)</f>
        <v>7.1410999999999998</v>
      </c>
      <c r="H391" s="61">
        <f>12.5076* CHOOSE(CONTROL!$C$21, $C$12, 100%, $E$12)</f>
        <v>12.5076</v>
      </c>
      <c r="I391" s="61">
        <f>12.5078 * CHOOSE(CONTROL!$C$21, $C$12, 100%, $E$12)</f>
        <v>12.5078</v>
      </c>
      <c r="J391" s="61">
        <f>7.1409 * CHOOSE(CONTROL!$C$21, $C$12, 100%, $E$12)</f>
        <v>7.1409000000000002</v>
      </c>
      <c r="K391" s="61">
        <f>7.1411 * CHOOSE(CONTROL!$C$21, $C$12, 100%, $E$12)</f>
        <v>7.1410999999999998</v>
      </c>
    </row>
    <row r="392" spans="1:11" ht="15">
      <c r="A392" s="13">
        <v>53813</v>
      </c>
      <c r="B392" s="60">
        <f>6.1415 * CHOOSE(CONTROL!$C$21, $C$12, 100%, $E$12)</f>
        <v>6.1414999999999997</v>
      </c>
      <c r="C392" s="60">
        <f>6.1415 * CHOOSE(CONTROL!$C$21, $C$12, 100%, $E$12)</f>
        <v>6.1414999999999997</v>
      </c>
      <c r="D392" s="60">
        <f>6.1626 * CHOOSE(CONTROL!$C$21, $C$12, 100%, $E$12)</f>
        <v>6.1626000000000003</v>
      </c>
      <c r="E392" s="61">
        <f>7.1655 * CHOOSE(CONTROL!$C$21, $C$12, 100%, $E$12)</f>
        <v>7.1654999999999998</v>
      </c>
      <c r="F392" s="61">
        <f>7.1655 * CHOOSE(CONTROL!$C$21, $C$12, 100%, $E$12)</f>
        <v>7.1654999999999998</v>
      </c>
      <c r="G392" s="61">
        <f>7.1669 * CHOOSE(CONTROL!$C$21, $C$12, 100%, $E$12)</f>
        <v>7.1669</v>
      </c>
      <c r="H392" s="61">
        <f>12.5336* CHOOSE(CONTROL!$C$21, $C$12, 100%, $E$12)</f>
        <v>12.5336</v>
      </c>
      <c r="I392" s="61">
        <f>12.535 * CHOOSE(CONTROL!$C$21, $C$12, 100%, $E$12)</f>
        <v>12.535</v>
      </c>
      <c r="J392" s="61">
        <f>7.1655 * CHOOSE(CONTROL!$C$21, $C$12, 100%, $E$12)</f>
        <v>7.1654999999999998</v>
      </c>
      <c r="K392" s="61">
        <f>7.1669 * CHOOSE(CONTROL!$C$21, $C$12, 100%, $E$12)</f>
        <v>7.1669</v>
      </c>
    </row>
    <row r="393" spans="1:11" ht="15">
      <c r="A393" s="13">
        <v>53844</v>
      </c>
      <c r="B393" s="60">
        <f>6.1476 * CHOOSE(CONTROL!$C$21, $C$12, 100%, $E$12)</f>
        <v>6.1475999999999997</v>
      </c>
      <c r="C393" s="60">
        <f>6.1476 * CHOOSE(CONTROL!$C$21, $C$12, 100%, $E$12)</f>
        <v>6.1475999999999997</v>
      </c>
      <c r="D393" s="60">
        <f>6.1687 * CHOOSE(CONTROL!$C$21, $C$12, 100%, $E$12)</f>
        <v>6.1687000000000003</v>
      </c>
      <c r="E393" s="61">
        <f>7.1451 * CHOOSE(CONTROL!$C$21, $C$12, 100%, $E$12)</f>
        <v>7.1451000000000002</v>
      </c>
      <c r="F393" s="61">
        <f>7.1451 * CHOOSE(CONTROL!$C$21, $C$12, 100%, $E$12)</f>
        <v>7.1451000000000002</v>
      </c>
      <c r="G393" s="61">
        <f>7.1465 * CHOOSE(CONTROL!$C$21, $C$12, 100%, $E$12)</f>
        <v>7.1464999999999996</v>
      </c>
      <c r="H393" s="61">
        <f>12.5597* CHOOSE(CONTROL!$C$21, $C$12, 100%, $E$12)</f>
        <v>12.559699999999999</v>
      </c>
      <c r="I393" s="61">
        <f>12.5611 * CHOOSE(CONTROL!$C$21, $C$12, 100%, $E$12)</f>
        <v>12.5611</v>
      </c>
      <c r="J393" s="61">
        <f>7.1451 * CHOOSE(CONTROL!$C$21, $C$12, 100%, $E$12)</f>
        <v>7.1451000000000002</v>
      </c>
      <c r="K393" s="61">
        <f>7.1465 * CHOOSE(CONTROL!$C$21, $C$12, 100%, $E$12)</f>
        <v>7.1464999999999996</v>
      </c>
    </row>
    <row r="394" spans="1:11" ht="15">
      <c r="A394" s="13">
        <v>53874</v>
      </c>
      <c r="B394" s="60">
        <f>6.2497 * CHOOSE(CONTROL!$C$21, $C$12, 100%, $E$12)</f>
        <v>6.2496999999999998</v>
      </c>
      <c r="C394" s="60">
        <f>6.2497 * CHOOSE(CONTROL!$C$21, $C$12, 100%, $E$12)</f>
        <v>6.2496999999999998</v>
      </c>
      <c r="D394" s="60">
        <f>6.2708 * CHOOSE(CONTROL!$C$21, $C$12, 100%, $E$12)</f>
        <v>6.2708000000000004</v>
      </c>
      <c r="E394" s="61">
        <f>7.2868 * CHOOSE(CONTROL!$C$21, $C$12, 100%, $E$12)</f>
        <v>7.2868000000000004</v>
      </c>
      <c r="F394" s="61">
        <f>7.2868 * CHOOSE(CONTROL!$C$21, $C$12, 100%, $E$12)</f>
        <v>7.2868000000000004</v>
      </c>
      <c r="G394" s="61">
        <f>7.2882 * CHOOSE(CONTROL!$C$21, $C$12, 100%, $E$12)</f>
        <v>7.2881999999999998</v>
      </c>
      <c r="H394" s="61">
        <f>12.5859* CHOOSE(CONTROL!$C$21, $C$12, 100%, $E$12)</f>
        <v>12.585900000000001</v>
      </c>
      <c r="I394" s="61">
        <f>12.5873 * CHOOSE(CONTROL!$C$21, $C$12, 100%, $E$12)</f>
        <v>12.587300000000001</v>
      </c>
      <c r="J394" s="61">
        <f>7.2868 * CHOOSE(CONTROL!$C$21, $C$12, 100%, $E$12)</f>
        <v>7.2868000000000004</v>
      </c>
      <c r="K394" s="61">
        <f>7.2882 * CHOOSE(CONTROL!$C$21, $C$12, 100%, $E$12)</f>
        <v>7.2881999999999998</v>
      </c>
    </row>
    <row r="395" spans="1:11" ht="15">
      <c r="A395" s="13">
        <v>53905</v>
      </c>
      <c r="B395" s="60">
        <f>6.2564 * CHOOSE(CONTROL!$C$21, $C$12, 100%, $E$12)</f>
        <v>6.2564000000000002</v>
      </c>
      <c r="C395" s="60">
        <f>6.2564 * CHOOSE(CONTROL!$C$21, $C$12, 100%, $E$12)</f>
        <v>6.2564000000000002</v>
      </c>
      <c r="D395" s="60">
        <f>6.2775 * CHOOSE(CONTROL!$C$21, $C$12, 100%, $E$12)</f>
        <v>6.2774999999999999</v>
      </c>
      <c r="E395" s="61">
        <f>7.2176 * CHOOSE(CONTROL!$C$21, $C$12, 100%, $E$12)</f>
        <v>7.2176</v>
      </c>
      <c r="F395" s="61">
        <f>7.2176 * CHOOSE(CONTROL!$C$21, $C$12, 100%, $E$12)</f>
        <v>7.2176</v>
      </c>
      <c r="G395" s="61">
        <f>7.219 * CHOOSE(CONTROL!$C$21, $C$12, 100%, $E$12)</f>
        <v>7.2190000000000003</v>
      </c>
      <c r="H395" s="61">
        <f>12.6121* CHOOSE(CONTROL!$C$21, $C$12, 100%, $E$12)</f>
        <v>12.6121</v>
      </c>
      <c r="I395" s="61">
        <f>12.6135 * CHOOSE(CONTROL!$C$21, $C$12, 100%, $E$12)</f>
        <v>12.6135</v>
      </c>
      <c r="J395" s="61">
        <f>7.2176 * CHOOSE(CONTROL!$C$21, $C$12, 100%, $E$12)</f>
        <v>7.2176</v>
      </c>
      <c r="K395" s="61">
        <f>7.219 * CHOOSE(CONTROL!$C$21, $C$12, 100%, $E$12)</f>
        <v>7.2190000000000003</v>
      </c>
    </row>
    <row r="396" spans="1:11" ht="15">
      <c r="A396" s="13">
        <v>53936</v>
      </c>
      <c r="B396" s="60">
        <f>6.2534 * CHOOSE(CONTROL!$C$21, $C$12, 100%, $E$12)</f>
        <v>6.2534000000000001</v>
      </c>
      <c r="C396" s="60">
        <f>6.2534 * CHOOSE(CONTROL!$C$21, $C$12, 100%, $E$12)</f>
        <v>6.2534000000000001</v>
      </c>
      <c r="D396" s="60">
        <f>6.2745 * CHOOSE(CONTROL!$C$21, $C$12, 100%, $E$12)</f>
        <v>6.2744999999999997</v>
      </c>
      <c r="E396" s="61">
        <f>7.2073 * CHOOSE(CONTROL!$C$21, $C$12, 100%, $E$12)</f>
        <v>7.2073</v>
      </c>
      <c r="F396" s="61">
        <f>7.2073 * CHOOSE(CONTROL!$C$21, $C$12, 100%, $E$12)</f>
        <v>7.2073</v>
      </c>
      <c r="G396" s="61">
        <f>7.2087 * CHOOSE(CONTROL!$C$21, $C$12, 100%, $E$12)</f>
        <v>7.2087000000000003</v>
      </c>
      <c r="H396" s="61">
        <f>12.6384* CHOOSE(CONTROL!$C$21, $C$12, 100%, $E$12)</f>
        <v>12.638400000000001</v>
      </c>
      <c r="I396" s="61">
        <f>12.6398 * CHOOSE(CONTROL!$C$21, $C$12, 100%, $E$12)</f>
        <v>12.639799999999999</v>
      </c>
      <c r="J396" s="61">
        <f>7.2073 * CHOOSE(CONTROL!$C$21, $C$12, 100%, $E$12)</f>
        <v>7.2073</v>
      </c>
      <c r="K396" s="61">
        <f>7.2087 * CHOOSE(CONTROL!$C$21, $C$12, 100%, $E$12)</f>
        <v>7.2087000000000003</v>
      </c>
    </row>
    <row r="397" spans="1:11" ht="15">
      <c r="A397" s="13">
        <v>53966</v>
      </c>
      <c r="B397" s="60">
        <f>6.2562 * CHOOSE(CONTROL!$C$21, $C$12, 100%, $E$12)</f>
        <v>6.2561999999999998</v>
      </c>
      <c r="C397" s="60">
        <f>6.2562 * CHOOSE(CONTROL!$C$21, $C$12, 100%, $E$12)</f>
        <v>6.2561999999999998</v>
      </c>
      <c r="D397" s="60">
        <f>6.2668 * CHOOSE(CONTROL!$C$21, $C$12, 100%, $E$12)</f>
        <v>6.2667999999999999</v>
      </c>
      <c r="E397" s="61">
        <f>7.2267 * CHOOSE(CONTROL!$C$21, $C$12, 100%, $E$12)</f>
        <v>7.2267000000000001</v>
      </c>
      <c r="F397" s="61">
        <f>7.2267 * CHOOSE(CONTROL!$C$21, $C$12, 100%, $E$12)</f>
        <v>7.2267000000000001</v>
      </c>
      <c r="G397" s="61">
        <f>7.2269 * CHOOSE(CONTROL!$C$21, $C$12, 100%, $E$12)</f>
        <v>7.2268999999999997</v>
      </c>
      <c r="H397" s="61">
        <f>12.6647* CHOOSE(CONTROL!$C$21, $C$12, 100%, $E$12)</f>
        <v>12.6647</v>
      </c>
      <c r="I397" s="61">
        <f>12.6649 * CHOOSE(CONTROL!$C$21, $C$12, 100%, $E$12)</f>
        <v>12.664899999999999</v>
      </c>
      <c r="J397" s="61">
        <f>7.2267 * CHOOSE(CONTROL!$C$21, $C$12, 100%, $E$12)</f>
        <v>7.2267000000000001</v>
      </c>
      <c r="K397" s="61">
        <f>7.2269 * CHOOSE(CONTROL!$C$21, $C$12, 100%, $E$12)</f>
        <v>7.2268999999999997</v>
      </c>
    </row>
    <row r="398" spans="1:11" ht="15">
      <c r="A398" s="13">
        <v>53997</v>
      </c>
      <c r="B398" s="60">
        <f>6.2592 * CHOOSE(CONTROL!$C$21, $C$12, 100%, $E$12)</f>
        <v>6.2591999999999999</v>
      </c>
      <c r="C398" s="60">
        <f>6.2592 * CHOOSE(CONTROL!$C$21, $C$12, 100%, $E$12)</f>
        <v>6.2591999999999999</v>
      </c>
      <c r="D398" s="60">
        <f>6.2698 * CHOOSE(CONTROL!$C$21, $C$12, 100%, $E$12)</f>
        <v>6.2698</v>
      </c>
      <c r="E398" s="61">
        <f>7.2452 * CHOOSE(CONTROL!$C$21, $C$12, 100%, $E$12)</f>
        <v>7.2451999999999996</v>
      </c>
      <c r="F398" s="61">
        <f>7.2452 * CHOOSE(CONTROL!$C$21, $C$12, 100%, $E$12)</f>
        <v>7.2451999999999996</v>
      </c>
      <c r="G398" s="61">
        <f>7.2454 * CHOOSE(CONTROL!$C$21, $C$12, 100%, $E$12)</f>
        <v>7.2454000000000001</v>
      </c>
      <c r="H398" s="61">
        <f>12.6911* CHOOSE(CONTROL!$C$21, $C$12, 100%, $E$12)</f>
        <v>12.6911</v>
      </c>
      <c r="I398" s="61">
        <f>12.6913 * CHOOSE(CONTROL!$C$21, $C$12, 100%, $E$12)</f>
        <v>12.6913</v>
      </c>
      <c r="J398" s="61">
        <f>7.2452 * CHOOSE(CONTROL!$C$21, $C$12, 100%, $E$12)</f>
        <v>7.2451999999999996</v>
      </c>
      <c r="K398" s="61">
        <f>7.2454 * CHOOSE(CONTROL!$C$21, $C$12, 100%, $E$12)</f>
        <v>7.2454000000000001</v>
      </c>
    </row>
    <row r="399" spans="1:11" ht="15">
      <c r="A399" s="13">
        <v>54027</v>
      </c>
      <c r="B399" s="60">
        <f>6.2592 * CHOOSE(CONTROL!$C$21, $C$12, 100%, $E$12)</f>
        <v>6.2591999999999999</v>
      </c>
      <c r="C399" s="60">
        <f>6.2592 * CHOOSE(CONTROL!$C$21, $C$12, 100%, $E$12)</f>
        <v>6.2591999999999999</v>
      </c>
      <c r="D399" s="60">
        <f>6.2698 * CHOOSE(CONTROL!$C$21, $C$12, 100%, $E$12)</f>
        <v>6.2698</v>
      </c>
      <c r="E399" s="61">
        <f>7.2042 * CHOOSE(CONTROL!$C$21, $C$12, 100%, $E$12)</f>
        <v>7.2042000000000002</v>
      </c>
      <c r="F399" s="61">
        <f>7.2042 * CHOOSE(CONTROL!$C$21, $C$12, 100%, $E$12)</f>
        <v>7.2042000000000002</v>
      </c>
      <c r="G399" s="61">
        <f>7.2044 * CHOOSE(CONTROL!$C$21, $C$12, 100%, $E$12)</f>
        <v>7.2043999999999997</v>
      </c>
      <c r="H399" s="61">
        <f>12.7176* CHOOSE(CONTROL!$C$21, $C$12, 100%, $E$12)</f>
        <v>12.717599999999999</v>
      </c>
      <c r="I399" s="61">
        <f>12.7177 * CHOOSE(CONTROL!$C$21, $C$12, 100%, $E$12)</f>
        <v>12.717700000000001</v>
      </c>
      <c r="J399" s="61">
        <f>7.2042 * CHOOSE(CONTROL!$C$21, $C$12, 100%, $E$12)</f>
        <v>7.2042000000000002</v>
      </c>
      <c r="K399" s="61">
        <f>7.2044 * CHOOSE(CONTROL!$C$21, $C$12, 100%, $E$12)</f>
        <v>7.2043999999999997</v>
      </c>
    </row>
    <row r="400" spans="1:11" ht="15">
      <c r="A400" s="13">
        <v>54058</v>
      </c>
      <c r="B400" s="60">
        <f>6.3156 * CHOOSE(CONTROL!$C$21, $C$12, 100%, $E$12)</f>
        <v>6.3155999999999999</v>
      </c>
      <c r="C400" s="60">
        <f>6.3156 * CHOOSE(CONTROL!$C$21, $C$12, 100%, $E$12)</f>
        <v>6.3155999999999999</v>
      </c>
      <c r="D400" s="60">
        <f>6.3262 * CHOOSE(CONTROL!$C$21, $C$12, 100%, $E$12)</f>
        <v>6.3262</v>
      </c>
      <c r="E400" s="61">
        <f>7.2988 * CHOOSE(CONTROL!$C$21, $C$12, 100%, $E$12)</f>
        <v>7.2988</v>
      </c>
      <c r="F400" s="61">
        <f>7.2988 * CHOOSE(CONTROL!$C$21, $C$12, 100%, $E$12)</f>
        <v>7.2988</v>
      </c>
      <c r="G400" s="61">
        <f>7.299 * CHOOSE(CONTROL!$C$21, $C$12, 100%, $E$12)</f>
        <v>7.2990000000000004</v>
      </c>
      <c r="H400" s="61">
        <f>12.7441* CHOOSE(CONTROL!$C$21, $C$12, 100%, $E$12)</f>
        <v>12.7441</v>
      </c>
      <c r="I400" s="61">
        <f>12.7442 * CHOOSE(CONTROL!$C$21, $C$12, 100%, $E$12)</f>
        <v>12.744199999999999</v>
      </c>
      <c r="J400" s="61">
        <f>7.2988 * CHOOSE(CONTROL!$C$21, $C$12, 100%, $E$12)</f>
        <v>7.2988</v>
      </c>
      <c r="K400" s="61">
        <f>7.299 * CHOOSE(CONTROL!$C$21, $C$12, 100%, $E$12)</f>
        <v>7.2990000000000004</v>
      </c>
    </row>
    <row r="401" spans="1:11" ht="15">
      <c r="A401" s="13">
        <v>54089</v>
      </c>
      <c r="B401" s="60">
        <f>6.3126 * CHOOSE(CONTROL!$C$21, $C$12, 100%, $E$12)</f>
        <v>6.3125999999999998</v>
      </c>
      <c r="C401" s="60">
        <f>6.3126 * CHOOSE(CONTROL!$C$21, $C$12, 100%, $E$12)</f>
        <v>6.3125999999999998</v>
      </c>
      <c r="D401" s="60">
        <f>6.3232 * CHOOSE(CONTROL!$C$21, $C$12, 100%, $E$12)</f>
        <v>6.3231999999999999</v>
      </c>
      <c r="E401" s="61">
        <f>7.217 * CHOOSE(CONTROL!$C$21, $C$12, 100%, $E$12)</f>
        <v>7.2169999999999996</v>
      </c>
      <c r="F401" s="61">
        <f>7.217 * CHOOSE(CONTROL!$C$21, $C$12, 100%, $E$12)</f>
        <v>7.2169999999999996</v>
      </c>
      <c r="G401" s="61">
        <f>7.2172 * CHOOSE(CONTROL!$C$21, $C$12, 100%, $E$12)</f>
        <v>7.2172000000000001</v>
      </c>
      <c r="H401" s="61">
        <f>12.7706* CHOOSE(CONTROL!$C$21, $C$12, 100%, $E$12)</f>
        <v>12.7706</v>
      </c>
      <c r="I401" s="61">
        <f>12.7708 * CHOOSE(CONTROL!$C$21, $C$12, 100%, $E$12)</f>
        <v>12.770799999999999</v>
      </c>
      <c r="J401" s="61">
        <f>7.217 * CHOOSE(CONTROL!$C$21, $C$12, 100%, $E$12)</f>
        <v>7.2169999999999996</v>
      </c>
      <c r="K401" s="61">
        <f>7.2172 * CHOOSE(CONTROL!$C$21, $C$12, 100%, $E$12)</f>
        <v>7.2172000000000001</v>
      </c>
    </row>
    <row r="402" spans="1:11" ht="15">
      <c r="A402" s="13">
        <v>54118</v>
      </c>
      <c r="B402" s="60">
        <f>6.3096 * CHOOSE(CONTROL!$C$21, $C$12, 100%, $E$12)</f>
        <v>6.3095999999999997</v>
      </c>
      <c r="C402" s="60">
        <f>6.3096 * CHOOSE(CONTROL!$C$21, $C$12, 100%, $E$12)</f>
        <v>6.3095999999999997</v>
      </c>
      <c r="D402" s="60">
        <f>6.3201 * CHOOSE(CONTROL!$C$21, $C$12, 100%, $E$12)</f>
        <v>6.3201000000000001</v>
      </c>
      <c r="E402" s="61">
        <f>7.2777 * CHOOSE(CONTROL!$C$21, $C$12, 100%, $E$12)</f>
        <v>7.2777000000000003</v>
      </c>
      <c r="F402" s="61">
        <f>7.2777 * CHOOSE(CONTROL!$C$21, $C$12, 100%, $E$12)</f>
        <v>7.2777000000000003</v>
      </c>
      <c r="G402" s="61">
        <f>7.2779 * CHOOSE(CONTROL!$C$21, $C$12, 100%, $E$12)</f>
        <v>7.2778999999999998</v>
      </c>
      <c r="H402" s="61">
        <f>12.7972* CHOOSE(CONTROL!$C$21, $C$12, 100%, $E$12)</f>
        <v>12.7972</v>
      </c>
      <c r="I402" s="61">
        <f>12.7974 * CHOOSE(CONTROL!$C$21, $C$12, 100%, $E$12)</f>
        <v>12.7974</v>
      </c>
      <c r="J402" s="61">
        <f>7.2777 * CHOOSE(CONTROL!$C$21, $C$12, 100%, $E$12)</f>
        <v>7.2777000000000003</v>
      </c>
      <c r="K402" s="61">
        <f>7.2779 * CHOOSE(CONTROL!$C$21, $C$12, 100%, $E$12)</f>
        <v>7.2778999999999998</v>
      </c>
    </row>
    <row r="403" spans="1:11" ht="15">
      <c r="A403" s="13">
        <v>54149</v>
      </c>
      <c r="B403" s="60">
        <f>6.3093 * CHOOSE(CONTROL!$C$21, $C$12, 100%, $E$12)</f>
        <v>6.3093000000000004</v>
      </c>
      <c r="C403" s="60">
        <f>6.3093 * CHOOSE(CONTROL!$C$21, $C$12, 100%, $E$12)</f>
        <v>6.3093000000000004</v>
      </c>
      <c r="D403" s="60">
        <f>6.3199 * CHOOSE(CONTROL!$C$21, $C$12, 100%, $E$12)</f>
        <v>6.3198999999999996</v>
      </c>
      <c r="E403" s="61">
        <f>7.3409 * CHOOSE(CONTROL!$C$21, $C$12, 100%, $E$12)</f>
        <v>7.3409000000000004</v>
      </c>
      <c r="F403" s="61">
        <f>7.3409 * CHOOSE(CONTROL!$C$21, $C$12, 100%, $E$12)</f>
        <v>7.3409000000000004</v>
      </c>
      <c r="G403" s="61">
        <f>7.3411 * CHOOSE(CONTROL!$C$21, $C$12, 100%, $E$12)</f>
        <v>7.3411</v>
      </c>
      <c r="H403" s="61">
        <f>12.8239* CHOOSE(CONTROL!$C$21, $C$12, 100%, $E$12)</f>
        <v>12.8239</v>
      </c>
      <c r="I403" s="61">
        <f>12.824 * CHOOSE(CONTROL!$C$21, $C$12, 100%, $E$12)</f>
        <v>12.824</v>
      </c>
      <c r="J403" s="61">
        <f>7.3409 * CHOOSE(CONTROL!$C$21, $C$12, 100%, $E$12)</f>
        <v>7.3409000000000004</v>
      </c>
      <c r="K403" s="61">
        <f>7.3411 * CHOOSE(CONTROL!$C$21, $C$12, 100%, $E$12)</f>
        <v>7.3411</v>
      </c>
    </row>
    <row r="404" spans="1:11" ht="15">
      <c r="A404" s="13">
        <v>54179</v>
      </c>
      <c r="B404" s="60">
        <f>6.3093 * CHOOSE(CONTROL!$C$21, $C$12, 100%, $E$12)</f>
        <v>6.3093000000000004</v>
      </c>
      <c r="C404" s="60">
        <f>6.3093 * CHOOSE(CONTROL!$C$21, $C$12, 100%, $E$12)</f>
        <v>6.3093000000000004</v>
      </c>
      <c r="D404" s="60">
        <f>6.3304 * CHOOSE(CONTROL!$C$21, $C$12, 100%, $E$12)</f>
        <v>6.3304</v>
      </c>
      <c r="E404" s="61">
        <f>7.3663 * CHOOSE(CONTROL!$C$21, $C$12, 100%, $E$12)</f>
        <v>7.3662999999999998</v>
      </c>
      <c r="F404" s="61">
        <f>7.3663 * CHOOSE(CONTROL!$C$21, $C$12, 100%, $E$12)</f>
        <v>7.3662999999999998</v>
      </c>
      <c r="G404" s="61">
        <f>7.3676 * CHOOSE(CONTROL!$C$21, $C$12, 100%, $E$12)</f>
        <v>7.3676000000000004</v>
      </c>
      <c r="H404" s="61">
        <f>12.8506* CHOOSE(CONTROL!$C$21, $C$12, 100%, $E$12)</f>
        <v>12.8506</v>
      </c>
      <c r="I404" s="61">
        <f>12.852 * CHOOSE(CONTROL!$C$21, $C$12, 100%, $E$12)</f>
        <v>12.852</v>
      </c>
      <c r="J404" s="61">
        <f>7.3663 * CHOOSE(CONTROL!$C$21, $C$12, 100%, $E$12)</f>
        <v>7.3662999999999998</v>
      </c>
      <c r="K404" s="61">
        <f>7.3676 * CHOOSE(CONTROL!$C$21, $C$12, 100%, $E$12)</f>
        <v>7.3676000000000004</v>
      </c>
    </row>
    <row r="405" spans="1:11" ht="15">
      <c r="A405" s="13">
        <v>54210</v>
      </c>
      <c r="B405" s="60">
        <f>6.3154 * CHOOSE(CONTROL!$C$21, $C$12, 100%, $E$12)</f>
        <v>6.3154000000000003</v>
      </c>
      <c r="C405" s="60">
        <f>6.3154 * CHOOSE(CONTROL!$C$21, $C$12, 100%, $E$12)</f>
        <v>6.3154000000000003</v>
      </c>
      <c r="D405" s="60">
        <f>6.3365 * CHOOSE(CONTROL!$C$21, $C$12, 100%, $E$12)</f>
        <v>6.3365</v>
      </c>
      <c r="E405" s="61">
        <f>7.3452 * CHOOSE(CONTROL!$C$21, $C$12, 100%, $E$12)</f>
        <v>7.3452000000000002</v>
      </c>
      <c r="F405" s="61">
        <f>7.3452 * CHOOSE(CONTROL!$C$21, $C$12, 100%, $E$12)</f>
        <v>7.3452000000000002</v>
      </c>
      <c r="G405" s="61">
        <f>7.3466 * CHOOSE(CONTROL!$C$21, $C$12, 100%, $E$12)</f>
        <v>7.3465999999999996</v>
      </c>
      <c r="H405" s="61">
        <f>12.8774* CHOOSE(CONTROL!$C$21, $C$12, 100%, $E$12)</f>
        <v>12.8774</v>
      </c>
      <c r="I405" s="61">
        <f>12.8787 * CHOOSE(CONTROL!$C$21, $C$12, 100%, $E$12)</f>
        <v>12.8787</v>
      </c>
      <c r="J405" s="61">
        <f>7.3452 * CHOOSE(CONTROL!$C$21, $C$12, 100%, $E$12)</f>
        <v>7.3452000000000002</v>
      </c>
      <c r="K405" s="61">
        <f>7.3466 * CHOOSE(CONTROL!$C$21, $C$12, 100%, $E$12)</f>
        <v>7.3465999999999996</v>
      </c>
    </row>
    <row r="406" spans="1:11" ht="15">
      <c r="A406" s="13">
        <v>54240</v>
      </c>
      <c r="B406" s="60">
        <f>6.42 * CHOOSE(CONTROL!$C$21, $C$12, 100%, $E$12)</f>
        <v>6.42</v>
      </c>
      <c r="C406" s="60">
        <f>6.42 * CHOOSE(CONTROL!$C$21, $C$12, 100%, $E$12)</f>
        <v>6.42</v>
      </c>
      <c r="D406" s="60">
        <f>6.4411 * CHOOSE(CONTROL!$C$21, $C$12, 100%, $E$12)</f>
        <v>6.4410999999999996</v>
      </c>
      <c r="E406" s="61">
        <f>7.4906 * CHOOSE(CONTROL!$C$21, $C$12, 100%, $E$12)</f>
        <v>7.4905999999999997</v>
      </c>
      <c r="F406" s="61">
        <f>7.4906 * CHOOSE(CONTROL!$C$21, $C$12, 100%, $E$12)</f>
        <v>7.4905999999999997</v>
      </c>
      <c r="G406" s="61">
        <f>7.492 * CHOOSE(CONTROL!$C$21, $C$12, 100%, $E$12)</f>
        <v>7.492</v>
      </c>
      <c r="H406" s="61">
        <f>12.9042* CHOOSE(CONTROL!$C$21, $C$12, 100%, $E$12)</f>
        <v>12.904199999999999</v>
      </c>
      <c r="I406" s="61">
        <f>12.9056 * CHOOSE(CONTROL!$C$21, $C$12, 100%, $E$12)</f>
        <v>12.9056</v>
      </c>
      <c r="J406" s="61">
        <f>7.4906 * CHOOSE(CONTROL!$C$21, $C$12, 100%, $E$12)</f>
        <v>7.4905999999999997</v>
      </c>
      <c r="K406" s="61">
        <f>7.492 * CHOOSE(CONTROL!$C$21, $C$12, 100%, $E$12)</f>
        <v>7.492</v>
      </c>
    </row>
    <row r="407" spans="1:11" ht="15">
      <c r="A407" s="13">
        <v>54271</v>
      </c>
      <c r="B407" s="60">
        <f>6.4266 * CHOOSE(CONTROL!$C$21, $C$12, 100%, $E$12)</f>
        <v>6.4265999999999996</v>
      </c>
      <c r="C407" s="60">
        <f>6.4266 * CHOOSE(CONTROL!$C$21, $C$12, 100%, $E$12)</f>
        <v>6.4265999999999996</v>
      </c>
      <c r="D407" s="60">
        <f>6.4478 * CHOOSE(CONTROL!$C$21, $C$12, 100%, $E$12)</f>
        <v>6.4478</v>
      </c>
      <c r="E407" s="61">
        <f>7.4193 * CHOOSE(CONTROL!$C$21, $C$12, 100%, $E$12)</f>
        <v>7.4192999999999998</v>
      </c>
      <c r="F407" s="61">
        <f>7.4193 * CHOOSE(CONTROL!$C$21, $C$12, 100%, $E$12)</f>
        <v>7.4192999999999998</v>
      </c>
      <c r="G407" s="61">
        <f>7.4207 * CHOOSE(CONTROL!$C$21, $C$12, 100%, $E$12)</f>
        <v>7.4207000000000001</v>
      </c>
      <c r="H407" s="61">
        <f>12.9311* CHOOSE(CONTROL!$C$21, $C$12, 100%, $E$12)</f>
        <v>12.931100000000001</v>
      </c>
      <c r="I407" s="61">
        <f>12.9324 * CHOOSE(CONTROL!$C$21, $C$12, 100%, $E$12)</f>
        <v>12.932399999999999</v>
      </c>
      <c r="J407" s="61">
        <f>7.4193 * CHOOSE(CONTROL!$C$21, $C$12, 100%, $E$12)</f>
        <v>7.4192999999999998</v>
      </c>
      <c r="K407" s="61">
        <f>7.4207 * CHOOSE(CONTROL!$C$21, $C$12, 100%, $E$12)</f>
        <v>7.4207000000000001</v>
      </c>
    </row>
    <row r="408" spans="1:11" ht="15">
      <c r="A408" s="13">
        <v>54302</v>
      </c>
      <c r="B408" s="60">
        <f>6.4236 * CHOOSE(CONTROL!$C$21, $C$12, 100%, $E$12)</f>
        <v>6.4236000000000004</v>
      </c>
      <c r="C408" s="60">
        <f>6.4236 * CHOOSE(CONTROL!$C$21, $C$12, 100%, $E$12)</f>
        <v>6.4236000000000004</v>
      </c>
      <c r="D408" s="60">
        <f>6.4447 * CHOOSE(CONTROL!$C$21, $C$12, 100%, $E$12)</f>
        <v>6.4447000000000001</v>
      </c>
      <c r="E408" s="61">
        <f>7.4088 * CHOOSE(CONTROL!$C$21, $C$12, 100%, $E$12)</f>
        <v>7.4088000000000003</v>
      </c>
      <c r="F408" s="61">
        <f>7.4088 * CHOOSE(CONTROL!$C$21, $C$12, 100%, $E$12)</f>
        <v>7.4088000000000003</v>
      </c>
      <c r="G408" s="61">
        <f>7.4101 * CHOOSE(CONTROL!$C$21, $C$12, 100%, $E$12)</f>
        <v>7.4100999999999999</v>
      </c>
      <c r="H408" s="61">
        <f>12.958* CHOOSE(CONTROL!$C$21, $C$12, 100%, $E$12)</f>
        <v>12.958</v>
      </c>
      <c r="I408" s="61">
        <f>12.9594 * CHOOSE(CONTROL!$C$21, $C$12, 100%, $E$12)</f>
        <v>12.9594</v>
      </c>
      <c r="J408" s="61">
        <f>7.4088 * CHOOSE(CONTROL!$C$21, $C$12, 100%, $E$12)</f>
        <v>7.4088000000000003</v>
      </c>
      <c r="K408" s="61">
        <f>7.4101 * CHOOSE(CONTROL!$C$21, $C$12, 100%, $E$12)</f>
        <v>7.4100999999999999</v>
      </c>
    </row>
    <row r="409" spans="1:11" ht="15">
      <c r="A409" s="13">
        <v>54332</v>
      </c>
      <c r="B409" s="60">
        <f>6.427 * CHOOSE(CONTROL!$C$21, $C$12, 100%, $E$12)</f>
        <v>6.4269999999999996</v>
      </c>
      <c r="C409" s="60">
        <f>6.427 * CHOOSE(CONTROL!$C$21, $C$12, 100%, $E$12)</f>
        <v>6.4269999999999996</v>
      </c>
      <c r="D409" s="60">
        <f>6.4376 * CHOOSE(CONTROL!$C$21, $C$12, 100%, $E$12)</f>
        <v>6.4375999999999998</v>
      </c>
      <c r="E409" s="61">
        <f>7.4291 * CHOOSE(CONTROL!$C$21, $C$12, 100%, $E$12)</f>
        <v>7.4291</v>
      </c>
      <c r="F409" s="61">
        <f>7.4291 * CHOOSE(CONTROL!$C$21, $C$12, 100%, $E$12)</f>
        <v>7.4291</v>
      </c>
      <c r="G409" s="61">
        <f>7.4293 * CHOOSE(CONTROL!$C$21, $C$12, 100%, $E$12)</f>
        <v>7.4292999999999996</v>
      </c>
      <c r="H409" s="61">
        <f>12.985* CHOOSE(CONTROL!$C$21, $C$12, 100%, $E$12)</f>
        <v>12.984999999999999</v>
      </c>
      <c r="I409" s="61">
        <f>12.9852 * CHOOSE(CONTROL!$C$21, $C$12, 100%, $E$12)</f>
        <v>12.985200000000001</v>
      </c>
      <c r="J409" s="61">
        <f>7.4291 * CHOOSE(CONTROL!$C$21, $C$12, 100%, $E$12)</f>
        <v>7.4291</v>
      </c>
      <c r="K409" s="61">
        <f>7.4293 * CHOOSE(CONTROL!$C$21, $C$12, 100%, $E$12)</f>
        <v>7.4292999999999996</v>
      </c>
    </row>
    <row r="410" spans="1:11" ht="15">
      <c r="A410" s="13">
        <v>54363</v>
      </c>
      <c r="B410" s="60">
        <f>6.43 * CHOOSE(CONTROL!$C$21, $C$12, 100%, $E$12)</f>
        <v>6.43</v>
      </c>
      <c r="C410" s="60">
        <f>6.43 * CHOOSE(CONTROL!$C$21, $C$12, 100%, $E$12)</f>
        <v>6.43</v>
      </c>
      <c r="D410" s="60">
        <f>6.4406 * CHOOSE(CONTROL!$C$21, $C$12, 100%, $E$12)</f>
        <v>6.4405999999999999</v>
      </c>
      <c r="E410" s="61">
        <f>7.4481 * CHOOSE(CONTROL!$C$21, $C$12, 100%, $E$12)</f>
        <v>7.4481000000000002</v>
      </c>
      <c r="F410" s="61">
        <f>7.4481 * CHOOSE(CONTROL!$C$21, $C$12, 100%, $E$12)</f>
        <v>7.4481000000000002</v>
      </c>
      <c r="G410" s="61">
        <f>7.4483 * CHOOSE(CONTROL!$C$21, $C$12, 100%, $E$12)</f>
        <v>7.4482999999999997</v>
      </c>
      <c r="H410" s="61">
        <f>13.0121* CHOOSE(CONTROL!$C$21, $C$12, 100%, $E$12)</f>
        <v>13.0121</v>
      </c>
      <c r="I410" s="61">
        <f>13.0122 * CHOOSE(CONTROL!$C$21, $C$12, 100%, $E$12)</f>
        <v>13.0122</v>
      </c>
      <c r="J410" s="61">
        <f>7.4481 * CHOOSE(CONTROL!$C$21, $C$12, 100%, $E$12)</f>
        <v>7.4481000000000002</v>
      </c>
      <c r="K410" s="61">
        <f>7.4483 * CHOOSE(CONTROL!$C$21, $C$12, 100%, $E$12)</f>
        <v>7.4482999999999997</v>
      </c>
    </row>
    <row r="411" spans="1:11" ht="15">
      <c r="A411" s="13">
        <v>54393</v>
      </c>
      <c r="B411" s="60">
        <f>6.43 * CHOOSE(CONTROL!$C$21, $C$12, 100%, $E$12)</f>
        <v>6.43</v>
      </c>
      <c r="C411" s="60">
        <f>6.43 * CHOOSE(CONTROL!$C$21, $C$12, 100%, $E$12)</f>
        <v>6.43</v>
      </c>
      <c r="D411" s="60">
        <f>6.4406 * CHOOSE(CONTROL!$C$21, $C$12, 100%, $E$12)</f>
        <v>6.4405999999999999</v>
      </c>
      <c r="E411" s="61">
        <f>7.4059 * CHOOSE(CONTROL!$C$21, $C$12, 100%, $E$12)</f>
        <v>7.4058999999999999</v>
      </c>
      <c r="F411" s="61">
        <f>7.4059 * CHOOSE(CONTROL!$C$21, $C$12, 100%, $E$12)</f>
        <v>7.4058999999999999</v>
      </c>
      <c r="G411" s="61">
        <f>7.4061 * CHOOSE(CONTROL!$C$21, $C$12, 100%, $E$12)</f>
        <v>7.4061000000000003</v>
      </c>
      <c r="H411" s="61">
        <f>13.0392* CHOOSE(CONTROL!$C$21, $C$12, 100%, $E$12)</f>
        <v>13.039199999999999</v>
      </c>
      <c r="I411" s="61">
        <f>13.0393 * CHOOSE(CONTROL!$C$21, $C$12, 100%, $E$12)</f>
        <v>13.039300000000001</v>
      </c>
      <c r="J411" s="61">
        <f>7.4059 * CHOOSE(CONTROL!$C$21, $C$12, 100%, $E$12)</f>
        <v>7.4058999999999999</v>
      </c>
      <c r="K411" s="61">
        <f>7.4061 * CHOOSE(CONTROL!$C$21, $C$12, 100%, $E$12)</f>
        <v>7.4061000000000003</v>
      </c>
    </row>
    <row r="412" spans="1:11" ht="15">
      <c r="A412" s="13">
        <v>54424</v>
      </c>
      <c r="B412" s="60">
        <f>6.4879 * CHOOSE(CONTROL!$C$21, $C$12, 100%, $E$12)</f>
        <v>6.4878999999999998</v>
      </c>
      <c r="C412" s="60">
        <f>6.4879 * CHOOSE(CONTROL!$C$21, $C$12, 100%, $E$12)</f>
        <v>6.4878999999999998</v>
      </c>
      <c r="D412" s="60">
        <f>6.4984 * CHOOSE(CONTROL!$C$21, $C$12, 100%, $E$12)</f>
        <v>6.4984000000000002</v>
      </c>
      <c r="E412" s="61">
        <f>7.5031 * CHOOSE(CONTROL!$C$21, $C$12, 100%, $E$12)</f>
        <v>7.5030999999999999</v>
      </c>
      <c r="F412" s="61">
        <f>7.5031 * CHOOSE(CONTROL!$C$21, $C$12, 100%, $E$12)</f>
        <v>7.5030999999999999</v>
      </c>
      <c r="G412" s="61">
        <f>7.5032 * CHOOSE(CONTROL!$C$21, $C$12, 100%, $E$12)</f>
        <v>7.5031999999999996</v>
      </c>
      <c r="H412" s="61">
        <f>13.0663* CHOOSE(CONTROL!$C$21, $C$12, 100%, $E$12)</f>
        <v>13.0663</v>
      </c>
      <c r="I412" s="61">
        <f>13.0665 * CHOOSE(CONTROL!$C$21, $C$12, 100%, $E$12)</f>
        <v>13.0665</v>
      </c>
      <c r="J412" s="61">
        <f>7.5031 * CHOOSE(CONTROL!$C$21, $C$12, 100%, $E$12)</f>
        <v>7.5030999999999999</v>
      </c>
      <c r="K412" s="61">
        <f>7.5032 * CHOOSE(CONTROL!$C$21, $C$12, 100%, $E$12)</f>
        <v>7.5031999999999996</v>
      </c>
    </row>
    <row r="413" spans="1:11" ht="15">
      <c r="A413" s="13">
        <v>54455</v>
      </c>
      <c r="B413" s="60">
        <f>6.4848 * CHOOSE(CONTROL!$C$21, $C$12, 100%, $E$12)</f>
        <v>6.4847999999999999</v>
      </c>
      <c r="C413" s="60">
        <f>6.4848 * CHOOSE(CONTROL!$C$21, $C$12, 100%, $E$12)</f>
        <v>6.4847999999999999</v>
      </c>
      <c r="D413" s="60">
        <f>6.4954 * CHOOSE(CONTROL!$C$21, $C$12, 100%, $E$12)</f>
        <v>6.4954000000000001</v>
      </c>
      <c r="E413" s="61">
        <f>7.419 * CHOOSE(CONTROL!$C$21, $C$12, 100%, $E$12)</f>
        <v>7.4189999999999996</v>
      </c>
      <c r="F413" s="61">
        <f>7.419 * CHOOSE(CONTROL!$C$21, $C$12, 100%, $E$12)</f>
        <v>7.4189999999999996</v>
      </c>
      <c r="G413" s="61">
        <f>7.4192 * CHOOSE(CONTROL!$C$21, $C$12, 100%, $E$12)</f>
        <v>7.4192</v>
      </c>
      <c r="H413" s="61">
        <f>13.0936* CHOOSE(CONTROL!$C$21, $C$12, 100%, $E$12)</f>
        <v>13.0936</v>
      </c>
      <c r="I413" s="61">
        <f>13.0937 * CHOOSE(CONTROL!$C$21, $C$12, 100%, $E$12)</f>
        <v>13.0937</v>
      </c>
      <c r="J413" s="61">
        <f>7.419 * CHOOSE(CONTROL!$C$21, $C$12, 100%, $E$12)</f>
        <v>7.4189999999999996</v>
      </c>
      <c r="K413" s="61">
        <f>7.4192 * CHOOSE(CONTROL!$C$21, $C$12, 100%, $E$12)</f>
        <v>7.4192</v>
      </c>
    </row>
    <row r="414" spans="1:11" ht="15">
      <c r="A414" s="13">
        <v>54483</v>
      </c>
      <c r="B414" s="60">
        <f>6.4818 * CHOOSE(CONTROL!$C$21, $C$12, 100%, $E$12)</f>
        <v>6.4817999999999998</v>
      </c>
      <c r="C414" s="60">
        <f>6.4818 * CHOOSE(CONTROL!$C$21, $C$12, 100%, $E$12)</f>
        <v>6.4817999999999998</v>
      </c>
      <c r="D414" s="60">
        <f>6.4924 * CHOOSE(CONTROL!$C$21, $C$12, 100%, $E$12)</f>
        <v>6.4923999999999999</v>
      </c>
      <c r="E414" s="61">
        <f>7.4815 * CHOOSE(CONTROL!$C$21, $C$12, 100%, $E$12)</f>
        <v>7.4814999999999996</v>
      </c>
      <c r="F414" s="61">
        <f>7.4815 * CHOOSE(CONTROL!$C$21, $C$12, 100%, $E$12)</f>
        <v>7.4814999999999996</v>
      </c>
      <c r="G414" s="61">
        <f>7.4817 * CHOOSE(CONTROL!$C$21, $C$12, 100%, $E$12)</f>
        <v>7.4817</v>
      </c>
      <c r="H414" s="61">
        <f>13.1208* CHOOSE(CONTROL!$C$21, $C$12, 100%, $E$12)</f>
        <v>13.120799999999999</v>
      </c>
      <c r="I414" s="61">
        <f>13.121 * CHOOSE(CONTROL!$C$21, $C$12, 100%, $E$12)</f>
        <v>13.121</v>
      </c>
      <c r="J414" s="61">
        <f>7.4815 * CHOOSE(CONTROL!$C$21, $C$12, 100%, $E$12)</f>
        <v>7.4814999999999996</v>
      </c>
      <c r="K414" s="61">
        <f>7.4817 * CHOOSE(CONTROL!$C$21, $C$12, 100%, $E$12)</f>
        <v>7.4817</v>
      </c>
    </row>
    <row r="415" spans="1:11" ht="15">
      <c r="A415" s="13">
        <v>54514</v>
      </c>
      <c r="B415" s="60">
        <f>6.4817 * CHOOSE(CONTROL!$C$21, $C$12, 100%, $E$12)</f>
        <v>6.4817</v>
      </c>
      <c r="C415" s="60">
        <f>6.4817 * CHOOSE(CONTROL!$C$21, $C$12, 100%, $E$12)</f>
        <v>6.4817</v>
      </c>
      <c r="D415" s="60">
        <f>6.4922 * CHOOSE(CONTROL!$C$21, $C$12, 100%, $E$12)</f>
        <v>6.4922000000000004</v>
      </c>
      <c r="E415" s="61">
        <f>7.5466 * CHOOSE(CONTROL!$C$21, $C$12, 100%, $E$12)</f>
        <v>7.5465999999999998</v>
      </c>
      <c r="F415" s="61">
        <f>7.5466 * CHOOSE(CONTROL!$C$21, $C$12, 100%, $E$12)</f>
        <v>7.5465999999999998</v>
      </c>
      <c r="G415" s="61">
        <f>7.5468 * CHOOSE(CONTROL!$C$21, $C$12, 100%, $E$12)</f>
        <v>7.5468000000000002</v>
      </c>
      <c r="H415" s="61">
        <f>13.1482* CHOOSE(CONTROL!$C$21, $C$12, 100%, $E$12)</f>
        <v>13.148199999999999</v>
      </c>
      <c r="I415" s="61">
        <f>13.1483 * CHOOSE(CONTROL!$C$21, $C$12, 100%, $E$12)</f>
        <v>13.148300000000001</v>
      </c>
      <c r="J415" s="61">
        <f>7.5466 * CHOOSE(CONTROL!$C$21, $C$12, 100%, $E$12)</f>
        <v>7.5465999999999998</v>
      </c>
      <c r="K415" s="61">
        <f>7.5468 * CHOOSE(CONTROL!$C$21, $C$12, 100%, $E$12)</f>
        <v>7.5468000000000002</v>
      </c>
    </row>
    <row r="416" spans="1:11" ht="15">
      <c r="A416" s="13">
        <v>54544</v>
      </c>
      <c r="B416" s="60">
        <f>6.4817 * CHOOSE(CONTROL!$C$21, $C$12, 100%, $E$12)</f>
        <v>6.4817</v>
      </c>
      <c r="C416" s="60">
        <f>6.4817 * CHOOSE(CONTROL!$C$21, $C$12, 100%, $E$12)</f>
        <v>6.4817</v>
      </c>
      <c r="D416" s="60">
        <f>6.5028 * CHOOSE(CONTROL!$C$21, $C$12, 100%, $E$12)</f>
        <v>6.5027999999999997</v>
      </c>
      <c r="E416" s="61">
        <f>7.5726 * CHOOSE(CONTROL!$C$21, $C$12, 100%, $E$12)</f>
        <v>7.5726000000000004</v>
      </c>
      <c r="F416" s="61">
        <f>7.5726 * CHOOSE(CONTROL!$C$21, $C$12, 100%, $E$12)</f>
        <v>7.5726000000000004</v>
      </c>
      <c r="G416" s="61">
        <f>7.574 * CHOOSE(CONTROL!$C$21, $C$12, 100%, $E$12)</f>
        <v>7.5739999999999998</v>
      </c>
      <c r="H416" s="61">
        <f>13.1756* CHOOSE(CONTROL!$C$21, $C$12, 100%, $E$12)</f>
        <v>13.175599999999999</v>
      </c>
      <c r="I416" s="61">
        <f>13.1769 * CHOOSE(CONTROL!$C$21, $C$12, 100%, $E$12)</f>
        <v>13.1769</v>
      </c>
      <c r="J416" s="61">
        <f>7.5726 * CHOOSE(CONTROL!$C$21, $C$12, 100%, $E$12)</f>
        <v>7.5726000000000004</v>
      </c>
      <c r="K416" s="61">
        <f>7.574 * CHOOSE(CONTROL!$C$21, $C$12, 100%, $E$12)</f>
        <v>7.5739999999999998</v>
      </c>
    </row>
    <row r="417" spans="1:11" ht="15">
      <c r="A417" s="13">
        <v>54575</v>
      </c>
      <c r="B417" s="60">
        <f>6.4877 * CHOOSE(CONTROL!$C$21, $C$12, 100%, $E$12)</f>
        <v>6.4877000000000002</v>
      </c>
      <c r="C417" s="60">
        <f>6.4877 * CHOOSE(CONTROL!$C$21, $C$12, 100%, $E$12)</f>
        <v>6.4877000000000002</v>
      </c>
      <c r="D417" s="60">
        <f>6.5089 * CHOOSE(CONTROL!$C$21, $C$12, 100%, $E$12)</f>
        <v>6.5088999999999997</v>
      </c>
      <c r="E417" s="61">
        <f>7.5509 * CHOOSE(CONTROL!$C$21, $C$12, 100%, $E$12)</f>
        <v>7.5509000000000004</v>
      </c>
      <c r="F417" s="61">
        <f>7.5509 * CHOOSE(CONTROL!$C$21, $C$12, 100%, $E$12)</f>
        <v>7.5509000000000004</v>
      </c>
      <c r="G417" s="61">
        <f>7.5522 * CHOOSE(CONTROL!$C$21, $C$12, 100%, $E$12)</f>
        <v>7.5522</v>
      </c>
      <c r="H417" s="61">
        <f>13.203* CHOOSE(CONTROL!$C$21, $C$12, 100%, $E$12)</f>
        <v>13.202999999999999</v>
      </c>
      <c r="I417" s="61">
        <f>13.2044 * CHOOSE(CONTROL!$C$21, $C$12, 100%, $E$12)</f>
        <v>13.2044</v>
      </c>
      <c r="J417" s="61">
        <f>7.5509 * CHOOSE(CONTROL!$C$21, $C$12, 100%, $E$12)</f>
        <v>7.5509000000000004</v>
      </c>
      <c r="K417" s="61">
        <f>7.5522 * CHOOSE(CONTROL!$C$21, $C$12, 100%, $E$12)</f>
        <v>7.5522</v>
      </c>
    </row>
    <row r="418" spans="1:11" ht="15">
      <c r="A418" s="13">
        <v>54605</v>
      </c>
      <c r="B418" s="60">
        <f>6.5949 * CHOOSE(CONTROL!$C$21, $C$12, 100%, $E$12)</f>
        <v>6.5949</v>
      </c>
      <c r="C418" s="60">
        <f>6.5949 * CHOOSE(CONTROL!$C$21, $C$12, 100%, $E$12)</f>
        <v>6.5949</v>
      </c>
      <c r="D418" s="60">
        <f>6.616 * CHOOSE(CONTROL!$C$21, $C$12, 100%, $E$12)</f>
        <v>6.6159999999999997</v>
      </c>
      <c r="E418" s="61">
        <f>7.7 * CHOOSE(CONTROL!$C$21, $C$12, 100%, $E$12)</f>
        <v>7.7</v>
      </c>
      <c r="F418" s="61">
        <f>7.7 * CHOOSE(CONTROL!$C$21, $C$12, 100%, $E$12)</f>
        <v>7.7</v>
      </c>
      <c r="G418" s="61">
        <f>7.7014 * CHOOSE(CONTROL!$C$21, $C$12, 100%, $E$12)</f>
        <v>7.7013999999999996</v>
      </c>
      <c r="H418" s="61">
        <f>13.2305* CHOOSE(CONTROL!$C$21, $C$12, 100%, $E$12)</f>
        <v>13.230499999999999</v>
      </c>
      <c r="I418" s="61">
        <f>13.2319 * CHOOSE(CONTROL!$C$21, $C$12, 100%, $E$12)</f>
        <v>13.2319</v>
      </c>
      <c r="J418" s="61">
        <f>7.7 * CHOOSE(CONTROL!$C$21, $C$12, 100%, $E$12)</f>
        <v>7.7</v>
      </c>
      <c r="K418" s="61">
        <f>7.7014 * CHOOSE(CONTROL!$C$21, $C$12, 100%, $E$12)</f>
        <v>7.7013999999999996</v>
      </c>
    </row>
    <row r="419" spans="1:11" ht="15">
      <c r="A419" s="13">
        <v>54636</v>
      </c>
      <c r="B419" s="60">
        <f>6.6016 * CHOOSE(CONTROL!$C$21, $C$12, 100%, $E$12)</f>
        <v>6.6016000000000004</v>
      </c>
      <c r="C419" s="60">
        <f>6.6016 * CHOOSE(CONTROL!$C$21, $C$12, 100%, $E$12)</f>
        <v>6.6016000000000004</v>
      </c>
      <c r="D419" s="60">
        <f>6.6227 * CHOOSE(CONTROL!$C$21, $C$12, 100%, $E$12)</f>
        <v>6.6227</v>
      </c>
      <c r="E419" s="61">
        <f>7.6266 * CHOOSE(CONTROL!$C$21, $C$12, 100%, $E$12)</f>
        <v>7.6265999999999998</v>
      </c>
      <c r="F419" s="61">
        <f>7.6266 * CHOOSE(CONTROL!$C$21, $C$12, 100%, $E$12)</f>
        <v>7.6265999999999998</v>
      </c>
      <c r="G419" s="61">
        <f>7.628 * CHOOSE(CONTROL!$C$21, $C$12, 100%, $E$12)</f>
        <v>7.6280000000000001</v>
      </c>
      <c r="H419" s="61">
        <f>13.2581* CHOOSE(CONTROL!$C$21, $C$12, 100%, $E$12)</f>
        <v>13.258100000000001</v>
      </c>
      <c r="I419" s="61">
        <f>13.2595 * CHOOSE(CONTROL!$C$21, $C$12, 100%, $E$12)</f>
        <v>13.259499999999999</v>
      </c>
      <c r="J419" s="61">
        <f>7.6266 * CHOOSE(CONTROL!$C$21, $C$12, 100%, $E$12)</f>
        <v>7.6265999999999998</v>
      </c>
      <c r="K419" s="61">
        <f>7.628 * CHOOSE(CONTROL!$C$21, $C$12, 100%, $E$12)</f>
        <v>7.6280000000000001</v>
      </c>
    </row>
    <row r="420" spans="1:11" ht="15">
      <c r="A420" s="13">
        <v>54667</v>
      </c>
      <c r="B420" s="60">
        <f>6.5985 * CHOOSE(CONTROL!$C$21, $C$12, 100%, $E$12)</f>
        <v>6.5984999999999996</v>
      </c>
      <c r="C420" s="60">
        <f>6.5985 * CHOOSE(CONTROL!$C$21, $C$12, 100%, $E$12)</f>
        <v>6.5984999999999996</v>
      </c>
      <c r="D420" s="60">
        <f>6.6197 * CHOOSE(CONTROL!$C$21, $C$12, 100%, $E$12)</f>
        <v>6.6196999999999999</v>
      </c>
      <c r="E420" s="61">
        <f>7.6159 * CHOOSE(CONTROL!$C$21, $C$12, 100%, $E$12)</f>
        <v>7.6158999999999999</v>
      </c>
      <c r="F420" s="61">
        <f>7.6159 * CHOOSE(CONTROL!$C$21, $C$12, 100%, $E$12)</f>
        <v>7.6158999999999999</v>
      </c>
      <c r="G420" s="61">
        <f>7.6172 * CHOOSE(CONTROL!$C$21, $C$12, 100%, $E$12)</f>
        <v>7.6172000000000004</v>
      </c>
      <c r="H420" s="61">
        <f>13.2857* CHOOSE(CONTROL!$C$21, $C$12, 100%, $E$12)</f>
        <v>13.2857</v>
      </c>
      <c r="I420" s="61">
        <f>13.2871 * CHOOSE(CONTROL!$C$21, $C$12, 100%, $E$12)</f>
        <v>13.287100000000001</v>
      </c>
      <c r="J420" s="61">
        <f>7.6159 * CHOOSE(CONTROL!$C$21, $C$12, 100%, $E$12)</f>
        <v>7.6158999999999999</v>
      </c>
      <c r="K420" s="61">
        <f>7.6172 * CHOOSE(CONTROL!$C$21, $C$12, 100%, $E$12)</f>
        <v>7.6172000000000004</v>
      </c>
    </row>
    <row r="421" spans="1:11" ht="15">
      <c r="A421" s="13">
        <v>54697</v>
      </c>
      <c r="B421" s="60">
        <f>6.6025 * CHOOSE(CONTROL!$C$21, $C$12, 100%, $E$12)</f>
        <v>6.6025</v>
      </c>
      <c r="C421" s="60">
        <f>6.6025 * CHOOSE(CONTROL!$C$21, $C$12, 100%, $E$12)</f>
        <v>6.6025</v>
      </c>
      <c r="D421" s="60">
        <f>6.6131 * CHOOSE(CONTROL!$C$21, $C$12, 100%, $E$12)</f>
        <v>6.6131000000000002</v>
      </c>
      <c r="E421" s="61">
        <f>7.6371 * CHOOSE(CONTROL!$C$21, $C$12, 100%, $E$12)</f>
        <v>7.6371000000000002</v>
      </c>
      <c r="F421" s="61">
        <f>7.6371 * CHOOSE(CONTROL!$C$21, $C$12, 100%, $E$12)</f>
        <v>7.6371000000000002</v>
      </c>
      <c r="G421" s="61">
        <f>7.6373 * CHOOSE(CONTROL!$C$21, $C$12, 100%, $E$12)</f>
        <v>7.6372999999999998</v>
      </c>
      <c r="H421" s="61">
        <f>13.3134* CHOOSE(CONTROL!$C$21, $C$12, 100%, $E$12)</f>
        <v>13.3134</v>
      </c>
      <c r="I421" s="61">
        <f>13.3136 * CHOOSE(CONTROL!$C$21, $C$12, 100%, $E$12)</f>
        <v>13.313599999999999</v>
      </c>
      <c r="J421" s="61">
        <f>7.6371 * CHOOSE(CONTROL!$C$21, $C$12, 100%, $E$12)</f>
        <v>7.6371000000000002</v>
      </c>
      <c r="K421" s="61">
        <f>7.6373 * CHOOSE(CONTROL!$C$21, $C$12, 100%, $E$12)</f>
        <v>7.6372999999999998</v>
      </c>
    </row>
    <row r="422" spans="1:11" ht="15">
      <c r="A422" s="13">
        <v>54728</v>
      </c>
      <c r="B422" s="60">
        <f>6.6056 * CHOOSE(CONTROL!$C$21, $C$12, 100%, $E$12)</f>
        <v>6.6055999999999999</v>
      </c>
      <c r="C422" s="60">
        <f>6.6056 * CHOOSE(CONTROL!$C$21, $C$12, 100%, $E$12)</f>
        <v>6.6055999999999999</v>
      </c>
      <c r="D422" s="60">
        <f>6.6161 * CHOOSE(CONTROL!$C$21, $C$12, 100%, $E$12)</f>
        <v>6.6161000000000003</v>
      </c>
      <c r="E422" s="61">
        <f>7.6566 * CHOOSE(CONTROL!$C$21, $C$12, 100%, $E$12)</f>
        <v>7.6566000000000001</v>
      </c>
      <c r="F422" s="61">
        <f>7.6566 * CHOOSE(CONTROL!$C$21, $C$12, 100%, $E$12)</f>
        <v>7.6566000000000001</v>
      </c>
      <c r="G422" s="61">
        <f>7.6568 * CHOOSE(CONTROL!$C$21, $C$12, 100%, $E$12)</f>
        <v>7.6567999999999996</v>
      </c>
      <c r="H422" s="61">
        <f>13.3411* CHOOSE(CONTROL!$C$21, $C$12, 100%, $E$12)</f>
        <v>13.341100000000001</v>
      </c>
      <c r="I422" s="61">
        <f>13.3413 * CHOOSE(CONTROL!$C$21, $C$12, 100%, $E$12)</f>
        <v>13.3413</v>
      </c>
      <c r="J422" s="61">
        <f>7.6566 * CHOOSE(CONTROL!$C$21, $C$12, 100%, $E$12)</f>
        <v>7.6566000000000001</v>
      </c>
      <c r="K422" s="61">
        <f>7.6568 * CHOOSE(CONTROL!$C$21, $C$12, 100%, $E$12)</f>
        <v>7.6567999999999996</v>
      </c>
    </row>
    <row r="423" spans="1:11" ht="15">
      <c r="A423" s="13">
        <v>54758</v>
      </c>
      <c r="B423" s="60">
        <f>6.6056 * CHOOSE(CONTROL!$C$21, $C$12, 100%, $E$12)</f>
        <v>6.6055999999999999</v>
      </c>
      <c r="C423" s="60">
        <f>6.6056 * CHOOSE(CONTROL!$C$21, $C$12, 100%, $E$12)</f>
        <v>6.6055999999999999</v>
      </c>
      <c r="D423" s="60">
        <f>6.6161 * CHOOSE(CONTROL!$C$21, $C$12, 100%, $E$12)</f>
        <v>6.6161000000000003</v>
      </c>
      <c r="E423" s="61">
        <f>7.6132 * CHOOSE(CONTROL!$C$21, $C$12, 100%, $E$12)</f>
        <v>7.6132</v>
      </c>
      <c r="F423" s="61">
        <f>7.6132 * CHOOSE(CONTROL!$C$21, $C$12, 100%, $E$12)</f>
        <v>7.6132</v>
      </c>
      <c r="G423" s="61">
        <f>7.6134 * CHOOSE(CONTROL!$C$21, $C$12, 100%, $E$12)</f>
        <v>7.6134000000000004</v>
      </c>
      <c r="H423" s="61">
        <f>13.3689* CHOOSE(CONTROL!$C$21, $C$12, 100%, $E$12)</f>
        <v>13.3689</v>
      </c>
      <c r="I423" s="61">
        <f>13.3691 * CHOOSE(CONTROL!$C$21, $C$12, 100%, $E$12)</f>
        <v>13.3691</v>
      </c>
      <c r="J423" s="61">
        <f>7.6132 * CHOOSE(CONTROL!$C$21, $C$12, 100%, $E$12)</f>
        <v>7.6132</v>
      </c>
      <c r="K423" s="61">
        <f>7.6134 * CHOOSE(CONTROL!$C$21, $C$12, 100%, $E$12)</f>
        <v>7.6134000000000004</v>
      </c>
    </row>
    <row r="424" spans="1:11" ht="15">
      <c r="A424" s="13">
        <v>54789</v>
      </c>
      <c r="B424" s="60">
        <f>6.6648 * CHOOSE(CONTROL!$C$21, $C$12, 100%, $E$12)</f>
        <v>6.6647999999999996</v>
      </c>
      <c r="C424" s="60">
        <f>6.6648 * CHOOSE(CONTROL!$C$21, $C$12, 100%, $E$12)</f>
        <v>6.6647999999999996</v>
      </c>
      <c r="D424" s="60">
        <f>6.6754 * CHOOSE(CONTROL!$C$21, $C$12, 100%, $E$12)</f>
        <v>6.6753999999999998</v>
      </c>
      <c r="E424" s="61">
        <f>7.713 * CHOOSE(CONTROL!$C$21, $C$12, 100%, $E$12)</f>
        <v>7.7130000000000001</v>
      </c>
      <c r="F424" s="61">
        <f>7.713 * CHOOSE(CONTROL!$C$21, $C$12, 100%, $E$12)</f>
        <v>7.7130000000000001</v>
      </c>
      <c r="G424" s="61">
        <f>7.7132 * CHOOSE(CONTROL!$C$21, $C$12, 100%, $E$12)</f>
        <v>7.7131999999999996</v>
      </c>
      <c r="H424" s="61">
        <f>13.3968* CHOOSE(CONTROL!$C$21, $C$12, 100%, $E$12)</f>
        <v>13.396800000000001</v>
      </c>
      <c r="I424" s="61">
        <f>13.3969 * CHOOSE(CONTROL!$C$21, $C$12, 100%, $E$12)</f>
        <v>13.3969</v>
      </c>
      <c r="J424" s="61">
        <f>7.713 * CHOOSE(CONTROL!$C$21, $C$12, 100%, $E$12)</f>
        <v>7.7130000000000001</v>
      </c>
      <c r="K424" s="61">
        <f>7.7132 * CHOOSE(CONTROL!$C$21, $C$12, 100%, $E$12)</f>
        <v>7.7131999999999996</v>
      </c>
    </row>
    <row r="425" spans="1:11" ht="15">
      <c r="A425" s="13">
        <v>54820</v>
      </c>
      <c r="B425" s="60">
        <f>6.6618 * CHOOSE(CONTROL!$C$21, $C$12, 100%, $E$12)</f>
        <v>6.6618000000000004</v>
      </c>
      <c r="C425" s="60">
        <f>6.6618 * CHOOSE(CONTROL!$C$21, $C$12, 100%, $E$12)</f>
        <v>6.6618000000000004</v>
      </c>
      <c r="D425" s="60">
        <f>6.6724 * CHOOSE(CONTROL!$C$21, $C$12, 100%, $E$12)</f>
        <v>6.6723999999999997</v>
      </c>
      <c r="E425" s="61">
        <f>7.6267 * CHOOSE(CONTROL!$C$21, $C$12, 100%, $E$12)</f>
        <v>7.6266999999999996</v>
      </c>
      <c r="F425" s="61">
        <f>7.6267 * CHOOSE(CONTROL!$C$21, $C$12, 100%, $E$12)</f>
        <v>7.6266999999999996</v>
      </c>
      <c r="G425" s="61">
        <f>7.6268 * CHOOSE(CONTROL!$C$21, $C$12, 100%, $E$12)</f>
        <v>7.6268000000000002</v>
      </c>
      <c r="H425" s="61">
        <f>13.4247* CHOOSE(CONTROL!$C$21, $C$12, 100%, $E$12)</f>
        <v>13.4247</v>
      </c>
      <c r="I425" s="61">
        <f>13.4248 * CHOOSE(CONTROL!$C$21, $C$12, 100%, $E$12)</f>
        <v>13.424799999999999</v>
      </c>
      <c r="J425" s="61">
        <f>7.6267 * CHOOSE(CONTROL!$C$21, $C$12, 100%, $E$12)</f>
        <v>7.6266999999999996</v>
      </c>
      <c r="K425" s="61">
        <f>7.6268 * CHOOSE(CONTROL!$C$21, $C$12, 100%, $E$12)</f>
        <v>7.6268000000000002</v>
      </c>
    </row>
    <row r="426" spans="1:11" ht="15">
      <c r="A426" s="13">
        <v>54848</v>
      </c>
      <c r="B426" s="60">
        <f>6.6588 * CHOOSE(CONTROL!$C$21, $C$12, 100%, $E$12)</f>
        <v>6.6588000000000003</v>
      </c>
      <c r="C426" s="60">
        <f>6.6588 * CHOOSE(CONTROL!$C$21, $C$12, 100%, $E$12)</f>
        <v>6.6588000000000003</v>
      </c>
      <c r="D426" s="60">
        <f>6.6693 * CHOOSE(CONTROL!$C$21, $C$12, 100%, $E$12)</f>
        <v>6.6692999999999998</v>
      </c>
      <c r="E426" s="61">
        <f>7.691 * CHOOSE(CONTROL!$C$21, $C$12, 100%, $E$12)</f>
        <v>7.6909999999999998</v>
      </c>
      <c r="F426" s="61">
        <f>7.691 * CHOOSE(CONTROL!$C$21, $C$12, 100%, $E$12)</f>
        <v>7.6909999999999998</v>
      </c>
      <c r="G426" s="61">
        <f>7.6911 * CHOOSE(CONTROL!$C$21, $C$12, 100%, $E$12)</f>
        <v>7.6910999999999996</v>
      </c>
      <c r="H426" s="61">
        <f>13.4526* CHOOSE(CONTROL!$C$21, $C$12, 100%, $E$12)</f>
        <v>13.4526</v>
      </c>
      <c r="I426" s="61">
        <f>13.4528 * CHOOSE(CONTROL!$C$21, $C$12, 100%, $E$12)</f>
        <v>13.4528</v>
      </c>
      <c r="J426" s="61">
        <f>7.691 * CHOOSE(CONTROL!$C$21, $C$12, 100%, $E$12)</f>
        <v>7.6909999999999998</v>
      </c>
      <c r="K426" s="61">
        <f>7.6911 * CHOOSE(CONTROL!$C$21, $C$12, 100%, $E$12)</f>
        <v>7.6910999999999996</v>
      </c>
    </row>
    <row r="427" spans="1:11" ht="15">
      <c r="A427" s="13">
        <v>54879</v>
      </c>
      <c r="B427" s="60">
        <f>6.6588 * CHOOSE(CONTROL!$C$21, $C$12, 100%, $E$12)</f>
        <v>6.6588000000000003</v>
      </c>
      <c r="C427" s="60">
        <f>6.6588 * CHOOSE(CONTROL!$C$21, $C$12, 100%, $E$12)</f>
        <v>6.6588000000000003</v>
      </c>
      <c r="D427" s="60">
        <f>6.6694 * CHOOSE(CONTROL!$C$21, $C$12, 100%, $E$12)</f>
        <v>6.6694000000000004</v>
      </c>
      <c r="E427" s="61">
        <f>7.758 * CHOOSE(CONTROL!$C$21, $C$12, 100%, $E$12)</f>
        <v>7.758</v>
      </c>
      <c r="F427" s="61">
        <f>7.758 * CHOOSE(CONTROL!$C$21, $C$12, 100%, $E$12)</f>
        <v>7.758</v>
      </c>
      <c r="G427" s="61">
        <f>7.7582 * CHOOSE(CONTROL!$C$21, $C$12, 100%, $E$12)</f>
        <v>7.7582000000000004</v>
      </c>
      <c r="H427" s="61">
        <f>13.4807* CHOOSE(CONTROL!$C$21, $C$12, 100%, $E$12)</f>
        <v>13.480700000000001</v>
      </c>
      <c r="I427" s="61">
        <f>13.4808 * CHOOSE(CONTROL!$C$21, $C$12, 100%, $E$12)</f>
        <v>13.4808</v>
      </c>
      <c r="J427" s="61">
        <f>7.758 * CHOOSE(CONTROL!$C$21, $C$12, 100%, $E$12)</f>
        <v>7.758</v>
      </c>
      <c r="K427" s="61">
        <f>7.7582 * CHOOSE(CONTROL!$C$21, $C$12, 100%, $E$12)</f>
        <v>7.7582000000000004</v>
      </c>
    </row>
    <row r="428" spans="1:11" ht="15">
      <c r="A428" s="13">
        <v>54909</v>
      </c>
      <c r="B428" s="60">
        <f>6.6588 * CHOOSE(CONTROL!$C$21, $C$12, 100%, $E$12)</f>
        <v>6.6588000000000003</v>
      </c>
      <c r="C428" s="60">
        <f>6.6588 * CHOOSE(CONTROL!$C$21, $C$12, 100%, $E$12)</f>
        <v>6.6588000000000003</v>
      </c>
      <c r="D428" s="60">
        <f>6.6799 * CHOOSE(CONTROL!$C$21, $C$12, 100%, $E$12)</f>
        <v>6.6798999999999999</v>
      </c>
      <c r="E428" s="61">
        <f>7.7848 * CHOOSE(CONTROL!$C$21, $C$12, 100%, $E$12)</f>
        <v>7.7847999999999997</v>
      </c>
      <c r="F428" s="61">
        <f>7.7848 * CHOOSE(CONTROL!$C$21, $C$12, 100%, $E$12)</f>
        <v>7.7847999999999997</v>
      </c>
      <c r="G428" s="61">
        <f>7.7862 * CHOOSE(CONTROL!$C$21, $C$12, 100%, $E$12)</f>
        <v>7.7862</v>
      </c>
      <c r="H428" s="61">
        <f>13.5087* CHOOSE(CONTROL!$C$21, $C$12, 100%, $E$12)</f>
        <v>13.508699999999999</v>
      </c>
      <c r="I428" s="61">
        <f>13.5101 * CHOOSE(CONTROL!$C$21, $C$12, 100%, $E$12)</f>
        <v>13.5101</v>
      </c>
      <c r="J428" s="61">
        <f>7.7848 * CHOOSE(CONTROL!$C$21, $C$12, 100%, $E$12)</f>
        <v>7.7847999999999997</v>
      </c>
      <c r="K428" s="61">
        <f>7.7862 * CHOOSE(CONTROL!$C$21, $C$12, 100%, $E$12)</f>
        <v>7.7862</v>
      </c>
    </row>
    <row r="429" spans="1:11" ht="15">
      <c r="A429" s="13">
        <v>54940</v>
      </c>
      <c r="B429" s="60">
        <f>6.6649 * CHOOSE(CONTROL!$C$21, $C$12, 100%, $E$12)</f>
        <v>6.6649000000000003</v>
      </c>
      <c r="C429" s="60">
        <f>6.6649 * CHOOSE(CONTROL!$C$21, $C$12, 100%, $E$12)</f>
        <v>6.6649000000000003</v>
      </c>
      <c r="D429" s="60">
        <f>6.686 * CHOOSE(CONTROL!$C$21, $C$12, 100%, $E$12)</f>
        <v>6.6859999999999999</v>
      </c>
      <c r="E429" s="61">
        <f>7.7623 * CHOOSE(CONTROL!$C$21, $C$12, 100%, $E$12)</f>
        <v>7.7622999999999998</v>
      </c>
      <c r="F429" s="61">
        <f>7.7623 * CHOOSE(CONTROL!$C$21, $C$12, 100%, $E$12)</f>
        <v>7.7622999999999998</v>
      </c>
      <c r="G429" s="61">
        <f>7.7637 * CHOOSE(CONTROL!$C$21, $C$12, 100%, $E$12)</f>
        <v>7.7637</v>
      </c>
      <c r="H429" s="61">
        <f>13.5369* CHOOSE(CONTROL!$C$21, $C$12, 100%, $E$12)</f>
        <v>13.536899999999999</v>
      </c>
      <c r="I429" s="61">
        <f>13.5383 * CHOOSE(CONTROL!$C$21, $C$12, 100%, $E$12)</f>
        <v>13.5383</v>
      </c>
      <c r="J429" s="61">
        <f>7.7623 * CHOOSE(CONTROL!$C$21, $C$12, 100%, $E$12)</f>
        <v>7.7622999999999998</v>
      </c>
      <c r="K429" s="61">
        <f>7.7637 * CHOOSE(CONTROL!$C$21, $C$12, 100%, $E$12)</f>
        <v>7.7637</v>
      </c>
    </row>
    <row r="430" spans="1:11" ht="15">
      <c r="A430" s="13">
        <v>54970</v>
      </c>
      <c r="B430" s="60">
        <f>6.7747 * CHOOSE(CONTROL!$C$21, $C$12, 100%, $E$12)</f>
        <v>6.7747000000000002</v>
      </c>
      <c r="C430" s="60">
        <f>6.7747 * CHOOSE(CONTROL!$C$21, $C$12, 100%, $E$12)</f>
        <v>6.7747000000000002</v>
      </c>
      <c r="D430" s="60">
        <f>6.7958 * CHOOSE(CONTROL!$C$21, $C$12, 100%, $E$12)</f>
        <v>6.7957999999999998</v>
      </c>
      <c r="E430" s="61">
        <f>7.9154 * CHOOSE(CONTROL!$C$21, $C$12, 100%, $E$12)</f>
        <v>7.9154</v>
      </c>
      <c r="F430" s="61">
        <f>7.9154 * CHOOSE(CONTROL!$C$21, $C$12, 100%, $E$12)</f>
        <v>7.9154</v>
      </c>
      <c r="G430" s="61">
        <f>7.9167 * CHOOSE(CONTROL!$C$21, $C$12, 100%, $E$12)</f>
        <v>7.9166999999999996</v>
      </c>
      <c r="H430" s="61">
        <f>13.5651* CHOOSE(CONTROL!$C$21, $C$12, 100%, $E$12)</f>
        <v>13.565099999999999</v>
      </c>
      <c r="I430" s="61">
        <f>13.5665 * CHOOSE(CONTROL!$C$21, $C$12, 100%, $E$12)</f>
        <v>13.5665</v>
      </c>
      <c r="J430" s="61">
        <f>7.9154 * CHOOSE(CONTROL!$C$21, $C$12, 100%, $E$12)</f>
        <v>7.9154</v>
      </c>
      <c r="K430" s="61">
        <f>7.9167 * CHOOSE(CONTROL!$C$21, $C$12, 100%, $E$12)</f>
        <v>7.9166999999999996</v>
      </c>
    </row>
    <row r="431" spans="1:11" ht="15">
      <c r="A431" s="13">
        <v>55001</v>
      </c>
      <c r="B431" s="60">
        <f>6.7813 * CHOOSE(CONTROL!$C$21, $C$12, 100%, $E$12)</f>
        <v>6.7812999999999999</v>
      </c>
      <c r="C431" s="60">
        <f>6.7813 * CHOOSE(CONTROL!$C$21, $C$12, 100%, $E$12)</f>
        <v>6.7812999999999999</v>
      </c>
      <c r="D431" s="60">
        <f>6.8025 * CHOOSE(CONTROL!$C$21, $C$12, 100%, $E$12)</f>
        <v>6.8025000000000002</v>
      </c>
      <c r="E431" s="61">
        <f>7.8398 * CHOOSE(CONTROL!$C$21, $C$12, 100%, $E$12)</f>
        <v>7.8398000000000003</v>
      </c>
      <c r="F431" s="61">
        <f>7.8398 * CHOOSE(CONTROL!$C$21, $C$12, 100%, $E$12)</f>
        <v>7.8398000000000003</v>
      </c>
      <c r="G431" s="61">
        <f>7.8412 * CHOOSE(CONTROL!$C$21, $C$12, 100%, $E$12)</f>
        <v>7.8411999999999997</v>
      </c>
      <c r="H431" s="61">
        <f>13.5934* CHOOSE(CONTROL!$C$21, $C$12, 100%, $E$12)</f>
        <v>13.593400000000001</v>
      </c>
      <c r="I431" s="61">
        <f>13.5947 * CHOOSE(CONTROL!$C$21, $C$12, 100%, $E$12)</f>
        <v>13.5947</v>
      </c>
      <c r="J431" s="61">
        <f>7.8398 * CHOOSE(CONTROL!$C$21, $C$12, 100%, $E$12)</f>
        <v>7.8398000000000003</v>
      </c>
      <c r="K431" s="61">
        <f>7.8412 * CHOOSE(CONTROL!$C$21, $C$12, 100%, $E$12)</f>
        <v>7.8411999999999997</v>
      </c>
    </row>
    <row r="432" spans="1:11" ht="15">
      <c r="A432" s="13">
        <v>55032</v>
      </c>
      <c r="B432" s="60">
        <f>6.7783 * CHOOSE(CONTROL!$C$21, $C$12, 100%, $E$12)</f>
        <v>6.7782999999999998</v>
      </c>
      <c r="C432" s="60">
        <f>6.7783 * CHOOSE(CONTROL!$C$21, $C$12, 100%, $E$12)</f>
        <v>6.7782999999999998</v>
      </c>
      <c r="D432" s="60">
        <f>6.7994 * CHOOSE(CONTROL!$C$21, $C$12, 100%, $E$12)</f>
        <v>6.7994000000000003</v>
      </c>
      <c r="E432" s="61">
        <f>7.8288 * CHOOSE(CONTROL!$C$21, $C$12, 100%, $E$12)</f>
        <v>7.8288000000000002</v>
      </c>
      <c r="F432" s="61">
        <f>7.8288 * CHOOSE(CONTROL!$C$21, $C$12, 100%, $E$12)</f>
        <v>7.8288000000000002</v>
      </c>
      <c r="G432" s="61">
        <f>7.8301 * CHOOSE(CONTROL!$C$21, $C$12, 100%, $E$12)</f>
        <v>7.8300999999999998</v>
      </c>
      <c r="H432" s="61">
        <f>13.6217* CHOOSE(CONTROL!$C$21, $C$12, 100%, $E$12)</f>
        <v>13.621700000000001</v>
      </c>
      <c r="I432" s="61">
        <f>13.623 * CHOOSE(CONTROL!$C$21, $C$12, 100%, $E$12)</f>
        <v>13.622999999999999</v>
      </c>
      <c r="J432" s="61">
        <f>7.8288 * CHOOSE(CONTROL!$C$21, $C$12, 100%, $E$12)</f>
        <v>7.8288000000000002</v>
      </c>
      <c r="K432" s="61">
        <f>7.8301 * CHOOSE(CONTROL!$C$21, $C$12, 100%, $E$12)</f>
        <v>7.8300999999999998</v>
      </c>
    </row>
    <row r="433" spans="1:11" ht="15">
      <c r="A433" s="13">
        <v>55062</v>
      </c>
      <c r="B433" s="60">
        <f>6.7829 * CHOOSE(CONTROL!$C$21, $C$12, 100%, $E$12)</f>
        <v>6.7828999999999997</v>
      </c>
      <c r="C433" s="60">
        <f>6.7829 * CHOOSE(CONTROL!$C$21, $C$12, 100%, $E$12)</f>
        <v>6.7828999999999997</v>
      </c>
      <c r="D433" s="60">
        <f>6.7934 * CHOOSE(CONTROL!$C$21, $C$12, 100%, $E$12)</f>
        <v>6.7934000000000001</v>
      </c>
      <c r="E433" s="61">
        <f>7.851 * CHOOSE(CONTROL!$C$21, $C$12, 100%, $E$12)</f>
        <v>7.851</v>
      </c>
      <c r="F433" s="61">
        <f>7.851 * CHOOSE(CONTROL!$C$21, $C$12, 100%, $E$12)</f>
        <v>7.851</v>
      </c>
      <c r="G433" s="61">
        <f>7.8512 * CHOOSE(CONTROL!$C$21, $C$12, 100%, $E$12)</f>
        <v>7.8512000000000004</v>
      </c>
      <c r="H433" s="61">
        <f>13.6501* CHOOSE(CONTROL!$C$21, $C$12, 100%, $E$12)</f>
        <v>13.6501</v>
      </c>
      <c r="I433" s="61">
        <f>13.6502 * CHOOSE(CONTROL!$C$21, $C$12, 100%, $E$12)</f>
        <v>13.6502</v>
      </c>
      <c r="J433" s="61">
        <f>7.851 * CHOOSE(CONTROL!$C$21, $C$12, 100%, $E$12)</f>
        <v>7.851</v>
      </c>
      <c r="K433" s="61">
        <f>7.8512 * CHOOSE(CONTROL!$C$21, $C$12, 100%, $E$12)</f>
        <v>7.8512000000000004</v>
      </c>
    </row>
    <row r="434" spans="1:11" ht="15">
      <c r="A434" s="13">
        <v>55093</v>
      </c>
      <c r="B434" s="60">
        <f>6.7859 * CHOOSE(CONTROL!$C$21, $C$12, 100%, $E$12)</f>
        <v>6.7858999999999998</v>
      </c>
      <c r="C434" s="60">
        <f>6.7859 * CHOOSE(CONTROL!$C$21, $C$12, 100%, $E$12)</f>
        <v>6.7858999999999998</v>
      </c>
      <c r="D434" s="60">
        <f>6.7965 * CHOOSE(CONTROL!$C$21, $C$12, 100%, $E$12)</f>
        <v>6.7965</v>
      </c>
      <c r="E434" s="61">
        <f>7.8709 * CHOOSE(CONTROL!$C$21, $C$12, 100%, $E$12)</f>
        <v>7.8708999999999998</v>
      </c>
      <c r="F434" s="61">
        <f>7.8709 * CHOOSE(CONTROL!$C$21, $C$12, 100%, $E$12)</f>
        <v>7.8708999999999998</v>
      </c>
      <c r="G434" s="61">
        <f>7.8711 * CHOOSE(CONTROL!$C$21, $C$12, 100%, $E$12)</f>
        <v>7.8711000000000002</v>
      </c>
      <c r="H434" s="61">
        <f>13.6785* CHOOSE(CONTROL!$C$21, $C$12, 100%, $E$12)</f>
        <v>13.6785</v>
      </c>
      <c r="I434" s="61">
        <f>13.6787 * CHOOSE(CONTROL!$C$21, $C$12, 100%, $E$12)</f>
        <v>13.678699999999999</v>
      </c>
      <c r="J434" s="61">
        <f>7.8709 * CHOOSE(CONTROL!$C$21, $C$12, 100%, $E$12)</f>
        <v>7.8708999999999998</v>
      </c>
      <c r="K434" s="61">
        <f>7.8711 * CHOOSE(CONTROL!$C$21, $C$12, 100%, $E$12)</f>
        <v>7.8711000000000002</v>
      </c>
    </row>
    <row r="435" spans="1:11" ht="15">
      <c r="A435" s="13">
        <v>55123</v>
      </c>
      <c r="B435" s="60">
        <f>6.7859 * CHOOSE(CONTROL!$C$21, $C$12, 100%, $E$12)</f>
        <v>6.7858999999999998</v>
      </c>
      <c r="C435" s="60">
        <f>6.7859 * CHOOSE(CONTROL!$C$21, $C$12, 100%, $E$12)</f>
        <v>6.7858999999999998</v>
      </c>
      <c r="D435" s="60">
        <f>6.7965 * CHOOSE(CONTROL!$C$21, $C$12, 100%, $E$12)</f>
        <v>6.7965</v>
      </c>
      <c r="E435" s="61">
        <f>7.8264 * CHOOSE(CONTROL!$C$21, $C$12, 100%, $E$12)</f>
        <v>7.8263999999999996</v>
      </c>
      <c r="F435" s="61">
        <f>7.8264 * CHOOSE(CONTROL!$C$21, $C$12, 100%, $E$12)</f>
        <v>7.8263999999999996</v>
      </c>
      <c r="G435" s="61">
        <f>7.8265 * CHOOSE(CONTROL!$C$21, $C$12, 100%, $E$12)</f>
        <v>7.8265000000000002</v>
      </c>
      <c r="H435" s="61">
        <f>13.707* CHOOSE(CONTROL!$C$21, $C$12, 100%, $E$12)</f>
        <v>13.707000000000001</v>
      </c>
      <c r="I435" s="61">
        <f>13.7072 * CHOOSE(CONTROL!$C$21, $C$12, 100%, $E$12)</f>
        <v>13.7072</v>
      </c>
      <c r="J435" s="61">
        <f>7.8264 * CHOOSE(CONTROL!$C$21, $C$12, 100%, $E$12)</f>
        <v>7.8263999999999996</v>
      </c>
      <c r="K435" s="61">
        <f>7.8265 * CHOOSE(CONTROL!$C$21, $C$12, 100%, $E$12)</f>
        <v>7.8265000000000002</v>
      </c>
    </row>
    <row r="436" spans="1:11" ht="15">
      <c r="A436" s="13">
        <v>55154</v>
      </c>
      <c r="B436" s="60">
        <f>6.8467 * CHOOSE(CONTROL!$C$21, $C$12, 100%, $E$12)</f>
        <v>6.8467000000000002</v>
      </c>
      <c r="C436" s="60">
        <f>6.8467 * CHOOSE(CONTROL!$C$21, $C$12, 100%, $E$12)</f>
        <v>6.8467000000000002</v>
      </c>
      <c r="D436" s="60">
        <f>6.8573 * CHOOSE(CONTROL!$C$21, $C$12, 100%, $E$12)</f>
        <v>6.8573000000000004</v>
      </c>
      <c r="E436" s="61">
        <f>7.9289 * CHOOSE(CONTROL!$C$21, $C$12, 100%, $E$12)</f>
        <v>7.9288999999999996</v>
      </c>
      <c r="F436" s="61">
        <f>7.9289 * CHOOSE(CONTROL!$C$21, $C$12, 100%, $E$12)</f>
        <v>7.9288999999999996</v>
      </c>
      <c r="G436" s="61">
        <f>7.929 * CHOOSE(CONTROL!$C$21, $C$12, 100%, $E$12)</f>
        <v>7.9290000000000003</v>
      </c>
      <c r="H436" s="61">
        <f>13.7355* CHOOSE(CONTROL!$C$21, $C$12, 100%, $E$12)</f>
        <v>13.7355</v>
      </c>
      <c r="I436" s="61">
        <f>13.7357 * CHOOSE(CONTROL!$C$21, $C$12, 100%, $E$12)</f>
        <v>13.7357</v>
      </c>
      <c r="J436" s="61">
        <f>7.9289 * CHOOSE(CONTROL!$C$21, $C$12, 100%, $E$12)</f>
        <v>7.9288999999999996</v>
      </c>
      <c r="K436" s="61">
        <f>7.929 * CHOOSE(CONTROL!$C$21, $C$12, 100%, $E$12)</f>
        <v>7.9290000000000003</v>
      </c>
    </row>
    <row r="437" spans="1:11" ht="15">
      <c r="A437" s="13">
        <v>55185</v>
      </c>
      <c r="B437" s="60">
        <f>6.8437 * CHOOSE(CONTROL!$C$21, $C$12, 100%, $E$12)</f>
        <v>6.8437000000000001</v>
      </c>
      <c r="C437" s="60">
        <f>6.8437 * CHOOSE(CONTROL!$C$21, $C$12, 100%, $E$12)</f>
        <v>6.8437000000000001</v>
      </c>
      <c r="D437" s="60">
        <f>6.8542 * CHOOSE(CONTROL!$C$21, $C$12, 100%, $E$12)</f>
        <v>6.8541999999999996</v>
      </c>
      <c r="E437" s="61">
        <f>7.8401 * CHOOSE(CONTROL!$C$21, $C$12, 100%, $E$12)</f>
        <v>7.8400999999999996</v>
      </c>
      <c r="F437" s="61">
        <f>7.8401 * CHOOSE(CONTROL!$C$21, $C$12, 100%, $E$12)</f>
        <v>7.8400999999999996</v>
      </c>
      <c r="G437" s="61">
        <f>7.8403 * CHOOSE(CONTROL!$C$21, $C$12, 100%, $E$12)</f>
        <v>7.8403</v>
      </c>
      <c r="H437" s="61">
        <f>13.7642* CHOOSE(CONTROL!$C$21, $C$12, 100%, $E$12)</f>
        <v>13.764200000000001</v>
      </c>
      <c r="I437" s="61">
        <f>13.7643 * CHOOSE(CONTROL!$C$21, $C$12, 100%, $E$12)</f>
        <v>13.7643</v>
      </c>
      <c r="J437" s="61">
        <f>7.8401 * CHOOSE(CONTROL!$C$21, $C$12, 100%, $E$12)</f>
        <v>7.8400999999999996</v>
      </c>
      <c r="K437" s="61">
        <f>7.8403 * CHOOSE(CONTROL!$C$21, $C$12, 100%, $E$12)</f>
        <v>7.8403</v>
      </c>
    </row>
    <row r="438" spans="1:11" ht="15">
      <c r="A438" s="13">
        <v>55213</v>
      </c>
      <c r="B438" s="60">
        <f>6.8406 * CHOOSE(CONTROL!$C$21, $C$12, 100%, $E$12)</f>
        <v>6.8406000000000002</v>
      </c>
      <c r="C438" s="60">
        <f>6.8406 * CHOOSE(CONTROL!$C$21, $C$12, 100%, $E$12)</f>
        <v>6.8406000000000002</v>
      </c>
      <c r="D438" s="60">
        <f>6.8512 * CHOOSE(CONTROL!$C$21, $C$12, 100%, $E$12)</f>
        <v>6.8512000000000004</v>
      </c>
      <c r="E438" s="61">
        <f>7.9063 * CHOOSE(CONTROL!$C$21, $C$12, 100%, $E$12)</f>
        <v>7.9062999999999999</v>
      </c>
      <c r="F438" s="61">
        <f>7.9063 * CHOOSE(CONTROL!$C$21, $C$12, 100%, $E$12)</f>
        <v>7.9062999999999999</v>
      </c>
      <c r="G438" s="61">
        <f>7.9065 * CHOOSE(CONTROL!$C$21, $C$12, 100%, $E$12)</f>
        <v>7.9065000000000003</v>
      </c>
      <c r="H438" s="61">
        <f>13.7928* CHOOSE(CONTROL!$C$21, $C$12, 100%, $E$12)</f>
        <v>13.7928</v>
      </c>
      <c r="I438" s="61">
        <f>13.793 * CHOOSE(CONTROL!$C$21, $C$12, 100%, $E$12)</f>
        <v>13.792999999999999</v>
      </c>
      <c r="J438" s="61">
        <f>7.9063 * CHOOSE(CONTROL!$C$21, $C$12, 100%, $E$12)</f>
        <v>7.9062999999999999</v>
      </c>
      <c r="K438" s="61">
        <f>7.9065 * CHOOSE(CONTROL!$C$21, $C$12, 100%, $E$12)</f>
        <v>7.9065000000000003</v>
      </c>
    </row>
    <row r="439" spans="1:11" ht="15">
      <c r="A439" s="13">
        <v>55244</v>
      </c>
      <c r="B439" s="60">
        <f>6.8408 * CHOOSE(CONTROL!$C$21, $C$12, 100%, $E$12)</f>
        <v>6.8407999999999998</v>
      </c>
      <c r="C439" s="60">
        <f>6.8408 * CHOOSE(CONTROL!$C$21, $C$12, 100%, $E$12)</f>
        <v>6.8407999999999998</v>
      </c>
      <c r="D439" s="60">
        <f>6.8514 * CHOOSE(CONTROL!$C$21, $C$12, 100%, $E$12)</f>
        <v>6.8513999999999999</v>
      </c>
      <c r="E439" s="61">
        <f>7.9754 * CHOOSE(CONTROL!$C$21, $C$12, 100%, $E$12)</f>
        <v>7.9753999999999996</v>
      </c>
      <c r="F439" s="61">
        <f>7.9754 * CHOOSE(CONTROL!$C$21, $C$12, 100%, $E$12)</f>
        <v>7.9753999999999996</v>
      </c>
      <c r="G439" s="61">
        <f>7.9756 * CHOOSE(CONTROL!$C$21, $C$12, 100%, $E$12)</f>
        <v>7.9756</v>
      </c>
      <c r="H439" s="61">
        <f>13.8216* CHOOSE(CONTROL!$C$21, $C$12, 100%, $E$12)</f>
        <v>13.8216</v>
      </c>
      <c r="I439" s="61">
        <f>13.8217 * CHOOSE(CONTROL!$C$21, $C$12, 100%, $E$12)</f>
        <v>13.8217</v>
      </c>
      <c r="J439" s="61">
        <f>7.9754 * CHOOSE(CONTROL!$C$21, $C$12, 100%, $E$12)</f>
        <v>7.9753999999999996</v>
      </c>
      <c r="K439" s="61">
        <f>7.9756 * CHOOSE(CONTROL!$C$21, $C$12, 100%, $E$12)</f>
        <v>7.9756</v>
      </c>
    </row>
    <row r="440" spans="1:11" ht="15">
      <c r="A440" s="13">
        <v>55274</v>
      </c>
      <c r="B440" s="60">
        <f>6.8408 * CHOOSE(CONTROL!$C$21, $C$12, 100%, $E$12)</f>
        <v>6.8407999999999998</v>
      </c>
      <c r="C440" s="60">
        <f>6.8408 * CHOOSE(CONTROL!$C$21, $C$12, 100%, $E$12)</f>
        <v>6.8407999999999998</v>
      </c>
      <c r="D440" s="60">
        <f>6.8619 * CHOOSE(CONTROL!$C$21, $C$12, 100%, $E$12)</f>
        <v>6.8619000000000003</v>
      </c>
      <c r="E440" s="61">
        <f>8.0029 * CHOOSE(CONTROL!$C$21, $C$12, 100%, $E$12)</f>
        <v>8.0029000000000003</v>
      </c>
      <c r="F440" s="61">
        <f>8.0029 * CHOOSE(CONTROL!$C$21, $C$12, 100%, $E$12)</f>
        <v>8.0029000000000003</v>
      </c>
      <c r="G440" s="61">
        <f>8.0043 * CHOOSE(CONTROL!$C$21, $C$12, 100%, $E$12)</f>
        <v>8.0043000000000006</v>
      </c>
      <c r="H440" s="61">
        <f>13.8504* CHOOSE(CONTROL!$C$21, $C$12, 100%, $E$12)</f>
        <v>13.8504</v>
      </c>
      <c r="I440" s="61">
        <f>13.8517 * CHOOSE(CONTROL!$C$21, $C$12, 100%, $E$12)</f>
        <v>13.851699999999999</v>
      </c>
      <c r="J440" s="61">
        <f>8.0029 * CHOOSE(CONTROL!$C$21, $C$12, 100%, $E$12)</f>
        <v>8.0029000000000003</v>
      </c>
      <c r="K440" s="61">
        <f>8.0043 * CHOOSE(CONTROL!$C$21, $C$12, 100%, $E$12)</f>
        <v>8.0043000000000006</v>
      </c>
    </row>
    <row r="441" spans="1:11" ht="15">
      <c r="A441" s="13">
        <v>55305</v>
      </c>
      <c r="B441" s="60">
        <f>6.8469 * CHOOSE(CONTROL!$C$21, $C$12, 100%, $E$12)</f>
        <v>6.8468999999999998</v>
      </c>
      <c r="C441" s="60">
        <f>6.8469 * CHOOSE(CONTROL!$C$21, $C$12, 100%, $E$12)</f>
        <v>6.8468999999999998</v>
      </c>
      <c r="D441" s="60">
        <f>6.868 * CHOOSE(CONTROL!$C$21, $C$12, 100%, $E$12)</f>
        <v>6.8680000000000003</v>
      </c>
      <c r="E441" s="61">
        <f>7.9796 * CHOOSE(CONTROL!$C$21, $C$12, 100%, $E$12)</f>
        <v>7.9795999999999996</v>
      </c>
      <c r="F441" s="61">
        <f>7.9796 * CHOOSE(CONTROL!$C$21, $C$12, 100%, $E$12)</f>
        <v>7.9795999999999996</v>
      </c>
      <c r="G441" s="61">
        <f>7.981 * CHOOSE(CONTROL!$C$21, $C$12, 100%, $E$12)</f>
        <v>7.9809999999999999</v>
      </c>
      <c r="H441" s="61">
        <f>13.8792* CHOOSE(CONTROL!$C$21, $C$12, 100%, $E$12)</f>
        <v>13.879200000000001</v>
      </c>
      <c r="I441" s="61">
        <f>13.8806 * CHOOSE(CONTROL!$C$21, $C$12, 100%, $E$12)</f>
        <v>13.880599999999999</v>
      </c>
      <c r="J441" s="61">
        <f>7.9796 * CHOOSE(CONTROL!$C$21, $C$12, 100%, $E$12)</f>
        <v>7.9795999999999996</v>
      </c>
      <c r="K441" s="61">
        <f>7.981 * CHOOSE(CONTROL!$C$21, $C$12, 100%, $E$12)</f>
        <v>7.9809999999999999</v>
      </c>
    </row>
    <row r="442" spans="1:11" ht="15">
      <c r="A442" s="13">
        <v>55335</v>
      </c>
      <c r="B442" s="60">
        <f>6.9594 * CHOOSE(CONTROL!$C$21, $C$12, 100%, $E$12)</f>
        <v>6.9593999999999996</v>
      </c>
      <c r="C442" s="60">
        <f>6.9594 * CHOOSE(CONTROL!$C$21, $C$12, 100%, $E$12)</f>
        <v>6.9593999999999996</v>
      </c>
      <c r="D442" s="60">
        <f>6.9805 * CHOOSE(CONTROL!$C$21, $C$12, 100%, $E$12)</f>
        <v>6.9805000000000001</v>
      </c>
      <c r="E442" s="61">
        <f>8.1367 * CHOOSE(CONTROL!$C$21, $C$12, 100%, $E$12)</f>
        <v>8.1366999999999994</v>
      </c>
      <c r="F442" s="61">
        <f>8.1367 * CHOOSE(CONTROL!$C$21, $C$12, 100%, $E$12)</f>
        <v>8.1366999999999994</v>
      </c>
      <c r="G442" s="61">
        <f>8.1381 * CHOOSE(CONTROL!$C$21, $C$12, 100%, $E$12)</f>
        <v>8.1380999999999997</v>
      </c>
      <c r="H442" s="61">
        <f>13.9081* CHOOSE(CONTROL!$C$21, $C$12, 100%, $E$12)</f>
        <v>13.908099999999999</v>
      </c>
      <c r="I442" s="61">
        <f>13.9095 * CHOOSE(CONTROL!$C$21, $C$12, 100%, $E$12)</f>
        <v>13.9095</v>
      </c>
      <c r="J442" s="61">
        <f>8.1367 * CHOOSE(CONTROL!$C$21, $C$12, 100%, $E$12)</f>
        <v>8.1366999999999994</v>
      </c>
      <c r="K442" s="61">
        <f>8.1381 * CHOOSE(CONTROL!$C$21, $C$12, 100%, $E$12)</f>
        <v>8.1380999999999997</v>
      </c>
    </row>
    <row r="443" spans="1:11" ht="15">
      <c r="A443" s="13">
        <v>55366</v>
      </c>
      <c r="B443" s="60">
        <f>6.9661 * CHOOSE(CONTROL!$C$21, $C$12, 100%, $E$12)</f>
        <v>6.9661</v>
      </c>
      <c r="C443" s="60">
        <f>6.9661 * CHOOSE(CONTROL!$C$21, $C$12, 100%, $E$12)</f>
        <v>6.9661</v>
      </c>
      <c r="D443" s="60">
        <f>6.9872 * CHOOSE(CONTROL!$C$21, $C$12, 100%, $E$12)</f>
        <v>6.9871999999999996</v>
      </c>
      <c r="E443" s="61">
        <f>8.0589 * CHOOSE(CONTROL!$C$21, $C$12, 100%, $E$12)</f>
        <v>8.0588999999999995</v>
      </c>
      <c r="F443" s="61">
        <f>8.0589 * CHOOSE(CONTROL!$C$21, $C$12, 100%, $E$12)</f>
        <v>8.0588999999999995</v>
      </c>
      <c r="G443" s="61">
        <f>8.0603 * CHOOSE(CONTROL!$C$21, $C$12, 100%, $E$12)</f>
        <v>8.0602999999999998</v>
      </c>
      <c r="H443" s="61">
        <f>13.9371* CHOOSE(CONTROL!$C$21, $C$12, 100%, $E$12)</f>
        <v>13.937099999999999</v>
      </c>
      <c r="I443" s="61">
        <f>13.9385 * CHOOSE(CONTROL!$C$21, $C$12, 100%, $E$12)</f>
        <v>13.938499999999999</v>
      </c>
      <c r="J443" s="61">
        <f>8.0589 * CHOOSE(CONTROL!$C$21, $C$12, 100%, $E$12)</f>
        <v>8.0588999999999995</v>
      </c>
      <c r="K443" s="61">
        <f>8.0603 * CHOOSE(CONTROL!$C$21, $C$12, 100%, $E$12)</f>
        <v>8.0602999999999998</v>
      </c>
    </row>
    <row r="444" spans="1:11" ht="15">
      <c r="A444" s="13">
        <v>55397</v>
      </c>
      <c r="B444" s="60">
        <f>6.963 * CHOOSE(CONTROL!$C$21, $C$12, 100%, $E$12)</f>
        <v>6.9630000000000001</v>
      </c>
      <c r="C444" s="60">
        <f>6.963 * CHOOSE(CONTROL!$C$21, $C$12, 100%, $E$12)</f>
        <v>6.9630000000000001</v>
      </c>
      <c r="D444" s="60">
        <f>6.9841 * CHOOSE(CONTROL!$C$21, $C$12, 100%, $E$12)</f>
        <v>6.9840999999999998</v>
      </c>
      <c r="E444" s="61">
        <f>8.0476 * CHOOSE(CONTROL!$C$21, $C$12, 100%, $E$12)</f>
        <v>8.0475999999999992</v>
      </c>
      <c r="F444" s="61">
        <f>8.0476 * CHOOSE(CONTROL!$C$21, $C$12, 100%, $E$12)</f>
        <v>8.0475999999999992</v>
      </c>
      <c r="G444" s="61">
        <f>8.049 * CHOOSE(CONTROL!$C$21, $C$12, 100%, $E$12)</f>
        <v>8.0489999999999995</v>
      </c>
      <c r="H444" s="61">
        <f>13.9661* CHOOSE(CONTROL!$C$21, $C$12, 100%, $E$12)</f>
        <v>13.966100000000001</v>
      </c>
      <c r="I444" s="61">
        <f>13.9675 * CHOOSE(CONTROL!$C$21, $C$12, 100%, $E$12)</f>
        <v>13.967499999999999</v>
      </c>
      <c r="J444" s="61">
        <f>8.0476 * CHOOSE(CONTROL!$C$21, $C$12, 100%, $E$12)</f>
        <v>8.0475999999999992</v>
      </c>
      <c r="K444" s="61">
        <f>8.049 * CHOOSE(CONTROL!$C$21, $C$12, 100%, $E$12)</f>
        <v>8.0489999999999995</v>
      </c>
    </row>
    <row r="445" spans="1:11" ht="15">
      <c r="A445" s="13">
        <v>55427</v>
      </c>
      <c r="B445" s="60">
        <f>6.9682 * CHOOSE(CONTROL!$C$21, $C$12, 100%, $E$12)</f>
        <v>6.9682000000000004</v>
      </c>
      <c r="C445" s="60">
        <f>6.9682 * CHOOSE(CONTROL!$C$21, $C$12, 100%, $E$12)</f>
        <v>6.9682000000000004</v>
      </c>
      <c r="D445" s="60">
        <f>6.9787 * CHOOSE(CONTROL!$C$21, $C$12, 100%, $E$12)</f>
        <v>6.9786999999999999</v>
      </c>
      <c r="E445" s="61">
        <f>8.0709 * CHOOSE(CONTROL!$C$21, $C$12, 100%, $E$12)</f>
        <v>8.0709</v>
      </c>
      <c r="F445" s="61">
        <f>8.0709 * CHOOSE(CONTROL!$C$21, $C$12, 100%, $E$12)</f>
        <v>8.0709</v>
      </c>
      <c r="G445" s="61">
        <f>8.071 * CHOOSE(CONTROL!$C$21, $C$12, 100%, $E$12)</f>
        <v>8.0709999999999997</v>
      </c>
      <c r="H445" s="61">
        <f>13.9952* CHOOSE(CONTROL!$C$21, $C$12, 100%, $E$12)</f>
        <v>13.995200000000001</v>
      </c>
      <c r="I445" s="61">
        <f>13.9954 * CHOOSE(CONTROL!$C$21, $C$12, 100%, $E$12)</f>
        <v>13.9954</v>
      </c>
      <c r="J445" s="61">
        <f>8.0709 * CHOOSE(CONTROL!$C$21, $C$12, 100%, $E$12)</f>
        <v>8.0709</v>
      </c>
      <c r="K445" s="61">
        <f>8.071 * CHOOSE(CONTROL!$C$21, $C$12, 100%, $E$12)</f>
        <v>8.0709999999999997</v>
      </c>
    </row>
    <row r="446" spans="1:11" ht="15">
      <c r="A446" s="13">
        <v>55458</v>
      </c>
      <c r="B446" s="60">
        <f>6.9712 * CHOOSE(CONTROL!$C$21, $C$12, 100%, $E$12)</f>
        <v>6.9711999999999996</v>
      </c>
      <c r="C446" s="60">
        <f>6.9712 * CHOOSE(CONTROL!$C$21, $C$12, 100%, $E$12)</f>
        <v>6.9711999999999996</v>
      </c>
      <c r="D446" s="60">
        <f>6.9818 * CHOOSE(CONTROL!$C$21, $C$12, 100%, $E$12)</f>
        <v>6.9817999999999998</v>
      </c>
      <c r="E446" s="61">
        <f>8.0913 * CHOOSE(CONTROL!$C$21, $C$12, 100%, $E$12)</f>
        <v>8.0913000000000004</v>
      </c>
      <c r="F446" s="61">
        <f>8.0913 * CHOOSE(CONTROL!$C$21, $C$12, 100%, $E$12)</f>
        <v>8.0913000000000004</v>
      </c>
      <c r="G446" s="61">
        <f>8.0915 * CHOOSE(CONTROL!$C$21, $C$12, 100%, $E$12)</f>
        <v>8.0914999999999999</v>
      </c>
      <c r="H446" s="61">
        <f>14.0244* CHOOSE(CONTROL!$C$21, $C$12, 100%, $E$12)</f>
        <v>14.0244</v>
      </c>
      <c r="I446" s="61">
        <f>14.0246 * CHOOSE(CONTROL!$C$21, $C$12, 100%, $E$12)</f>
        <v>14.0246</v>
      </c>
      <c r="J446" s="61">
        <f>8.0913 * CHOOSE(CONTROL!$C$21, $C$12, 100%, $E$12)</f>
        <v>8.0913000000000004</v>
      </c>
      <c r="K446" s="61">
        <f>8.0915 * CHOOSE(CONTROL!$C$21, $C$12, 100%, $E$12)</f>
        <v>8.0914999999999999</v>
      </c>
    </row>
    <row r="447" spans="1:11" ht="15">
      <c r="A447" s="13">
        <v>55488</v>
      </c>
      <c r="B447" s="60">
        <f>6.9712 * CHOOSE(CONTROL!$C$21, $C$12, 100%, $E$12)</f>
        <v>6.9711999999999996</v>
      </c>
      <c r="C447" s="60">
        <f>6.9712 * CHOOSE(CONTROL!$C$21, $C$12, 100%, $E$12)</f>
        <v>6.9711999999999996</v>
      </c>
      <c r="D447" s="60">
        <f>6.9818 * CHOOSE(CONTROL!$C$21, $C$12, 100%, $E$12)</f>
        <v>6.9817999999999998</v>
      </c>
      <c r="E447" s="61">
        <f>8.0455 * CHOOSE(CONTROL!$C$21, $C$12, 100%, $E$12)</f>
        <v>8.0455000000000005</v>
      </c>
      <c r="F447" s="61">
        <f>8.0455 * CHOOSE(CONTROL!$C$21, $C$12, 100%, $E$12)</f>
        <v>8.0455000000000005</v>
      </c>
      <c r="G447" s="61">
        <f>8.0456 * CHOOSE(CONTROL!$C$21, $C$12, 100%, $E$12)</f>
        <v>8.0456000000000003</v>
      </c>
      <c r="H447" s="61">
        <f>14.0536* CHOOSE(CONTROL!$C$21, $C$12, 100%, $E$12)</f>
        <v>14.053599999999999</v>
      </c>
      <c r="I447" s="61">
        <f>14.0538 * CHOOSE(CONTROL!$C$21, $C$12, 100%, $E$12)</f>
        <v>14.053800000000001</v>
      </c>
      <c r="J447" s="61">
        <f>8.0455 * CHOOSE(CONTROL!$C$21, $C$12, 100%, $E$12)</f>
        <v>8.0455000000000005</v>
      </c>
      <c r="K447" s="61">
        <f>8.0456 * CHOOSE(CONTROL!$C$21, $C$12, 100%, $E$12)</f>
        <v>8.0456000000000003</v>
      </c>
    </row>
    <row r="448" spans="1:11" ht="15">
      <c r="A448" s="13">
        <v>55519</v>
      </c>
      <c r="B448" s="60">
        <f>7.0336 * CHOOSE(CONTROL!$C$21, $C$12, 100%, $E$12)</f>
        <v>7.0335999999999999</v>
      </c>
      <c r="C448" s="60">
        <f>7.0336 * CHOOSE(CONTROL!$C$21, $C$12, 100%, $E$12)</f>
        <v>7.0335999999999999</v>
      </c>
      <c r="D448" s="60">
        <f>7.0441 * CHOOSE(CONTROL!$C$21, $C$12, 100%, $E$12)</f>
        <v>7.0441000000000003</v>
      </c>
      <c r="E448" s="61">
        <f>8.1507 * CHOOSE(CONTROL!$C$21, $C$12, 100%, $E$12)</f>
        <v>8.1507000000000005</v>
      </c>
      <c r="F448" s="61">
        <f>8.1507 * CHOOSE(CONTROL!$C$21, $C$12, 100%, $E$12)</f>
        <v>8.1507000000000005</v>
      </c>
      <c r="G448" s="61">
        <f>8.1509 * CHOOSE(CONTROL!$C$21, $C$12, 100%, $E$12)</f>
        <v>8.1509</v>
      </c>
      <c r="H448" s="61">
        <f>14.0829* CHOOSE(CONTROL!$C$21, $C$12, 100%, $E$12)</f>
        <v>14.0829</v>
      </c>
      <c r="I448" s="61">
        <f>14.0831 * CHOOSE(CONTROL!$C$21, $C$12, 100%, $E$12)</f>
        <v>14.0831</v>
      </c>
      <c r="J448" s="61">
        <f>8.1507 * CHOOSE(CONTROL!$C$21, $C$12, 100%, $E$12)</f>
        <v>8.1507000000000005</v>
      </c>
      <c r="K448" s="61">
        <f>8.1509 * CHOOSE(CONTROL!$C$21, $C$12, 100%, $E$12)</f>
        <v>8.1509</v>
      </c>
    </row>
    <row r="449" spans="1:11" ht="15">
      <c r="A449" s="13">
        <v>55550</v>
      </c>
      <c r="B449" s="60">
        <f>7.0305 * CHOOSE(CONTROL!$C$21, $C$12, 100%, $E$12)</f>
        <v>7.0305</v>
      </c>
      <c r="C449" s="60">
        <f>7.0305 * CHOOSE(CONTROL!$C$21, $C$12, 100%, $E$12)</f>
        <v>7.0305</v>
      </c>
      <c r="D449" s="60">
        <f>7.0411 * CHOOSE(CONTROL!$C$21, $C$12, 100%, $E$12)</f>
        <v>7.0411000000000001</v>
      </c>
      <c r="E449" s="61">
        <f>8.0596 * CHOOSE(CONTROL!$C$21, $C$12, 100%, $E$12)</f>
        <v>8.0595999999999997</v>
      </c>
      <c r="F449" s="61">
        <f>8.0596 * CHOOSE(CONTROL!$C$21, $C$12, 100%, $E$12)</f>
        <v>8.0595999999999997</v>
      </c>
      <c r="G449" s="61">
        <f>8.0598 * CHOOSE(CONTROL!$C$21, $C$12, 100%, $E$12)</f>
        <v>8.0597999999999992</v>
      </c>
      <c r="H449" s="61">
        <f>14.1122* CHOOSE(CONTROL!$C$21, $C$12, 100%, $E$12)</f>
        <v>14.1122</v>
      </c>
      <c r="I449" s="61">
        <f>14.1124 * CHOOSE(CONTROL!$C$21, $C$12, 100%, $E$12)</f>
        <v>14.112399999999999</v>
      </c>
      <c r="J449" s="61">
        <f>8.0596 * CHOOSE(CONTROL!$C$21, $C$12, 100%, $E$12)</f>
        <v>8.0595999999999997</v>
      </c>
      <c r="K449" s="61">
        <f>8.0598 * CHOOSE(CONTROL!$C$21, $C$12, 100%, $E$12)</f>
        <v>8.0597999999999992</v>
      </c>
    </row>
    <row r="450" spans="1:11" ht="15">
      <c r="A450" s="13">
        <v>55579</v>
      </c>
      <c r="B450" s="60">
        <f>7.0275 * CHOOSE(CONTROL!$C$21, $C$12, 100%, $E$12)</f>
        <v>7.0274999999999999</v>
      </c>
      <c r="C450" s="60">
        <f>7.0275 * CHOOSE(CONTROL!$C$21, $C$12, 100%, $E$12)</f>
        <v>7.0274999999999999</v>
      </c>
      <c r="D450" s="60">
        <f>7.038 * CHOOSE(CONTROL!$C$21, $C$12, 100%, $E$12)</f>
        <v>7.0380000000000003</v>
      </c>
      <c r="E450" s="61">
        <f>8.1277 * CHOOSE(CONTROL!$C$21, $C$12, 100%, $E$12)</f>
        <v>8.1277000000000008</v>
      </c>
      <c r="F450" s="61">
        <f>8.1277 * CHOOSE(CONTROL!$C$21, $C$12, 100%, $E$12)</f>
        <v>8.1277000000000008</v>
      </c>
      <c r="G450" s="61">
        <f>8.1278 * CHOOSE(CONTROL!$C$21, $C$12, 100%, $E$12)</f>
        <v>8.1278000000000006</v>
      </c>
      <c r="H450" s="61">
        <f>14.1416* CHOOSE(CONTROL!$C$21, $C$12, 100%, $E$12)</f>
        <v>14.1416</v>
      </c>
      <c r="I450" s="61">
        <f>14.1418 * CHOOSE(CONTROL!$C$21, $C$12, 100%, $E$12)</f>
        <v>14.1418</v>
      </c>
      <c r="J450" s="61">
        <f>8.1277 * CHOOSE(CONTROL!$C$21, $C$12, 100%, $E$12)</f>
        <v>8.1277000000000008</v>
      </c>
      <c r="K450" s="61">
        <f>8.1278 * CHOOSE(CONTROL!$C$21, $C$12, 100%, $E$12)</f>
        <v>8.1278000000000006</v>
      </c>
    </row>
    <row r="451" spans="1:11" ht="15">
      <c r="A451" s="13">
        <v>55610</v>
      </c>
      <c r="B451" s="60">
        <f>7.0278 * CHOOSE(CONTROL!$C$21, $C$12, 100%, $E$12)</f>
        <v>7.0278</v>
      </c>
      <c r="C451" s="60">
        <f>7.0278 * CHOOSE(CONTROL!$C$21, $C$12, 100%, $E$12)</f>
        <v>7.0278</v>
      </c>
      <c r="D451" s="60">
        <f>7.0384 * CHOOSE(CONTROL!$C$21, $C$12, 100%, $E$12)</f>
        <v>7.0384000000000002</v>
      </c>
      <c r="E451" s="61">
        <f>8.1988 * CHOOSE(CONTROL!$C$21, $C$12, 100%, $E$12)</f>
        <v>8.1988000000000003</v>
      </c>
      <c r="F451" s="61">
        <f>8.1988 * CHOOSE(CONTROL!$C$21, $C$12, 100%, $E$12)</f>
        <v>8.1988000000000003</v>
      </c>
      <c r="G451" s="61">
        <f>8.199 * CHOOSE(CONTROL!$C$21, $C$12, 100%, $E$12)</f>
        <v>8.1989999999999998</v>
      </c>
      <c r="H451" s="61">
        <f>14.1711* CHOOSE(CONTROL!$C$21, $C$12, 100%, $E$12)</f>
        <v>14.171099999999999</v>
      </c>
      <c r="I451" s="61">
        <f>14.1713 * CHOOSE(CONTROL!$C$21, $C$12, 100%, $E$12)</f>
        <v>14.1713</v>
      </c>
      <c r="J451" s="61">
        <f>8.1988 * CHOOSE(CONTROL!$C$21, $C$12, 100%, $E$12)</f>
        <v>8.1988000000000003</v>
      </c>
      <c r="K451" s="61">
        <f>8.199 * CHOOSE(CONTROL!$C$21, $C$12, 100%, $E$12)</f>
        <v>8.1989999999999998</v>
      </c>
    </row>
    <row r="452" spans="1:11" ht="15">
      <c r="A452" s="13">
        <v>55640</v>
      </c>
      <c r="B452" s="60">
        <f>7.0278 * CHOOSE(CONTROL!$C$21, $C$12, 100%, $E$12)</f>
        <v>7.0278</v>
      </c>
      <c r="C452" s="60">
        <f>7.0278 * CHOOSE(CONTROL!$C$21, $C$12, 100%, $E$12)</f>
        <v>7.0278</v>
      </c>
      <c r="D452" s="60">
        <f>7.0489 * CHOOSE(CONTROL!$C$21, $C$12, 100%, $E$12)</f>
        <v>7.0488999999999997</v>
      </c>
      <c r="E452" s="61">
        <f>8.2271 * CHOOSE(CONTROL!$C$21, $C$12, 100%, $E$12)</f>
        <v>8.2271000000000001</v>
      </c>
      <c r="F452" s="61">
        <f>8.2271 * CHOOSE(CONTROL!$C$21, $C$12, 100%, $E$12)</f>
        <v>8.2271000000000001</v>
      </c>
      <c r="G452" s="61">
        <f>8.2285 * CHOOSE(CONTROL!$C$21, $C$12, 100%, $E$12)</f>
        <v>8.2285000000000004</v>
      </c>
      <c r="H452" s="61">
        <f>14.2006* CHOOSE(CONTROL!$C$21, $C$12, 100%, $E$12)</f>
        <v>14.2006</v>
      </c>
      <c r="I452" s="61">
        <f>14.202 * CHOOSE(CONTROL!$C$21, $C$12, 100%, $E$12)</f>
        <v>14.202</v>
      </c>
      <c r="J452" s="61">
        <f>8.2271 * CHOOSE(CONTROL!$C$21, $C$12, 100%, $E$12)</f>
        <v>8.2271000000000001</v>
      </c>
      <c r="K452" s="61">
        <f>8.2285 * CHOOSE(CONTROL!$C$21, $C$12, 100%, $E$12)</f>
        <v>8.2285000000000004</v>
      </c>
    </row>
    <row r="453" spans="1:11" ht="15">
      <c r="A453" s="13">
        <v>55671</v>
      </c>
      <c r="B453" s="60">
        <f>7.0339 * CHOOSE(CONTROL!$C$21, $C$12, 100%, $E$12)</f>
        <v>7.0339</v>
      </c>
      <c r="C453" s="60">
        <f>7.0339 * CHOOSE(CONTROL!$C$21, $C$12, 100%, $E$12)</f>
        <v>7.0339</v>
      </c>
      <c r="D453" s="60">
        <f>7.055 * CHOOSE(CONTROL!$C$21, $C$12, 100%, $E$12)</f>
        <v>7.0549999999999997</v>
      </c>
      <c r="E453" s="61">
        <f>8.203 * CHOOSE(CONTROL!$C$21, $C$12, 100%, $E$12)</f>
        <v>8.2029999999999994</v>
      </c>
      <c r="F453" s="61">
        <f>8.203 * CHOOSE(CONTROL!$C$21, $C$12, 100%, $E$12)</f>
        <v>8.2029999999999994</v>
      </c>
      <c r="G453" s="61">
        <f>8.2044 * CHOOSE(CONTROL!$C$21, $C$12, 100%, $E$12)</f>
        <v>8.2043999999999997</v>
      </c>
      <c r="H453" s="61">
        <f>14.2302* CHOOSE(CONTROL!$C$21, $C$12, 100%, $E$12)</f>
        <v>14.2302</v>
      </c>
      <c r="I453" s="61">
        <f>14.2316 * CHOOSE(CONTROL!$C$21, $C$12, 100%, $E$12)</f>
        <v>14.2316</v>
      </c>
      <c r="J453" s="61">
        <f>8.203 * CHOOSE(CONTROL!$C$21, $C$12, 100%, $E$12)</f>
        <v>8.2029999999999994</v>
      </c>
      <c r="K453" s="61">
        <f>8.2044 * CHOOSE(CONTROL!$C$21, $C$12, 100%, $E$12)</f>
        <v>8.2043999999999997</v>
      </c>
    </row>
    <row r="454" spans="1:11" ht="15">
      <c r="A454" s="13">
        <v>55701</v>
      </c>
      <c r="B454" s="60">
        <f>7.1492 * CHOOSE(CONTROL!$C$21, $C$12, 100%, $E$12)</f>
        <v>7.1492000000000004</v>
      </c>
      <c r="C454" s="60">
        <f>7.1492 * CHOOSE(CONTROL!$C$21, $C$12, 100%, $E$12)</f>
        <v>7.1492000000000004</v>
      </c>
      <c r="D454" s="60">
        <f>7.1703 * CHOOSE(CONTROL!$C$21, $C$12, 100%, $E$12)</f>
        <v>7.1703000000000001</v>
      </c>
      <c r="E454" s="61">
        <f>8.3643 * CHOOSE(CONTROL!$C$21, $C$12, 100%, $E$12)</f>
        <v>8.3643000000000001</v>
      </c>
      <c r="F454" s="61">
        <f>8.3643 * CHOOSE(CONTROL!$C$21, $C$12, 100%, $E$12)</f>
        <v>8.3643000000000001</v>
      </c>
      <c r="G454" s="61">
        <f>8.3657 * CHOOSE(CONTROL!$C$21, $C$12, 100%, $E$12)</f>
        <v>8.3657000000000004</v>
      </c>
      <c r="H454" s="61">
        <f>14.2598* CHOOSE(CONTROL!$C$21, $C$12, 100%, $E$12)</f>
        <v>14.2598</v>
      </c>
      <c r="I454" s="61">
        <f>14.2612 * CHOOSE(CONTROL!$C$21, $C$12, 100%, $E$12)</f>
        <v>14.261200000000001</v>
      </c>
      <c r="J454" s="61">
        <f>8.3643 * CHOOSE(CONTROL!$C$21, $C$12, 100%, $E$12)</f>
        <v>8.3643000000000001</v>
      </c>
      <c r="K454" s="61">
        <f>8.3657 * CHOOSE(CONTROL!$C$21, $C$12, 100%, $E$12)</f>
        <v>8.3657000000000004</v>
      </c>
    </row>
    <row r="455" spans="1:11" ht="15">
      <c r="A455" s="13">
        <v>55732</v>
      </c>
      <c r="B455" s="60">
        <f>7.1559 * CHOOSE(CONTROL!$C$21, $C$12, 100%, $E$12)</f>
        <v>7.1558999999999999</v>
      </c>
      <c r="C455" s="60">
        <f>7.1559 * CHOOSE(CONTROL!$C$21, $C$12, 100%, $E$12)</f>
        <v>7.1558999999999999</v>
      </c>
      <c r="D455" s="60">
        <f>7.177 * CHOOSE(CONTROL!$C$21, $C$12, 100%, $E$12)</f>
        <v>7.1769999999999996</v>
      </c>
      <c r="E455" s="61">
        <f>8.2841 * CHOOSE(CONTROL!$C$21, $C$12, 100%, $E$12)</f>
        <v>8.2841000000000005</v>
      </c>
      <c r="F455" s="61">
        <f>8.2841 * CHOOSE(CONTROL!$C$21, $C$12, 100%, $E$12)</f>
        <v>8.2841000000000005</v>
      </c>
      <c r="G455" s="61">
        <f>8.2855 * CHOOSE(CONTROL!$C$21, $C$12, 100%, $E$12)</f>
        <v>8.2855000000000008</v>
      </c>
      <c r="H455" s="61">
        <f>14.2896* CHOOSE(CONTROL!$C$21, $C$12, 100%, $E$12)</f>
        <v>14.2896</v>
      </c>
      <c r="I455" s="61">
        <f>14.2909 * CHOOSE(CONTROL!$C$21, $C$12, 100%, $E$12)</f>
        <v>14.290900000000001</v>
      </c>
      <c r="J455" s="61">
        <f>8.2841 * CHOOSE(CONTROL!$C$21, $C$12, 100%, $E$12)</f>
        <v>8.2841000000000005</v>
      </c>
      <c r="K455" s="61">
        <f>8.2855 * CHOOSE(CONTROL!$C$21, $C$12, 100%, $E$12)</f>
        <v>8.2855000000000008</v>
      </c>
    </row>
    <row r="456" spans="1:11" ht="15">
      <c r="A456" s="13">
        <v>55763</v>
      </c>
      <c r="B456" s="60">
        <f>7.1528 * CHOOSE(CONTROL!$C$21, $C$12, 100%, $E$12)</f>
        <v>7.1528</v>
      </c>
      <c r="C456" s="60">
        <f>7.1528 * CHOOSE(CONTROL!$C$21, $C$12, 100%, $E$12)</f>
        <v>7.1528</v>
      </c>
      <c r="D456" s="60">
        <f>7.1739 * CHOOSE(CONTROL!$C$21, $C$12, 100%, $E$12)</f>
        <v>7.1738999999999997</v>
      </c>
      <c r="E456" s="61">
        <f>8.2726 * CHOOSE(CONTROL!$C$21, $C$12, 100%, $E$12)</f>
        <v>8.2726000000000006</v>
      </c>
      <c r="F456" s="61">
        <f>8.2726 * CHOOSE(CONTROL!$C$21, $C$12, 100%, $E$12)</f>
        <v>8.2726000000000006</v>
      </c>
      <c r="G456" s="61">
        <f>8.274 * CHOOSE(CONTROL!$C$21, $C$12, 100%, $E$12)</f>
        <v>8.2739999999999991</v>
      </c>
      <c r="H456" s="61">
        <f>14.3193* CHOOSE(CONTROL!$C$21, $C$12, 100%, $E$12)</f>
        <v>14.3193</v>
      </c>
      <c r="I456" s="61">
        <f>14.3207 * CHOOSE(CONTROL!$C$21, $C$12, 100%, $E$12)</f>
        <v>14.3207</v>
      </c>
      <c r="J456" s="61">
        <f>8.2726 * CHOOSE(CONTROL!$C$21, $C$12, 100%, $E$12)</f>
        <v>8.2726000000000006</v>
      </c>
      <c r="K456" s="61">
        <f>8.274 * CHOOSE(CONTROL!$C$21, $C$12, 100%, $E$12)</f>
        <v>8.2739999999999991</v>
      </c>
    </row>
    <row r="457" spans="1:11" ht="15">
      <c r="A457" s="13">
        <v>55793</v>
      </c>
      <c r="B457" s="60">
        <f>7.1586 * CHOOSE(CONTROL!$C$21, $C$12, 100%, $E$12)</f>
        <v>7.1585999999999999</v>
      </c>
      <c r="C457" s="60">
        <f>7.1586 * CHOOSE(CONTROL!$C$21, $C$12, 100%, $E$12)</f>
        <v>7.1585999999999999</v>
      </c>
      <c r="D457" s="60">
        <f>7.1692 * CHOOSE(CONTROL!$C$21, $C$12, 100%, $E$12)</f>
        <v>7.1692</v>
      </c>
      <c r="E457" s="61">
        <f>8.2969 * CHOOSE(CONTROL!$C$21, $C$12, 100%, $E$12)</f>
        <v>8.2969000000000008</v>
      </c>
      <c r="F457" s="61">
        <f>8.2969 * CHOOSE(CONTROL!$C$21, $C$12, 100%, $E$12)</f>
        <v>8.2969000000000008</v>
      </c>
      <c r="G457" s="61">
        <f>8.297 * CHOOSE(CONTROL!$C$21, $C$12, 100%, $E$12)</f>
        <v>8.2970000000000006</v>
      </c>
      <c r="H457" s="61">
        <f>14.3492* CHOOSE(CONTROL!$C$21, $C$12, 100%, $E$12)</f>
        <v>14.3492</v>
      </c>
      <c r="I457" s="61">
        <f>14.3493 * CHOOSE(CONTROL!$C$21, $C$12, 100%, $E$12)</f>
        <v>14.349299999999999</v>
      </c>
      <c r="J457" s="61">
        <f>8.2969 * CHOOSE(CONTROL!$C$21, $C$12, 100%, $E$12)</f>
        <v>8.2969000000000008</v>
      </c>
      <c r="K457" s="61">
        <f>8.297 * CHOOSE(CONTROL!$C$21, $C$12, 100%, $E$12)</f>
        <v>8.2970000000000006</v>
      </c>
    </row>
    <row r="458" spans="1:11" ht="15">
      <c r="A458" s="13">
        <v>55824</v>
      </c>
      <c r="B458" s="60">
        <f>7.1616 * CHOOSE(CONTROL!$C$21, $C$12, 100%, $E$12)</f>
        <v>7.1616</v>
      </c>
      <c r="C458" s="60">
        <f>7.1616 * CHOOSE(CONTROL!$C$21, $C$12, 100%, $E$12)</f>
        <v>7.1616</v>
      </c>
      <c r="D458" s="60">
        <f>7.1722 * CHOOSE(CONTROL!$C$21, $C$12, 100%, $E$12)</f>
        <v>7.1722000000000001</v>
      </c>
      <c r="E458" s="61">
        <f>8.3178 * CHOOSE(CONTROL!$C$21, $C$12, 100%, $E$12)</f>
        <v>8.3178000000000001</v>
      </c>
      <c r="F458" s="61">
        <f>8.3178 * CHOOSE(CONTROL!$C$21, $C$12, 100%, $E$12)</f>
        <v>8.3178000000000001</v>
      </c>
      <c r="G458" s="61">
        <f>8.318 * CHOOSE(CONTROL!$C$21, $C$12, 100%, $E$12)</f>
        <v>8.3179999999999996</v>
      </c>
      <c r="H458" s="61">
        <f>14.3791* CHOOSE(CONTROL!$C$21, $C$12, 100%, $E$12)</f>
        <v>14.379099999999999</v>
      </c>
      <c r="I458" s="61">
        <f>14.3792 * CHOOSE(CONTROL!$C$21, $C$12, 100%, $E$12)</f>
        <v>14.379200000000001</v>
      </c>
      <c r="J458" s="61">
        <f>8.3178 * CHOOSE(CONTROL!$C$21, $C$12, 100%, $E$12)</f>
        <v>8.3178000000000001</v>
      </c>
      <c r="K458" s="61">
        <f>8.318 * CHOOSE(CONTROL!$C$21, $C$12, 100%, $E$12)</f>
        <v>8.3179999999999996</v>
      </c>
    </row>
    <row r="459" spans="1:11" ht="15">
      <c r="A459" s="13">
        <v>55854</v>
      </c>
      <c r="B459" s="60">
        <f>7.1616 * CHOOSE(CONTROL!$C$21, $C$12, 100%, $E$12)</f>
        <v>7.1616</v>
      </c>
      <c r="C459" s="60">
        <f>7.1616 * CHOOSE(CONTROL!$C$21, $C$12, 100%, $E$12)</f>
        <v>7.1616</v>
      </c>
      <c r="D459" s="60">
        <f>7.1722 * CHOOSE(CONTROL!$C$21, $C$12, 100%, $E$12)</f>
        <v>7.1722000000000001</v>
      </c>
      <c r="E459" s="61">
        <f>8.2707 * CHOOSE(CONTROL!$C$21, $C$12, 100%, $E$12)</f>
        <v>8.2706999999999997</v>
      </c>
      <c r="F459" s="61">
        <f>8.2707 * CHOOSE(CONTROL!$C$21, $C$12, 100%, $E$12)</f>
        <v>8.2706999999999997</v>
      </c>
      <c r="G459" s="61">
        <f>8.2709 * CHOOSE(CONTROL!$C$21, $C$12, 100%, $E$12)</f>
        <v>8.2708999999999993</v>
      </c>
      <c r="H459" s="61">
        <f>14.409* CHOOSE(CONTROL!$C$21, $C$12, 100%, $E$12)</f>
        <v>14.409000000000001</v>
      </c>
      <c r="I459" s="61">
        <f>14.4092 * CHOOSE(CONTROL!$C$21, $C$12, 100%, $E$12)</f>
        <v>14.4092</v>
      </c>
      <c r="J459" s="61">
        <f>8.2707 * CHOOSE(CONTROL!$C$21, $C$12, 100%, $E$12)</f>
        <v>8.2706999999999997</v>
      </c>
      <c r="K459" s="61">
        <f>8.2709 * CHOOSE(CONTROL!$C$21, $C$12, 100%, $E$12)</f>
        <v>8.2708999999999993</v>
      </c>
    </row>
    <row r="460" spans="1:11" ht="15">
      <c r="A460" s="13">
        <v>55885</v>
      </c>
      <c r="B460" s="60">
        <f>7.2256 * CHOOSE(CONTROL!$C$21, $C$12, 100%, $E$12)</f>
        <v>7.2256</v>
      </c>
      <c r="C460" s="60">
        <f>7.2256 * CHOOSE(CONTROL!$C$21, $C$12, 100%, $E$12)</f>
        <v>7.2256</v>
      </c>
      <c r="D460" s="60">
        <f>7.2361 * CHOOSE(CONTROL!$C$21, $C$12, 100%, $E$12)</f>
        <v>7.2361000000000004</v>
      </c>
      <c r="E460" s="61">
        <f>8.3788 * CHOOSE(CONTROL!$C$21, $C$12, 100%, $E$12)</f>
        <v>8.3788</v>
      </c>
      <c r="F460" s="61">
        <f>8.3788 * CHOOSE(CONTROL!$C$21, $C$12, 100%, $E$12)</f>
        <v>8.3788</v>
      </c>
      <c r="G460" s="61">
        <f>8.379 * CHOOSE(CONTROL!$C$21, $C$12, 100%, $E$12)</f>
        <v>8.3789999999999996</v>
      </c>
      <c r="H460" s="61">
        <f>14.439* CHOOSE(CONTROL!$C$21, $C$12, 100%, $E$12)</f>
        <v>14.439</v>
      </c>
      <c r="I460" s="61">
        <f>14.4392 * CHOOSE(CONTROL!$C$21, $C$12, 100%, $E$12)</f>
        <v>14.4392</v>
      </c>
      <c r="J460" s="61">
        <f>8.3788 * CHOOSE(CONTROL!$C$21, $C$12, 100%, $E$12)</f>
        <v>8.3788</v>
      </c>
      <c r="K460" s="61">
        <f>8.379 * CHOOSE(CONTROL!$C$21, $C$12, 100%, $E$12)</f>
        <v>8.3789999999999996</v>
      </c>
    </row>
    <row r="461" spans="1:11" ht="15">
      <c r="A461" s="13">
        <v>55916</v>
      </c>
      <c r="B461" s="60">
        <f>7.2225 * CHOOSE(CONTROL!$C$21, $C$12, 100%, $E$12)</f>
        <v>7.2225000000000001</v>
      </c>
      <c r="C461" s="60">
        <f>7.2225 * CHOOSE(CONTROL!$C$21, $C$12, 100%, $E$12)</f>
        <v>7.2225000000000001</v>
      </c>
      <c r="D461" s="60">
        <f>7.2331 * CHOOSE(CONTROL!$C$21, $C$12, 100%, $E$12)</f>
        <v>7.2331000000000003</v>
      </c>
      <c r="E461" s="61">
        <f>8.2852 * CHOOSE(CONTROL!$C$21, $C$12, 100%, $E$12)</f>
        <v>8.2851999999999997</v>
      </c>
      <c r="F461" s="61">
        <f>8.2852 * CHOOSE(CONTROL!$C$21, $C$12, 100%, $E$12)</f>
        <v>8.2851999999999997</v>
      </c>
      <c r="G461" s="61">
        <f>8.2854 * CHOOSE(CONTROL!$C$21, $C$12, 100%, $E$12)</f>
        <v>8.2853999999999992</v>
      </c>
      <c r="H461" s="61">
        <f>14.4691* CHOOSE(CONTROL!$C$21, $C$12, 100%, $E$12)</f>
        <v>14.469099999999999</v>
      </c>
      <c r="I461" s="61">
        <f>14.4693 * CHOOSE(CONTROL!$C$21, $C$12, 100%, $E$12)</f>
        <v>14.4693</v>
      </c>
      <c r="J461" s="61">
        <f>8.2852 * CHOOSE(CONTROL!$C$21, $C$12, 100%, $E$12)</f>
        <v>8.2851999999999997</v>
      </c>
      <c r="K461" s="61">
        <f>8.2854 * CHOOSE(CONTROL!$C$21, $C$12, 100%, $E$12)</f>
        <v>8.2853999999999992</v>
      </c>
    </row>
    <row r="462" spans="1:11" ht="15">
      <c r="A462" s="13">
        <v>55944</v>
      </c>
      <c r="B462" s="60">
        <f>7.2195 * CHOOSE(CONTROL!$C$21, $C$12, 100%, $E$12)</f>
        <v>7.2195</v>
      </c>
      <c r="C462" s="60">
        <f>7.2195 * CHOOSE(CONTROL!$C$21, $C$12, 100%, $E$12)</f>
        <v>7.2195</v>
      </c>
      <c r="D462" s="60">
        <f>7.23 * CHOOSE(CONTROL!$C$21, $C$12, 100%, $E$12)</f>
        <v>7.23</v>
      </c>
      <c r="E462" s="61">
        <f>8.3552 * CHOOSE(CONTROL!$C$21, $C$12, 100%, $E$12)</f>
        <v>8.3552</v>
      </c>
      <c r="F462" s="61">
        <f>8.3552 * CHOOSE(CONTROL!$C$21, $C$12, 100%, $E$12)</f>
        <v>8.3552</v>
      </c>
      <c r="G462" s="61">
        <f>8.3554 * CHOOSE(CONTROL!$C$21, $C$12, 100%, $E$12)</f>
        <v>8.3553999999999995</v>
      </c>
      <c r="H462" s="61">
        <f>14.4993* CHOOSE(CONTROL!$C$21, $C$12, 100%, $E$12)</f>
        <v>14.4993</v>
      </c>
      <c r="I462" s="61">
        <f>14.4994 * CHOOSE(CONTROL!$C$21, $C$12, 100%, $E$12)</f>
        <v>14.4994</v>
      </c>
      <c r="J462" s="61">
        <f>8.3552 * CHOOSE(CONTROL!$C$21, $C$12, 100%, $E$12)</f>
        <v>8.3552</v>
      </c>
      <c r="K462" s="61">
        <f>8.3554 * CHOOSE(CONTROL!$C$21, $C$12, 100%, $E$12)</f>
        <v>8.3553999999999995</v>
      </c>
    </row>
    <row r="463" spans="1:11" ht="15">
      <c r="A463" s="13">
        <v>55975</v>
      </c>
      <c r="B463" s="60">
        <f>7.22 * CHOOSE(CONTROL!$C$21, $C$12, 100%, $E$12)</f>
        <v>7.22</v>
      </c>
      <c r="C463" s="60">
        <f>7.22 * CHOOSE(CONTROL!$C$21, $C$12, 100%, $E$12)</f>
        <v>7.22</v>
      </c>
      <c r="D463" s="60">
        <f>7.2305 * CHOOSE(CONTROL!$C$21, $C$12, 100%, $E$12)</f>
        <v>7.2305000000000001</v>
      </c>
      <c r="E463" s="61">
        <f>8.4285 * CHOOSE(CONTROL!$C$21, $C$12, 100%, $E$12)</f>
        <v>8.4284999999999997</v>
      </c>
      <c r="F463" s="61">
        <f>8.4285 * CHOOSE(CONTROL!$C$21, $C$12, 100%, $E$12)</f>
        <v>8.4284999999999997</v>
      </c>
      <c r="G463" s="61">
        <f>8.4287 * CHOOSE(CONTROL!$C$21, $C$12, 100%, $E$12)</f>
        <v>8.4286999999999992</v>
      </c>
      <c r="H463" s="61">
        <f>14.5295* CHOOSE(CONTROL!$C$21, $C$12, 100%, $E$12)</f>
        <v>14.529500000000001</v>
      </c>
      <c r="I463" s="61">
        <f>14.5296 * CHOOSE(CONTROL!$C$21, $C$12, 100%, $E$12)</f>
        <v>14.5296</v>
      </c>
      <c r="J463" s="61">
        <f>8.4285 * CHOOSE(CONTROL!$C$21, $C$12, 100%, $E$12)</f>
        <v>8.4284999999999997</v>
      </c>
      <c r="K463" s="61">
        <f>8.4287 * CHOOSE(CONTROL!$C$21, $C$12, 100%, $E$12)</f>
        <v>8.4286999999999992</v>
      </c>
    </row>
    <row r="464" spans="1:11" ht="15">
      <c r="A464" s="13">
        <v>56005</v>
      </c>
      <c r="B464" s="60">
        <f>7.22 * CHOOSE(CONTROL!$C$21, $C$12, 100%, $E$12)</f>
        <v>7.22</v>
      </c>
      <c r="C464" s="60">
        <f>7.22 * CHOOSE(CONTROL!$C$21, $C$12, 100%, $E$12)</f>
        <v>7.22</v>
      </c>
      <c r="D464" s="60">
        <f>7.2411 * CHOOSE(CONTROL!$C$21, $C$12, 100%, $E$12)</f>
        <v>7.2411000000000003</v>
      </c>
      <c r="E464" s="61">
        <f>8.4576 * CHOOSE(CONTROL!$C$21, $C$12, 100%, $E$12)</f>
        <v>8.4575999999999993</v>
      </c>
      <c r="F464" s="61">
        <f>8.4576 * CHOOSE(CONTROL!$C$21, $C$12, 100%, $E$12)</f>
        <v>8.4575999999999993</v>
      </c>
      <c r="G464" s="61">
        <f>8.4589 * CHOOSE(CONTROL!$C$21, $C$12, 100%, $E$12)</f>
        <v>8.4588999999999999</v>
      </c>
      <c r="H464" s="61">
        <f>14.5597* CHOOSE(CONTROL!$C$21, $C$12, 100%, $E$12)</f>
        <v>14.559699999999999</v>
      </c>
      <c r="I464" s="61">
        <f>14.5611 * CHOOSE(CONTROL!$C$21, $C$12, 100%, $E$12)</f>
        <v>14.5611</v>
      </c>
      <c r="J464" s="61">
        <f>8.4576 * CHOOSE(CONTROL!$C$21, $C$12, 100%, $E$12)</f>
        <v>8.4575999999999993</v>
      </c>
      <c r="K464" s="61">
        <f>8.4589 * CHOOSE(CONTROL!$C$21, $C$12, 100%, $E$12)</f>
        <v>8.4588999999999999</v>
      </c>
    </row>
    <row r="465" spans="1:11" ht="15">
      <c r="A465" s="13">
        <v>56036</v>
      </c>
      <c r="B465" s="60">
        <f>7.2261 * CHOOSE(CONTROL!$C$21, $C$12, 100%, $E$12)</f>
        <v>7.2260999999999997</v>
      </c>
      <c r="C465" s="60">
        <f>7.2261 * CHOOSE(CONTROL!$C$21, $C$12, 100%, $E$12)</f>
        <v>7.2260999999999997</v>
      </c>
      <c r="D465" s="60">
        <f>7.2472 * CHOOSE(CONTROL!$C$21, $C$12, 100%, $E$12)</f>
        <v>7.2472000000000003</v>
      </c>
      <c r="E465" s="61">
        <f>8.4327 * CHOOSE(CONTROL!$C$21, $C$12, 100%, $E$12)</f>
        <v>8.4327000000000005</v>
      </c>
      <c r="F465" s="61">
        <f>8.4327 * CHOOSE(CONTROL!$C$21, $C$12, 100%, $E$12)</f>
        <v>8.4327000000000005</v>
      </c>
      <c r="G465" s="61">
        <f>8.4341 * CHOOSE(CONTROL!$C$21, $C$12, 100%, $E$12)</f>
        <v>8.4341000000000008</v>
      </c>
      <c r="H465" s="61">
        <f>14.5901* CHOOSE(CONTROL!$C$21, $C$12, 100%, $E$12)</f>
        <v>14.5901</v>
      </c>
      <c r="I465" s="61">
        <f>14.5914 * CHOOSE(CONTROL!$C$21, $C$12, 100%, $E$12)</f>
        <v>14.5914</v>
      </c>
      <c r="J465" s="61">
        <f>8.4327 * CHOOSE(CONTROL!$C$21, $C$12, 100%, $E$12)</f>
        <v>8.4327000000000005</v>
      </c>
      <c r="K465" s="61">
        <f>8.4341 * CHOOSE(CONTROL!$C$21, $C$12, 100%, $E$12)</f>
        <v>8.4341000000000008</v>
      </c>
    </row>
    <row r="466" spans="1:11" ht="15">
      <c r="A466" s="13">
        <v>56066</v>
      </c>
      <c r="B466" s="60">
        <f>7.3442 * CHOOSE(CONTROL!$C$21, $C$12, 100%, $E$12)</f>
        <v>7.3441999999999998</v>
      </c>
      <c r="C466" s="60">
        <f>7.3442 * CHOOSE(CONTROL!$C$21, $C$12, 100%, $E$12)</f>
        <v>7.3441999999999998</v>
      </c>
      <c r="D466" s="60">
        <f>7.3653 * CHOOSE(CONTROL!$C$21, $C$12, 100%, $E$12)</f>
        <v>7.3653000000000004</v>
      </c>
      <c r="E466" s="61">
        <f>8.5982 * CHOOSE(CONTROL!$C$21, $C$12, 100%, $E$12)</f>
        <v>8.5982000000000003</v>
      </c>
      <c r="F466" s="61">
        <f>8.5982 * CHOOSE(CONTROL!$C$21, $C$12, 100%, $E$12)</f>
        <v>8.5982000000000003</v>
      </c>
      <c r="G466" s="61">
        <f>8.5996 * CHOOSE(CONTROL!$C$21, $C$12, 100%, $E$12)</f>
        <v>8.5996000000000006</v>
      </c>
      <c r="H466" s="61">
        <f>14.6205* CHOOSE(CONTROL!$C$21, $C$12, 100%, $E$12)</f>
        <v>14.6205</v>
      </c>
      <c r="I466" s="61">
        <f>14.6218 * CHOOSE(CONTROL!$C$21, $C$12, 100%, $E$12)</f>
        <v>14.6218</v>
      </c>
      <c r="J466" s="61">
        <f>8.5982 * CHOOSE(CONTROL!$C$21, $C$12, 100%, $E$12)</f>
        <v>8.5982000000000003</v>
      </c>
      <c r="K466" s="61">
        <f>8.5996 * CHOOSE(CONTROL!$C$21, $C$12, 100%, $E$12)</f>
        <v>8.5996000000000006</v>
      </c>
    </row>
    <row r="467" spans="1:11" ht="15">
      <c r="A467" s="13">
        <v>56097</v>
      </c>
      <c r="B467" s="60">
        <f>7.3509 * CHOOSE(CONTROL!$C$21, $C$12, 100%, $E$12)</f>
        <v>7.3509000000000002</v>
      </c>
      <c r="C467" s="60">
        <f>7.3509 * CHOOSE(CONTROL!$C$21, $C$12, 100%, $E$12)</f>
        <v>7.3509000000000002</v>
      </c>
      <c r="D467" s="60">
        <f>7.372 * CHOOSE(CONTROL!$C$21, $C$12, 100%, $E$12)</f>
        <v>7.3719999999999999</v>
      </c>
      <c r="E467" s="61">
        <f>8.5157 * CHOOSE(CONTROL!$C$21, $C$12, 100%, $E$12)</f>
        <v>8.5157000000000007</v>
      </c>
      <c r="F467" s="61">
        <f>8.5157 * CHOOSE(CONTROL!$C$21, $C$12, 100%, $E$12)</f>
        <v>8.5157000000000007</v>
      </c>
      <c r="G467" s="61">
        <f>8.517 * CHOOSE(CONTROL!$C$21, $C$12, 100%, $E$12)</f>
        <v>8.5169999999999995</v>
      </c>
      <c r="H467" s="61">
        <f>14.6509* CHOOSE(CONTROL!$C$21, $C$12, 100%, $E$12)</f>
        <v>14.6509</v>
      </c>
      <c r="I467" s="61">
        <f>14.6523 * CHOOSE(CONTROL!$C$21, $C$12, 100%, $E$12)</f>
        <v>14.6523</v>
      </c>
      <c r="J467" s="61">
        <f>8.5157 * CHOOSE(CONTROL!$C$21, $C$12, 100%, $E$12)</f>
        <v>8.5157000000000007</v>
      </c>
      <c r="K467" s="61">
        <f>8.517 * CHOOSE(CONTROL!$C$21, $C$12, 100%, $E$12)</f>
        <v>8.5169999999999995</v>
      </c>
    </row>
    <row r="468" spans="1:11" ht="15">
      <c r="A468" s="13">
        <v>56128</v>
      </c>
      <c r="B468" s="60">
        <f>7.3479 * CHOOSE(CONTROL!$C$21, $C$12, 100%, $E$12)</f>
        <v>7.3479000000000001</v>
      </c>
      <c r="C468" s="60">
        <f>7.3479 * CHOOSE(CONTROL!$C$21, $C$12, 100%, $E$12)</f>
        <v>7.3479000000000001</v>
      </c>
      <c r="D468" s="60">
        <f>7.369 * CHOOSE(CONTROL!$C$21, $C$12, 100%, $E$12)</f>
        <v>7.3689999999999998</v>
      </c>
      <c r="E468" s="61">
        <f>8.5039 * CHOOSE(CONTROL!$C$21, $C$12, 100%, $E$12)</f>
        <v>8.5038999999999998</v>
      </c>
      <c r="F468" s="61">
        <f>8.5039 * CHOOSE(CONTROL!$C$21, $C$12, 100%, $E$12)</f>
        <v>8.5038999999999998</v>
      </c>
      <c r="G468" s="61">
        <f>8.5052 * CHOOSE(CONTROL!$C$21, $C$12, 100%, $E$12)</f>
        <v>8.5052000000000003</v>
      </c>
      <c r="H468" s="61">
        <f>14.6814* CHOOSE(CONTROL!$C$21, $C$12, 100%, $E$12)</f>
        <v>14.6814</v>
      </c>
      <c r="I468" s="61">
        <f>14.6828 * CHOOSE(CONTROL!$C$21, $C$12, 100%, $E$12)</f>
        <v>14.6828</v>
      </c>
      <c r="J468" s="61">
        <f>8.5039 * CHOOSE(CONTROL!$C$21, $C$12, 100%, $E$12)</f>
        <v>8.5038999999999998</v>
      </c>
      <c r="K468" s="61">
        <f>8.5052 * CHOOSE(CONTROL!$C$21, $C$12, 100%, $E$12)</f>
        <v>8.5052000000000003</v>
      </c>
    </row>
    <row r="469" spans="1:11" ht="15">
      <c r="A469" s="13">
        <v>56158</v>
      </c>
      <c r="B469" s="60">
        <f>7.3543 * CHOOSE(CONTROL!$C$21, $C$12, 100%, $E$12)</f>
        <v>7.3543000000000003</v>
      </c>
      <c r="C469" s="60">
        <f>7.3543 * CHOOSE(CONTROL!$C$21, $C$12, 100%, $E$12)</f>
        <v>7.3543000000000003</v>
      </c>
      <c r="D469" s="60">
        <f>7.3648 * CHOOSE(CONTROL!$C$21, $C$12, 100%, $E$12)</f>
        <v>7.3647999999999998</v>
      </c>
      <c r="E469" s="61">
        <f>8.5292 * CHOOSE(CONTROL!$C$21, $C$12, 100%, $E$12)</f>
        <v>8.5291999999999994</v>
      </c>
      <c r="F469" s="61">
        <f>8.5292 * CHOOSE(CONTROL!$C$21, $C$12, 100%, $E$12)</f>
        <v>8.5291999999999994</v>
      </c>
      <c r="G469" s="61">
        <f>8.5294 * CHOOSE(CONTROL!$C$21, $C$12, 100%, $E$12)</f>
        <v>8.5294000000000008</v>
      </c>
      <c r="H469" s="61">
        <f>14.712* CHOOSE(CONTROL!$C$21, $C$12, 100%, $E$12)</f>
        <v>14.712</v>
      </c>
      <c r="I469" s="61">
        <f>14.7122 * CHOOSE(CONTROL!$C$21, $C$12, 100%, $E$12)</f>
        <v>14.712199999999999</v>
      </c>
      <c r="J469" s="61">
        <f>8.5292 * CHOOSE(CONTROL!$C$21, $C$12, 100%, $E$12)</f>
        <v>8.5291999999999994</v>
      </c>
      <c r="K469" s="61">
        <f>8.5294 * CHOOSE(CONTROL!$C$21, $C$12, 100%, $E$12)</f>
        <v>8.5294000000000008</v>
      </c>
    </row>
    <row r="470" spans="1:11" ht="15">
      <c r="A470" s="13">
        <v>56189</v>
      </c>
      <c r="B470" s="60">
        <f>7.3573 * CHOOSE(CONTROL!$C$21, $C$12, 100%, $E$12)</f>
        <v>7.3573000000000004</v>
      </c>
      <c r="C470" s="60">
        <f>7.3573 * CHOOSE(CONTROL!$C$21, $C$12, 100%, $E$12)</f>
        <v>7.3573000000000004</v>
      </c>
      <c r="D470" s="60">
        <f>7.3679 * CHOOSE(CONTROL!$C$21, $C$12, 100%, $E$12)</f>
        <v>7.3678999999999997</v>
      </c>
      <c r="E470" s="61">
        <f>8.5507 * CHOOSE(CONTROL!$C$21, $C$12, 100%, $E$12)</f>
        <v>8.5507000000000009</v>
      </c>
      <c r="F470" s="61">
        <f>8.5507 * CHOOSE(CONTROL!$C$21, $C$12, 100%, $E$12)</f>
        <v>8.5507000000000009</v>
      </c>
      <c r="G470" s="61">
        <f>8.5509 * CHOOSE(CONTROL!$C$21, $C$12, 100%, $E$12)</f>
        <v>8.5509000000000004</v>
      </c>
      <c r="H470" s="61">
        <f>14.7427* CHOOSE(CONTROL!$C$21, $C$12, 100%, $E$12)</f>
        <v>14.742699999999999</v>
      </c>
      <c r="I470" s="61">
        <f>14.7429 * CHOOSE(CONTROL!$C$21, $C$12, 100%, $E$12)</f>
        <v>14.742900000000001</v>
      </c>
      <c r="J470" s="61">
        <f>8.5507 * CHOOSE(CONTROL!$C$21, $C$12, 100%, $E$12)</f>
        <v>8.5507000000000009</v>
      </c>
      <c r="K470" s="61">
        <f>8.5509 * CHOOSE(CONTROL!$C$21, $C$12, 100%, $E$12)</f>
        <v>8.5509000000000004</v>
      </c>
    </row>
    <row r="471" spans="1:11" ht="15">
      <c r="A471" s="13">
        <v>56219</v>
      </c>
      <c r="B471" s="60">
        <f>7.3573 * CHOOSE(CONTROL!$C$21, $C$12, 100%, $E$12)</f>
        <v>7.3573000000000004</v>
      </c>
      <c r="C471" s="60">
        <f>7.3573 * CHOOSE(CONTROL!$C$21, $C$12, 100%, $E$12)</f>
        <v>7.3573000000000004</v>
      </c>
      <c r="D471" s="60">
        <f>7.3679 * CHOOSE(CONTROL!$C$21, $C$12, 100%, $E$12)</f>
        <v>7.3678999999999997</v>
      </c>
      <c r="E471" s="61">
        <f>8.5022 * CHOOSE(CONTROL!$C$21, $C$12, 100%, $E$12)</f>
        <v>8.5022000000000002</v>
      </c>
      <c r="F471" s="61">
        <f>8.5022 * CHOOSE(CONTROL!$C$21, $C$12, 100%, $E$12)</f>
        <v>8.5022000000000002</v>
      </c>
      <c r="G471" s="61">
        <f>8.5024 * CHOOSE(CONTROL!$C$21, $C$12, 100%, $E$12)</f>
        <v>8.5023999999999997</v>
      </c>
      <c r="H471" s="61">
        <f>14.7734* CHOOSE(CONTROL!$C$21, $C$12, 100%, $E$12)</f>
        <v>14.773400000000001</v>
      </c>
      <c r="I471" s="61">
        <f>14.7736 * CHOOSE(CONTROL!$C$21, $C$12, 100%, $E$12)</f>
        <v>14.7736</v>
      </c>
      <c r="J471" s="61">
        <f>8.5022 * CHOOSE(CONTROL!$C$21, $C$12, 100%, $E$12)</f>
        <v>8.5022000000000002</v>
      </c>
      <c r="K471" s="61">
        <f>8.5024 * CHOOSE(CONTROL!$C$21, $C$12, 100%, $E$12)</f>
        <v>8.5023999999999997</v>
      </c>
    </row>
    <row r="472" spans="1:11" ht="15">
      <c r="A472" s="13">
        <v>56250</v>
      </c>
      <c r="B472" s="60">
        <f>7.4229 * CHOOSE(CONTROL!$C$21, $C$12, 100%, $E$12)</f>
        <v>7.4229000000000003</v>
      </c>
      <c r="C472" s="60">
        <f>7.4229 * CHOOSE(CONTROL!$C$21, $C$12, 100%, $E$12)</f>
        <v>7.4229000000000003</v>
      </c>
      <c r="D472" s="60">
        <f>7.4334 * CHOOSE(CONTROL!$C$21, $C$12, 100%, $E$12)</f>
        <v>7.4333999999999998</v>
      </c>
      <c r="E472" s="61">
        <f>8.6133 * CHOOSE(CONTROL!$C$21, $C$12, 100%, $E$12)</f>
        <v>8.6133000000000006</v>
      </c>
      <c r="F472" s="61">
        <f>8.6133 * CHOOSE(CONTROL!$C$21, $C$12, 100%, $E$12)</f>
        <v>8.6133000000000006</v>
      </c>
      <c r="G472" s="61">
        <f>8.6135 * CHOOSE(CONTROL!$C$21, $C$12, 100%, $E$12)</f>
        <v>8.6135000000000002</v>
      </c>
      <c r="H472" s="61">
        <f>14.8042* CHOOSE(CONTROL!$C$21, $C$12, 100%, $E$12)</f>
        <v>14.8042</v>
      </c>
      <c r="I472" s="61">
        <f>14.8043 * CHOOSE(CONTROL!$C$21, $C$12, 100%, $E$12)</f>
        <v>14.8043</v>
      </c>
      <c r="J472" s="61">
        <f>8.6133 * CHOOSE(CONTROL!$C$21, $C$12, 100%, $E$12)</f>
        <v>8.6133000000000006</v>
      </c>
      <c r="K472" s="61">
        <f>8.6135 * CHOOSE(CONTROL!$C$21, $C$12, 100%, $E$12)</f>
        <v>8.6135000000000002</v>
      </c>
    </row>
    <row r="473" spans="1:11" ht="15">
      <c r="A473" s="13">
        <v>56281</v>
      </c>
      <c r="B473" s="60">
        <f>7.4198 * CHOOSE(CONTROL!$C$21, $C$12, 100%, $E$12)</f>
        <v>7.4198000000000004</v>
      </c>
      <c r="C473" s="60">
        <f>7.4198 * CHOOSE(CONTROL!$C$21, $C$12, 100%, $E$12)</f>
        <v>7.4198000000000004</v>
      </c>
      <c r="D473" s="60">
        <f>7.4304 * CHOOSE(CONTROL!$C$21, $C$12, 100%, $E$12)</f>
        <v>7.4303999999999997</v>
      </c>
      <c r="E473" s="61">
        <f>8.5171 * CHOOSE(CONTROL!$C$21, $C$12, 100%, $E$12)</f>
        <v>8.5170999999999992</v>
      </c>
      <c r="F473" s="61">
        <f>8.5171 * CHOOSE(CONTROL!$C$21, $C$12, 100%, $E$12)</f>
        <v>8.5170999999999992</v>
      </c>
      <c r="G473" s="61">
        <f>8.5173 * CHOOSE(CONTROL!$C$21, $C$12, 100%, $E$12)</f>
        <v>8.5173000000000005</v>
      </c>
      <c r="H473" s="61">
        <f>14.835* CHOOSE(CONTROL!$C$21, $C$12, 100%, $E$12)</f>
        <v>14.835000000000001</v>
      </c>
      <c r="I473" s="61">
        <f>14.8352 * CHOOSE(CONTROL!$C$21, $C$12, 100%, $E$12)</f>
        <v>14.8352</v>
      </c>
      <c r="J473" s="61">
        <f>8.5171 * CHOOSE(CONTROL!$C$21, $C$12, 100%, $E$12)</f>
        <v>8.5170999999999992</v>
      </c>
      <c r="K473" s="61">
        <f>8.5173 * CHOOSE(CONTROL!$C$21, $C$12, 100%, $E$12)</f>
        <v>8.5173000000000005</v>
      </c>
    </row>
    <row r="474" spans="1:11" ht="15">
      <c r="A474" s="13">
        <v>56309</v>
      </c>
      <c r="B474" s="60">
        <f>7.4168 * CHOOSE(CONTROL!$C$21, $C$12, 100%, $E$12)</f>
        <v>7.4168000000000003</v>
      </c>
      <c r="C474" s="60">
        <f>7.4168 * CHOOSE(CONTROL!$C$21, $C$12, 100%, $E$12)</f>
        <v>7.4168000000000003</v>
      </c>
      <c r="D474" s="60">
        <f>7.4273 * CHOOSE(CONTROL!$C$21, $C$12, 100%, $E$12)</f>
        <v>7.4272999999999998</v>
      </c>
      <c r="E474" s="61">
        <f>8.5892 * CHOOSE(CONTROL!$C$21, $C$12, 100%, $E$12)</f>
        <v>8.5891999999999999</v>
      </c>
      <c r="F474" s="61">
        <f>8.5892 * CHOOSE(CONTROL!$C$21, $C$12, 100%, $E$12)</f>
        <v>8.5891999999999999</v>
      </c>
      <c r="G474" s="61">
        <f>8.5893 * CHOOSE(CONTROL!$C$21, $C$12, 100%, $E$12)</f>
        <v>8.5892999999999997</v>
      </c>
      <c r="H474" s="61">
        <f>14.8659* CHOOSE(CONTROL!$C$21, $C$12, 100%, $E$12)</f>
        <v>14.8659</v>
      </c>
      <c r="I474" s="61">
        <f>14.8661 * CHOOSE(CONTROL!$C$21, $C$12, 100%, $E$12)</f>
        <v>14.866099999999999</v>
      </c>
      <c r="J474" s="61">
        <f>8.5892 * CHOOSE(CONTROL!$C$21, $C$12, 100%, $E$12)</f>
        <v>8.5891999999999999</v>
      </c>
      <c r="K474" s="61">
        <f>8.5893 * CHOOSE(CONTROL!$C$21, $C$12, 100%, $E$12)</f>
        <v>8.5892999999999997</v>
      </c>
    </row>
    <row r="475" spans="1:11" ht="15">
      <c r="A475" s="13">
        <v>56340</v>
      </c>
      <c r="B475" s="60">
        <f>7.4175 * CHOOSE(CONTROL!$C$21, $C$12, 100%, $E$12)</f>
        <v>7.4175000000000004</v>
      </c>
      <c r="C475" s="60">
        <f>7.4175 * CHOOSE(CONTROL!$C$21, $C$12, 100%, $E$12)</f>
        <v>7.4175000000000004</v>
      </c>
      <c r="D475" s="60">
        <f>7.428 * CHOOSE(CONTROL!$C$21, $C$12, 100%, $E$12)</f>
        <v>7.4279999999999999</v>
      </c>
      <c r="E475" s="61">
        <f>8.6646 * CHOOSE(CONTROL!$C$21, $C$12, 100%, $E$12)</f>
        <v>8.6646000000000001</v>
      </c>
      <c r="F475" s="61">
        <f>8.6646 * CHOOSE(CONTROL!$C$21, $C$12, 100%, $E$12)</f>
        <v>8.6646000000000001</v>
      </c>
      <c r="G475" s="61">
        <f>8.6648 * CHOOSE(CONTROL!$C$21, $C$12, 100%, $E$12)</f>
        <v>8.6647999999999996</v>
      </c>
      <c r="H475" s="61">
        <f>14.8969* CHOOSE(CONTROL!$C$21, $C$12, 100%, $E$12)</f>
        <v>14.8969</v>
      </c>
      <c r="I475" s="61">
        <f>14.8971 * CHOOSE(CONTROL!$C$21, $C$12, 100%, $E$12)</f>
        <v>14.8971</v>
      </c>
      <c r="J475" s="61">
        <f>8.6646 * CHOOSE(CONTROL!$C$21, $C$12, 100%, $E$12)</f>
        <v>8.6646000000000001</v>
      </c>
      <c r="K475" s="61">
        <f>8.6648 * CHOOSE(CONTROL!$C$21, $C$12, 100%, $E$12)</f>
        <v>8.6647999999999996</v>
      </c>
    </row>
    <row r="476" spans="1:11" ht="15">
      <c r="A476" s="13">
        <v>56370</v>
      </c>
      <c r="B476" s="60">
        <f>7.4175 * CHOOSE(CONTROL!$C$21, $C$12, 100%, $E$12)</f>
        <v>7.4175000000000004</v>
      </c>
      <c r="C476" s="60">
        <f>7.4175 * CHOOSE(CONTROL!$C$21, $C$12, 100%, $E$12)</f>
        <v>7.4175000000000004</v>
      </c>
      <c r="D476" s="60">
        <f>7.4386 * CHOOSE(CONTROL!$C$21, $C$12, 100%, $E$12)</f>
        <v>7.4386000000000001</v>
      </c>
      <c r="E476" s="61">
        <f>8.6945 * CHOOSE(CONTROL!$C$21, $C$12, 100%, $E$12)</f>
        <v>8.6944999999999997</v>
      </c>
      <c r="F476" s="61">
        <f>8.6945 * CHOOSE(CONTROL!$C$21, $C$12, 100%, $E$12)</f>
        <v>8.6944999999999997</v>
      </c>
      <c r="G476" s="61">
        <f>8.6959 * CHOOSE(CONTROL!$C$21, $C$12, 100%, $E$12)</f>
        <v>8.6959</v>
      </c>
      <c r="H476" s="61">
        <f>14.9279* CHOOSE(CONTROL!$C$21, $C$12, 100%, $E$12)</f>
        <v>14.927899999999999</v>
      </c>
      <c r="I476" s="61">
        <f>14.9293 * CHOOSE(CONTROL!$C$21, $C$12, 100%, $E$12)</f>
        <v>14.9293</v>
      </c>
      <c r="J476" s="61">
        <f>8.6945 * CHOOSE(CONTROL!$C$21, $C$12, 100%, $E$12)</f>
        <v>8.6944999999999997</v>
      </c>
      <c r="K476" s="61">
        <f>8.6959 * CHOOSE(CONTROL!$C$21, $C$12, 100%, $E$12)</f>
        <v>8.6959</v>
      </c>
    </row>
    <row r="477" spans="1:11" ht="15">
      <c r="A477" s="13">
        <v>56401</v>
      </c>
      <c r="B477" s="60">
        <f>7.4235 * CHOOSE(CONTROL!$C$21, $C$12, 100%, $E$12)</f>
        <v>7.4234999999999998</v>
      </c>
      <c r="C477" s="60">
        <f>7.4235 * CHOOSE(CONTROL!$C$21, $C$12, 100%, $E$12)</f>
        <v>7.4234999999999998</v>
      </c>
      <c r="D477" s="60">
        <f>7.4447 * CHOOSE(CONTROL!$C$21, $C$12, 100%, $E$12)</f>
        <v>7.4447000000000001</v>
      </c>
      <c r="E477" s="61">
        <f>8.6688 * CHOOSE(CONTROL!$C$21, $C$12, 100%, $E$12)</f>
        <v>8.6687999999999992</v>
      </c>
      <c r="F477" s="61">
        <f>8.6688 * CHOOSE(CONTROL!$C$21, $C$12, 100%, $E$12)</f>
        <v>8.6687999999999992</v>
      </c>
      <c r="G477" s="61">
        <f>8.6702 * CHOOSE(CONTROL!$C$21, $C$12, 100%, $E$12)</f>
        <v>8.6701999999999995</v>
      </c>
      <c r="H477" s="61">
        <f>14.959* CHOOSE(CONTROL!$C$21, $C$12, 100%, $E$12)</f>
        <v>14.959</v>
      </c>
      <c r="I477" s="61">
        <f>14.9604 * CHOOSE(CONTROL!$C$21, $C$12, 100%, $E$12)</f>
        <v>14.9604</v>
      </c>
      <c r="J477" s="61">
        <f>8.6688 * CHOOSE(CONTROL!$C$21, $C$12, 100%, $E$12)</f>
        <v>8.6687999999999992</v>
      </c>
      <c r="K477" s="61">
        <f>8.6702 * CHOOSE(CONTROL!$C$21, $C$12, 100%, $E$12)</f>
        <v>8.6701999999999995</v>
      </c>
    </row>
    <row r="478" spans="1:11" ht="15">
      <c r="A478" s="13">
        <v>56431</v>
      </c>
      <c r="B478" s="60">
        <f>7.5446 * CHOOSE(CONTROL!$C$21, $C$12, 100%, $E$12)</f>
        <v>7.5446</v>
      </c>
      <c r="C478" s="60">
        <f>7.5446 * CHOOSE(CONTROL!$C$21, $C$12, 100%, $E$12)</f>
        <v>7.5446</v>
      </c>
      <c r="D478" s="60">
        <f>7.5657 * CHOOSE(CONTROL!$C$21, $C$12, 100%, $E$12)</f>
        <v>7.5656999999999996</v>
      </c>
      <c r="E478" s="61">
        <f>8.8387 * CHOOSE(CONTROL!$C$21, $C$12, 100%, $E$12)</f>
        <v>8.8386999999999993</v>
      </c>
      <c r="F478" s="61">
        <f>8.8387 * CHOOSE(CONTROL!$C$21, $C$12, 100%, $E$12)</f>
        <v>8.8386999999999993</v>
      </c>
      <c r="G478" s="61">
        <f>8.84 * CHOOSE(CONTROL!$C$21, $C$12, 100%, $E$12)</f>
        <v>8.84</v>
      </c>
      <c r="H478" s="61">
        <f>14.9902* CHOOSE(CONTROL!$C$21, $C$12, 100%, $E$12)</f>
        <v>14.9902</v>
      </c>
      <c r="I478" s="61">
        <f>14.9916 * CHOOSE(CONTROL!$C$21, $C$12, 100%, $E$12)</f>
        <v>14.9916</v>
      </c>
      <c r="J478" s="61">
        <f>8.8387 * CHOOSE(CONTROL!$C$21, $C$12, 100%, $E$12)</f>
        <v>8.8386999999999993</v>
      </c>
      <c r="K478" s="61">
        <f>8.84 * CHOOSE(CONTROL!$C$21, $C$12, 100%, $E$12)</f>
        <v>8.84</v>
      </c>
    </row>
    <row r="479" spans="1:11" ht="15">
      <c r="A479" s="13">
        <v>56462</v>
      </c>
      <c r="B479" s="60">
        <f>7.5513 * CHOOSE(CONTROL!$C$21, $C$12, 100%, $E$12)</f>
        <v>7.5513000000000003</v>
      </c>
      <c r="C479" s="60">
        <f>7.5513 * CHOOSE(CONTROL!$C$21, $C$12, 100%, $E$12)</f>
        <v>7.5513000000000003</v>
      </c>
      <c r="D479" s="60">
        <f>7.5724 * CHOOSE(CONTROL!$C$21, $C$12, 100%, $E$12)</f>
        <v>7.5724</v>
      </c>
      <c r="E479" s="61">
        <f>8.7537 * CHOOSE(CONTROL!$C$21, $C$12, 100%, $E$12)</f>
        <v>8.7537000000000003</v>
      </c>
      <c r="F479" s="61">
        <f>8.7537 * CHOOSE(CONTROL!$C$21, $C$12, 100%, $E$12)</f>
        <v>8.7537000000000003</v>
      </c>
      <c r="G479" s="61">
        <f>8.7551 * CHOOSE(CONTROL!$C$21, $C$12, 100%, $E$12)</f>
        <v>8.7551000000000005</v>
      </c>
      <c r="H479" s="61">
        <f>15.0214* CHOOSE(CONTROL!$C$21, $C$12, 100%, $E$12)</f>
        <v>15.0214</v>
      </c>
      <c r="I479" s="61">
        <f>15.0228 * CHOOSE(CONTROL!$C$21, $C$12, 100%, $E$12)</f>
        <v>15.0228</v>
      </c>
      <c r="J479" s="61">
        <f>8.7537 * CHOOSE(CONTROL!$C$21, $C$12, 100%, $E$12)</f>
        <v>8.7537000000000003</v>
      </c>
      <c r="K479" s="61">
        <f>8.7551 * CHOOSE(CONTROL!$C$21, $C$12, 100%, $E$12)</f>
        <v>8.7551000000000005</v>
      </c>
    </row>
    <row r="480" spans="1:11" ht="15">
      <c r="A480" s="13">
        <v>56493</v>
      </c>
      <c r="B480" s="60">
        <f>7.5483 * CHOOSE(CONTROL!$C$21, $C$12, 100%, $E$12)</f>
        <v>7.5483000000000002</v>
      </c>
      <c r="C480" s="60">
        <f>7.5483 * CHOOSE(CONTROL!$C$21, $C$12, 100%, $E$12)</f>
        <v>7.5483000000000002</v>
      </c>
      <c r="D480" s="60">
        <f>7.5694 * CHOOSE(CONTROL!$C$21, $C$12, 100%, $E$12)</f>
        <v>7.5693999999999999</v>
      </c>
      <c r="E480" s="61">
        <f>8.7416 * CHOOSE(CONTROL!$C$21, $C$12, 100%, $E$12)</f>
        <v>8.7416</v>
      </c>
      <c r="F480" s="61">
        <f>8.7416 * CHOOSE(CONTROL!$C$21, $C$12, 100%, $E$12)</f>
        <v>8.7416</v>
      </c>
      <c r="G480" s="61">
        <f>8.743 * CHOOSE(CONTROL!$C$21, $C$12, 100%, $E$12)</f>
        <v>8.7430000000000003</v>
      </c>
      <c r="H480" s="61">
        <f>15.0527* CHOOSE(CONTROL!$C$21, $C$12, 100%, $E$12)</f>
        <v>15.0527</v>
      </c>
      <c r="I480" s="61">
        <f>15.0541 * CHOOSE(CONTROL!$C$21, $C$12, 100%, $E$12)</f>
        <v>15.0541</v>
      </c>
      <c r="J480" s="61">
        <f>8.7416 * CHOOSE(CONTROL!$C$21, $C$12, 100%, $E$12)</f>
        <v>8.7416</v>
      </c>
      <c r="K480" s="61">
        <f>8.743 * CHOOSE(CONTROL!$C$21, $C$12, 100%, $E$12)</f>
        <v>8.7430000000000003</v>
      </c>
    </row>
    <row r="481" spans="1:11" ht="15">
      <c r="A481" s="13">
        <v>56523</v>
      </c>
      <c r="B481" s="60">
        <f>7.5554 * CHOOSE(CONTROL!$C$21, $C$12, 100%, $E$12)</f>
        <v>7.5553999999999997</v>
      </c>
      <c r="C481" s="60">
        <f>7.5554 * CHOOSE(CONTROL!$C$21, $C$12, 100%, $E$12)</f>
        <v>7.5553999999999997</v>
      </c>
      <c r="D481" s="60">
        <f>7.5659 * CHOOSE(CONTROL!$C$21, $C$12, 100%, $E$12)</f>
        <v>7.5659000000000001</v>
      </c>
      <c r="E481" s="61">
        <f>8.768 * CHOOSE(CONTROL!$C$21, $C$12, 100%, $E$12)</f>
        <v>8.7680000000000007</v>
      </c>
      <c r="F481" s="61">
        <f>8.768 * CHOOSE(CONTROL!$C$21, $C$12, 100%, $E$12)</f>
        <v>8.7680000000000007</v>
      </c>
      <c r="G481" s="61">
        <f>8.7682 * CHOOSE(CONTROL!$C$21, $C$12, 100%, $E$12)</f>
        <v>8.7682000000000002</v>
      </c>
      <c r="H481" s="61">
        <f>15.0841* CHOOSE(CONTROL!$C$21, $C$12, 100%, $E$12)</f>
        <v>15.084099999999999</v>
      </c>
      <c r="I481" s="61">
        <f>15.0842 * CHOOSE(CONTROL!$C$21, $C$12, 100%, $E$12)</f>
        <v>15.084199999999999</v>
      </c>
      <c r="J481" s="61">
        <f>8.768 * CHOOSE(CONTROL!$C$21, $C$12, 100%, $E$12)</f>
        <v>8.7680000000000007</v>
      </c>
      <c r="K481" s="61">
        <f>8.7682 * CHOOSE(CONTROL!$C$21, $C$12, 100%, $E$12)</f>
        <v>8.7682000000000002</v>
      </c>
    </row>
    <row r="482" spans="1:11" ht="15">
      <c r="A482" s="13">
        <v>56554</v>
      </c>
      <c r="B482" s="60">
        <f>7.5584 * CHOOSE(CONTROL!$C$21, $C$12, 100%, $E$12)</f>
        <v>7.5583999999999998</v>
      </c>
      <c r="C482" s="60">
        <f>7.5584 * CHOOSE(CONTROL!$C$21, $C$12, 100%, $E$12)</f>
        <v>7.5583999999999998</v>
      </c>
      <c r="D482" s="60">
        <f>7.569 * CHOOSE(CONTROL!$C$21, $C$12, 100%, $E$12)</f>
        <v>7.569</v>
      </c>
      <c r="E482" s="61">
        <f>8.7901 * CHOOSE(CONTROL!$C$21, $C$12, 100%, $E$12)</f>
        <v>8.7901000000000007</v>
      </c>
      <c r="F482" s="61">
        <f>8.7901 * CHOOSE(CONTROL!$C$21, $C$12, 100%, $E$12)</f>
        <v>8.7901000000000007</v>
      </c>
      <c r="G482" s="61">
        <f>8.7902 * CHOOSE(CONTROL!$C$21, $C$12, 100%, $E$12)</f>
        <v>8.7902000000000005</v>
      </c>
      <c r="H482" s="61">
        <f>15.1155* CHOOSE(CONTROL!$C$21, $C$12, 100%, $E$12)</f>
        <v>15.115500000000001</v>
      </c>
      <c r="I482" s="61">
        <f>15.1157 * CHOOSE(CONTROL!$C$21, $C$12, 100%, $E$12)</f>
        <v>15.1157</v>
      </c>
      <c r="J482" s="61">
        <f>8.7901 * CHOOSE(CONTROL!$C$21, $C$12, 100%, $E$12)</f>
        <v>8.7901000000000007</v>
      </c>
      <c r="K482" s="61">
        <f>8.7902 * CHOOSE(CONTROL!$C$21, $C$12, 100%, $E$12)</f>
        <v>8.7902000000000005</v>
      </c>
    </row>
    <row r="483" spans="1:11" ht="15">
      <c r="A483" s="13">
        <v>56584</v>
      </c>
      <c r="B483" s="60">
        <f>7.5584 * CHOOSE(CONTROL!$C$21, $C$12, 100%, $E$12)</f>
        <v>7.5583999999999998</v>
      </c>
      <c r="C483" s="60">
        <f>7.5584 * CHOOSE(CONTROL!$C$21, $C$12, 100%, $E$12)</f>
        <v>7.5583999999999998</v>
      </c>
      <c r="D483" s="60">
        <f>7.569 * CHOOSE(CONTROL!$C$21, $C$12, 100%, $E$12)</f>
        <v>7.569</v>
      </c>
      <c r="E483" s="61">
        <f>8.7403 * CHOOSE(CONTROL!$C$21, $C$12, 100%, $E$12)</f>
        <v>8.7402999999999995</v>
      </c>
      <c r="F483" s="61">
        <f>8.7403 * CHOOSE(CONTROL!$C$21, $C$12, 100%, $E$12)</f>
        <v>8.7402999999999995</v>
      </c>
      <c r="G483" s="61">
        <f>8.7404 * CHOOSE(CONTROL!$C$21, $C$12, 100%, $E$12)</f>
        <v>8.7403999999999993</v>
      </c>
      <c r="H483" s="61">
        <f>15.147* CHOOSE(CONTROL!$C$21, $C$12, 100%, $E$12)</f>
        <v>15.147</v>
      </c>
      <c r="I483" s="61">
        <f>15.1472 * CHOOSE(CONTROL!$C$21, $C$12, 100%, $E$12)</f>
        <v>15.1472</v>
      </c>
      <c r="J483" s="61">
        <f>8.7403 * CHOOSE(CONTROL!$C$21, $C$12, 100%, $E$12)</f>
        <v>8.7402999999999995</v>
      </c>
      <c r="K483" s="61">
        <f>8.7404 * CHOOSE(CONTROL!$C$21, $C$12, 100%, $E$12)</f>
        <v>8.7403999999999993</v>
      </c>
    </row>
    <row r="484" spans="1:11" ht="15">
      <c r="A484" s="13">
        <v>56615</v>
      </c>
      <c r="B484" s="60">
        <f>7.6256 * CHOOSE(CONTROL!$C$21, $C$12, 100%, $E$12)</f>
        <v>7.6256000000000004</v>
      </c>
      <c r="C484" s="60">
        <f>7.6256 * CHOOSE(CONTROL!$C$21, $C$12, 100%, $E$12)</f>
        <v>7.6256000000000004</v>
      </c>
      <c r="D484" s="60">
        <f>7.6362 * CHOOSE(CONTROL!$C$21, $C$12, 100%, $E$12)</f>
        <v>7.6361999999999997</v>
      </c>
      <c r="E484" s="61">
        <f>8.8543 * CHOOSE(CONTROL!$C$21, $C$12, 100%, $E$12)</f>
        <v>8.8543000000000003</v>
      </c>
      <c r="F484" s="61">
        <f>8.8543 * CHOOSE(CONTROL!$C$21, $C$12, 100%, $E$12)</f>
        <v>8.8543000000000003</v>
      </c>
      <c r="G484" s="61">
        <f>8.8545 * CHOOSE(CONTROL!$C$21, $C$12, 100%, $E$12)</f>
        <v>8.8544999999999998</v>
      </c>
      <c r="H484" s="61">
        <f>15.1785* CHOOSE(CONTROL!$C$21, $C$12, 100%, $E$12)</f>
        <v>15.1785</v>
      </c>
      <c r="I484" s="61">
        <f>15.1787 * CHOOSE(CONTROL!$C$21, $C$12, 100%, $E$12)</f>
        <v>15.178699999999999</v>
      </c>
      <c r="J484" s="61">
        <f>8.8543 * CHOOSE(CONTROL!$C$21, $C$12, 100%, $E$12)</f>
        <v>8.8543000000000003</v>
      </c>
      <c r="K484" s="61">
        <f>8.8545 * CHOOSE(CONTROL!$C$21, $C$12, 100%, $E$12)</f>
        <v>8.8544999999999998</v>
      </c>
    </row>
    <row r="485" spans="1:11" ht="15">
      <c r="A485" s="13">
        <v>56646</v>
      </c>
      <c r="B485" s="60">
        <f>7.6226 * CHOOSE(CONTROL!$C$21, $C$12, 100%, $E$12)</f>
        <v>7.6226000000000003</v>
      </c>
      <c r="C485" s="60">
        <f>7.6226 * CHOOSE(CONTROL!$C$21, $C$12, 100%, $E$12)</f>
        <v>7.6226000000000003</v>
      </c>
      <c r="D485" s="60">
        <f>7.6331 * CHOOSE(CONTROL!$C$21, $C$12, 100%, $E$12)</f>
        <v>7.6330999999999998</v>
      </c>
      <c r="E485" s="61">
        <f>8.7555 * CHOOSE(CONTROL!$C$21, $C$12, 100%, $E$12)</f>
        <v>8.7554999999999996</v>
      </c>
      <c r="F485" s="61">
        <f>8.7555 * CHOOSE(CONTROL!$C$21, $C$12, 100%, $E$12)</f>
        <v>8.7554999999999996</v>
      </c>
      <c r="G485" s="61">
        <f>8.7557 * CHOOSE(CONTROL!$C$21, $C$12, 100%, $E$12)</f>
        <v>8.7556999999999992</v>
      </c>
      <c r="H485" s="61">
        <f>15.2102* CHOOSE(CONTROL!$C$21, $C$12, 100%, $E$12)</f>
        <v>15.2102</v>
      </c>
      <c r="I485" s="61">
        <f>15.2103 * CHOOSE(CONTROL!$C$21, $C$12, 100%, $E$12)</f>
        <v>15.2103</v>
      </c>
      <c r="J485" s="61">
        <f>8.7555 * CHOOSE(CONTROL!$C$21, $C$12, 100%, $E$12)</f>
        <v>8.7554999999999996</v>
      </c>
      <c r="K485" s="61">
        <f>8.7557 * CHOOSE(CONTROL!$C$21, $C$12, 100%, $E$12)</f>
        <v>8.7556999999999992</v>
      </c>
    </row>
    <row r="486" spans="1:11" ht="15">
      <c r="A486" s="13">
        <v>56674</v>
      </c>
      <c r="B486" s="60">
        <f>7.6195 * CHOOSE(CONTROL!$C$21, $C$12, 100%, $E$12)</f>
        <v>7.6195000000000004</v>
      </c>
      <c r="C486" s="60">
        <f>7.6195 * CHOOSE(CONTROL!$C$21, $C$12, 100%, $E$12)</f>
        <v>7.6195000000000004</v>
      </c>
      <c r="D486" s="60">
        <f>7.6301 * CHOOSE(CONTROL!$C$21, $C$12, 100%, $E$12)</f>
        <v>7.6300999999999997</v>
      </c>
      <c r="E486" s="61">
        <f>8.8296 * CHOOSE(CONTROL!$C$21, $C$12, 100%, $E$12)</f>
        <v>8.8295999999999992</v>
      </c>
      <c r="F486" s="61">
        <f>8.8296 * CHOOSE(CONTROL!$C$21, $C$12, 100%, $E$12)</f>
        <v>8.8295999999999992</v>
      </c>
      <c r="G486" s="61">
        <f>8.8298 * CHOOSE(CONTROL!$C$21, $C$12, 100%, $E$12)</f>
        <v>8.8298000000000005</v>
      </c>
      <c r="H486" s="61">
        <f>15.2419* CHOOSE(CONTROL!$C$21, $C$12, 100%, $E$12)</f>
        <v>15.241899999999999</v>
      </c>
      <c r="I486" s="61">
        <f>15.242 * CHOOSE(CONTROL!$C$21, $C$12, 100%, $E$12)</f>
        <v>15.242000000000001</v>
      </c>
      <c r="J486" s="61">
        <f>8.8296 * CHOOSE(CONTROL!$C$21, $C$12, 100%, $E$12)</f>
        <v>8.8295999999999992</v>
      </c>
      <c r="K486" s="61">
        <f>8.8298 * CHOOSE(CONTROL!$C$21, $C$12, 100%, $E$12)</f>
        <v>8.8298000000000005</v>
      </c>
    </row>
    <row r="487" spans="1:11" ht="15">
      <c r="A487" s="13">
        <v>56705</v>
      </c>
      <c r="B487" s="60">
        <f>7.6204 * CHOOSE(CONTROL!$C$21, $C$12, 100%, $E$12)</f>
        <v>7.6204000000000001</v>
      </c>
      <c r="C487" s="60">
        <f>7.6204 * CHOOSE(CONTROL!$C$21, $C$12, 100%, $E$12)</f>
        <v>7.6204000000000001</v>
      </c>
      <c r="D487" s="60">
        <f>7.6309 * CHOOSE(CONTROL!$C$21, $C$12, 100%, $E$12)</f>
        <v>7.6308999999999996</v>
      </c>
      <c r="E487" s="61">
        <f>8.9073 * CHOOSE(CONTROL!$C$21, $C$12, 100%, $E$12)</f>
        <v>8.9072999999999993</v>
      </c>
      <c r="F487" s="61">
        <f>8.9073 * CHOOSE(CONTROL!$C$21, $C$12, 100%, $E$12)</f>
        <v>8.9072999999999993</v>
      </c>
      <c r="G487" s="61">
        <f>8.9075 * CHOOSE(CONTROL!$C$21, $C$12, 100%, $E$12)</f>
        <v>8.9075000000000006</v>
      </c>
      <c r="H487" s="61">
        <f>15.2736* CHOOSE(CONTROL!$C$21, $C$12, 100%, $E$12)</f>
        <v>15.2736</v>
      </c>
      <c r="I487" s="61">
        <f>15.2738 * CHOOSE(CONTROL!$C$21, $C$12, 100%, $E$12)</f>
        <v>15.2738</v>
      </c>
      <c r="J487" s="61">
        <f>8.9073 * CHOOSE(CONTROL!$C$21, $C$12, 100%, $E$12)</f>
        <v>8.9072999999999993</v>
      </c>
      <c r="K487" s="61">
        <f>8.9075 * CHOOSE(CONTROL!$C$21, $C$12, 100%, $E$12)</f>
        <v>8.9075000000000006</v>
      </c>
    </row>
    <row r="488" spans="1:11" ht="15">
      <c r="A488" s="13">
        <v>56735</v>
      </c>
      <c r="B488" s="60">
        <f>7.6204 * CHOOSE(CONTROL!$C$21, $C$12, 100%, $E$12)</f>
        <v>7.6204000000000001</v>
      </c>
      <c r="C488" s="60">
        <f>7.6204 * CHOOSE(CONTROL!$C$21, $C$12, 100%, $E$12)</f>
        <v>7.6204000000000001</v>
      </c>
      <c r="D488" s="60">
        <f>7.6415 * CHOOSE(CONTROL!$C$21, $C$12, 100%, $E$12)</f>
        <v>7.6414999999999997</v>
      </c>
      <c r="E488" s="61">
        <f>8.938 * CHOOSE(CONTROL!$C$21, $C$12, 100%, $E$12)</f>
        <v>8.9380000000000006</v>
      </c>
      <c r="F488" s="61">
        <f>8.938 * CHOOSE(CONTROL!$C$21, $C$12, 100%, $E$12)</f>
        <v>8.9380000000000006</v>
      </c>
      <c r="G488" s="61">
        <f>8.9394 * CHOOSE(CONTROL!$C$21, $C$12, 100%, $E$12)</f>
        <v>8.9393999999999991</v>
      </c>
      <c r="H488" s="61">
        <f>15.3054* CHOOSE(CONTROL!$C$21, $C$12, 100%, $E$12)</f>
        <v>15.305400000000001</v>
      </c>
      <c r="I488" s="61">
        <f>15.3068 * CHOOSE(CONTROL!$C$21, $C$12, 100%, $E$12)</f>
        <v>15.306800000000001</v>
      </c>
      <c r="J488" s="61">
        <f>8.938 * CHOOSE(CONTROL!$C$21, $C$12, 100%, $E$12)</f>
        <v>8.9380000000000006</v>
      </c>
      <c r="K488" s="61">
        <f>8.9394 * CHOOSE(CONTROL!$C$21, $C$12, 100%, $E$12)</f>
        <v>8.9393999999999991</v>
      </c>
    </row>
    <row r="489" spans="1:11" ht="15">
      <c r="A489" s="13">
        <v>56766</v>
      </c>
      <c r="B489" s="60">
        <f>7.6264 * CHOOSE(CONTROL!$C$21, $C$12, 100%, $E$12)</f>
        <v>7.6264000000000003</v>
      </c>
      <c r="C489" s="60">
        <f>7.6264 * CHOOSE(CONTROL!$C$21, $C$12, 100%, $E$12)</f>
        <v>7.6264000000000003</v>
      </c>
      <c r="D489" s="60">
        <f>7.6476 * CHOOSE(CONTROL!$C$21, $C$12, 100%, $E$12)</f>
        <v>7.6475999999999997</v>
      </c>
      <c r="E489" s="61">
        <f>8.9115 * CHOOSE(CONTROL!$C$21, $C$12, 100%, $E$12)</f>
        <v>8.9115000000000002</v>
      </c>
      <c r="F489" s="61">
        <f>8.9115 * CHOOSE(CONTROL!$C$21, $C$12, 100%, $E$12)</f>
        <v>8.9115000000000002</v>
      </c>
      <c r="G489" s="61">
        <f>8.9129 * CHOOSE(CONTROL!$C$21, $C$12, 100%, $E$12)</f>
        <v>8.9129000000000005</v>
      </c>
      <c r="H489" s="61">
        <f>15.3373* CHOOSE(CONTROL!$C$21, $C$12, 100%, $E$12)</f>
        <v>15.337300000000001</v>
      </c>
      <c r="I489" s="61">
        <f>15.3387 * CHOOSE(CONTROL!$C$21, $C$12, 100%, $E$12)</f>
        <v>15.338699999999999</v>
      </c>
      <c r="J489" s="61">
        <f>8.9115 * CHOOSE(CONTROL!$C$21, $C$12, 100%, $E$12)</f>
        <v>8.9115000000000002</v>
      </c>
      <c r="K489" s="61">
        <f>8.9129 * CHOOSE(CONTROL!$C$21, $C$12, 100%, $E$12)</f>
        <v>8.9129000000000005</v>
      </c>
    </row>
    <row r="490" spans="1:11" ht="15">
      <c r="A490" s="13">
        <v>56796</v>
      </c>
      <c r="B490" s="60">
        <f>7.7506 * CHOOSE(CONTROL!$C$21, $C$12, 100%, $E$12)</f>
        <v>7.7506000000000004</v>
      </c>
      <c r="C490" s="60">
        <f>7.7506 * CHOOSE(CONTROL!$C$21, $C$12, 100%, $E$12)</f>
        <v>7.7506000000000004</v>
      </c>
      <c r="D490" s="60">
        <f>7.7717 * CHOOSE(CONTROL!$C$21, $C$12, 100%, $E$12)</f>
        <v>7.7717000000000001</v>
      </c>
      <c r="E490" s="61">
        <f>9.0859 * CHOOSE(CONTROL!$C$21, $C$12, 100%, $E$12)</f>
        <v>9.0859000000000005</v>
      </c>
      <c r="F490" s="61">
        <f>9.0859 * CHOOSE(CONTROL!$C$21, $C$12, 100%, $E$12)</f>
        <v>9.0859000000000005</v>
      </c>
      <c r="G490" s="61">
        <f>9.0872 * CHOOSE(CONTROL!$C$21, $C$12, 100%, $E$12)</f>
        <v>9.0871999999999993</v>
      </c>
      <c r="H490" s="61">
        <f>15.3693* CHOOSE(CONTROL!$C$21, $C$12, 100%, $E$12)</f>
        <v>15.369300000000001</v>
      </c>
      <c r="I490" s="61">
        <f>15.3706 * CHOOSE(CONTROL!$C$21, $C$12, 100%, $E$12)</f>
        <v>15.3706</v>
      </c>
      <c r="J490" s="61">
        <f>9.0859 * CHOOSE(CONTROL!$C$21, $C$12, 100%, $E$12)</f>
        <v>9.0859000000000005</v>
      </c>
      <c r="K490" s="61">
        <f>9.0872 * CHOOSE(CONTROL!$C$21, $C$12, 100%, $E$12)</f>
        <v>9.0871999999999993</v>
      </c>
    </row>
    <row r="491" spans="1:11" ht="15">
      <c r="A491" s="13">
        <v>56827</v>
      </c>
      <c r="B491" s="60">
        <f>7.7573 * CHOOSE(CONTROL!$C$21, $C$12, 100%, $E$12)</f>
        <v>7.7572999999999999</v>
      </c>
      <c r="C491" s="60">
        <f>7.7573 * CHOOSE(CONTROL!$C$21, $C$12, 100%, $E$12)</f>
        <v>7.7572999999999999</v>
      </c>
      <c r="D491" s="60">
        <f>7.7784 * CHOOSE(CONTROL!$C$21, $C$12, 100%, $E$12)</f>
        <v>7.7784000000000004</v>
      </c>
      <c r="E491" s="61">
        <f>8.9984 * CHOOSE(CONTROL!$C$21, $C$12, 100%, $E$12)</f>
        <v>8.9984000000000002</v>
      </c>
      <c r="F491" s="61">
        <f>8.9984 * CHOOSE(CONTROL!$C$21, $C$12, 100%, $E$12)</f>
        <v>8.9984000000000002</v>
      </c>
      <c r="G491" s="61">
        <f>8.9997 * CHOOSE(CONTROL!$C$21, $C$12, 100%, $E$12)</f>
        <v>8.9997000000000007</v>
      </c>
      <c r="H491" s="61">
        <f>15.4013* CHOOSE(CONTROL!$C$21, $C$12, 100%, $E$12)</f>
        <v>15.401300000000001</v>
      </c>
      <c r="I491" s="61">
        <f>15.4027 * CHOOSE(CONTROL!$C$21, $C$12, 100%, $E$12)</f>
        <v>15.402699999999999</v>
      </c>
      <c r="J491" s="61">
        <f>8.9984 * CHOOSE(CONTROL!$C$21, $C$12, 100%, $E$12)</f>
        <v>8.9984000000000002</v>
      </c>
      <c r="K491" s="61">
        <f>8.9997 * CHOOSE(CONTROL!$C$21, $C$12, 100%, $E$12)</f>
        <v>8.9997000000000007</v>
      </c>
    </row>
    <row r="492" spans="1:11" ht="15">
      <c r="A492" s="13">
        <v>56858</v>
      </c>
      <c r="B492" s="60">
        <f>7.7542 * CHOOSE(CONTROL!$C$21, $C$12, 100%, $E$12)</f>
        <v>7.7542</v>
      </c>
      <c r="C492" s="60">
        <f>7.7542 * CHOOSE(CONTROL!$C$21, $C$12, 100%, $E$12)</f>
        <v>7.7542</v>
      </c>
      <c r="D492" s="60">
        <f>7.7753 * CHOOSE(CONTROL!$C$21, $C$12, 100%, $E$12)</f>
        <v>7.7752999999999997</v>
      </c>
      <c r="E492" s="61">
        <f>8.986 * CHOOSE(CONTROL!$C$21, $C$12, 100%, $E$12)</f>
        <v>8.9860000000000007</v>
      </c>
      <c r="F492" s="61">
        <f>8.986 * CHOOSE(CONTROL!$C$21, $C$12, 100%, $E$12)</f>
        <v>8.9860000000000007</v>
      </c>
      <c r="G492" s="61">
        <f>8.9874 * CHOOSE(CONTROL!$C$21, $C$12, 100%, $E$12)</f>
        <v>8.9873999999999992</v>
      </c>
      <c r="H492" s="61">
        <f>15.4334* CHOOSE(CONTROL!$C$21, $C$12, 100%, $E$12)</f>
        <v>15.433400000000001</v>
      </c>
      <c r="I492" s="61">
        <f>15.4347 * CHOOSE(CONTROL!$C$21, $C$12, 100%, $E$12)</f>
        <v>15.434699999999999</v>
      </c>
      <c r="J492" s="61">
        <f>8.986 * CHOOSE(CONTROL!$C$21, $C$12, 100%, $E$12)</f>
        <v>8.9860000000000007</v>
      </c>
      <c r="K492" s="61">
        <f>8.9874 * CHOOSE(CONTROL!$C$21, $C$12, 100%, $E$12)</f>
        <v>8.9873999999999992</v>
      </c>
    </row>
    <row r="493" spans="1:11" ht="15">
      <c r="A493" s="13">
        <v>56888</v>
      </c>
      <c r="B493" s="60">
        <f>7.762 * CHOOSE(CONTROL!$C$21, $C$12, 100%, $E$12)</f>
        <v>7.7619999999999996</v>
      </c>
      <c r="C493" s="60">
        <f>7.762 * CHOOSE(CONTROL!$C$21, $C$12, 100%, $E$12)</f>
        <v>7.7619999999999996</v>
      </c>
      <c r="D493" s="60">
        <f>7.7725 * CHOOSE(CONTROL!$C$21, $C$12, 100%, $E$12)</f>
        <v>7.7725</v>
      </c>
      <c r="E493" s="61">
        <f>9.0135 * CHOOSE(CONTROL!$C$21, $C$12, 100%, $E$12)</f>
        <v>9.0135000000000005</v>
      </c>
      <c r="F493" s="61">
        <f>9.0135 * CHOOSE(CONTROL!$C$21, $C$12, 100%, $E$12)</f>
        <v>9.0135000000000005</v>
      </c>
      <c r="G493" s="61">
        <f>9.0137 * CHOOSE(CONTROL!$C$21, $C$12, 100%, $E$12)</f>
        <v>9.0137</v>
      </c>
      <c r="H493" s="61">
        <f>15.4655* CHOOSE(CONTROL!$C$21, $C$12, 100%, $E$12)</f>
        <v>15.4655</v>
      </c>
      <c r="I493" s="61">
        <f>15.4657 * CHOOSE(CONTROL!$C$21, $C$12, 100%, $E$12)</f>
        <v>15.4657</v>
      </c>
      <c r="J493" s="61">
        <f>9.0135 * CHOOSE(CONTROL!$C$21, $C$12, 100%, $E$12)</f>
        <v>9.0135000000000005</v>
      </c>
      <c r="K493" s="61">
        <f>9.0137 * CHOOSE(CONTROL!$C$21, $C$12, 100%, $E$12)</f>
        <v>9.0137</v>
      </c>
    </row>
    <row r="494" spans="1:11" ht="15">
      <c r="A494" s="13">
        <v>56919</v>
      </c>
      <c r="B494" s="60">
        <f>7.765 * CHOOSE(CONTROL!$C$21, $C$12, 100%, $E$12)</f>
        <v>7.7649999999999997</v>
      </c>
      <c r="C494" s="60">
        <f>7.765 * CHOOSE(CONTROL!$C$21, $C$12, 100%, $E$12)</f>
        <v>7.7649999999999997</v>
      </c>
      <c r="D494" s="60">
        <f>7.7756 * CHOOSE(CONTROL!$C$21, $C$12, 100%, $E$12)</f>
        <v>7.7755999999999998</v>
      </c>
      <c r="E494" s="61">
        <f>9.0361 * CHOOSE(CONTROL!$C$21, $C$12, 100%, $E$12)</f>
        <v>9.0360999999999994</v>
      </c>
      <c r="F494" s="61">
        <f>9.0361 * CHOOSE(CONTROL!$C$21, $C$12, 100%, $E$12)</f>
        <v>9.0360999999999994</v>
      </c>
      <c r="G494" s="61">
        <f>9.0363 * CHOOSE(CONTROL!$C$21, $C$12, 100%, $E$12)</f>
        <v>9.0363000000000007</v>
      </c>
      <c r="H494" s="61">
        <f>15.4977* CHOOSE(CONTROL!$C$21, $C$12, 100%, $E$12)</f>
        <v>15.4977</v>
      </c>
      <c r="I494" s="61">
        <f>15.4979 * CHOOSE(CONTROL!$C$21, $C$12, 100%, $E$12)</f>
        <v>15.4979</v>
      </c>
      <c r="J494" s="61">
        <f>9.0361 * CHOOSE(CONTROL!$C$21, $C$12, 100%, $E$12)</f>
        <v>9.0360999999999994</v>
      </c>
      <c r="K494" s="61">
        <f>9.0363 * CHOOSE(CONTROL!$C$21, $C$12, 100%, $E$12)</f>
        <v>9.0363000000000007</v>
      </c>
    </row>
    <row r="495" spans="1:11" ht="15">
      <c r="A495" s="13">
        <v>56949</v>
      </c>
      <c r="B495" s="60">
        <f>7.765 * CHOOSE(CONTROL!$C$21, $C$12, 100%, $E$12)</f>
        <v>7.7649999999999997</v>
      </c>
      <c r="C495" s="60">
        <f>7.765 * CHOOSE(CONTROL!$C$21, $C$12, 100%, $E$12)</f>
        <v>7.7649999999999997</v>
      </c>
      <c r="D495" s="60">
        <f>7.7756 * CHOOSE(CONTROL!$C$21, $C$12, 100%, $E$12)</f>
        <v>7.7755999999999998</v>
      </c>
      <c r="E495" s="61">
        <f>8.9849 * CHOOSE(CONTROL!$C$21, $C$12, 100%, $E$12)</f>
        <v>8.9848999999999997</v>
      </c>
      <c r="F495" s="61">
        <f>8.9849 * CHOOSE(CONTROL!$C$21, $C$12, 100%, $E$12)</f>
        <v>8.9848999999999997</v>
      </c>
      <c r="G495" s="61">
        <f>8.9851 * CHOOSE(CONTROL!$C$21, $C$12, 100%, $E$12)</f>
        <v>8.9850999999999992</v>
      </c>
      <c r="H495" s="61">
        <f>15.53* CHOOSE(CONTROL!$C$21, $C$12, 100%, $E$12)</f>
        <v>15.53</v>
      </c>
      <c r="I495" s="61">
        <f>15.5302 * CHOOSE(CONTROL!$C$21, $C$12, 100%, $E$12)</f>
        <v>15.530200000000001</v>
      </c>
      <c r="J495" s="61">
        <f>8.9849 * CHOOSE(CONTROL!$C$21, $C$12, 100%, $E$12)</f>
        <v>8.9848999999999997</v>
      </c>
      <c r="K495" s="61">
        <f>8.9851 * CHOOSE(CONTROL!$C$21, $C$12, 100%, $E$12)</f>
        <v>8.9850999999999992</v>
      </c>
    </row>
    <row r="496" spans="1:11" ht="15">
      <c r="A496" s="13">
        <v>56980</v>
      </c>
      <c r="B496" s="60">
        <f>7.8339 * CHOOSE(CONTROL!$C$21, $C$12, 100%, $E$12)</f>
        <v>7.8338999999999999</v>
      </c>
      <c r="C496" s="60">
        <f>7.8339 * CHOOSE(CONTROL!$C$21, $C$12, 100%, $E$12)</f>
        <v>7.8338999999999999</v>
      </c>
      <c r="D496" s="60">
        <f>7.8445 * CHOOSE(CONTROL!$C$21, $C$12, 100%, $E$12)</f>
        <v>7.8445</v>
      </c>
      <c r="E496" s="61">
        <f>9.1021 * CHOOSE(CONTROL!$C$21, $C$12, 100%, $E$12)</f>
        <v>9.1021000000000001</v>
      </c>
      <c r="F496" s="61">
        <f>9.1021 * CHOOSE(CONTROL!$C$21, $C$12, 100%, $E$12)</f>
        <v>9.1021000000000001</v>
      </c>
      <c r="G496" s="61">
        <f>9.1023 * CHOOSE(CONTROL!$C$21, $C$12, 100%, $E$12)</f>
        <v>9.1022999999999996</v>
      </c>
      <c r="H496" s="61">
        <f>15.5624* CHOOSE(CONTROL!$C$21, $C$12, 100%, $E$12)</f>
        <v>15.5624</v>
      </c>
      <c r="I496" s="61">
        <f>15.5626 * CHOOSE(CONTROL!$C$21, $C$12, 100%, $E$12)</f>
        <v>15.5626</v>
      </c>
      <c r="J496" s="61">
        <f>9.1021 * CHOOSE(CONTROL!$C$21, $C$12, 100%, $E$12)</f>
        <v>9.1021000000000001</v>
      </c>
      <c r="K496" s="61">
        <f>9.1023 * CHOOSE(CONTROL!$C$21, $C$12, 100%, $E$12)</f>
        <v>9.1022999999999996</v>
      </c>
    </row>
    <row r="497" spans="1:11" ht="15">
      <c r="A497" s="13">
        <v>57011</v>
      </c>
      <c r="B497" s="60">
        <f>7.8309 * CHOOSE(CONTROL!$C$21, $C$12, 100%, $E$12)</f>
        <v>7.8308999999999997</v>
      </c>
      <c r="C497" s="60">
        <f>7.8309 * CHOOSE(CONTROL!$C$21, $C$12, 100%, $E$12)</f>
        <v>7.8308999999999997</v>
      </c>
      <c r="D497" s="60">
        <f>7.8415 * CHOOSE(CONTROL!$C$21, $C$12, 100%, $E$12)</f>
        <v>7.8414999999999999</v>
      </c>
      <c r="E497" s="61">
        <f>9.0005 * CHOOSE(CONTROL!$C$21, $C$12, 100%, $E$12)</f>
        <v>9.0005000000000006</v>
      </c>
      <c r="F497" s="61">
        <f>9.0005 * CHOOSE(CONTROL!$C$21, $C$12, 100%, $E$12)</f>
        <v>9.0005000000000006</v>
      </c>
      <c r="G497" s="61">
        <f>9.0007 * CHOOSE(CONTROL!$C$21, $C$12, 100%, $E$12)</f>
        <v>9.0007000000000001</v>
      </c>
      <c r="H497" s="61">
        <f>15.5948* CHOOSE(CONTROL!$C$21, $C$12, 100%, $E$12)</f>
        <v>15.594799999999999</v>
      </c>
      <c r="I497" s="61">
        <f>15.595 * CHOOSE(CONTROL!$C$21, $C$12, 100%, $E$12)</f>
        <v>15.595000000000001</v>
      </c>
      <c r="J497" s="61">
        <f>9.0005 * CHOOSE(CONTROL!$C$21, $C$12, 100%, $E$12)</f>
        <v>9.0005000000000006</v>
      </c>
      <c r="K497" s="61">
        <f>9.0007 * CHOOSE(CONTROL!$C$21, $C$12, 100%, $E$12)</f>
        <v>9.0007000000000001</v>
      </c>
    </row>
    <row r="498" spans="1:11" ht="15">
      <c r="A498" s="13">
        <v>57040</v>
      </c>
      <c r="B498" s="60">
        <f>7.8279 * CHOOSE(CONTROL!$C$21, $C$12, 100%, $E$12)</f>
        <v>7.8278999999999996</v>
      </c>
      <c r="C498" s="60">
        <f>7.8279 * CHOOSE(CONTROL!$C$21, $C$12, 100%, $E$12)</f>
        <v>7.8278999999999996</v>
      </c>
      <c r="D498" s="60">
        <f>7.8384 * CHOOSE(CONTROL!$C$21, $C$12, 100%, $E$12)</f>
        <v>7.8384</v>
      </c>
      <c r="E498" s="61">
        <f>9.0768 * CHOOSE(CONTROL!$C$21, $C$12, 100%, $E$12)</f>
        <v>9.0768000000000004</v>
      </c>
      <c r="F498" s="61">
        <f>9.0768 * CHOOSE(CONTROL!$C$21, $C$12, 100%, $E$12)</f>
        <v>9.0768000000000004</v>
      </c>
      <c r="G498" s="61">
        <f>9.077 * CHOOSE(CONTROL!$C$21, $C$12, 100%, $E$12)</f>
        <v>9.077</v>
      </c>
      <c r="H498" s="61">
        <f>15.6273* CHOOSE(CONTROL!$C$21, $C$12, 100%, $E$12)</f>
        <v>15.6273</v>
      </c>
      <c r="I498" s="61">
        <f>15.6275 * CHOOSE(CONTROL!$C$21, $C$12, 100%, $E$12)</f>
        <v>15.6275</v>
      </c>
      <c r="J498" s="61">
        <f>9.0768 * CHOOSE(CONTROL!$C$21, $C$12, 100%, $E$12)</f>
        <v>9.0768000000000004</v>
      </c>
      <c r="K498" s="61">
        <f>9.077 * CHOOSE(CONTROL!$C$21, $C$12, 100%, $E$12)</f>
        <v>9.077</v>
      </c>
    </row>
    <row r="499" spans="1:11" ht="15">
      <c r="A499" s="13">
        <v>57071</v>
      </c>
      <c r="B499" s="60">
        <f>7.8289 * CHOOSE(CONTROL!$C$21, $C$12, 100%, $E$12)</f>
        <v>7.8289</v>
      </c>
      <c r="C499" s="60">
        <f>7.8289 * CHOOSE(CONTROL!$C$21, $C$12, 100%, $E$12)</f>
        <v>7.8289</v>
      </c>
      <c r="D499" s="60">
        <f>7.8394 * CHOOSE(CONTROL!$C$21, $C$12, 100%, $E$12)</f>
        <v>7.8394000000000004</v>
      </c>
      <c r="E499" s="61">
        <f>9.1568 * CHOOSE(CONTROL!$C$21, $C$12, 100%, $E$12)</f>
        <v>9.1568000000000005</v>
      </c>
      <c r="F499" s="61">
        <f>9.1568 * CHOOSE(CONTROL!$C$21, $C$12, 100%, $E$12)</f>
        <v>9.1568000000000005</v>
      </c>
      <c r="G499" s="61">
        <f>9.157 * CHOOSE(CONTROL!$C$21, $C$12, 100%, $E$12)</f>
        <v>9.157</v>
      </c>
      <c r="H499" s="61">
        <f>15.6599* CHOOSE(CONTROL!$C$21, $C$12, 100%, $E$12)</f>
        <v>15.6599</v>
      </c>
      <c r="I499" s="61">
        <f>15.66 * CHOOSE(CONTROL!$C$21, $C$12, 100%, $E$12)</f>
        <v>15.66</v>
      </c>
      <c r="J499" s="61">
        <f>9.1568 * CHOOSE(CONTROL!$C$21, $C$12, 100%, $E$12)</f>
        <v>9.1568000000000005</v>
      </c>
      <c r="K499" s="61">
        <f>9.157 * CHOOSE(CONTROL!$C$21, $C$12, 100%, $E$12)</f>
        <v>9.157</v>
      </c>
    </row>
    <row r="500" spans="1:11" ht="15">
      <c r="A500" s="13">
        <v>57101</v>
      </c>
      <c r="B500" s="60">
        <f>7.8289 * CHOOSE(CONTROL!$C$21, $C$12, 100%, $E$12)</f>
        <v>7.8289</v>
      </c>
      <c r="C500" s="60">
        <f>7.8289 * CHOOSE(CONTROL!$C$21, $C$12, 100%, $E$12)</f>
        <v>7.8289</v>
      </c>
      <c r="D500" s="60">
        <f>7.85 * CHOOSE(CONTROL!$C$21, $C$12, 100%, $E$12)</f>
        <v>7.85</v>
      </c>
      <c r="E500" s="61">
        <f>9.1884 * CHOOSE(CONTROL!$C$21, $C$12, 100%, $E$12)</f>
        <v>9.1883999999999997</v>
      </c>
      <c r="F500" s="61">
        <f>9.1884 * CHOOSE(CONTROL!$C$21, $C$12, 100%, $E$12)</f>
        <v>9.1883999999999997</v>
      </c>
      <c r="G500" s="61">
        <f>9.1898 * CHOOSE(CONTROL!$C$21, $C$12, 100%, $E$12)</f>
        <v>9.1898</v>
      </c>
      <c r="H500" s="61">
        <f>15.6925* CHOOSE(CONTROL!$C$21, $C$12, 100%, $E$12)</f>
        <v>15.692500000000001</v>
      </c>
      <c r="I500" s="61">
        <f>15.6939 * CHOOSE(CONTROL!$C$21, $C$12, 100%, $E$12)</f>
        <v>15.693899999999999</v>
      </c>
      <c r="J500" s="61">
        <f>9.1884 * CHOOSE(CONTROL!$C$21, $C$12, 100%, $E$12)</f>
        <v>9.1883999999999997</v>
      </c>
      <c r="K500" s="61">
        <f>9.1898 * CHOOSE(CONTROL!$C$21, $C$12, 100%, $E$12)</f>
        <v>9.1898</v>
      </c>
    </row>
    <row r="501" spans="1:11" ht="15">
      <c r="A501" s="13">
        <v>57132</v>
      </c>
      <c r="B501" s="60">
        <f>7.835 * CHOOSE(CONTROL!$C$21, $C$12, 100%, $E$12)</f>
        <v>7.835</v>
      </c>
      <c r="C501" s="60">
        <f>7.835 * CHOOSE(CONTROL!$C$21, $C$12, 100%, $E$12)</f>
        <v>7.835</v>
      </c>
      <c r="D501" s="60">
        <f>7.8561 * CHOOSE(CONTROL!$C$21, $C$12, 100%, $E$12)</f>
        <v>7.8560999999999996</v>
      </c>
      <c r="E501" s="61">
        <f>9.1611 * CHOOSE(CONTROL!$C$21, $C$12, 100%, $E$12)</f>
        <v>9.1610999999999994</v>
      </c>
      <c r="F501" s="61">
        <f>9.1611 * CHOOSE(CONTROL!$C$21, $C$12, 100%, $E$12)</f>
        <v>9.1610999999999994</v>
      </c>
      <c r="G501" s="61">
        <f>9.1624 * CHOOSE(CONTROL!$C$21, $C$12, 100%, $E$12)</f>
        <v>9.1623999999999999</v>
      </c>
      <c r="H501" s="61">
        <f>15.7252* CHOOSE(CONTROL!$C$21, $C$12, 100%, $E$12)</f>
        <v>15.725199999999999</v>
      </c>
      <c r="I501" s="61">
        <f>15.7265 * CHOOSE(CONTROL!$C$21, $C$12, 100%, $E$12)</f>
        <v>15.7265</v>
      </c>
      <c r="J501" s="61">
        <f>9.1611 * CHOOSE(CONTROL!$C$21, $C$12, 100%, $E$12)</f>
        <v>9.1610999999999994</v>
      </c>
      <c r="K501" s="61">
        <f>9.1624 * CHOOSE(CONTROL!$C$21, $C$12, 100%, $E$12)</f>
        <v>9.1623999999999999</v>
      </c>
    </row>
    <row r="502" spans="1:11" ht="15">
      <c r="A502" s="13">
        <v>57162</v>
      </c>
      <c r="B502" s="60">
        <f>7.9622 * CHOOSE(CONTROL!$C$21, $C$12, 100%, $E$12)</f>
        <v>7.9622000000000002</v>
      </c>
      <c r="C502" s="60">
        <f>7.9622 * CHOOSE(CONTROL!$C$21, $C$12, 100%, $E$12)</f>
        <v>7.9622000000000002</v>
      </c>
      <c r="D502" s="60">
        <f>7.9833 * CHOOSE(CONTROL!$C$21, $C$12, 100%, $E$12)</f>
        <v>7.9832999999999998</v>
      </c>
      <c r="E502" s="61">
        <f>9.34 * CHOOSE(CONTROL!$C$21, $C$12, 100%, $E$12)</f>
        <v>9.34</v>
      </c>
      <c r="F502" s="61">
        <f>9.34 * CHOOSE(CONTROL!$C$21, $C$12, 100%, $E$12)</f>
        <v>9.34</v>
      </c>
      <c r="G502" s="61">
        <f>9.3413 * CHOOSE(CONTROL!$C$21, $C$12, 100%, $E$12)</f>
        <v>9.3413000000000004</v>
      </c>
      <c r="H502" s="61">
        <f>15.7579* CHOOSE(CONTROL!$C$21, $C$12, 100%, $E$12)</f>
        <v>15.757899999999999</v>
      </c>
      <c r="I502" s="61">
        <f>15.7593 * CHOOSE(CONTROL!$C$21, $C$12, 100%, $E$12)</f>
        <v>15.7593</v>
      </c>
      <c r="J502" s="61">
        <f>9.34 * CHOOSE(CONTROL!$C$21, $C$12, 100%, $E$12)</f>
        <v>9.34</v>
      </c>
      <c r="K502" s="61">
        <f>9.3413 * CHOOSE(CONTROL!$C$21, $C$12, 100%, $E$12)</f>
        <v>9.3413000000000004</v>
      </c>
    </row>
    <row r="503" spans="1:11" ht="15">
      <c r="A503" s="13">
        <v>57193</v>
      </c>
      <c r="B503" s="60">
        <f>7.9689 * CHOOSE(CONTROL!$C$21, $C$12, 100%, $E$12)</f>
        <v>7.9688999999999997</v>
      </c>
      <c r="C503" s="60">
        <f>7.9689 * CHOOSE(CONTROL!$C$21, $C$12, 100%, $E$12)</f>
        <v>7.9688999999999997</v>
      </c>
      <c r="D503" s="60">
        <f>7.99 * CHOOSE(CONTROL!$C$21, $C$12, 100%, $E$12)</f>
        <v>7.99</v>
      </c>
      <c r="E503" s="61">
        <f>9.2499 * CHOOSE(CONTROL!$C$21, $C$12, 100%, $E$12)</f>
        <v>9.2499000000000002</v>
      </c>
      <c r="F503" s="61">
        <f>9.2499 * CHOOSE(CONTROL!$C$21, $C$12, 100%, $E$12)</f>
        <v>9.2499000000000002</v>
      </c>
      <c r="G503" s="61">
        <f>9.2513 * CHOOSE(CONTROL!$C$21, $C$12, 100%, $E$12)</f>
        <v>9.2513000000000005</v>
      </c>
      <c r="H503" s="61">
        <f>15.7908* CHOOSE(CONTROL!$C$21, $C$12, 100%, $E$12)</f>
        <v>15.790800000000001</v>
      </c>
      <c r="I503" s="61">
        <f>15.7921 * CHOOSE(CONTROL!$C$21, $C$12, 100%, $E$12)</f>
        <v>15.7921</v>
      </c>
      <c r="J503" s="61">
        <f>9.2499 * CHOOSE(CONTROL!$C$21, $C$12, 100%, $E$12)</f>
        <v>9.2499000000000002</v>
      </c>
      <c r="K503" s="61">
        <f>9.2513 * CHOOSE(CONTROL!$C$21, $C$12, 100%, $E$12)</f>
        <v>9.2513000000000005</v>
      </c>
    </row>
    <row r="504" spans="1:11" ht="15">
      <c r="A504" s="13">
        <v>57224</v>
      </c>
      <c r="B504" s="60">
        <f>7.9658 * CHOOSE(CONTROL!$C$21, $C$12, 100%, $E$12)</f>
        <v>7.9657999999999998</v>
      </c>
      <c r="C504" s="60">
        <f>7.9658 * CHOOSE(CONTROL!$C$21, $C$12, 100%, $E$12)</f>
        <v>7.9657999999999998</v>
      </c>
      <c r="D504" s="60">
        <f>7.987 * CHOOSE(CONTROL!$C$21, $C$12, 100%, $E$12)</f>
        <v>7.9870000000000001</v>
      </c>
      <c r="E504" s="61">
        <f>9.2372 * CHOOSE(CONTROL!$C$21, $C$12, 100%, $E$12)</f>
        <v>9.2371999999999996</v>
      </c>
      <c r="F504" s="61">
        <f>9.2372 * CHOOSE(CONTROL!$C$21, $C$12, 100%, $E$12)</f>
        <v>9.2371999999999996</v>
      </c>
      <c r="G504" s="61">
        <f>9.2386 * CHOOSE(CONTROL!$C$21, $C$12, 100%, $E$12)</f>
        <v>9.2385999999999999</v>
      </c>
      <c r="H504" s="61">
        <f>15.8237* CHOOSE(CONTROL!$C$21, $C$12, 100%, $E$12)</f>
        <v>15.823700000000001</v>
      </c>
      <c r="I504" s="61">
        <f>15.825 * CHOOSE(CONTROL!$C$21, $C$12, 100%, $E$12)</f>
        <v>15.824999999999999</v>
      </c>
      <c r="J504" s="61">
        <f>9.2372 * CHOOSE(CONTROL!$C$21, $C$12, 100%, $E$12)</f>
        <v>9.2371999999999996</v>
      </c>
      <c r="K504" s="61">
        <f>9.2386 * CHOOSE(CONTROL!$C$21, $C$12, 100%, $E$12)</f>
        <v>9.2385999999999999</v>
      </c>
    </row>
    <row r="505" spans="1:11" ht="15">
      <c r="A505" s="13">
        <v>57254</v>
      </c>
      <c r="B505" s="60">
        <f>7.9743 * CHOOSE(CONTROL!$C$21, $C$12, 100%, $E$12)</f>
        <v>7.9743000000000004</v>
      </c>
      <c r="C505" s="60">
        <f>7.9743 * CHOOSE(CONTROL!$C$21, $C$12, 100%, $E$12)</f>
        <v>7.9743000000000004</v>
      </c>
      <c r="D505" s="60">
        <f>7.9848 * CHOOSE(CONTROL!$C$21, $C$12, 100%, $E$12)</f>
        <v>7.9847999999999999</v>
      </c>
      <c r="E505" s="61">
        <f>9.2659 * CHOOSE(CONTROL!$C$21, $C$12, 100%, $E$12)</f>
        <v>9.2659000000000002</v>
      </c>
      <c r="F505" s="61">
        <f>9.2659 * CHOOSE(CONTROL!$C$21, $C$12, 100%, $E$12)</f>
        <v>9.2659000000000002</v>
      </c>
      <c r="G505" s="61">
        <f>9.2661 * CHOOSE(CONTROL!$C$21, $C$12, 100%, $E$12)</f>
        <v>9.2660999999999998</v>
      </c>
      <c r="H505" s="61">
        <f>15.8566* CHOOSE(CONTROL!$C$21, $C$12, 100%, $E$12)</f>
        <v>15.8566</v>
      </c>
      <c r="I505" s="61">
        <f>15.8568 * CHOOSE(CONTROL!$C$21, $C$12, 100%, $E$12)</f>
        <v>15.8568</v>
      </c>
      <c r="J505" s="61">
        <f>9.2659 * CHOOSE(CONTROL!$C$21, $C$12, 100%, $E$12)</f>
        <v>9.2659000000000002</v>
      </c>
      <c r="K505" s="61">
        <f>9.2661 * CHOOSE(CONTROL!$C$21, $C$12, 100%, $E$12)</f>
        <v>9.2660999999999998</v>
      </c>
    </row>
    <row r="506" spans="1:11" ht="15">
      <c r="A506" s="13">
        <v>57285</v>
      </c>
      <c r="B506" s="60">
        <f>7.9773 * CHOOSE(CONTROL!$C$21, $C$12, 100%, $E$12)</f>
        <v>7.9772999999999996</v>
      </c>
      <c r="C506" s="60">
        <f>7.9773 * CHOOSE(CONTROL!$C$21, $C$12, 100%, $E$12)</f>
        <v>7.9772999999999996</v>
      </c>
      <c r="D506" s="60">
        <f>7.9879 * CHOOSE(CONTROL!$C$21, $C$12, 100%, $E$12)</f>
        <v>7.9878999999999998</v>
      </c>
      <c r="E506" s="61">
        <f>9.2891 * CHOOSE(CONTROL!$C$21, $C$12, 100%, $E$12)</f>
        <v>9.2890999999999995</v>
      </c>
      <c r="F506" s="61">
        <f>9.2891 * CHOOSE(CONTROL!$C$21, $C$12, 100%, $E$12)</f>
        <v>9.2890999999999995</v>
      </c>
      <c r="G506" s="61">
        <f>9.2893 * CHOOSE(CONTROL!$C$21, $C$12, 100%, $E$12)</f>
        <v>9.2893000000000008</v>
      </c>
      <c r="H506" s="61">
        <f>15.8897* CHOOSE(CONTROL!$C$21, $C$12, 100%, $E$12)</f>
        <v>15.889699999999999</v>
      </c>
      <c r="I506" s="61">
        <f>15.8898 * CHOOSE(CONTROL!$C$21, $C$12, 100%, $E$12)</f>
        <v>15.889799999999999</v>
      </c>
      <c r="J506" s="61">
        <f>9.2891 * CHOOSE(CONTROL!$C$21, $C$12, 100%, $E$12)</f>
        <v>9.2890999999999995</v>
      </c>
      <c r="K506" s="61">
        <f>9.2893 * CHOOSE(CONTROL!$C$21, $C$12, 100%, $E$12)</f>
        <v>9.2893000000000008</v>
      </c>
    </row>
    <row r="507" spans="1:11" ht="15">
      <c r="A507" s="13">
        <v>57315</v>
      </c>
      <c r="B507" s="60">
        <f>7.9773 * CHOOSE(CONTROL!$C$21, $C$12, 100%, $E$12)</f>
        <v>7.9772999999999996</v>
      </c>
      <c r="C507" s="60">
        <f>7.9773 * CHOOSE(CONTROL!$C$21, $C$12, 100%, $E$12)</f>
        <v>7.9772999999999996</v>
      </c>
      <c r="D507" s="60">
        <f>7.9879 * CHOOSE(CONTROL!$C$21, $C$12, 100%, $E$12)</f>
        <v>7.9878999999999998</v>
      </c>
      <c r="E507" s="61">
        <f>9.2365 * CHOOSE(CONTROL!$C$21, $C$12, 100%, $E$12)</f>
        <v>9.2364999999999995</v>
      </c>
      <c r="F507" s="61">
        <f>9.2365 * CHOOSE(CONTROL!$C$21, $C$12, 100%, $E$12)</f>
        <v>9.2364999999999995</v>
      </c>
      <c r="G507" s="61">
        <f>9.2366 * CHOOSE(CONTROL!$C$21, $C$12, 100%, $E$12)</f>
        <v>9.2365999999999993</v>
      </c>
      <c r="H507" s="61">
        <f>15.9228* CHOOSE(CONTROL!$C$21, $C$12, 100%, $E$12)</f>
        <v>15.922800000000001</v>
      </c>
      <c r="I507" s="61">
        <f>15.9229 * CHOOSE(CONTROL!$C$21, $C$12, 100%, $E$12)</f>
        <v>15.9229</v>
      </c>
      <c r="J507" s="61">
        <f>9.2365 * CHOOSE(CONTROL!$C$21, $C$12, 100%, $E$12)</f>
        <v>9.2364999999999995</v>
      </c>
      <c r="K507" s="61">
        <f>9.2366 * CHOOSE(CONTROL!$C$21, $C$12, 100%, $E$12)</f>
        <v>9.2365999999999993</v>
      </c>
    </row>
    <row r="508" spans="1:11" ht="15">
      <c r="A508" s="13">
        <v>57346</v>
      </c>
      <c r="B508" s="60">
        <f>8.048 * CHOOSE(CONTROL!$C$21, $C$12, 100%, $E$12)</f>
        <v>8.048</v>
      </c>
      <c r="C508" s="60">
        <f>8.048 * CHOOSE(CONTROL!$C$21, $C$12, 100%, $E$12)</f>
        <v>8.048</v>
      </c>
      <c r="D508" s="60">
        <f>8.0586 * CHOOSE(CONTROL!$C$21, $C$12, 100%, $E$12)</f>
        <v>8.0586000000000002</v>
      </c>
      <c r="E508" s="61">
        <f>9.3568 * CHOOSE(CONTROL!$C$21, $C$12, 100%, $E$12)</f>
        <v>9.3567999999999998</v>
      </c>
      <c r="F508" s="61">
        <f>9.3568 * CHOOSE(CONTROL!$C$21, $C$12, 100%, $E$12)</f>
        <v>9.3567999999999998</v>
      </c>
      <c r="G508" s="61">
        <f>9.357 * CHOOSE(CONTROL!$C$21, $C$12, 100%, $E$12)</f>
        <v>9.3569999999999993</v>
      </c>
      <c r="H508" s="61">
        <f>15.9559* CHOOSE(CONTROL!$C$21, $C$12, 100%, $E$12)</f>
        <v>15.9559</v>
      </c>
      <c r="I508" s="61">
        <f>15.9561 * CHOOSE(CONTROL!$C$21, $C$12, 100%, $E$12)</f>
        <v>15.956099999999999</v>
      </c>
      <c r="J508" s="61">
        <f>9.3568 * CHOOSE(CONTROL!$C$21, $C$12, 100%, $E$12)</f>
        <v>9.3567999999999998</v>
      </c>
      <c r="K508" s="61">
        <f>9.357 * CHOOSE(CONTROL!$C$21, $C$12, 100%, $E$12)</f>
        <v>9.3569999999999993</v>
      </c>
    </row>
    <row r="509" spans="1:11" ht="15">
      <c r="A509" s="13">
        <v>57377</v>
      </c>
      <c r="B509" s="60">
        <f>8.045 * CHOOSE(CONTROL!$C$21, $C$12, 100%, $E$12)</f>
        <v>8.0449999999999999</v>
      </c>
      <c r="C509" s="60">
        <f>8.045 * CHOOSE(CONTROL!$C$21, $C$12, 100%, $E$12)</f>
        <v>8.0449999999999999</v>
      </c>
      <c r="D509" s="60">
        <f>8.0555 * CHOOSE(CONTROL!$C$21, $C$12, 100%, $E$12)</f>
        <v>8.0555000000000003</v>
      </c>
      <c r="E509" s="61">
        <f>9.2525 * CHOOSE(CONTROL!$C$21, $C$12, 100%, $E$12)</f>
        <v>9.2524999999999995</v>
      </c>
      <c r="F509" s="61">
        <f>9.2525 * CHOOSE(CONTROL!$C$21, $C$12, 100%, $E$12)</f>
        <v>9.2524999999999995</v>
      </c>
      <c r="G509" s="61">
        <f>9.2526 * CHOOSE(CONTROL!$C$21, $C$12, 100%, $E$12)</f>
        <v>9.2525999999999993</v>
      </c>
      <c r="H509" s="61">
        <f>15.9892* CHOOSE(CONTROL!$C$21, $C$12, 100%, $E$12)</f>
        <v>15.9892</v>
      </c>
      <c r="I509" s="61">
        <f>15.9894 * CHOOSE(CONTROL!$C$21, $C$12, 100%, $E$12)</f>
        <v>15.9894</v>
      </c>
      <c r="J509" s="61">
        <f>9.2525 * CHOOSE(CONTROL!$C$21, $C$12, 100%, $E$12)</f>
        <v>9.2524999999999995</v>
      </c>
      <c r="K509" s="61">
        <f>9.2526 * CHOOSE(CONTROL!$C$21, $C$12, 100%, $E$12)</f>
        <v>9.2525999999999993</v>
      </c>
    </row>
    <row r="510" spans="1:11" ht="15">
      <c r="A510" s="13">
        <v>57405</v>
      </c>
      <c r="B510" s="60">
        <f>8.0419 * CHOOSE(CONTROL!$C$21, $C$12, 100%, $E$12)</f>
        <v>8.0419</v>
      </c>
      <c r="C510" s="60">
        <f>8.0419 * CHOOSE(CONTROL!$C$21, $C$12, 100%, $E$12)</f>
        <v>8.0419</v>
      </c>
      <c r="D510" s="60">
        <f>8.0525 * CHOOSE(CONTROL!$C$21, $C$12, 100%, $E$12)</f>
        <v>8.0525000000000002</v>
      </c>
      <c r="E510" s="61">
        <f>9.331 * CHOOSE(CONTROL!$C$21, $C$12, 100%, $E$12)</f>
        <v>9.3309999999999995</v>
      </c>
      <c r="F510" s="61">
        <f>9.331 * CHOOSE(CONTROL!$C$21, $C$12, 100%, $E$12)</f>
        <v>9.3309999999999995</v>
      </c>
      <c r="G510" s="61">
        <f>9.3311 * CHOOSE(CONTROL!$C$21, $C$12, 100%, $E$12)</f>
        <v>9.3310999999999993</v>
      </c>
      <c r="H510" s="61">
        <f>16.0225* CHOOSE(CONTROL!$C$21, $C$12, 100%, $E$12)</f>
        <v>16.022500000000001</v>
      </c>
      <c r="I510" s="61">
        <f>16.0227 * CHOOSE(CONTROL!$C$21, $C$12, 100%, $E$12)</f>
        <v>16.0227</v>
      </c>
      <c r="J510" s="61">
        <f>9.331 * CHOOSE(CONTROL!$C$21, $C$12, 100%, $E$12)</f>
        <v>9.3309999999999995</v>
      </c>
      <c r="K510" s="61">
        <f>9.3311 * CHOOSE(CONTROL!$C$21, $C$12, 100%, $E$12)</f>
        <v>9.3310999999999993</v>
      </c>
    </row>
    <row r="511" spans="1:11" ht="15">
      <c r="A511" s="13">
        <v>57436</v>
      </c>
      <c r="B511" s="60">
        <f>8.0431 * CHOOSE(CONTROL!$C$21, $C$12, 100%, $E$12)</f>
        <v>8.0431000000000008</v>
      </c>
      <c r="C511" s="60">
        <f>8.0431 * CHOOSE(CONTROL!$C$21, $C$12, 100%, $E$12)</f>
        <v>8.0431000000000008</v>
      </c>
      <c r="D511" s="60">
        <f>8.0537 * CHOOSE(CONTROL!$C$21, $C$12, 100%, $E$12)</f>
        <v>8.0536999999999992</v>
      </c>
      <c r="E511" s="61">
        <f>9.4133 * CHOOSE(CONTROL!$C$21, $C$12, 100%, $E$12)</f>
        <v>9.4132999999999996</v>
      </c>
      <c r="F511" s="61">
        <f>9.4133 * CHOOSE(CONTROL!$C$21, $C$12, 100%, $E$12)</f>
        <v>9.4132999999999996</v>
      </c>
      <c r="G511" s="61">
        <f>9.4135 * CHOOSE(CONTROL!$C$21, $C$12, 100%, $E$12)</f>
        <v>9.4135000000000009</v>
      </c>
      <c r="H511" s="61">
        <f>16.0559* CHOOSE(CONTROL!$C$21, $C$12, 100%, $E$12)</f>
        <v>16.055900000000001</v>
      </c>
      <c r="I511" s="61">
        <f>16.056 * CHOOSE(CONTROL!$C$21, $C$12, 100%, $E$12)</f>
        <v>16.056000000000001</v>
      </c>
      <c r="J511" s="61">
        <f>9.4133 * CHOOSE(CONTROL!$C$21, $C$12, 100%, $E$12)</f>
        <v>9.4132999999999996</v>
      </c>
      <c r="K511" s="61">
        <f>9.4135 * CHOOSE(CONTROL!$C$21, $C$12, 100%, $E$12)</f>
        <v>9.4135000000000009</v>
      </c>
    </row>
    <row r="512" spans="1:11" ht="15">
      <c r="A512" s="13">
        <v>57466</v>
      </c>
      <c r="B512" s="60">
        <f>8.0431 * CHOOSE(CONTROL!$C$21, $C$12, 100%, $E$12)</f>
        <v>8.0431000000000008</v>
      </c>
      <c r="C512" s="60">
        <f>8.0431 * CHOOSE(CONTROL!$C$21, $C$12, 100%, $E$12)</f>
        <v>8.0431000000000008</v>
      </c>
      <c r="D512" s="60">
        <f>8.0643 * CHOOSE(CONTROL!$C$21, $C$12, 100%, $E$12)</f>
        <v>8.0642999999999994</v>
      </c>
      <c r="E512" s="61">
        <f>9.4458 * CHOOSE(CONTROL!$C$21, $C$12, 100%, $E$12)</f>
        <v>9.4458000000000002</v>
      </c>
      <c r="F512" s="61">
        <f>9.4458 * CHOOSE(CONTROL!$C$21, $C$12, 100%, $E$12)</f>
        <v>9.4458000000000002</v>
      </c>
      <c r="G512" s="61">
        <f>9.4471 * CHOOSE(CONTROL!$C$21, $C$12, 100%, $E$12)</f>
        <v>9.4471000000000007</v>
      </c>
      <c r="H512" s="61">
        <f>16.0893* CHOOSE(CONTROL!$C$21, $C$12, 100%, $E$12)</f>
        <v>16.089300000000001</v>
      </c>
      <c r="I512" s="61">
        <f>16.0907 * CHOOSE(CONTROL!$C$21, $C$12, 100%, $E$12)</f>
        <v>16.090699999999998</v>
      </c>
      <c r="J512" s="61">
        <f>9.4458 * CHOOSE(CONTROL!$C$21, $C$12, 100%, $E$12)</f>
        <v>9.4458000000000002</v>
      </c>
      <c r="K512" s="61">
        <f>9.4471 * CHOOSE(CONTROL!$C$21, $C$12, 100%, $E$12)</f>
        <v>9.4471000000000007</v>
      </c>
    </row>
    <row r="513" spans="1:11" ht="15">
      <c r="A513" s="13">
        <v>57497</v>
      </c>
      <c r="B513" s="60">
        <f>8.0492 * CHOOSE(CONTROL!$C$21, $C$12, 100%, $E$12)</f>
        <v>8.0492000000000008</v>
      </c>
      <c r="C513" s="60">
        <f>8.0492 * CHOOSE(CONTROL!$C$21, $C$12, 100%, $E$12)</f>
        <v>8.0492000000000008</v>
      </c>
      <c r="D513" s="60">
        <f>8.0703 * CHOOSE(CONTROL!$C$21, $C$12, 100%, $E$12)</f>
        <v>8.0702999999999996</v>
      </c>
      <c r="E513" s="61">
        <f>9.4175 * CHOOSE(CONTROL!$C$21, $C$12, 100%, $E$12)</f>
        <v>9.4175000000000004</v>
      </c>
      <c r="F513" s="61">
        <f>9.4175 * CHOOSE(CONTROL!$C$21, $C$12, 100%, $E$12)</f>
        <v>9.4175000000000004</v>
      </c>
      <c r="G513" s="61">
        <f>9.4189 * CHOOSE(CONTROL!$C$21, $C$12, 100%, $E$12)</f>
        <v>9.4189000000000007</v>
      </c>
      <c r="H513" s="61">
        <f>16.1228* CHOOSE(CONTROL!$C$21, $C$12, 100%, $E$12)</f>
        <v>16.122800000000002</v>
      </c>
      <c r="I513" s="61">
        <f>16.1242 * CHOOSE(CONTROL!$C$21, $C$12, 100%, $E$12)</f>
        <v>16.124199999999998</v>
      </c>
      <c r="J513" s="61">
        <f>9.4175 * CHOOSE(CONTROL!$C$21, $C$12, 100%, $E$12)</f>
        <v>9.4175000000000004</v>
      </c>
      <c r="K513" s="61">
        <f>9.4189 * CHOOSE(CONTROL!$C$21, $C$12, 100%, $E$12)</f>
        <v>9.4189000000000007</v>
      </c>
    </row>
    <row r="514" spans="1:11" ht="15">
      <c r="A514" s="13">
        <v>57527</v>
      </c>
      <c r="B514" s="60">
        <f>8.1797 * CHOOSE(CONTROL!$C$21, $C$12, 100%, $E$12)</f>
        <v>8.1797000000000004</v>
      </c>
      <c r="C514" s="60">
        <f>8.1797 * CHOOSE(CONTROL!$C$21, $C$12, 100%, $E$12)</f>
        <v>8.1797000000000004</v>
      </c>
      <c r="D514" s="60">
        <f>8.2008 * CHOOSE(CONTROL!$C$21, $C$12, 100%, $E$12)</f>
        <v>8.2007999999999992</v>
      </c>
      <c r="E514" s="61">
        <f>9.6012 * CHOOSE(CONTROL!$C$21, $C$12, 100%, $E$12)</f>
        <v>9.6012000000000004</v>
      </c>
      <c r="F514" s="61">
        <f>9.6012 * CHOOSE(CONTROL!$C$21, $C$12, 100%, $E$12)</f>
        <v>9.6012000000000004</v>
      </c>
      <c r="G514" s="61">
        <f>9.6026 * CHOOSE(CONTROL!$C$21, $C$12, 100%, $E$12)</f>
        <v>9.6026000000000007</v>
      </c>
      <c r="H514" s="61">
        <f>16.1564* CHOOSE(CONTROL!$C$21, $C$12, 100%, $E$12)</f>
        <v>16.156400000000001</v>
      </c>
      <c r="I514" s="61">
        <f>16.1578 * CHOOSE(CONTROL!$C$21, $C$12, 100%, $E$12)</f>
        <v>16.157800000000002</v>
      </c>
      <c r="J514" s="61">
        <f>9.6012 * CHOOSE(CONTROL!$C$21, $C$12, 100%, $E$12)</f>
        <v>9.6012000000000004</v>
      </c>
      <c r="K514" s="61">
        <f>9.6026 * CHOOSE(CONTROL!$C$21, $C$12, 100%, $E$12)</f>
        <v>9.6026000000000007</v>
      </c>
    </row>
    <row r="515" spans="1:11" ht="15">
      <c r="A515" s="13">
        <v>57558</v>
      </c>
      <c r="B515" s="60">
        <f>8.1863 * CHOOSE(CONTROL!$C$21, $C$12, 100%, $E$12)</f>
        <v>8.1862999999999992</v>
      </c>
      <c r="C515" s="60">
        <f>8.1863 * CHOOSE(CONTROL!$C$21, $C$12, 100%, $E$12)</f>
        <v>8.1862999999999992</v>
      </c>
      <c r="D515" s="60">
        <f>8.2075 * CHOOSE(CONTROL!$C$21, $C$12, 100%, $E$12)</f>
        <v>8.2074999999999996</v>
      </c>
      <c r="E515" s="61">
        <f>9.5085 * CHOOSE(CONTROL!$C$21, $C$12, 100%, $E$12)</f>
        <v>9.5084999999999997</v>
      </c>
      <c r="F515" s="61">
        <f>9.5085 * CHOOSE(CONTROL!$C$21, $C$12, 100%, $E$12)</f>
        <v>9.5084999999999997</v>
      </c>
      <c r="G515" s="61">
        <f>9.5098 * CHOOSE(CONTROL!$C$21, $C$12, 100%, $E$12)</f>
        <v>9.5098000000000003</v>
      </c>
      <c r="H515" s="61">
        <f>16.1901* CHOOSE(CONTROL!$C$21, $C$12, 100%, $E$12)</f>
        <v>16.190100000000001</v>
      </c>
      <c r="I515" s="61">
        <f>16.1915 * CHOOSE(CONTROL!$C$21, $C$12, 100%, $E$12)</f>
        <v>16.191500000000001</v>
      </c>
      <c r="J515" s="61">
        <f>9.5085 * CHOOSE(CONTROL!$C$21, $C$12, 100%, $E$12)</f>
        <v>9.5084999999999997</v>
      </c>
      <c r="K515" s="61">
        <f>9.5098 * CHOOSE(CONTROL!$C$21, $C$12, 100%, $E$12)</f>
        <v>9.5098000000000003</v>
      </c>
    </row>
    <row r="516" spans="1:11" ht="15">
      <c r="A516" s="13">
        <v>57589</v>
      </c>
      <c r="B516" s="60">
        <f>8.1833 * CHOOSE(CONTROL!$C$21, $C$12, 100%, $E$12)</f>
        <v>8.1832999999999991</v>
      </c>
      <c r="C516" s="60">
        <f>8.1833 * CHOOSE(CONTROL!$C$21, $C$12, 100%, $E$12)</f>
        <v>8.1832999999999991</v>
      </c>
      <c r="D516" s="60">
        <f>8.2044 * CHOOSE(CONTROL!$C$21, $C$12, 100%, $E$12)</f>
        <v>8.2043999999999997</v>
      </c>
      <c r="E516" s="61">
        <f>9.4955 * CHOOSE(CONTROL!$C$21, $C$12, 100%, $E$12)</f>
        <v>9.4954999999999998</v>
      </c>
      <c r="F516" s="61">
        <f>9.4955 * CHOOSE(CONTROL!$C$21, $C$12, 100%, $E$12)</f>
        <v>9.4954999999999998</v>
      </c>
      <c r="G516" s="61">
        <f>9.4969 * CHOOSE(CONTROL!$C$21, $C$12, 100%, $E$12)</f>
        <v>9.4969000000000001</v>
      </c>
      <c r="H516" s="61">
        <f>16.2238* CHOOSE(CONTROL!$C$21, $C$12, 100%, $E$12)</f>
        <v>16.223800000000001</v>
      </c>
      <c r="I516" s="61">
        <f>16.2252 * CHOOSE(CONTROL!$C$21, $C$12, 100%, $E$12)</f>
        <v>16.225200000000001</v>
      </c>
      <c r="J516" s="61">
        <f>9.4955 * CHOOSE(CONTROL!$C$21, $C$12, 100%, $E$12)</f>
        <v>9.4954999999999998</v>
      </c>
      <c r="K516" s="61">
        <f>9.4969 * CHOOSE(CONTROL!$C$21, $C$12, 100%, $E$12)</f>
        <v>9.4969000000000001</v>
      </c>
    </row>
    <row r="517" spans="1:11" ht="15">
      <c r="A517" s="13">
        <v>57619</v>
      </c>
      <c r="B517" s="60">
        <f>8.1925 * CHOOSE(CONTROL!$C$21, $C$12, 100%, $E$12)</f>
        <v>8.1925000000000008</v>
      </c>
      <c r="C517" s="60">
        <f>8.1925 * CHOOSE(CONTROL!$C$21, $C$12, 100%, $E$12)</f>
        <v>8.1925000000000008</v>
      </c>
      <c r="D517" s="60">
        <f>8.203 * CHOOSE(CONTROL!$C$21, $C$12, 100%, $E$12)</f>
        <v>8.2029999999999994</v>
      </c>
      <c r="E517" s="61">
        <f>9.5254 * CHOOSE(CONTROL!$C$21, $C$12, 100%, $E$12)</f>
        <v>9.5253999999999994</v>
      </c>
      <c r="F517" s="61">
        <f>9.5254 * CHOOSE(CONTROL!$C$21, $C$12, 100%, $E$12)</f>
        <v>9.5253999999999994</v>
      </c>
      <c r="G517" s="61">
        <f>9.5256 * CHOOSE(CONTROL!$C$21, $C$12, 100%, $E$12)</f>
        <v>9.5256000000000007</v>
      </c>
      <c r="H517" s="61">
        <f>16.2576* CHOOSE(CONTROL!$C$21, $C$12, 100%, $E$12)</f>
        <v>16.2576</v>
      </c>
      <c r="I517" s="61">
        <f>16.2578 * CHOOSE(CONTROL!$C$21, $C$12, 100%, $E$12)</f>
        <v>16.2578</v>
      </c>
      <c r="J517" s="61">
        <f>9.5254 * CHOOSE(CONTROL!$C$21, $C$12, 100%, $E$12)</f>
        <v>9.5253999999999994</v>
      </c>
      <c r="K517" s="61">
        <f>9.5256 * CHOOSE(CONTROL!$C$21, $C$12, 100%, $E$12)</f>
        <v>9.5256000000000007</v>
      </c>
    </row>
    <row r="518" spans="1:11" ht="15">
      <c r="A518" s="13">
        <v>57650</v>
      </c>
      <c r="B518" s="60">
        <f>8.1955 * CHOOSE(CONTROL!$C$21, $C$12, 100%, $E$12)</f>
        <v>8.1954999999999991</v>
      </c>
      <c r="C518" s="60">
        <f>8.1955 * CHOOSE(CONTROL!$C$21, $C$12, 100%, $E$12)</f>
        <v>8.1954999999999991</v>
      </c>
      <c r="D518" s="60">
        <f>8.2061 * CHOOSE(CONTROL!$C$21, $C$12, 100%, $E$12)</f>
        <v>8.2060999999999993</v>
      </c>
      <c r="E518" s="61">
        <f>9.5491 * CHOOSE(CONTROL!$C$21, $C$12, 100%, $E$12)</f>
        <v>9.5490999999999993</v>
      </c>
      <c r="F518" s="61">
        <f>9.5491 * CHOOSE(CONTROL!$C$21, $C$12, 100%, $E$12)</f>
        <v>9.5490999999999993</v>
      </c>
      <c r="G518" s="61">
        <f>9.5493 * CHOOSE(CONTROL!$C$21, $C$12, 100%, $E$12)</f>
        <v>9.5493000000000006</v>
      </c>
      <c r="H518" s="61">
        <f>16.2915* CHOOSE(CONTROL!$C$21, $C$12, 100%, $E$12)</f>
        <v>16.291499999999999</v>
      </c>
      <c r="I518" s="61">
        <f>16.2917 * CHOOSE(CONTROL!$C$21, $C$12, 100%, $E$12)</f>
        <v>16.291699999999999</v>
      </c>
      <c r="J518" s="61">
        <f>9.5491 * CHOOSE(CONTROL!$C$21, $C$12, 100%, $E$12)</f>
        <v>9.5490999999999993</v>
      </c>
      <c r="K518" s="61">
        <f>9.5493 * CHOOSE(CONTROL!$C$21, $C$12, 100%, $E$12)</f>
        <v>9.5493000000000006</v>
      </c>
    </row>
    <row r="519" spans="1:11" ht="15">
      <c r="A519" s="13">
        <v>57680</v>
      </c>
      <c r="B519" s="60">
        <f>8.1955 * CHOOSE(CONTROL!$C$21, $C$12, 100%, $E$12)</f>
        <v>8.1954999999999991</v>
      </c>
      <c r="C519" s="60">
        <f>8.1955 * CHOOSE(CONTROL!$C$21, $C$12, 100%, $E$12)</f>
        <v>8.1954999999999991</v>
      </c>
      <c r="D519" s="60">
        <f>8.2061 * CHOOSE(CONTROL!$C$21, $C$12, 100%, $E$12)</f>
        <v>8.2060999999999993</v>
      </c>
      <c r="E519" s="61">
        <f>9.495 * CHOOSE(CONTROL!$C$21, $C$12, 100%, $E$12)</f>
        <v>9.4949999999999992</v>
      </c>
      <c r="F519" s="61">
        <f>9.495 * CHOOSE(CONTROL!$C$21, $C$12, 100%, $E$12)</f>
        <v>9.4949999999999992</v>
      </c>
      <c r="G519" s="61">
        <f>9.4952 * CHOOSE(CONTROL!$C$21, $C$12, 100%, $E$12)</f>
        <v>9.4952000000000005</v>
      </c>
      <c r="H519" s="61">
        <f>16.3254* CHOOSE(CONTROL!$C$21, $C$12, 100%, $E$12)</f>
        <v>16.325399999999998</v>
      </c>
      <c r="I519" s="61">
        <f>16.3256 * CHOOSE(CONTROL!$C$21, $C$12, 100%, $E$12)</f>
        <v>16.325600000000001</v>
      </c>
      <c r="J519" s="61">
        <f>9.495 * CHOOSE(CONTROL!$C$21, $C$12, 100%, $E$12)</f>
        <v>9.4949999999999992</v>
      </c>
      <c r="K519" s="61">
        <f>9.4952 * CHOOSE(CONTROL!$C$21, $C$12, 100%, $E$12)</f>
        <v>9.4952000000000005</v>
      </c>
    </row>
    <row r="520" spans="1:11" ht="15">
      <c r="A520" s="13">
        <v>57711</v>
      </c>
      <c r="B520" s="60">
        <f>8.268 * CHOOSE(CONTROL!$C$21, $C$12, 100%, $E$12)</f>
        <v>8.2680000000000007</v>
      </c>
      <c r="C520" s="60">
        <f>8.268 * CHOOSE(CONTROL!$C$21, $C$12, 100%, $E$12)</f>
        <v>8.2680000000000007</v>
      </c>
      <c r="D520" s="60">
        <f>8.2786 * CHOOSE(CONTROL!$C$21, $C$12, 100%, $E$12)</f>
        <v>8.2786000000000008</v>
      </c>
      <c r="E520" s="61">
        <f>9.6187 * CHOOSE(CONTROL!$C$21, $C$12, 100%, $E$12)</f>
        <v>9.6187000000000005</v>
      </c>
      <c r="F520" s="61">
        <f>9.6187 * CHOOSE(CONTROL!$C$21, $C$12, 100%, $E$12)</f>
        <v>9.6187000000000005</v>
      </c>
      <c r="G520" s="61">
        <f>9.6189 * CHOOSE(CONTROL!$C$21, $C$12, 100%, $E$12)</f>
        <v>9.6189</v>
      </c>
      <c r="H520" s="61">
        <f>16.3594* CHOOSE(CONTROL!$C$21, $C$12, 100%, $E$12)</f>
        <v>16.359400000000001</v>
      </c>
      <c r="I520" s="61">
        <f>16.3596 * CHOOSE(CONTROL!$C$21, $C$12, 100%, $E$12)</f>
        <v>16.3596</v>
      </c>
      <c r="J520" s="61">
        <f>9.6187 * CHOOSE(CONTROL!$C$21, $C$12, 100%, $E$12)</f>
        <v>9.6187000000000005</v>
      </c>
      <c r="K520" s="61">
        <f>9.6189 * CHOOSE(CONTROL!$C$21, $C$12, 100%, $E$12)</f>
        <v>9.6189</v>
      </c>
    </row>
    <row r="521" spans="1:11" ht="15">
      <c r="A521" s="13">
        <v>57742</v>
      </c>
      <c r="B521" s="60">
        <f>8.265 * CHOOSE(CONTROL!$C$21, $C$12, 100%, $E$12)</f>
        <v>8.2650000000000006</v>
      </c>
      <c r="C521" s="60">
        <f>8.265 * CHOOSE(CONTROL!$C$21, $C$12, 100%, $E$12)</f>
        <v>8.2650000000000006</v>
      </c>
      <c r="D521" s="60">
        <f>8.2755 * CHOOSE(CONTROL!$C$21, $C$12, 100%, $E$12)</f>
        <v>8.2754999999999992</v>
      </c>
      <c r="E521" s="61">
        <f>9.5114 * CHOOSE(CONTROL!$C$21, $C$12, 100%, $E$12)</f>
        <v>9.5114000000000001</v>
      </c>
      <c r="F521" s="61">
        <f>9.5114 * CHOOSE(CONTROL!$C$21, $C$12, 100%, $E$12)</f>
        <v>9.5114000000000001</v>
      </c>
      <c r="G521" s="61">
        <f>9.5116 * CHOOSE(CONTROL!$C$21, $C$12, 100%, $E$12)</f>
        <v>9.5115999999999996</v>
      </c>
      <c r="H521" s="61">
        <f>16.3935* CHOOSE(CONTROL!$C$21, $C$12, 100%, $E$12)</f>
        <v>16.3935</v>
      </c>
      <c r="I521" s="61">
        <f>16.3937 * CHOOSE(CONTROL!$C$21, $C$12, 100%, $E$12)</f>
        <v>16.393699999999999</v>
      </c>
      <c r="J521" s="61">
        <f>9.5114 * CHOOSE(CONTROL!$C$21, $C$12, 100%, $E$12)</f>
        <v>9.5114000000000001</v>
      </c>
      <c r="K521" s="61">
        <f>9.5116 * CHOOSE(CONTROL!$C$21, $C$12, 100%, $E$12)</f>
        <v>9.5115999999999996</v>
      </c>
    </row>
    <row r="522" spans="1:11" ht="15">
      <c r="A522" s="13">
        <v>57770</v>
      </c>
      <c r="B522" s="60">
        <f>8.2619 * CHOOSE(CONTROL!$C$21, $C$12, 100%, $E$12)</f>
        <v>8.2619000000000007</v>
      </c>
      <c r="C522" s="60">
        <f>8.2619 * CHOOSE(CONTROL!$C$21, $C$12, 100%, $E$12)</f>
        <v>8.2619000000000007</v>
      </c>
      <c r="D522" s="60">
        <f>8.2725 * CHOOSE(CONTROL!$C$21, $C$12, 100%, $E$12)</f>
        <v>8.2725000000000009</v>
      </c>
      <c r="E522" s="61">
        <f>9.5922 * CHOOSE(CONTROL!$C$21, $C$12, 100%, $E$12)</f>
        <v>9.5922000000000001</v>
      </c>
      <c r="F522" s="61">
        <f>9.5922 * CHOOSE(CONTROL!$C$21, $C$12, 100%, $E$12)</f>
        <v>9.5922000000000001</v>
      </c>
      <c r="G522" s="61">
        <f>9.5924 * CHOOSE(CONTROL!$C$21, $C$12, 100%, $E$12)</f>
        <v>9.5923999999999996</v>
      </c>
      <c r="H522" s="61">
        <f>16.4277* CHOOSE(CONTROL!$C$21, $C$12, 100%, $E$12)</f>
        <v>16.427700000000002</v>
      </c>
      <c r="I522" s="61">
        <f>16.4278 * CHOOSE(CONTROL!$C$21, $C$12, 100%, $E$12)</f>
        <v>16.427800000000001</v>
      </c>
      <c r="J522" s="61">
        <f>9.5922 * CHOOSE(CONTROL!$C$21, $C$12, 100%, $E$12)</f>
        <v>9.5922000000000001</v>
      </c>
      <c r="K522" s="61">
        <f>9.5924 * CHOOSE(CONTROL!$C$21, $C$12, 100%, $E$12)</f>
        <v>9.5923999999999996</v>
      </c>
    </row>
    <row r="523" spans="1:11" ht="15">
      <c r="A523" s="13">
        <v>57801</v>
      </c>
      <c r="B523" s="60">
        <f>8.2633 * CHOOSE(CONTROL!$C$21, $C$12, 100%, $E$12)</f>
        <v>8.2632999999999992</v>
      </c>
      <c r="C523" s="60">
        <f>8.2633 * CHOOSE(CONTROL!$C$21, $C$12, 100%, $E$12)</f>
        <v>8.2632999999999992</v>
      </c>
      <c r="D523" s="60">
        <f>8.2739 * CHOOSE(CONTROL!$C$21, $C$12, 100%, $E$12)</f>
        <v>8.2738999999999994</v>
      </c>
      <c r="E523" s="61">
        <f>9.677 * CHOOSE(CONTROL!$C$21, $C$12, 100%, $E$12)</f>
        <v>9.6769999999999996</v>
      </c>
      <c r="F523" s="61">
        <f>9.677 * CHOOSE(CONTROL!$C$21, $C$12, 100%, $E$12)</f>
        <v>9.6769999999999996</v>
      </c>
      <c r="G523" s="61">
        <f>9.6771 * CHOOSE(CONTROL!$C$21, $C$12, 100%, $E$12)</f>
        <v>9.6770999999999994</v>
      </c>
      <c r="H523" s="61">
        <f>16.4619* CHOOSE(CONTROL!$C$21, $C$12, 100%, $E$12)</f>
        <v>16.4619</v>
      </c>
      <c r="I523" s="61">
        <f>16.4621 * CHOOSE(CONTROL!$C$21, $C$12, 100%, $E$12)</f>
        <v>16.4621</v>
      </c>
      <c r="J523" s="61">
        <f>9.677 * CHOOSE(CONTROL!$C$21, $C$12, 100%, $E$12)</f>
        <v>9.6769999999999996</v>
      </c>
      <c r="K523" s="61">
        <f>9.6771 * CHOOSE(CONTROL!$C$21, $C$12, 100%, $E$12)</f>
        <v>9.6770999999999994</v>
      </c>
    </row>
    <row r="524" spans="1:11" ht="15">
      <c r="A524" s="13">
        <v>57831</v>
      </c>
      <c r="B524" s="60">
        <f>8.2633 * CHOOSE(CONTROL!$C$21, $C$12, 100%, $E$12)</f>
        <v>8.2632999999999992</v>
      </c>
      <c r="C524" s="60">
        <f>8.2633 * CHOOSE(CONTROL!$C$21, $C$12, 100%, $E$12)</f>
        <v>8.2632999999999992</v>
      </c>
      <c r="D524" s="60">
        <f>8.2844 * CHOOSE(CONTROL!$C$21, $C$12, 100%, $E$12)</f>
        <v>8.2843999999999998</v>
      </c>
      <c r="E524" s="61">
        <f>9.7103 * CHOOSE(CONTROL!$C$21, $C$12, 100%, $E$12)</f>
        <v>9.7103000000000002</v>
      </c>
      <c r="F524" s="61">
        <f>9.7103 * CHOOSE(CONTROL!$C$21, $C$12, 100%, $E$12)</f>
        <v>9.7103000000000002</v>
      </c>
      <c r="G524" s="61">
        <f>9.7117 * CHOOSE(CONTROL!$C$21, $C$12, 100%, $E$12)</f>
        <v>9.7117000000000004</v>
      </c>
      <c r="H524" s="61">
        <f>16.4962* CHOOSE(CONTROL!$C$21, $C$12, 100%, $E$12)</f>
        <v>16.496200000000002</v>
      </c>
      <c r="I524" s="61">
        <f>16.4976 * CHOOSE(CONTROL!$C$21, $C$12, 100%, $E$12)</f>
        <v>16.497599999999998</v>
      </c>
      <c r="J524" s="61">
        <f>9.7103 * CHOOSE(CONTROL!$C$21, $C$12, 100%, $E$12)</f>
        <v>9.7103000000000002</v>
      </c>
      <c r="K524" s="61">
        <f>9.7117 * CHOOSE(CONTROL!$C$21, $C$12, 100%, $E$12)</f>
        <v>9.7117000000000004</v>
      </c>
    </row>
    <row r="525" spans="1:11" ht="15">
      <c r="A525" s="13">
        <v>57862</v>
      </c>
      <c r="B525" s="60">
        <f>8.2694 * CHOOSE(CONTROL!$C$21, $C$12, 100%, $E$12)</f>
        <v>8.2693999999999992</v>
      </c>
      <c r="C525" s="60">
        <f>8.2694 * CHOOSE(CONTROL!$C$21, $C$12, 100%, $E$12)</f>
        <v>8.2693999999999992</v>
      </c>
      <c r="D525" s="60">
        <f>8.2905 * CHOOSE(CONTROL!$C$21, $C$12, 100%, $E$12)</f>
        <v>8.2904999999999998</v>
      </c>
      <c r="E525" s="61">
        <f>9.6812 * CHOOSE(CONTROL!$C$21, $C$12, 100%, $E$12)</f>
        <v>9.6812000000000005</v>
      </c>
      <c r="F525" s="61">
        <f>9.6812 * CHOOSE(CONTROL!$C$21, $C$12, 100%, $E$12)</f>
        <v>9.6812000000000005</v>
      </c>
      <c r="G525" s="61">
        <f>9.6826 * CHOOSE(CONTROL!$C$21, $C$12, 100%, $E$12)</f>
        <v>9.6826000000000008</v>
      </c>
      <c r="H525" s="61">
        <f>16.5306* CHOOSE(CONTROL!$C$21, $C$12, 100%, $E$12)</f>
        <v>16.5306</v>
      </c>
      <c r="I525" s="61">
        <f>16.5319 * CHOOSE(CONTROL!$C$21, $C$12, 100%, $E$12)</f>
        <v>16.5319</v>
      </c>
      <c r="J525" s="61">
        <f>9.6812 * CHOOSE(CONTROL!$C$21, $C$12, 100%, $E$12)</f>
        <v>9.6812000000000005</v>
      </c>
      <c r="K525" s="61">
        <f>9.6826 * CHOOSE(CONTROL!$C$21, $C$12, 100%, $E$12)</f>
        <v>9.6826000000000008</v>
      </c>
    </row>
    <row r="526" spans="1:11" ht="15">
      <c r="A526" s="13">
        <v>57892</v>
      </c>
      <c r="B526" s="60">
        <f>8.4031 * CHOOSE(CONTROL!$C$21, $C$12, 100%, $E$12)</f>
        <v>8.4031000000000002</v>
      </c>
      <c r="C526" s="60">
        <f>8.4031 * CHOOSE(CONTROL!$C$21, $C$12, 100%, $E$12)</f>
        <v>8.4031000000000002</v>
      </c>
      <c r="D526" s="60">
        <f>8.4243 * CHOOSE(CONTROL!$C$21, $C$12, 100%, $E$12)</f>
        <v>8.4243000000000006</v>
      </c>
      <c r="E526" s="61">
        <f>9.8697 * CHOOSE(CONTROL!$C$21, $C$12, 100%, $E$12)</f>
        <v>9.8696999999999999</v>
      </c>
      <c r="F526" s="61">
        <f>9.8697 * CHOOSE(CONTROL!$C$21, $C$12, 100%, $E$12)</f>
        <v>9.8696999999999999</v>
      </c>
      <c r="G526" s="61">
        <f>9.8711 * CHOOSE(CONTROL!$C$21, $C$12, 100%, $E$12)</f>
        <v>9.8711000000000002</v>
      </c>
      <c r="H526" s="61">
        <f>16.565* CHOOSE(CONTROL!$C$21, $C$12, 100%, $E$12)</f>
        <v>16.565000000000001</v>
      </c>
      <c r="I526" s="61">
        <f>16.5664 * CHOOSE(CONTROL!$C$21, $C$12, 100%, $E$12)</f>
        <v>16.566400000000002</v>
      </c>
      <c r="J526" s="61">
        <f>9.8697 * CHOOSE(CONTROL!$C$21, $C$12, 100%, $E$12)</f>
        <v>9.8696999999999999</v>
      </c>
      <c r="K526" s="61">
        <f>9.8711 * CHOOSE(CONTROL!$C$21, $C$12, 100%, $E$12)</f>
        <v>9.8711000000000002</v>
      </c>
    </row>
    <row r="527" spans="1:11" ht="15">
      <c r="A527" s="13">
        <v>57923</v>
      </c>
      <c r="B527" s="60">
        <f>8.4098 * CHOOSE(CONTROL!$C$21, $C$12, 100%, $E$12)</f>
        <v>8.4098000000000006</v>
      </c>
      <c r="C527" s="60">
        <f>8.4098 * CHOOSE(CONTROL!$C$21, $C$12, 100%, $E$12)</f>
        <v>8.4098000000000006</v>
      </c>
      <c r="D527" s="60">
        <f>8.4309 * CHOOSE(CONTROL!$C$21, $C$12, 100%, $E$12)</f>
        <v>8.4308999999999994</v>
      </c>
      <c r="E527" s="61">
        <f>9.7743 * CHOOSE(CONTROL!$C$21, $C$12, 100%, $E$12)</f>
        <v>9.7743000000000002</v>
      </c>
      <c r="F527" s="61">
        <f>9.7743 * CHOOSE(CONTROL!$C$21, $C$12, 100%, $E$12)</f>
        <v>9.7743000000000002</v>
      </c>
      <c r="G527" s="61">
        <f>9.7756 * CHOOSE(CONTROL!$C$21, $C$12, 100%, $E$12)</f>
        <v>9.7756000000000007</v>
      </c>
      <c r="H527" s="61">
        <f>16.5995* CHOOSE(CONTROL!$C$21, $C$12, 100%, $E$12)</f>
        <v>16.599499999999999</v>
      </c>
      <c r="I527" s="61">
        <f>16.6009 * CHOOSE(CONTROL!$C$21, $C$12, 100%, $E$12)</f>
        <v>16.600899999999999</v>
      </c>
      <c r="J527" s="61">
        <f>9.7743 * CHOOSE(CONTROL!$C$21, $C$12, 100%, $E$12)</f>
        <v>9.7743000000000002</v>
      </c>
      <c r="K527" s="61">
        <f>9.7756 * CHOOSE(CONTROL!$C$21, $C$12, 100%, $E$12)</f>
        <v>9.7756000000000007</v>
      </c>
    </row>
    <row r="528" spans="1:11" ht="15">
      <c r="A528" s="13">
        <v>57954</v>
      </c>
      <c r="B528" s="60">
        <f>8.4068 * CHOOSE(CONTROL!$C$21, $C$12, 100%, $E$12)</f>
        <v>8.4068000000000005</v>
      </c>
      <c r="C528" s="60">
        <f>8.4068 * CHOOSE(CONTROL!$C$21, $C$12, 100%, $E$12)</f>
        <v>8.4068000000000005</v>
      </c>
      <c r="D528" s="60">
        <f>8.4279 * CHOOSE(CONTROL!$C$21, $C$12, 100%, $E$12)</f>
        <v>8.4278999999999993</v>
      </c>
      <c r="E528" s="61">
        <f>9.761 * CHOOSE(CONTROL!$C$21, $C$12, 100%, $E$12)</f>
        <v>9.7609999999999992</v>
      </c>
      <c r="F528" s="61">
        <f>9.761 * CHOOSE(CONTROL!$C$21, $C$12, 100%, $E$12)</f>
        <v>9.7609999999999992</v>
      </c>
      <c r="G528" s="61">
        <f>9.7624 * CHOOSE(CONTROL!$C$21, $C$12, 100%, $E$12)</f>
        <v>9.7623999999999995</v>
      </c>
      <c r="H528" s="61">
        <f>16.6341* CHOOSE(CONTROL!$C$21, $C$12, 100%, $E$12)</f>
        <v>16.6341</v>
      </c>
      <c r="I528" s="61">
        <f>16.6355 * CHOOSE(CONTROL!$C$21, $C$12, 100%, $E$12)</f>
        <v>16.6355</v>
      </c>
      <c r="J528" s="61">
        <f>9.761 * CHOOSE(CONTROL!$C$21, $C$12, 100%, $E$12)</f>
        <v>9.7609999999999992</v>
      </c>
      <c r="K528" s="61">
        <f>9.7624 * CHOOSE(CONTROL!$C$21, $C$12, 100%, $E$12)</f>
        <v>9.7623999999999995</v>
      </c>
    </row>
    <row r="529" spans="1:11" ht="15">
      <c r="A529" s="13">
        <v>57984</v>
      </c>
      <c r="B529" s="60">
        <f>8.4167 * CHOOSE(CONTROL!$C$21, $C$12, 100%, $E$12)</f>
        <v>8.4167000000000005</v>
      </c>
      <c r="C529" s="60">
        <f>8.4167 * CHOOSE(CONTROL!$C$21, $C$12, 100%, $E$12)</f>
        <v>8.4167000000000005</v>
      </c>
      <c r="D529" s="60">
        <f>8.4272 * CHOOSE(CONTROL!$C$21, $C$12, 100%, $E$12)</f>
        <v>8.4271999999999991</v>
      </c>
      <c r="E529" s="61">
        <f>9.7921 * CHOOSE(CONTROL!$C$21, $C$12, 100%, $E$12)</f>
        <v>9.7920999999999996</v>
      </c>
      <c r="F529" s="61">
        <f>9.7921 * CHOOSE(CONTROL!$C$21, $C$12, 100%, $E$12)</f>
        <v>9.7920999999999996</v>
      </c>
      <c r="G529" s="61">
        <f>9.7923 * CHOOSE(CONTROL!$C$21, $C$12, 100%, $E$12)</f>
        <v>9.7922999999999991</v>
      </c>
      <c r="H529" s="61">
        <f>16.6687* CHOOSE(CONTROL!$C$21, $C$12, 100%, $E$12)</f>
        <v>16.668700000000001</v>
      </c>
      <c r="I529" s="61">
        <f>16.6689 * CHOOSE(CONTROL!$C$21, $C$12, 100%, $E$12)</f>
        <v>16.668900000000001</v>
      </c>
      <c r="J529" s="61">
        <f>9.7921 * CHOOSE(CONTROL!$C$21, $C$12, 100%, $E$12)</f>
        <v>9.7920999999999996</v>
      </c>
      <c r="K529" s="61">
        <f>9.7923 * CHOOSE(CONTROL!$C$21, $C$12, 100%, $E$12)</f>
        <v>9.7922999999999991</v>
      </c>
    </row>
    <row r="530" spans="1:11" ht="15">
      <c r="A530" s="13">
        <v>58015</v>
      </c>
      <c r="B530" s="60">
        <f>8.4197 * CHOOSE(CONTROL!$C$21, $C$12, 100%, $E$12)</f>
        <v>8.4197000000000006</v>
      </c>
      <c r="C530" s="60">
        <f>8.4197 * CHOOSE(CONTROL!$C$21, $C$12, 100%, $E$12)</f>
        <v>8.4197000000000006</v>
      </c>
      <c r="D530" s="60">
        <f>8.4303 * CHOOSE(CONTROL!$C$21, $C$12, 100%, $E$12)</f>
        <v>8.4303000000000008</v>
      </c>
      <c r="E530" s="61">
        <f>9.8165 * CHOOSE(CONTROL!$C$21, $C$12, 100%, $E$12)</f>
        <v>9.8164999999999996</v>
      </c>
      <c r="F530" s="61">
        <f>9.8165 * CHOOSE(CONTROL!$C$21, $C$12, 100%, $E$12)</f>
        <v>9.8164999999999996</v>
      </c>
      <c r="G530" s="61">
        <f>9.8166 * CHOOSE(CONTROL!$C$21, $C$12, 100%, $E$12)</f>
        <v>9.8165999999999993</v>
      </c>
      <c r="H530" s="61">
        <f>16.7035* CHOOSE(CONTROL!$C$21, $C$12, 100%, $E$12)</f>
        <v>16.703499999999998</v>
      </c>
      <c r="I530" s="61">
        <f>16.7036 * CHOOSE(CONTROL!$C$21, $C$12, 100%, $E$12)</f>
        <v>16.703600000000002</v>
      </c>
      <c r="J530" s="61">
        <f>9.8165 * CHOOSE(CONTROL!$C$21, $C$12, 100%, $E$12)</f>
        <v>9.8164999999999996</v>
      </c>
      <c r="K530" s="61">
        <f>9.8166 * CHOOSE(CONTROL!$C$21, $C$12, 100%, $E$12)</f>
        <v>9.8165999999999993</v>
      </c>
    </row>
    <row r="531" spans="1:11" ht="15">
      <c r="A531" s="13">
        <v>58045</v>
      </c>
      <c r="B531" s="60">
        <f>8.4197 * CHOOSE(CONTROL!$C$21, $C$12, 100%, $E$12)</f>
        <v>8.4197000000000006</v>
      </c>
      <c r="C531" s="60">
        <f>8.4197 * CHOOSE(CONTROL!$C$21, $C$12, 100%, $E$12)</f>
        <v>8.4197000000000006</v>
      </c>
      <c r="D531" s="60">
        <f>8.4303 * CHOOSE(CONTROL!$C$21, $C$12, 100%, $E$12)</f>
        <v>8.4303000000000008</v>
      </c>
      <c r="E531" s="61">
        <f>9.7608 * CHOOSE(CONTROL!$C$21, $C$12, 100%, $E$12)</f>
        <v>9.7607999999999997</v>
      </c>
      <c r="F531" s="61">
        <f>9.7608 * CHOOSE(CONTROL!$C$21, $C$12, 100%, $E$12)</f>
        <v>9.7607999999999997</v>
      </c>
      <c r="G531" s="61">
        <f>9.761 * CHOOSE(CONTROL!$C$21, $C$12, 100%, $E$12)</f>
        <v>9.7609999999999992</v>
      </c>
      <c r="H531" s="61">
        <f>16.7383* CHOOSE(CONTROL!$C$21, $C$12, 100%, $E$12)</f>
        <v>16.738299999999999</v>
      </c>
      <c r="I531" s="61">
        <f>16.7384 * CHOOSE(CONTROL!$C$21, $C$12, 100%, $E$12)</f>
        <v>16.738399999999999</v>
      </c>
      <c r="J531" s="61">
        <f>9.7608 * CHOOSE(CONTROL!$C$21, $C$12, 100%, $E$12)</f>
        <v>9.7607999999999997</v>
      </c>
      <c r="K531" s="61">
        <f>9.761 * CHOOSE(CONTROL!$C$21, $C$12, 100%, $E$12)</f>
        <v>9.7609999999999992</v>
      </c>
    </row>
    <row r="532" spans="1:11" ht="15">
      <c r="A532" s="13">
        <v>58076</v>
      </c>
      <c r="B532" s="60">
        <f>8.4941 * CHOOSE(CONTROL!$C$21, $C$12, 100%, $E$12)</f>
        <v>8.4940999999999995</v>
      </c>
      <c r="C532" s="60">
        <f>8.4941 * CHOOSE(CONTROL!$C$21, $C$12, 100%, $E$12)</f>
        <v>8.4940999999999995</v>
      </c>
      <c r="D532" s="60">
        <f>8.5046 * CHOOSE(CONTROL!$C$21, $C$12, 100%, $E$12)</f>
        <v>8.5045999999999999</v>
      </c>
      <c r="E532" s="61">
        <f>9.8879 * CHOOSE(CONTROL!$C$21, $C$12, 100%, $E$12)</f>
        <v>9.8879000000000001</v>
      </c>
      <c r="F532" s="61">
        <f>9.8879 * CHOOSE(CONTROL!$C$21, $C$12, 100%, $E$12)</f>
        <v>9.8879000000000001</v>
      </c>
      <c r="G532" s="61">
        <f>9.888 * CHOOSE(CONTROL!$C$21, $C$12, 100%, $E$12)</f>
        <v>9.8879999999999999</v>
      </c>
      <c r="H532" s="61">
        <f>16.7731* CHOOSE(CONTROL!$C$21, $C$12, 100%, $E$12)</f>
        <v>16.773099999999999</v>
      </c>
      <c r="I532" s="61">
        <f>16.7733 * CHOOSE(CONTROL!$C$21, $C$12, 100%, $E$12)</f>
        <v>16.773299999999999</v>
      </c>
      <c r="J532" s="61">
        <f>9.8879 * CHOOSE(CONTROL!$C$21, $C$12, 100%, $E$12)</f>
        <v>9.8879000000000001</v>
      </c>
      <c r="K532" s="61">
        <f>9.888 * CHOOSE(CONTROL!$C$21, $C$12, 100%, $E$12)</f>
        <v>9.8879999999999999</v>
      </c>
    </row>
    <row r="533" spans="1:11" ht="15">
      <c r="A533" s="13">
        <v>58107</v>
      </c>
      <c r="B533" s="60">
        <f>8.491 * CHOOSE(CONTROL!$C$21, $C$12, 100%, $E$12)</f>
        <v>8.4909999999999997</v>
      </c>
      <c r="C533" s="60">
        <f>8.491 * CHOOSE(CONTROL!$C$21, $C$12, 100%, $E$12)</f>
        <v>8.4909999999999997</v>
      </c>
      <c r="D533" s="60">
        <f>8.5016 * CHOOSE(CONTROL!$C$21, $C$12, 100%, $E$12)</f>
        <v>8.5015999999999998</v>
      </c>
      <c r="E533" s="61">
        <f>9.7777 * CHOOSE(CONTROL!$C$21, $C$12, 100%, $E$12)</f>
        <v>9.7776999999999994</v>
      </c>
      <c r="F533" s="61">
        <f>9.7777 * CHOOSE(CONTROL!$C$21, $C$12, 100%, $E$12)</f>
        <v>9.7776999999999994</v>
      </c>
      <c r="G533" s="61">
        <f>9.7778 * CHOOSE(CONTROL!$C$21, $C$12, 100%, $E$12)</f>
        <v>9.7777999999999992</v>
      </c>
      <c r="H533" s="61">
        <f>16.8081* CHOOSE(CONTROL!$C$21, $C$12, 100%, $E$12)</f>
        <v>16.8081</v>
      </c>
      <c r="I533" s="61">
        <f>16.8083 * CHOOSE(CONTROL!$C$21, $C$12, 100%, $E$12)</f>
        <v>16.808299999999999</v>
      </c>
      <c r="J533" s="61">
        <f>9.7777 * CHOOSE(CONTROL!$C$21, $C$12, 100%, $E$12)</f>
        <v>9.7776999999999994</v>
      </c>
      <c r="K533" s="61">
        <f>9.7778 * CHOOSE(CONTROL!$C$21, $C$12, 100%, $E$12)</f>
        <v>9.7777999999999992</v>
      </c>
    </row>
    <row r="534" spans="1:11" ht="15">
      <c r="A534" s="13">
        <v>58135</v>
      </c>
      <c r="B534" s="60">
        <f>8.488 * CHOOSE(CONTROL!$C$21, $C$12, 100%, $E$12)</f>
        <v>8.4879999999999995</v>
      </c>
      <c r="C534" s="60">
        <f>8.488 * CHOOSE(CONTROL!$C$21, $C$12, 100%, $E$12)</f>
        <v>8.4879999999999995</v>
      </c>
      <c r="D534" s="60">
        <f>8.4986 * CHOOSE(CONTROL!$C$21, $C$12, 100%, $E$12)</f>
        <v>8.4985999999999997</v>
      </c>
      <c r="E534" s="61">
        <f>9.8608 * CHOOSE(CONTROL!$C$21, $C$12, 100%, $E$12)</f>
        <v>9.8607999999999993</v>
      </c>
      <c r="F534" s="61">
        <f>9.8608 * CHOOSE(CONTROL!$C$21, $C$12, 100%, $E$12)</f>
        <v>9.8607999999999993</v>
      </c>
      <c r="G534" s="61">
        <f>9.8609 * CHOOSE(CONTROL!$C$21, $C$12, 100%, $E$12)</f>
        <v>9.8609000000000009</v>
      </c>
      <c r="H534" s="61">
        <f>16.8431* CHOOSE(CONTROL!$C$21, $C$12, 100%, $E$12)</f>
        <v>16.8431</v>
      </c>
      <c r="I534" s="61">
        <f>16.8433 * CHOOSE(CONTROL!$C$21, $C$12, 100%, $E$12)</f>
        <v>16.843299999999999</v>
      </c>
      <c r="J534" s="61">
        <f>9.8608 * CHOOSE(CONTROL!$C$21, $C$12, 100%, $E$12)</f>
        <v>9.8607999999999993</v>
      </c>
      <c r="K534" s="61">
        <f>9.8609 * CHOOSE(CONTROL!$C$21, $C$12, 100%, $E$12)</f>
        <v>9.8609000000000009</v>
      </c>
    </row>
    <row r="535" spans="1:11" ht="15">
      <c r="A535" s="13">
        <v>58166</v>
      </c>
      <c r="B535" s="60">
        <f>8.4896 * CHOOSE(CONTROL!$C$21, $C$12, 100%, $E$12)</f>
        <v>8.4895999999999994</v>
      </c>
      <c r="C535" s="60">
        <f>8.4896 * CHOOSE(CONTROL!$C$21, $C$12, 100%, $E$12)</f>
        <v>8.4895999999999994</v>
      </c>
      <c r="D535" s="60">
        <f>8.5001 * CHOOSE(CONTROL!$C$21, $C$12, 100%, $E$12)</f>
        <v>8.5000999999999998</v>
      </c>
      <c r="E535" s="61">
        <f>9.948 * CHOOSE(CONTROL!$C$21, $C$12, 100%, $E$12)</f>
        <v>9.9480000000000004</v>
      </c>
      <c r="F535" s="61">
        <f>9.948 * CHOOSE(CONTROL!$C$21, $C$12, 100%, $E$12)</f>
        <v>9.9480000000000004</v>
      </c>
      <c r="G535" s="61">
        <f>9.9482 * CHOOSE(CONTROL!$C$21, $C$12, 100%, $E$12)</f>
        <v>9.9481999999999999</v>
      </c>
      <c r="H535" s="61">
        <f>16.8782* CHOOSE(CONTROL!$C$21, $C$12, 100%, $E$12)</f>
        <v>16.8782</v>
      </c>
      <c r="I535" s="61">
        <f>16.8784 * CHOOSE(CONTROL!$C$21, $C$12, 100%, $E$12)</f>
        <v>16.878399999999999</v>
      </c>
      <c r="J535" s="61">
        <f>9.948 * CHOOSE(CONTROL!$C$21, $C$12, 100%, $E$12)</f>
        <v>9.9480000000000004</v>
      </c>
      <c r="K535" s="61">
        <f>9.9482 * CHOOSE(CONTROL!$C$21, $C$12, 100%, $E$12)</f>
        <v>9.9481999999999999</v>
      </c>
    </row>
    <row r="536" spans="1:11" ht="15">
      <c r="A536" s="13">
        <v>58196</v>
      </c>
      <c r="B536" s="60">
        <f>8.4896 * CHOOSE(CONTROL!$C$21, $C$12, 100%, $E$12)</f>
        <v>8.4895999999999994</v>
      </c>
      <c r="C536" s="60">
        <f>8.4896 * CHOOSE(CONTROL!$C$21, $C$12, 100%, $E$12)</f>
        <v>8.4895999999999994</v>
      </c>
      <c r="D536" s="60">
        <f>8.5107 * CHOOSE(CONTROL!$C$21, $C$12, 100%, $E$12)</f>
        <v>8.5106999999999999</v>
      </c>
      <c r="E536" s="61">
        <f>9.9823 * CHOOSE(CONTROL!$C$21, $C$12, 100%, $E$12)</f>
        <v>9.9823000000000004</v>
      </c>
      <c r="F536" s="61">
        <f>9.9823 * CHOOSE(CONTROL!$C$21, $C$12, 100%, $E$12)</f>
        <v>9.9823000000000004</v>
      </c>
      <c r="G536" s="61">
        <f>9.9837 * CHOOSE(CONTROL!$C$21, $C$12, 100%, $E$12)</f>
        <v>9.9837000000000007</v>
      </c>
      <c r="H536" s="61">
        <f>16.9134* CHOOSE(CONTROL!$C$21, $C$12, 100%, $E$12)</f>
        <v>16.913399999999999</v>
      </c>
      <c r="I536" s="61">
        <f>16.9147 * CHOOSE(CONTROL!$C$21, $C$12, 100%, $E$12)</f>
        <v>16.9147</v>
      </c>
      <c r="J536" s="61">
        <f>9.9823 * CHOOSE(CONTROL!$C$21, $C$12, 100%, $E$12)</f>
        <v>9.9823000000000004</v>
      </c>
      <c r="K536" s="61">
        <f>9.9837 * CHOOSE(CONTROL!$C$21, $C$12, 100%, $E$12)</f>
        <v>9.9837000000000007</v>
      </c>
    </row>
    <row r="537" spans="1:11" ht="15">
      <c r="A537" s="13">
        <v>58227</v>
      </c>
      <c r="B537" s="60">
        <f>8.4957 * CHOOSE(CONTROL!$C$21, $C$12, 100%, $E$12)</f>
        <v>8.4956999999999994</v>
      </c>
      <c r="C537" s="60">
        <f>8.4957 * CHOOSE(CONTROL!$C$21, $C$12, 100%, $E$12)</f>
        <v>8.4956999999999994</v>
      </c>
      <c r="D537" s="60">
        <f>8.5168 * CHOOSE(CONTROL!$C$21, $C$12, 100%, $E$12)</f>
        <v>8.5167999999999999</v>
      </c>
      <c r="E537" s="61">
        <f>9.9523 * CHOOSE(CONTROL!$C$21, $C$12, 100%, $E$12)</f>
        <v>9.9522999999999993</v>
      </c>
      <c r="F537" s="61">
        <f>9.9523 * CHOOSE(CONTROL!$C$21, $C$12, 100%, $E$12)</f>
        <v>9.9522999999999993</v>
      </c>
      <c r="G537" s="61">
        <f>9.9536 * CHOOSE(CONTROL!$C$21, $C$12, 100%, $E$12)</f>
        <v>9.9535999999999998</v>
      </c>
      <c r="H537" s="61">
        <f>16.9486* CHOOSE(CONTROL!$C$21, $C$12, 100%, $E$12)</f>
        <v>16.948599999999999</v>
      </c>
      <c r="I537" s="61">
        <f>16.95 * CHOOSE(CONTROL!$C$21, $C$12, 100%, $E$12)</f>
        <v>16.95</v>
      </c>
      <c r="J537" s="61">
        <f>9.9523 * CHOOSE(CONTROL!$C$21, $C$12, 100%, $E$12)</f>
        <v>9.9522999999999993</v>
      </c>
      <c r="K537" s="61">
        <f>9.9536 * CHOOSE(CONTROL!$C$21, $C$12, 100%, $E$12)</f>
        <v>9.9535999999999998</v>
      </c>
    </row>
    <row r="538" spans="1:11" ht="15">
      <c r="A538" s="13">
        <v>58257</v>
      </c>
      <c r="B538" s="60">
        <f>8.6328 * CHOOSE(CONTROL!$C$21, $C$12, 100%, $E$12)</f>
        <v>8.6327999999999996</v>
      </c>
      <c r="C538" s="60">
        <f>8.6328 * CHOOSE(CONTROL!$C$21, $C$12, 100%, $E$12)</f>
        <v>8.6327999999999996</v>
      </c>
      <c r="D538" s="60">
        <f>8.6539 * CHOOSE(CONTROL!$C$21, $C$12, 100%, $E$12)</f>
        <v>8.6539000000000001</v>
      </c>
      <c r="E538" s="61">
        <f>10.1458 * CHOOSE(CONTROL!$C$21, $C$12, 100%, $E$12)</f>
        <v>10.145799999999999</v>
      </c>
      <c r="F538" s="61">
        <f>10.1458 * CHOOSE(CONTROL!$C$21, $C$12, 100%, $E$12)</f>
        <v>10.145799999999999</v>
      </c>
      <c r="G538" s="61">
        <f>10.1472 * CHOOSE(CONTROL!$C$21, $C$12, 100%, $E$12)</f>
        <v>10.1472</v>
      </c>
      <c r="H538" s="61">
        <f>16.9839* CHOOSE(CONTROL!$C$21, $C$12, 100%, $E$12)</f>
        <v>16.983899999999998</v>
      </c>
      <c r="I538" s="61">
        <f>16.9853 * CHOOSE(CONTROL!$C$21, $C$12, 100%, $E$12)</f>
        <v>16.985299999999999</v>
      </c>
      <c r="J538" s="61">
        <f>10.1458 * CHOOSE(CONTROL!$C$21, $C$12, 100%, $E$12)</f>
        <v>10.145799999999999</v>
      </c>
      <c r="K538" s="61">
        <f>10.1472 * CHOOSE(CONTROL!$C$21, $C$12, 100%, $E$12)</f>
        <v>10.1472</v>
      </c>
    </row>
    <row r="539" spans="1:11" ht="15">
      <c r="A539" s="13">
        <v>58288</v>
      </c>
      <c r="B539" s="60">
        <f>8.6395 * CHOOSE(CONTROL!$C$21, $C$12, 100%, $E$12)</f>
        <v>8.6395</v>
      </c>
      <c r="C539" s="60">
        <f>8.6395 * CHOOSE(CONTROL!$C$21, $C$12, 100%, $E$12)</f>
        <v>8.6395</v>
      </c>
      <c r="D539" s="60">
        <f>8.6606 * CHOOSE(CONTROL!$C$21, $C$12, 100%, $E$12)</f>
        <v>8.6606000000000005</v>
      </c>
      <c r="E539" s="61">
        <f>10.0475 * CHOOSE(CONTROL!$C$21, $C$12, 100%, $E$12)</f>
        <v>10.047499999999999</v>
      </c>
      <c r="F539" s="61">
        <f>10.0475 * CHOOSE(CONTROL!$C$21, $C$12, 100%, $E$12)</f>
        <v>10.047499999999999</v>
      </c>
      <c r="G539" s="61">
        <f>10.0489 * CHOOSE(CONTROL!$C$21, $C$12, 100%, $E$12)</f>
        <v>10.0489</v>
      </c>
      <c r="H539" s="61">
        <f>17.0193* CHOOSE(CONTROL!$C$21, $C$12, 100%, $E$12)</f>
        <v>17.019300000000001</v>
      </c>
      <c r="I539" s="61">
        <f>17.0207 * CHOOSE(CONTROL!$C$21, $C$12, 100%, $E$12)</f>
        <v>17.020700000000001</v>
      </c>
      <c r="J539" s="61">
        <f>10.0475 * CHOOSE(CONTROL!$C$21, $C$12, 100%, $E$12)</f>
        <v>10.047499999999999</v>
      </c>
      <c r="K539" s="61">
        <f>10.0489 * CHOOSE(CONTROL!$C$21, $C$12, 100%, $E$12)</f>
        <v>10.0489</v>
      </c>
    </row>
    <row r="540" spans="1:11" ht="15">
      <c r="A540" s="13">
        <v>58319</v>
      </c>
      <c r="B540" s="60">
        <f>8.6364 * CHOOSE(CONTROL!$C$21, $C$12, 100%, $E$12)</f>
        <v>8.6364000000000001</v>
      </c>
      <c r="C540" s="60">
        <f>8.6364 * CHOOSE(CONTROL!$C$21, $C$12, 100%, $E$12)</f>
        <v>8.6364000000000001</v>
      </c>
      <c r="D540" s="60">
        <f>8.6576 * CHOOSE(CONTROL!$C$21, $C$12, 100%, $E$12)</f>
        <v>8.6576000000000004</v>
      </c>
      <c r="E540" s="61">
        <f>10.0339 * CHOOSE(CONTROL!$C$21, $C$12, 100%, $E$12)</f>
        <v>10.033899999999999</v>
      </c>
      <c r="F540" s="61">
        <f>10.0339 * CHOOSE(CONTROL!$C$21, $C$12, 100%, $E$12)</f>
        <v>10.033899999999999</v>
      </c>
      <c r="G540" s="61">
        <f>10.0353 * CHOOSE(CONTROL!$C$21, $C$12, 100%, $E$12)</f>
        <v>10.035299999999999</v>
      </c>
      <c r="H540" s="61">
        <f>17.0547* CHOOSE(CONTROL!$C$21, $C$12, 100%, $E$12)</f>
        <v>17.0547</v>
      </c>
      <c r="I540" s="61">
        <f>17.0561 * CHOOSE(CONTROL!$C$21, $C$12, 100%, $E$12)</f>
        <v>17.056100000000001</v>
      </c>
      <c r="J540" s="61">
        <f>10.0339 * CHOOSE(CONTROL!$C$21, $C$12, 100%, $E$12)</f>
        <v>10.033899999999999</v>
      </c>
      <c r="K540" s="61">
        <f>10.0353 * CHOOSE(CONTROL!$C$21, $C$12, 100%, $E$12)</f>
        <v>10.035299999999999</v>
      </c>
    </row>
    <row r="541" spans="1:11" ht="15">
      <c r="A541" s="13">
        <v>58349</v>
      </c>
      <c r="B541" s="60">
        <f>8.6471 * CHOOSE(CONTROL!$C$21, $C$12, 100%, $E$12)</f>
        <v>8.6471</v>
      </c>
      <c r="C541" s="60">
        <f>8.6471 * CHOOSE(CONTROL!$C$21, $C$12, 100%, $E$12)</f>
        <v>8.6471</v>
      </c>
      <c r="D541" s="60">
        <f>8.6576 * CHOOSE(CONTROL!$C$21, $C$12, 100%, $E$12)</f>
        <v>8.6576000000000004</v>
      </c>
      <c r="E541" s="61">
        <f>10.0663 * CHOOSE(CONTROL!$C$21, $C$12, 100%, $E$12)</f>
        <v>10.0663</v>
      </c>
      <c r="F541" s="61">
        <f>10.0663 * CHOOSE(CONTROL!$C$21, $C$12, 100%, $E$12)</f>
        <v>10.0663</v>
      </c>
      <c r="G541" s="61">
        <f>10.0665 * CHOOSE(CONTROL!$C$21, $C$12, 100%, $E$12)</f>
        <v>10.0665</v>
      </c>
      <c r="H541" s="61">
        <f>17.0903* CHOOSE(CONTROL!$C$21, $C$12, 100%, $E$12)</f>
        <v>17.090299999999999</v>
      </c>
      <c r="I541" s="61">
        <f>17.0904 * CHOOSE(CONTROL!$C$21, $C$12, 100%, $E$12)</f>
        <v>17.090399999999999</v>
      </c>
      <c r="J541" s="61">
        <f>10.0663 * CHOOSE(CONTROL!$C$21, $C$12, 100%, $E$12)</f>
        <v>10.0663</v>
      </c>
      <c r="K541" s="61">
        <f>10.0665 * CHOOSE(CONTROL!$C$21, $C$12, 100%, $E$12)</f>
        <v>10.0665</v>
      </c>
    </row>
    <row r="542" spans="1:11" ht="15">
      <c r="A542" s="13">
        <v>58380</v>
      </c>
      <c r="B542" s="60">
        <f>8.6501 * CHOOSE(CONTROL!$C$21, $C$12, 100%, $E$12)</f>
        <v>8.6501000000000001</v>
      </c>
      <c r="C542" s="60">
        <f>8.6501 * CHOOSE(CONTROL!$C$21, $C$12, 100%, $E$12)</f>
        <v>8.6501000000000001</v>
      </c>
      <c r="D542" s="60">
        <f>8.6607 * CHOOSE(CONTROL!$C$21, $C$12, 100%, $E$12)</f>
        <v>8.6607000000000003</v>
      </c>
      <c r="E542" s="61">
        <f>10.0913 * CHOOSE(CONTROL!$C$21, $C$12, 100%, $E$12)</f>
        <v>10.0913</v>
      </c>
      <c r="F542" s="61">
        <f>10.0913 * CHOOSE(CONTROL!$C$21, $C$12, 100%, $E$12)</f>
        <v>10.0913</v>
      </c>
      <c r="G542" s="61">
        <f>10.0914 * CHOOSE(CONTROL!$C$21, $C$12, 100%, $E$12)</f>
        <v>10.0914</v>
      </c>
      <c r="H542" s="61">
        <f>17.1259* CHOOSE(CONTROL!$C$21, $C$12, 100%, $E$12)</f>
        <v>17.125900000000001</v>
      </c>
      <c r="I542" s="61">
        <f>17.1261 * CHOOSE(CONTROL!$C$21, $C$12, 100%, $E$12)</f>
        <v>17.126100000000001</v>
      </c>
      <c r="J542" s="61">
        <f>10.0913 * CHOOSE(CONTROL!$C$21, $C$12, 100%, $E$12)</f>
        <v>10.0913</v>
      </c>
      <c r="K542" s="61">
        <f>10.0914 * CHOOSE(CONTROL!$C$21, $C$12, 100%, $E$12)</f>
        <v>10.0914</v>
      </c>
    </row>
    <row r="543" spans="1:11" ht="15">
      <c r="A543" s="13">
        <v>58410</v>
      </c>
      <c r="B543" s="60">
        <f>8.6501 * CHOOSE(CONTROL!$C$21, $C$12, 100%, $E$12)</f>
        <v>8.6501000000000001</v>
      </c>
      <c r="C543" s="60">
        <f>8.6501 * CHOOSE(CONTROL!$C$21, $C$12, 100%, $E$12)</f>
        <v>8.6501000000000001</v>
      </c>
      <c r="D543" s="60">
        <f>8.6607 * CHOOSE(CONTROL!$C$21, $C$12, 100%, $E$12)</f>
        <v>8.6607000000000003</v>
      </c>
      <c r="E543" s="61">
        <f>10.0341 * CHOOSE(CONTROL!$C$21, $C$12, 100%, $E$12)</f>
        <v>10.0341</v>
      </c>
      <c r="F543" s="61">
        <f>10.0341 * CHOOSE(CONTROL!$C$21, $C$12, 100%, $E$12)</f>
        <v>10.0341</v>
      </c>
      <c r="G543" s="61">
        <f>10.0343 * CHOOSE(CONTROL!$C$21, $C$12, 100%, $E$12)</f>
        <v>10.0343</v>
      </c>
      <c r="H543" s="61">
        <f>17.1616* CHOOSE(CONTROL!$C$21, $C$12, 100%, $E$12)</f>
        <v>17.1616</v>
      </c>
      <c r="I543" s="61">
        <f>17.1617 * CHOOSE(CONTROL!$C$21, $C$12, 100%, $E$12)</f>
        <v>17.1617</v>
      </c>
      <c r="J543" s="61">
        <f>10.0341 * CHOOSE(CONTROL!$C$21, $C$12, 100%, $E$12)</f>
        <v>10.0341</v>
      </c>
      <c r="K543" s="61">
        <f>10.0343 * CHOOSE(CONTROL!$C$21, $C$12, 100%, $E$12)</f>
        <v>10.0343</v>
      </c>
    </row>
    <row r="544" spans="1:11" ht="15">
      <c r="A544" s="13">
        <v>58441</v>
      </c>
      <c r="B544" s="60">
        <f>8.7264 * CHOOSE(CONTROL!$C$21, $C$12, 100%, $E$12)</f>
        <v>8.7263999999999999</v>
      </c>
      <c r="C544" s="60">
        <f>8.7264 * CHOOSE(CONTROL!$C$21, $C$12, 100%, $E$12)</f>
        <v>8.7263999999999999</v>
      </c>
      <c r="D544" s="60">
        <f>8.7369 * CHOOSE(CONTROL!$C$21, $C$12, 100%, $E$12)</f>
        <v>8.7369000000000003</v>
      </c>
      <c r="E544" s="61">
        <f>10.1646 * CHOOSE(CONTROL!$C$21, $C$12, 100%, $E$12)</f>
        <v>10.1646</v>
      </c>
      <c r="F544" s="61">
        <f>10.1646 * CHOOSE(CONTROL!$C$21, $C$12, 100%, $E$12)</f>
        <v>10.1646</v>
      </c>
      <c r="G544" s="61">
        <f>10.1647 * CHOOSE(CONTROL!$C$21, $C$12, 100%, $E$12)</f>
        <v>10.1647</v>
      </c>
      <c r="H544" s="61">
        <f>17.1973* CHOOSE(CONTROL!$C$21, $C$12, 100%, $E$12)</f>
        <v>17.197299999999998</v>
      </c>
      <c r="I544" s="61">
        <f>17.1975 * CHOOSE(CONTROL!$C$21, $C$12, 100%, $E$12)</f>
        <v>17.197500000000002</v>
      </c>
      <c r="J544" s="61">
        <f>10.1646 * CHOOSE(CONTROL!$C$21, $C$12, 100%, $E$12)</f>
        <v>10.1646</v>
      </c>
      <c r="K544" s="61">
        <f>10.1647 * CHOOSE(CONTROL!$C$21, $C$12, 100%, $E$12)</f>
        <v>10.1647</v>
      </c>
    </row>
    <row r="545" spans="1:11" ht="15">
      <c r="A545" s="13">
        <v>58472</v>
      </c>
      <c r="B545" s="60">
        <f>8.7233 * CHOOSE(CONTROL!$C$21, $C$12, 100%, $E$12)</f>
        <v>8.7233000000000001</v>
      </c>
      <c r="C545" s="60">
        <f>8.7233 * CHOOSE(CONTROL!$C$21, $C$12, 100%, $E$12)</f>
        <v>8.7233000000000001</v>
      </c>
      <c r="D545" s="60">
        <f>8.7339 * CHOOSE(CONTROL!$C$21, $C$12, 100%, $E$12)</f>
        <v>8.7339000000000002</v>
      </c>
      <c r="E545" s="61">
        <f>10.0513 * CHOOSE(CONTROL!$C$21, $C$12, 100%, $E$12)</f>
        <v>10.051299999999999</v>
      </c>
      <c r="F545" s="61">
        <f>10.0513 * CHOOSE(CONTROL!$C$21, $C$12, 100%, $E$12)</f>
        <v>10.051299999999999</v>
      </c>
      <c r="G545" s="61">
        <f>10.0515 * CHOOSE(CONTROL!$C$21, $C$12, 100%, $E$12)</f>
        <v>10.051500000000001</v>
      </c>
      <c r="H545" s="61">
        <f>17.2331* CHOOSE(CONTROL!$C$21, $C$12, 100%, $E$12)</f>
        <v>17.2331</v>
      </c>
      <c r="I545" s="61">
        <f>17.2333 * CHOOSE(CONTROL!$C$21, $C$12, 100%, $E$12)</f>
        <v>17.2333</v>
      </c>
      <c r="J545" s="61">
        <f>10.0513 * CHOOSE(CONTROL!$C$21, $C$12, 100%, $E$12)</f>
        <v>10.051299999999999</v>
      </c>
      <c r="K545" s="61">
        <f>10.0515 * CHOOSE(CONTROL!$C$21, $C$12, 100%, $E$12)</f>
        <v>10.051500000000001</v>
      </c>
    </row>
    <row r="546" spans="1:11" ht="15">
      <c r="A546" s="13">
        <v>58501</v>
      </c>
      <c r="B546" s="60">
        <f>8.7203 * CHOOSE(CONTROL!$C$21, $C$12, 100%, $E$12)</f>
        <v>8.7202999999999999</v>
      </c>
      <c r="C546" s="60">
        <f>8.7203 * CHOOSE(CONTROL!$C$21, $C$12, 100%, $E$12)</f>
        <v>8.7202999999999999</v>
      </c>
      <c r="D546" s="60">
        <f>8.7309 * CHOOSE(CONTROL!$C$21, $C$12, 100%, $E$12)</f>
        <v>8.7309000000000001</v>
      </c>
      <c r="E546" s="61">
        <f>10.1368 * CHOOSE(CONTROL!$C$21, $C$12, 100%, $E$12)</f>
        <v>10.136799999999999</v>
      </c>
      <c r="F546" s="61">
        <f>10.1368 * CHOOSE(CONTROL!$C$21, $C$12, 100%, $E$12)</f>
        <v>10.136799999999999</v>
      </c>
      <c r="G546" s="61">
        <f>10.137 * CHOOSE(CONTROL!$C$21, $C$12, 100%, $E$12)</f>
        <v>10.137</v>
      </c>
      <c r="H546" s="61">
        <f>17.269* CHOOSE(CONTROL!$C$21, $C$12, 100%, $E$12)</f>
        <v>17.268999999999998</v>
      </c>
      <c r="I546" s="61">
        <f>17.2692 * CHOOSE(CONTROL!$C$21, $C$12, 100%, $E$12)</f>
        <v>17.269200000000001</v>
      </c>
      <c r="J546" s="61">
        <f>10.1368 * CHOOSE(CONTROL!$C$21, $C$12, 100%, $E$12)</f>
        <v>10.136799999999999</v>
      </c>
      <c r="K546" s="61">
        <f>10.137 * CHOOSE(CONTROL!$C$21, $C$12, 100%, $E$12)</f>
        <v>10.137</v>
      </c>
    </row>
    <row r="547" spans="1:11" ht="15">
      <c r="A547" s="13">
        <v>58532</v>
      </c>
      <c r="B547" s="60">
        <f>8.7221 * CHOOSE(CONTROL!$C$21, $C$12, 100%, $E$12)</f>
        <v>8.7220999999999993</v>
      </c>
      <c r="C547" s="60">
        <f>8.7221 * CHOOSE(CONTROL!$C$21, $C$12, 100%, $E$12)</f>
        <v>8.7220999999999993</v>
      </c>
      <c r="D547" s="60">
        <f>8.7326 * CHOOSE(CONTROL!$C$21, $C$12, 100%, $E$12)</f>
        <v>8.7325999999999997</v>
      </c>
      <c r="E547" s="61">
        <f>10.2266 * CHOOSE(CONTROL!$C$21, $C$12, 100%, $E$12)</f>
        <v>10.226599999999999</v>
      </c>
      <c r="F547" s="61">
        <f>10.2266 * CHOOSE(CONTROL!$C$21, $C$12, 100%, $E$12)</f>
        <v>10.226599999999999</v>
      </c>
      <c r="G547" s="61">
        <f>10.2268 * CHOOSE(CONTROL!$C$21, $C$12, 100%, $E$12)</f>
        <v>10.226800000000001</v>
      </c>
      <c r="H547" s="61">
        <f>17.305* CHOOSE(CONTROL!$C$21, $C$12, 100%, $E$12)</f>
        <v>17.305</v>
      </c>
      <c r="I547" s="61">
        <f>17.3052 * CHOOSE(CONTROL!$C$21, $C$12, 100%, $E$12)</f>
        <v>17.305199999999999</v>
      </c>
      <c r="J547" s="61">
        <f>10.2266 * CHOOSE(CONTROL!$C$21, $C$12, 100%, $E$12)</f>
        <v>10.226599999999999</v>
      </c>
      <c r="K547" s="61">
        <f>10.2268 * CHOOSE(CONTROL!$C$21, $C$12, 100%, $E$12)</f>
        <v>10.226800000000001</v>
      </c>
    </row>
    <row r="548" spans="1:11" ht="15">
      <c r="A548" s="13">
        <v>58562</v>
      </c>
      <c r="B548" s="60">
        <f>8.7221 * CHOOSE(CONTROL!$C$21, $C$12, 100%, $E$12)</f>
        <v>8.7220999999999993</v>
      </c>
      <c r="C548" s="60">
        <f>8.7221 * CHOOSE(CONTROL!$C$21, $C$12, 100%, $E$12)</f>
        <v>8.7220999999999993</v>
      </c>
      <c r="D548" s="60">
        <f>8.7432 * CHOOSE(CONTROL!$C$21, $C$12, 100%, $E$12)</f>
        <v>8.7431999999999999</v>
      </c>
      <c r="E548" s="61">
        <f>10.2619 * CHOOSE(CONTROL!$C$21, $C$12, 100%, $E$12)</f>
        <v>10.261900000000001</v>
      </c>
      <c r="F548" s="61">
        <f>10.2619 * CHOOSE(CONTROL!$C$21, $C$12, 100%, $E$12)</f>
        <v>10.261900000000001</v>
      </c>
      <c r="G548" s="61">
        <f>10.2633 * CHOOSE(CONTROL!$C$21, $C$12, 100%, $E$12)</f>
        <v>10.263299999999999</v>
      </c>
      <c r="H548" s="61">
        <f>17.3411* CHOOSE(CONTROL!$C$21, $C$12, 100%, $E$12)</f>
        <v>17.341100000000001</v>
      </c>
      <c r="I548" s="61">
        <f>17.3424 * CHOOSE(CONTROL!$C$21, $C$12, 100%, $E$12)</f>
        <v>17.342400000000001</v>
      </c>
      <c r="J548" s="61">
        <f>10.2619 * CHOOSE(CONTROL!$C$21, $C$12, 100%, $E$12)</f>
        <v>10.261900000000001</v>
      </c>
      <c r="K548" s="61">
        <f>10.2633 * CHOOSE(CONTROL!$C$21, $C$12, 100%, $E$12)</f>
        <v>10.263299999999999</v>
      </c>
    </row>
    <row r="549" spans="1:11" ht="15">
      <c r="A549" s="13">
        <v>58593</v>
      </c>
      <c r="B549" s="60">
        <f>8.7282 * CHOOSE(CONTROL!$C$21, $C$12, 100%, $E$12)</f>
        <v>8.7281999999999993</v>
      </c>
      <c r="C549" s="60">
        <f>8.7282 * CHOOSE(CONTROL!$C$21, $C$12, 100%, $E$12)</f>
        <v>8.7281999999999993</v>
      </c>
      <c r="D549" s="60">
        <f>8.7493 * CHOOSE(CONTROL!$C$21, $C$12, 100%, $E$12)</f>
        <v>8.7492999999999999</v>
      </c>
      <c r="E549" s="61">
        <f>10.2309 * CHOOSE(CONTROL!$C$21, $C$12, 100%, $E$12)</f>
        <v>10.2309</v>
      </c>
      <c r="F549" s="61">
        <f>10.2309 * CHOOSE(CONTROL!$C$21, $C$12, 100%, $E$12)</f>
        <v>10.2309</v>
      </c>
      <c r="G549" s="61">
        <f>10.2323 * CHOOSE(CONTROL!$C$21, $C$12, 100%, $E$12)</f>
        <v>10.2323</v>
      </c>
      <c r="H549" s="61">
        <f>17.3772* CHOOSE(CONTROL!$C$21, $C$12, 100%, $E$12)</f>
        <v>17.377199999999998</v>
      </c>
      <c r="I549" s="61">
        <f>17.3786 * CHOOSE(CONTROL!$C$21, $C$12, 100%, $E$12)</f>
        <v>17.378599999999999</v>
      </c>
      <c r="J549" s="61">
        <f>10.2309 * CHOOSE(CONTROL!$C$21, $C$12, 100%, $E$12)</f>
        <v>10.2309</v>
      </c>
      <c r="K549" s="61">
        <f>10.2323 * CHOOSE(CONTROL!$C$21, $C$12, 100%, $E$12)</f>
        <v>10.2323</v>
      </c>
    </row>
    <row r="550" spans="1:11" ht="15">
      <c r="A550" s="13">
        <v>58623</v>
      </c>
      <c r="B550" s="60">
        <f>8.8688 * CHOOSE(CONTROL!$C$21, $C$12, 100%, $E$12)</f>
        <v>8.8688000000000002</v>
      </c>
      <c r="C550" s="60">
        <f>8.8688 * CHOOSE(CONTROL!$C$21, $C$12, 100%, $E$12)</f>
        <v>8.8688000000000002</v>
      </c>
      <c r="D550" s="60">
        <f>8.8899 * CHOOSE(CONTROL!$C$21, $C$12, 100%, $E$12)</f>
        <v>8.8899000000000008</v>
      </c>
      <c r="E550" s="61">
        <f>10.4296 * CHOOSE(CONTROL!$C$21, $C$12, 100%, $E$12)</f>
        <v>10.429600000000001</v>
      </c>
      <c r="F550" s="61">
        <f>10.4296 * CHOOSE(CONTROL!$C$21, $C$12, 100%, $E$12)</f>
        <v>10.429600000000001</v>
      </c>
      <c r="G550" s="61">
        <f>10.4309 * CHOOSE(CONTROL!$C$21, $C$12, 100%, $E$12)</f>
        <v>10.430899999999999</v>
      </c>
      <c r="H550" s="61">
        <f>17.4134* CHOOSE(CONTROL!$C$21, $C$12, 100%, $E$12)</f>
        <v>17.413399999999999</v>
      </c>
      <c r="I550" s="61">
        <f>17.4148 * CHOOSE(CONTROL!$C$21, $C$12, 100%, $E$12)</f>
        <v>17.4148</v>
      </c>
      <c r="J550" s="61">
        <f>10.4296 * CHOOSE(CONTROL!$C$21, $C$12, 100%, $E$12)</f>
        <v>10.429600000000001</v>
      </c>
      <c r="K550" s="61">
        <f>10.4309 * CHOOSE(CONTROL!$C$21, $C$12, 100%, $E$12)</f>
        <v>10.430899999999999</v>
      </c>
    </row>
    <row r="551" spans="1:11" ht="15">
      <c r="A551" s="13">
        <v>58654</v>
      </c>
      <c r="B551" s="60">
        <f>8.8755 * CHOOSE(CONTROL!$C$21, $C$12, 100%, $E$12)</f>
        <v>8.8755000000000006</v>
      </c>
      <c r="C551" s="60">
        <f>8.8755 * CHOOSE(CONTROL!$C$21, $C$12, 100%, $E$12)</f>
        <v>8.8755000000000006</v>
      </c>
      <c r="D551" s="60">
        <f>8.8966 * CHOOSE(CONTROL!$C$21, $C$12, 100%, $E$12)</f>
        <v>8.8965999999999994</v>
      </c>
      <c r="E551" s="61">
        <f>10.3284 * CHOOSE(CONTROL!$C$21, $C$12, 100%, $E$12)</f>
        <v>10.3284</v>
      </c>
      <c r="F551" s="61">
        <f>10.3284 * CHOOSE(CONTROL!$C$21, $C$12, 100%, $E$12)</f>
        <v>10.3284</v>
      </c>
      <c r="G551" s="61">
        <f>10.3298 * CHOOSE(CONTROL!$C$21, $C$12, 100%, $E$12)</f>
        <v>10.329800000000001</v>
      </c>
      <c r="H551" s="61">
        <f>17.4497* CHOOSE(CONTROL!$C$21, $C$12, 100%, $E$12)</f>
        <v>17.4497</v>
      </c>
      <c r="I551" s="61">
        <f>17.451 * CHOOSE(CONTROL!$C$21, $C$12, 100%, $E$12)</f>
        <v>17.451000000000001</v>
      </c>
      <c r="J551" s="61">
        <f>10.3284 * CHOOSE(CONTROL!$C$21, $C$12, 100%, $E$12)</f>
        <v>10.3284</v>
      </c>
      <c r="K551" s="61">
        <f>10.3298 * CHOOSE(CONTROL!$C$21, $C$12, 100%, $E$12)</f>
        <v>10.329800000000001</v>
      </c>
    </row>
    <row r="552" spans="1:11" ht="15">
      <c r="A552" s="13">
        <v>58685</v>
      </c>
      <c r="B552" s="60">
        <f>8.8724 * CHOOSE(CONTROL!$C$21, $C$12, 100%, $E$12)</f>
        <v>8.8724000000000007</v>
      </c>
      <c r="C552" s="60">
        <f>8.8724 * CHOOSE(CONTROL!$C$21, $C$12, 100%, $E$12)</f>
        <v>8.8724000000000007</v>
      </c>
      <c r="D552" s="60">
        <f>8.8935 * CHOOSE(CONTROL!$C$21, $C$12, 100%, $E$12)</f>
        <v>8.8934999999999995</v>
      </c>
      <c r="E552" s="61">
        <f>10.3145 * CHOOSE(CONTROL!$C$21, $C$12, 100%, $E$12)</f>
        <v>10.314500000000001</v>
      </c>
      <c r="F552" s="61">
        <f>10.3145 * CHOOSE(CONTROL!$C$21, $C$12, 100%, $E$12)</f>
        <v>10.314500000000001</v>
      </c>
      <c r="G552" s="61">
        <f>10.3159 * CHOOSE(CONTROL!$C$21, $C$12, 100%, $E$12)</f>
        <v>10.315899999999999</v>
      </c>
      <c r="H552" s="61">
        <f>17.486* CHOOSE(CONTROL!$C$21, $C$12, 100%, $E$12)</f>
        <v>17.486000000000001</v>
      </c>
      <c r="I552" s="61">
        <f>17.4874 * CHOOSE(CONTROL!$C$21, $C$12, 100%, $E$12)</f>
        <v>17.487400000000001</v>
      </c>
      <c r="J552" s="61">
        <f>10.3145 * CHOOSE(CONTROL!$C$21, $C$12, 100%, $E$12)</f>
        <v>10.314500000000001</v>
      </c>
      <c r="K552" s="61">
        <f>10.3159 * CHOOSE(CONTROL!$C$21, $C$12, 100%, $E$12)</f>
        <v>10.315899999999999</v>
      </c>
    </row>
    <row r="553" spans="1:11" ht="15">
      <c r="A553" s="13">
        <v>58715</v>
      </c>
      <c r="B553" s="60">
        <f>8.8838 * CHOOSE(CONTROL!$C$21, $C$12, 100%, $E$12)</f>
        <v>8.8838000000000008</v>
      </c>
      <c r="C553" s="60">
        <f>8.8838 * CHOOSE(CONTROL!$C$21, $C$12, 100%, $E$12)</f>
        <v>8.8838000000000008</v>
      </c>
      <c r="D553" s="60">
        <f>8.8944 * CHOOSE(CONTROL!$C$21, $C$12, 100%, $E$12)</f>
        <v>8.8943999999999992</v>
      </c>
      <c r="E553" s="61">
        <f>10.3481 * CHOOSE(CONTROL!$C$21, $C$12, 100%, $E$12)</f>
        <v>10.348100000000001</v>
      </c>
      <c r="F553" s="61">
        <f>10.3481 * CHOOSE(CONTROL!$C$21, $C$12, 100%, $E$12)</f>
        <v>10.348100000000001</v>
      </c>
      <c r="G553" s="61">
        <f>10.3483 * CHOOSE(CONTROL!$C$21, $C$12, 100%, $E$12)</f>
        <v>10.3483</v>
      </c>
      <c r="H553" s="61">
        <f>17.5225* CHOOSE(CONTROL!$C$21, $C$12, 100%, $E$12)</f>
        <v>17.522500000000001</v>
      </c>
      <c r="I553" s="61">
        <f>17.5226 * CHOOSE(CONTROL!$C$21, $C$12, 100%, $E$12)</f>
        <v>17.522600000000001</v>
      </c>
      <c r="J553" s="61">
        <f>10.3481 * CHOOSE(CONTROL!$C$21, $C$12, 100%, $E$12)</f>
        <v>10.348100000000001</v>
      </c>
      <c r="K553" s="61">
        <f>10.3483 * CHOOSE(CONTROL!$C$21, $C$12, 100%, $E$12)</f>
        <v>10.3483</v>
      </c>
    </row>
    <row r="554" spans="1:11" ht="15">
      <c r="A554" s="13">
        <v>58746</v>
      </c>
      <c r="B554" s="60">
        <f>8.8868 * CHOOSE(CONTROL!$C$21, $C$12, 100%, $E$12)</f>
        <v>8.8867999999999991</v>
      </c>
      <c r="C554" s="60">
        <f>8.8868 * CHOOSE(CONTROL!$C$21, $C$12, 100%, $E$12)</f>
        <v>8.8867999999999991</v>
      </c>
      <c r="D554" s="60">
        <f>8.8974 * CHOOSE(CONTROL!$C$21, $C$12, 100%, $E$12)</f>
        <v>8.8973999999999993</v>
      </c>
      <c r="E554" s="61">
        <f>10.3738 * CHOOSE(CONTROL!$C$21, $C$12, 100%, $E$12)</f>
        <v>10.373799999999999</v>
      </c>
      <c r="F554" s="61">
        <f>10.3738 * CHOOSE(CONTROL!$C$21, $C$12, 100%, $E$12)</f>
        <v>10.373799999999999</v>
      </c>
      <c r="G554" s="61">
        <f>10.3739 * CHOOSE(CONTROL!$C$21, $C$12, 100%, $E$12)</f>
        <v>10.373900000000001</v>
      </c>
      <c r="H554" s="61">
        <f>17.559* CHOOSE(CONTROL!$C$21, $C$12, 100%, $E$12)</f>
        <v>17.559000000000001</v>
      </c>
      <c r="I554" s="61">
        <f>17.5591 * CHOOSE(CONTROL!$C$21, $C$12, 100%, $E$12)</f>
        <v>17.559100000000001</v>
      </c>
      <c r="J554" s="61">
        <f>10.3738 * CHOOSE(CONTROL!$C$21, $C$12, 100%, $E$12)</f>
        <v>10.373799999999999</v>
      </c>
      <c r="K554" s="61">
        <f>10.3739 * CHOOSE(CONTROL!$C$21, $C$12, 100%, $E$12)</f>
        <v>10.373900000000001</v>
      </c>
    </row>
    <row r="555" spans="1:11" ht="15">
      <c r="A555" s="13">
        <v>58776</v>
      </c>
      <c r="B555" s="60">
        <f>8.8868 * CHOOSE(CONTROL!$C$21, $C$12, 100%, $E$12)</f>
        <v>8.8867999999999991</v>
      </c>
      <c r="C555" s="60">
        <f>8.8868 * CHOOSE(CONTROL!$C$21, $C$12, 100%, $E$12)</f>
        <v>8.8867999999999991</v>
      </c>
      <c r="D555" s="60">
        <f>8.8974 * CHOOSE(CONTROL!$C$21, $C$12, 100%, $E$12)</f>
        <v>8.8973999999999993</v>
      </c>
      <c r="E555" s="61">
        <f>10.315 * CHOOSE(CONTROL!$C$21, $C$12, 100%, $E$12)</f>
        <v>10.315</v>
      </c>
      <c r="F555" s="61">
        <f>10.315 * CHOOSE(CONTROL!$C$21, $C$12, 100%, $E$12)</f>
        <v>10.315</v>
      </c>
      <c r="G555" s="61">
        <f>10.3151 * CHOOSE(CONTROL!$C$21, $C$12, 100%, $E$12)</f>
        <v>10.315099999999999</v>
      </c>
      <c r="H555" s="61">
        <f>17.5955* CHOOSE(CONTROL!$C$21, $C$12, 100%, $E$12)</f>
        <v>17.595500000000001</v>
      </c>
      <c r="I555" s="61">
        <f>17.5957 * CHOOSE(CONTROL!$C$21, $C$12, 100%, $E$12)</f>
        <v>17.595700000000001</v>
      </c>
      <c r="J555" s="61">
        <f>10.315 * CHOOSE(CONTROL!$C$21, $C$12, 100%, $E$12)</f>
        <v>10.315</v>
      </c>
      <c r="K555" s="61">
        <f>10.3151 * CHOOSE(CONTROL!$C$21, $C$12, 100%, $E$12)</f>
        <v>10.315099999999999</v>
      </c>
    </row>
    <row r="556" spans="1:11" ht="15">
      <c r="A556" s="13">
        <v>58807</v>
      </c>
      <c r="B556" s="60">
        <f>8.9651 * CHOOSE(CONTROL!$C$21, $C$12, 100%, $E$12)</f>
        <v>8.9650999999999996</v>
      </c>
      <c r="C556" s="60">
        <f>8.9651 * CHOOSE(CONTROL!$C$21, $C$12, 100%, $E$12)</f>
        <v>8.9650999999999996</v>
      </c>
      <c r="D556" s="60">
        <f>8.9757 * CHOOSE(CONTROL!$C$21, $C$12, 100%, $E$12)</f>
        <v>8.9756999999999998</v>
      </c>
      <c r="E556" s="61">
        <f>10.449 * CHOOSE(CONTROL!$C$21, $C$12, 100%, $E$12)</f>
        <v>10.449</v>
      </c>
      <c r="F556" s="61">
        <f>10.449 * CHOOSE(CONTROL!$C$21, $C$12, 100%, $E$12)</f>
        <v>10.449</v>
      </c>
      <c r="G556" s="61">
        <f>10.4492 * CHOOSE(CONTROL!$C$21, $C$12, 100%, $E$12)</f>
        <v>10.449199999999999</v>
      </c>
      <c r="H556" s="61">
        <f>17.6322* CHOOSE(CONTROL!$C$21, $C$12, 100%, $E$12)</f>
        <v>17.632200000000001</v>
      </c>
      <c r="I556" s="61">
        <f>17.6324 * CHOOSE(CONTROL!$C$21, $C$12, 100%, $E$12)</f>
        <v>17.632400000000001</v>
      </c>
      <c r="J556" s="61">
        <f>10.449 * CHOOSE(CONTROL!$C$21, $C$12, 100%, $E$12)</f>
        <v>10.449</v>
      </c>
      <c r="K556" s="61">
        <f>10.4492 * CHOOSE(CONTROL!$C$21, $C$12, 100%, $E$12)</f>
        <v>10.449199999999999</v>
      </c>
    </row>
    <row r="557" spans="1:11" ht="15">
      <c r="A557" s="13">
        <v>58838</v>
      </c>
      <c r="B557" s="60">
        <f>8.9621 * CHOOSE(CONTROL!$C$21, $C$12, 100%, $E$12)</f>
        <v>8.9620999999999995</v>
      </c>
      <c r="C557" s="60">
        <f>8.9621 * CHOOSE(CONTROL!$C$21, $C$12, 100%, $E$12)</f>
        <v>8.9620999999999995</v>
      </c>
      <c r="D557" s="60">
        <f>8.9726 * CHOOSE(CONTROL!$C$21, $C$12, 100%, $E$12)</f>
        <v>8.9725999999999999</v>
      </c>
      <c r="E557" s="61">
        <f>10.3327 * CHOOSE(CONTROL!$C$21, $C$12, 100%, $E$12)</f>
        <v>10.332700000000001</v>
      </c>
      <c r="F557" s="61">
        <f>10.3327 * CHOOSE(CONTROL!$C$21, $C$12, 100%, $E$12)</f>
        <v>10.332700000000001</v>
      </c>
      <c r="G557" s="61">
        <f>10.3328 * CHOOSE(CONTROL!$C$21, $C$12, 100%, $E$12)</f>
        <v>10.332800000000001</v>
      </c>
      <c r="H557" s="61">
        <f>17.6689* CHOOSE(CONTROL!$C$21, $C$12, 100%, $E$12)</f>
        <v>17.668900000000001</v>
      </c>
      <c r="I557" s="61">
        <f>17.6691 * CHOOSE(CONTROL!$C$21, $C$12, 100%, $E$12)</f>
        <v>17.6691</v>
      </c>
      <c r="J557" s="61">
        <f>10.3327 * CHOOSE(CONTROL!$C$21, $C$12, 100%, $E$12)</f>
        <v>10.332700000000001</v>
      </c>
      <c r="K557" s="61">
        <f>10.3328 * CHOOSE(CONTROL!$C$21, $C$12, 100%, $E$12)</f>
        <v>10.332800000000001</v>
      </c>
    </row>
    <row r="558" spans="1:11" ht="15">
      <c r="A558" s="13">
        <v>58866</v>
      </c>
      <c r="B558" s="60">
        <f>8.959 * CHOOSE(CONTROL!$C$21, $C$12, 100%, $E$12)</f>
        <v>8.9589999999999996</v>
      </c>
      <c r="C558" s="60">
        <f>8.959 * CHOOSE(CONTROL!$C$21, $C$12, 100%, $E$12)</f>
        <v>8.9589999999999996</v>
      </c>
      <c r="D558" s="60">
        <f>8.9696 * CHOOSE(CONTROL!$C$21, $C$12, 100%, $E$12)</f>
        <v>8.9695999999999998</v>
      </c>
      <c r="E558" s="61">
        <f>10.4206 * CHOOSE(CONTROL!$C$21, $C$12, 100%, $E$12)</f>
        <v>10.4206</v>
      </c>
      <c r="F558" s="61">
        <f>10.4206 * CHOOSE(CONTROL!$C$21, $C$12, 100%, $E$12)</f>
        <v>10.4206</v>
      </c>
      <c r="G558" s="61">
        <f>10.4208 * CHOOSE(CONTROL!$C$21, $C$12, 100%, $E$12)</f>
        <v>10.4208</v>
      </c>
      <c r="H558" s="61">
        <f>17.7057* CHOOSE(CONTROL!$C$21, $C$12, 100%, $E$12)</f>
        <v>17.7057</v>
      </c>
      <c r="I558" s="61">
        <f>17.7059 * CHOOSE(CONTROL!$C$21, $C$12, 100%, $E$12)</f>
        <v>17.7059</v>
      </c>
      <c r="J558" s="61">
        <f>10.4206 * CHOOSE(CONTROL!$C$21, $C$12, 100%, $E$12)</f>
        <v>10.4206</v>
      </c>
      <c r="K558" s="61">
        <f>10.4208 * CHOOSE(CONTROL!$C$21, $C$12, 100%, $E$12)</f>
        <v>10.4208</v>
      </c>
    </row>
    <row r="559" spans="1:11" ht="15">
      <c r="A559" s="13">
        <v>58897</v>
      </c>
      <c r="B559" s="60">
        <f>8.961 * CHOOSE(CONTROL!$C$21, $C$12, 100%, $E$12)</f>
        <v>8.9610000000000003</v>
      </c>
      <c r="C559" s="60">
        <f>8.961 * CHOOSE(CONTROL!$C$21, $C$12, 100%, $E$12)</f>
        <v>8.9610000000000003</v>
      </c>
      <c r="D559" s="60">
        <f>8.9716 * CHOOSE(CONTROL!$C$21, $C$12, 100%, $E$12)</f>
        <v>8.9716000000000005</v>
      </c>
      <c r="E559" s="61">
        <f>10.5131 * CHOOSE(CONTROL!$C$21, $C$12, 100%, $E$12)</f>
        <v>10.5131</v>
      </c>
      <c r="F559" s="61">
        <f>10.5131 * CHOOSE(CONTROL!$C$21, $C$12, 100%, $E$12)</f>
        <v>10.5131</v>
      </c>
      <c r="G559" s="61">
        <f>10.5133 * CHOOSE(CONTROL!$C$21, $C$12, 100%, $E$12)</f>
        <v>10.513299999999999</v>
      </c>
      <c r="H559" s="61">
        <f>17.7426* CHOOSE(CONTROL!$C$21, $C$12, 100%, $E$12)</f>
        <v>17.742599999999999</v>
      </c>
      <c r="I559" s="61">
        <f>17.7428 * CHOOSE(CONTROL!$C$21, $C$12, 100%, $E$12)</f>
        <v>17.742799999999999</v>
      </c>
      <c r="J559" s="61">
        <f>10.5131 * CHOOSE(CONTROL!$C$21, $C$12, 100%, $E$12)</f>
        <v>10.5131</v>
      </c>
      <c r="K559" s="61">
        <f>10.5133 * CHOOSE(CONTROL!$C$21, $C$12, 100%, $E$12)</f>
        <v>10.513299999999999</v>
      </c>
    </row>
    <row r="560" spans="1:11" ht="15">
      <c r="A560" s="13">
        <v>58927</v>
      </c>
      <c r="B560" s="60">
        <f>8.961 * CHOOSE(CONTROL!$C$21, $C$12, 100%, $E$12)</f>
        <v>8.9610000000000003</v>
      </c>
      <c r="C560" s="60">
        <f>8.961 * CHOOSE(CONTROL!$C$21, $C$12, 100%, $E$12)</f>
        <v>8.9610000000000003</v>
      </c>
      <c r="D560" s="60">
        <f>8.9821 * CHOOSE(CONTROL!$C$21, $C$12, 100%, $E$12)</f>
        <v>8.9821000000000009</v>
      </c>
      <c r="E560" s="61">
        <f>10.5493 * CHOOSE(CONTROL!$C$21, $C$12, 100%, $E$12)</f>
        <v>10.549300000000001</v>
      </c>
      <c r="F560" s="61">
        <f>10.5493 * CHOOSE(CONTROL!$C$21, $C$12, 100%, $E$12)</f>
        <v>10.549300000000001</v>
      </c>
      <c r="G560" s="61">
        <f>10.5507 * CHOOSE(CONTROL!$C$21, $C$12, 100%, $E$12)</f>
        <v>10.550700000000001</v>
      </c>
      <c r="H560" s="61">
        <f>17.7796* CHOOSE(CONTROL!$C$21, $C$12, 100%, $E$12)</f>
        <v>17.779599999999999</v>
      </c>
      <c r="I560" s="61">
        <f>17.781 * CHOOSE(CONTROL!$C$21, $C$12, 100%, $E$12)</f>
        <v>17.780999999999999</v>
      </c>
      <c r="J560" s="61">
        <f>10.5493 * CHOOSE(CONTROL!$C$21, $C$12, 100%, $E$12)</f>
        <v>10.549300000000001</v>
      </c>
      <c r="K560" s="61">
        <f>10.5507 * CHOOSE(CONTROL!$C$21, $C$12, 100%, $E$12)</f>
        <v>10.550700000000001</v>
      </c>
    </row>
    <row r="561" spans="1:11" ht="15">
      <c r="A561" s="13">
        <v>58958</v>
      </c>
      <c r="B561" s="60">
        <f>8.9671 * CHOOSE(CONTROL!$C$21, $C$12, 100%, $E$12)</f>
        <v>8.9671000000000003</v>
      </c>
      <c r="C561" s="60">
        <f>8.9671 * CHOOSE(CONTROL!$C$21, $C$12, 100%, $E$12)</f>
        <v>8.9671000000000003</v>
      </c>
      <c r="D561" s="60">
        <f>8.9882 * CHOOSE(CONTROL!$C$21, $C$12, 100%, $E$12)</f>
        <v>8.9882000000000009</v>
      </c>
      <c r="E561" s="61">
        <f>10.5173 * CHOOSE(CONTROL!$C$21, $C$12, 100%, $E$12)</f>
        <v>10.517300000000001</v>
      </c>
      <c r="F561" s="61">
        <f>10.5173 * CHOOSE(CONTROL!$C$21, $C$12, 100%, $E$12)</f>
        <v>10.517300000000001</v>
      </c>
      <c r="G561" s="61">
        <f>10.5187 * CHOOSE(CONTROL!$C$21, $C$12, 100%, $E$12)</f>
        <v>10.518700000000001</v>
      </c>
      <c r="H561" s="61">
        <f>17.8166* CHOOSE(CONTROL!$C$21, $C$12, 100%, $E$12)</f>
        <v>17.816600000000001</v>
      </c>
      <c r="I561" s="61">
        <f>17.818 * CHOOSE(CONTROL!$C$21, $C$12, 100%, $E$12)</f>
        <v>17.818000000000001</v>
      </c>
      <c r="J561" s="61">
        <f>10.5173 * CHOOSE(CONTROL!$C$21, $C$12, 100%, $E$12)</f>
        <v>10.517300000000001</v>
      </c>
      <c r="K561" s="61">
        <f>10.5187 * CHOOSE(CONTROL!$C$21, $C$12, 100%, $E$12)</f>
        <v>10.518700000000001</v>
      </c>
    </row>
    <row r="562" spans="1:11" ht="15">
      <c r="A562" s="13">
        <v>58988</v>
      </c>
      <c r="B562" s="60">
        <f>9.1113 * CHOOSE(CONTROL!$C$21, $C$12, 100%, $E$12)</f>
        <v>9.1113</v>
      </c>
      <c r="C562" s="60">
        <f>9.1113 * CHOOSE(CONTROL!$C$21, $C$12, 100%, $E$12)</f>
        <v>9.1113</v>
      </c>
      <c r="D562" s="60">
        <f>9.1324 * CHOOSE(CONTROL!$C$21, $C$12, 100%, $E$12)</f>
        <v>9.1324000000000005</v>
      </c>
      <c r="E562" s="61">
        <f>10.7213 * CHOOSE(CONTROL!$C$21, $C$12, 100%, $E$12)</f>
        <v>10.721299999999999</v>
      </c>
      <c r="F562" s="61">
        <f>10.7213 * CHOOSE(CONTROL!$C$21, $C$12, 100%, $E$12)</f>
        <v>10.721299999999999</v>
      </c>
      <c r="G562" s="61">
        <f>10.7227 * CHOOSE(CONTROL!$C$21, $C$12, 100%, $E$12)</f>
        <v>10.7227</v>
      </c>
      <c r="H562" s="61">
        <f>17.8538* CHOOSE(CONTROL!$C$21, $C$12, 100%, $E$12)</f>
        <v>17.8538</v>
      </c>
      <c r="I562" s="61">
        <f>17.8551 * CHOOSE(CONTROL!$C$21, $C$12, 100%, $E$12)</f>
        <v>17.8551</v>
      </c>
      <c r="J562" s="61">
        <f>10.7213 * CHOOSE(CONTROL!$C$21, $C$12, 100%, $E$12)</f>
        <v>10.721299999999999</v>
      </c>
      <c r="K562" s="61">
        <f>10.7227 * CHOOSE(CONTROL!$C$21, $C$12, 100%, $E$12)</f>
        <v>10.7227</v>
      </c>
    </row>
    <row r="563" spans="1:11" ht="15">
      <c r="A563" s="13">
        <v>59019</v>
      </c>
      <c r="B563" s="60">
        <f>9.118 * CHOOSE(CONTROL!$C$21, $C$12, 100%, $E$12)</f>
        <v>9.1180000000000003</v>
      </c>
      <c r="C563" s="60">
        <f>9.118 * CHOOSE(CONTROL!$C$21, $C$12, 100%, $E$12)</f>
        <v>9.1180000000000003</v>
      </c>
      <c r="D563" s="60">
        <f>9.1391 * CHOOSE(CONTROL!$C$21, $C$12, 100%, $E$12)</f>
        <v>9.1390999999999991</v>
      </c>
      <c r="E563" s="61">
        <f>10.6171 * CHOOSE(CONTROL!$C$21, $C$12, 100%, $E$12)</f>
        <v>10.617100000000001</v>
      </c>
      <c r="F563" s="61">
        <f>10.6171 * CHOOSE(CONTROL!$C$21, $C$12, 100%, $E$12)</f>
        <v>10.617100000000001</v>
      </c>
      <c r="G563" s="61">
        <f>10.6185 * CHOOSE(CONTROL!$C$21, $C$12, 100%, $E$12)</f>
        <v>10.618499999999999</v>
      </c>
      <c r="H563" s="61">
        <f>17.8909* CHOOSE(CONTROL!$C$21, $C$12, 100%, $E$12)</f>
        <v>17.890899999999998</v>
      </c>
      <c r="I563" s="61">
        <f>17.8923 * CHOOSE(CONTROL!$C$21, $C$12, 100%, $E$12)</f>
        <v>17.892299999999999</v>
      </c>
      <c r="J563" s="61">
        <f>10.6171 * CHOOSE(CONTROL!$C$21, $C$12, 100%, $E$12)</f>
        <v>10.617100000000001</v>
      </c>
      <c r="K563" s="61">
        <f>10.6185 * CHOOSE(CONTROL!$C$21, $C$12, 100%, $E$12)</f>
        <v>10.618499999999999</v>
      </c>
    </row>
    <row r="564" spans="1:11" ht="15">
      <c r="A564" s="13">
        <v>59050</v>
      </c>
      <c r="B564" s="60">
        <f>9.1149 * CHOOSE(CONTROL!$C$21, $C$12, 100%, $E$12)</f>
        <v>9.1149000000000004</v>
      </c>
      <c r="C564" s="60">
        <f>9.1149 * CHOOSE(CONTROL!$C$21, $C$12, 100%, $E$12)</f>
        <v>9.1149000000000004</v>
      </c>
      <c r="D564" s="60">
        <f>9.1361 * CHOOSE(CONTROL!$C$21, $C$12, 100%, $E$12)</f>
        <v>9.1361000000000008</v>
      </c>
      <c r="E564" s="61">
        <f>10.6029 * CHOOSE(CONTROL!$C$21, $C$12, 100%, $E$12)</f>
        <v>10.6029</v>
      </c>
      <c r="F564" s="61">
        <f>10.6029 * CHOOSE(CONTROL!$C$21, $C$12, 100%, $E$12)</f>
        <v>10.6029</v>
      </c>
      <c r="G564" s="61">
        <f>10.6043 * CHOOSE(CONTROL!$C$21, $C$12, 100%, $E$12)</f>
        <v>10.6043</v>
      </c>
      <c r="H564" s="61">
        <f>17.9282* CHOOSE(CONTROL!$C$21, $C$12, 100%, $E$12)</f>
        <v>17.9282</v>
      </c>
      <c r="I564" s="61">
        <f>17.9296 * CHOOSE(CONTROL!$C$21, $C$12, 100%, $E$12)</f>
        <v>17.929600000000001</v>
      </c>
      <c r="J564" s="61">
        <f>10.6029 * CHOOSE(CONTROL!$C$21, $C$12, 100%, $E$12)</f>
        <v>10.6029</v>
      </c>
      <c r="K564" s="61">
        <f>10.6043 * CHOOSE(CONTROL!$C$21, $C$12, 100%, $E$12)</f>
        <v>10.6043</v>
      </c>
    </row>
    <row r="565" spans="1:11" ht="15">
      <c r="A565" s="13">
        <v>59080</v>
      </c>
      <c r="B565" s="60">
        <f>9.1271 * CHOOSE(CONTROL!$C$21, $C$12, 100%, $E$12)</f>
        <v>9.1271000000000004</v>
      </c>
      <c r="C565" s="60">
        <f>9.1271 * CHOOSE(CONTROL!$C$21, $C$12, 100%, $E$12)</f>
        <v>9.1271000000000004</v>
      </c>
      <c r="D565" s="60">
        <f>9.1377 * CHOOSE(CONTROL!$C$21, $C$12, 100%, $E$12)</f>
        <v>9.1377000000000006</v>
      </c>
      <c r="E565" s="61">
        <f>10.6379 * CHOOSE(CONTROL!$C$21, $C$12, 100%, $E$12)</f>
        <v>10.6379</v>
      </c>
      <c r="F565" s="61">
        <f>10.6379 * CHOOSE(CONTROL!$C$21, $C$12, 100%, $E$12)</f>
        <v>10.6379</v>
      </c>
      <c r="G565" s="61">
        <f>10.638 * CHOOSE(CONTROL!$C$21, $C$12, 100%, $E$12)</f>
        <v>10.638</v>
      </c>
      <c r="H565" s="61">
        <f>17.9656* CHOOSE(CONTROL!$C$21, $C$12, 100%, $E$12)</f>
        <v>17.965599999999998</v>
      </c>
      <c r="I565" s="61">
        <f>17.9657 * CHOOSE(CONTROL!$C$21, $C$12, 100%, $E$12)</f>
        <v>17.965699999999998</v>
      </c>
      <c r="J565" s="61">
        <f>10.6379 * CHOOSE(CONTROL!$C$21, $C$12, 100%, $E$12)</f>
        <v>10.6379</v>
      </c>
      <c r="K565" s="61">
        <f>10.638 * CHOOSE(CONTROL!$C$21, $C$12, 100%, $E$12)</f>
        <v>10.638</v>
      </c>
    </row>
    <row r="566" spans="1:11" ht="15">
      <c r="A566" s="13">
        <v>59111</v>
      </c>
      <c r="B566" s="60">
        <f>9.1301 * CHOOSE(CONTROL!$C$21, $C$12, 100%, $E$12)</f>
        <v>9.1301000000000005</v>
      </c>
      <c r="C566" s="60">
        <f>9.1301 * CHOOSE(CONTROL!$C$21, $C$12, 100%, $E$12)</f>
        <v>9.1301000000000005</v>
      </c>
      <c r="D566" s="60">
        <f>9.1407 * CHOOSE(CONTROL!$C$21, $C$12, 100%, $E$12)</f>
        <v>9.1407000000000007</v>
      </c>
      <c r="E566" s="61">
        <f>10.6642 * CHOOSE(CONTROL!$C$21, $C$12, 100%, $E$12)</f>
        <v>10.664199999999999</v>
      </c>
      <c r="F566" s="61">
        <f>10.6642 * CHOOSE(CONTROL!$C$21, $C$12, 100%, $E$12)</f>
        <v>10.664199999999999</v>
      </c>
      <c r="G566" s="61">
        <f>10.6643 * CHOOSE(CONTROL!$C$21, $C$12, 100%, $E$12)</f>
        <v>10.664300000000001</v>
      </c>
      <c r="H566" s="61">
        <f>18.003* CHOOSE(CONTROL!$C$21, $C$12, 100%, $E$12)</f>
        <v>18.003</v>
      </c>
      <c r="I566" s="61">
        <f>18.0032 * CHOOSE(CONTROL!$C$21, $C$12, 100%, $E$12)</f>
        <v>18.0032</v>
      </c>
      <c r="J566" s="61">
        <f>10.6642 * CHOOSE(CONTROL!$C$21, $C$12, 100%, $E$12)</f>
        <v>10.664199999999999</v>
      </c>
      <c r="K566" s="61">
        <f>10.6643 * CHOOSE(CONTROL!$C$21, $C$12, 100%, $E$12)</f>
        <v>10.664300000000001</v>
      </c>
    </row>
    <row r="567" spans="1:11" ht="15">
      <c r="A567" s="13">
        <v>59141</v>
      </c>
      <c r="B567" s="60">
        <f>9.1301 * CHOOSE(CONTROL!$C$21, $C$12, 100%, $E$12)</f>
        <v>9.1301000000000005</v>
      </c>
      <c r="C567" s="60">
        <f>9.1301 * CHOOSE(CONTROL!$C$21, $C$12, 100%, $E$12)</f>
        <v>9.1301000000000005</v>
      </c>
      <c r="D567" s="60">
        <f>9.1407 * CHOOSE(CONTROL!$C$21, $C$12, 100%, $E$12)</f>
        <v>9.1407000000000007</v>
      </c>
      <c r="E567" s="61">
        <f>10.6037 * CHOOSE(CONTROL!$C$21, $C$12, 100%, $E$12)</f>
        <v>10.6037</v>
      </c>
      <c r="F567" s="61">
        <f>10.6037 * CHOOSE(CONTROL!$C$21, $C$12, 100%, $E$12)</f>
        <v>10.6037</v>
      </c>
      <c r="G567" s="61">
        <f>10.6039 * CHOOSE(CONTROL!$C$21, $C$12, 100%, $E$12)</f>
        <v>10.603899999999999</v>
      </c>
      <c r="H567" s="61">
        <f>18.0405* CHOOSE(CONTROL!$C$21, $C$12, 100%, $E$12)</f>
        <v>18.040500000000002</v>
      </c>
      <c r="I567" s="61">
        <f>18.0407 * CHOOSE(CONTROL!$C$21, $C$12, 100%, $E$12)</f>
        <v>18.040700000000001</v>
      </c>
      <c r="J567" s="61">
        <f>10.6037 * CHOOSE(CONTROL!$C$21, $C$12, 100%, $E$12)</f>
        <v>10.6037</v>
      </c>
      <c r="K567" s="61">
        <f>10.6039 * CHOOSE(CONTROL!$C$21, $C$12, 100%, $E$12)</f>
        <v>10.603899999999999</v>
      </c>
    </row>
    <row r="568" spans="1:11" ht="15">
      <c r="A568" s="13">
        <v>59172</v>
      </c>
      <c r="B568" s="60">
        <f>9.2104 * CHOOSE(CONTROL!$C$21, $C$12, 100%, $E$12)</f>
        <v>9.2103999999999999</v>
      </c>
      <c r="C568" s="60">
        <f>9.2104 * CHOOSE(CONTROL!$C$21, $C$12, 100%, $E$12)</f>
        <v>9.2103999999999999</v>
      </c>
      <c r="D568" s="60">
        <f>9.221 * CHOOSE(CONTROL!$C$21, $C$12, 100%, $E$12)</f>
        <v>9.2210000000000001</v>
      </c>
      <c r="E568" s="61">
        <f>10.7414 * CHOOSE(CONTROL!$C$21, $C$12, 100%, $E$12)</f>
        <v>10.741400000000001</v>
      </c>
      <c r="F568" s="61">
        <f>10.7414 * CHOOSE(CONTROL!$C$21, $C$12, 100%, $E$12)</f>
        <v>10.741400000000001</v>
      </c>
      <c r="G568" s="61">
        <f>10.7416 * CHOOSE(CONTROL!$C$21, $C$12, 100%, $E$12)</f>
        <v>10.7416</v>
      </c>
      <c r="H568" s="61">
        <f>18.0781* CHOOSE(CONTROL!$C$21, $C$12, 100%, $E$12)</f>
        <v>18.078099999999999</v>
      </c>
      <c r="I568" s="61">
        <f>18.0783 * CHOOSE(CONTROL!$C$21, $C$12, 100%, $E$12)</f>
        <v>18.078299999999999</v>
      </c>
      <c r="J568" s="61">
        <f>10.7414 * CHOOSE(CONTROL!$C$21, $C$12, 100%, $E$12)</f>
        <v>10.741400000000001</v>
      </c>
      <c r="K568" s="61">
        <f>10.7416 * CHOOSE(CONTROL!$C$21, $C$12, 100%, $E$12)</f>
        <v>10.7416</v>
      </c>
    </row>
    <row r="569" spans="1:11" ht="15">
      <c r="A569" s="13">
        <v>59203</v>
      </c>
      <c r="B569" s="60">
        <f>9.2074 * CHOOSE(CONTROL!$C$21, $C$12, 100%, $E$12)</f>
        <v>9.2073999999999998</v>
      </c>
      <c r="C569" s="60">
        <f>9.2074 * CHOOSE(CONTROL!$C$21, $C$12, 100%, $E$12)</f>
        <v>9.2073999999999998</v>
      </c>
      <c r="D569" s="60">
        <f>9.218 * CHOOSE(CONTROL!$C$21, $C$12, 100%, $E$12)</f>
        <v>9.218</v>
      </c>
      <c r="E569" s="61">
        <f>10.6219 * CHOOSE(CONTROL!$C$21, $C$12, 100%, $E$12)</f>
        <v>10.6219</v>
      </c>
      <c r="F569" s="61">
        <f>10.6219 * CHOOSE(CONTROL!$C$21, $C$12, 100%, $E$12)</f>
        <v>10.6219</v>
      </c>
      <c r="G569" s="61">
        <f>10.6221 * CHOOSE(CONTROL!$C$21, $C$12, 100%, $E$12)</f>
        <v>10.6221</v>
      </c>
      <c r="H569" s="61">
        <f>18.1158* CHOOSE(CONTROL!$C$21, $C$12, 100%, $E$12)</f>
        <v>18.1158</v>
      </c>
      <c r="I569" s="61">
        <f>18.1159 * CHOOSE(CONTROL!$C$21, $C$12, 100%, $E$12)</f>
        <v>18.1159</v>
      </c>
      <c r="J569" s="61">
        <f>10.6219 * CHOOSE(CONTROL!$C$21, $C$12, 100%, $E$12)</f>
        <v>10.6219</v>
      </c>
      <c r="K569" s="61">
        <f>10.6221 * CHOOSE(CONTROL!$C$21, $C$12, 100%, $E$12)</f>
        <v>10.6221</v>
      </c>
    </row>
    <row r="570" spans="1:11" ht="15">
      <c r="A570" s="13">
        <v>59231</v>
      </c>
      <c r="B570" s="60">
        <f>9.2043 * CHOOSE(CONTROL!$C$21, $C$12, 100%, $E$12)</f>
        <v>9.2042999999999999</v>
      </c>
      <c r="C570" s="60">
        <f>9.2043 * CHOOSE(CONTROL!$C$21, $C$12, 100%, $E$12)</f>
        <v>9.2042999999999999</v>
      </c>
      <c r="D570" s="60">
        <f>9.2149 * CHOOSE(CONTROL!$C$21, $C$12, 100%, $E$12)</f>
        <v>9.2149000000000001</v>
      </c>
      <c r="E570" s="61">
        <f>10.7123 * CHOOSE(CONTROL!$C$21, $C$12, 100%, $E$12)</f>
        <v>10.712300000000001</v>
      </c>
      <c r="F570" s="61">
        <f>10.7123 * CHOOSE(CONTROL!$C$21, $C$12, 100%, $E$12)</f>
        <v>10.712300000000001</v>
      </c>
      <c r="G570" s="61">
        <f>10.7125 * CHOOSE(CONTROL!$C$21, $C$12, 100%, $E$12)</f>
        <v>10.7125</v>
      </c>
      <c r="H570" s="61">
        <f>18.1535* CHOOSE(CONTROL!$C$21, $C$12, 100%, $E$12)</f>
        <v>18.153500000000001</v>
      </c>
      <c r="I570" s="61">
        <f>18.1537 * CHOOSE(CONTROL!$C$21, $C$12, 100%, $E$12)</f>
        <v>18.153700000000001</v>
      </c>
      <c r="J570" s="61">
        <f>10.7123 * CHOOSE(CONTROL!$C$21, $C$12, 100%, $E$12)</f>
        <v>10.712300000000001</v>
      </c>
      <c r="K570" s="61">
        <f>10.7125 * CHOOSE(CONTROL!$C$21, $C$12, 100%, $E$12)</f>
        <v>10.7125</v>
      </c>
    </row>
    <row r="571" spans="1:11" ht="15">
      <c r="A571" s="13">
        <v>59262</v>
      </c>
      <c r="B571" s="60">
        <f>9.2065 * CHOOSE(CONTROL!$C$21, $C$12, 100%, $E$12)</f>
        <v>9.2065000000000001</v>
      </c>
      <c r="C571" s="60">
        <f>9.2065 * CHOOSE(CONTROL!$C$21, $C$12, 100%, $E$12)</f>
        <v>9.2065000000000001</v>
      </c>
      <c r="D571" s="60">
        <f>9.2171 * CHOOSE(CONTROL!$C$21, $C$12, 100%, $E$12)</f>
        <v>9.2171000000000003</v>
      </c>
      <c r="E571" s="61">
        <f>10.8075 * CHOOSE(CONTROL!$C$21, $C$12, 100%, $E$12)</f>
        <v>10.807499999999999</v>
      </c>
      <c r="F571" s="61">
        <f>10.8075 * CHOOSE(CONTROL!$C$21, $C$12, 100%, $E$12)</f>
        <v>10.807499999999999</v>
      </c>
      <c r="G571" s="61">
        <f>10.8077 * CHOOSE(CONTROL!$C$21, $C$12, 100%, $E$12)</f>
        <v>10.807700000000001</v>
      </c>
      <c r="H571" s="61">
        <f>18.1913* CHOOSE(CONTROL!$C$21, $C$12, 100%, $E$12)</f>
        <v>18.191299999999998</v>
      </c>
      <c r="I571" s="61">
        <f>18.1915 * CHOOSE(CONTROL!$C$21, $C$12, 100%, $E$12)</f>
        <v>18.191500000000001</v>
      </c>
      <c r="J571" s="61">
        <f>10.8075 * CHOOSE(CONTROL!$C$21, $C$12, 100%, $E$12)</f>
        <v>10.807499999999999</v>
      </c>
      <c r="K571" s="61">
        <f>10.8077 * CHOOSE(CONTROL!$C$21, $C$12, 100%, $E$12)</f>
        <v>10.807700000000001</v>
      </c>
    </row>
    <row r="572" spans="1:11" ht="15">
      <c r="A572" s="13">
        <v>59292</v>
      </c>
      <c r="B572" s="60">
        <f>9.2065 * CHOOSE(CONTROL!$C$21, $C$12, 100%, $E$12)</f>
        <v>9.2065000000000001</v>
      </c>
      <c r="C572" s="60">
        <f>9.2065 * CHOOSE(CONTROL!$C$21, $C$12, 100%, $E$12)</f>
        <v>9.2065000000000001</v>
      </c>
      <c r="D572" s="60">
        <f>9.2276 * CHOOSE(CONTROL!$C$21, $C$12, 100%, $E$12)</f>
        <v>9.2276000000000007</v>
      </c>
      <c r="E572" s="61">
        <f>10.8448 * CHOOSE(CONTROL!$C$21, $C$12, 100%, $E$12)</f>
        <v>10.844799999999999</v>
      </c>
      <c r="F572" s="61">
        <f>10.8448 * CHOOSE(CONTROL!$C$21, $C$12, 100%, $E$12)</f>
        <v>10.844799999999999</v>
      </c>
      <c r="G572" s="61">
        <f>10.8462 * CHOOSE(CONTROL!$C$21, $C$12, 100%, $E$12)</f>
        <v>10.8462</v>
      </c>
      <c r="H572" s="61">
        <f>18.2292* CHOOSE(CONTROL!$C$21, $C$12, 100%, $E$12)</f>
        <v>18.229199999999999</v>
      </c>
      <c r="I572" s="61">
        <f>18.2306 * CHOOSE(CONTROL!$C$21, $C$12, 100%, $E$12)</f>
        <v>18.230599999999999</v>
      </c>
      <c r="J572" s="61">
        <f>10.8448 * CHOOSE(CONTROL!$C$21, $C$12, 100%, $E$12)</f>
        <v>10.844799999999999</v>
      </c>
      <c r="K572" s="61">
        <f>10.8462 * CHOOSE(CONTROL!$C$21, $C$12, 100%, $E$12)</f>
        <v>10.8462</v>
      </c>
    </row>
    <row r="573" spans="1:11" ht="15">
      <c r="A573" s="13">
        <v>59323</v>
      </c>
      <c r="B573" s="60">
        <f>9.2126 * CHOOSE(CONTROL!$C$21, $C$12, 100%, $E$12)</f>
        <v>9.2126000000000001</v>
      </c>
      <c r="C573" s="60">
        <f>9.2126 * CHOOSE(CONTROL!$C$21, $C$12, 100%, $E$12)</f>
        <v>9.2126000000000001</v>
      </c>
      <c r="D573" s="60">
        <f>9.2337 * CHOOSE(CONTROL!$C$21, $C$12, 100%, $E$12)</f>
        <v>9.2337000000000007</v>
      </c>
      <c r="E573" s="61">
        <f>10.8118 * CHOOSE(CONTROL!$C$21, $C$12, 100%, $E$12)</f>
        <v>10.8118</v>
      </c>
      <c r="F573" s="61">
        <f>10.8118 * CHOOSE(CONTROL!$C$21, $C$12, 100%, $E$12)</f>
        <v>10.8118</v>
      </c>
      <c r="G573" s="61">
        <f>10.8131 * CHOOSE(CONTROL!$C$21, $C$12, 100%, $E$12)</f>
        <v>10.8131</v>
      </c>
      <c r="H573" s="61">
        <f>18.2672* CHOOSE(CONTROL!$C$21, $C$12, 100%, $E$12)</f>
        <v>18.267199999999999</v>
      </c>
      <c r="I573" s="61">
        <f>18.2686 * CHOOSE(CONTROL!$C$21, $C$12, 100%, $E$12)</f>
        <v>18.268599999999999</v>
      </c>
      <c r="J573" s="61">
        <f>10.8118 * CHOOSE(CONTROL!$C$21, $C$12, 100%, $E$12)</f>
        <v>10.8118</v>
      </c>
      <c r="K573" s="61">
        <f>10.8131 * CHOOSE(CONTROL!$C$21, $C$12, 100%, $E$12)</f>
        <v>10.8131</v>
      </c>
    </row>
    <row r="574" spans="1:11" ht="15">
      <c r="A574" s="13">
        <v>59353</v>
      </c>
      <c r="B574" s="60">
        <f>9.3605 * CHOOSE(CONTROL!$C$21, $C$12, 100%, $E$12)</f>
        <v>9.3605</v>
      </c>
      <c r="C574" s="60">
        <f>9.3605 * CHOOSE(CONTROL!$C$21, $C$12, 100%, $E$12)</f>
        <v>9.3605</v>
      </c>
      <c r="D574" s="60">
        <f>9.3816 * CHOOSE(CONTROL!$C$21, $C$12, 100%, $E$12)</f>
        <v>9.3816000000000006</v>
      </c>
      <c r="E574" s="61">
        <f>11.0212 * CHOOSE(CONTROL!$C$21, $C$12, 100%, $E$12)</f>
        <v>11.0212</v>
      </c>
      <c r="F574" s="61">
        <f>11.0212 * CHOOSE(CONTROL!$C$21, $C$12, 100%, $E$12)</f>
        <v>11.0212</v>
      </c>
      <c r="G574" s="61">
        <f>11.0225 * CHOOSE(CONTROL!$C$21, $C$12, 100%, $E$12)</f>
        <v>11.022500000000001</v>
      </c>
      <c r="H574" s="61">
        <f>18.3052* CHOOSE(CONTROL!$C$21, $C$12, 100%, $E$12)</f>
        <v>18.305199999999999</v>
      </c>
      <c r="I574" s="61">
        <f>18.3066 * CHOOSE(CONTROL!$C$21, $C$12, 100%, $E$12)</f>
        <v>18.3066</v>
      </c>
      <c r="J574" s="61">
        <f>11.0212 * CHOOSE(CONTROL!$C$21, $C$12, 100%, $E$12)</f>
        <v>11.0212</v>
      </c>
      <c r="K574" s="61">
        <f>11.0225 * CHOOSE(CONTROL!$C$21, $C$12, 100%, $E$12)</f>
        <v>11.022500000000001</v>
      </c>
    </row>
    <row r="575" spans="1:11" ht="15">
      <c r="A575" s="13">
        <v>59384</v>
      </c>
      <c r="B575" s="60">
        <f>9.3672 * CHOOSE(CONTROL!$C$21, $C$12, 100%, $E$12)</f>
        <v>9.3672000000000004</v>
      </c>
      <c r="C575" s="60">
        <f>9.3672 * CHOOSE(CONTROL!$C$21, $C$12, 100%, $E$12)</f>
        <v>9.3672000000000004</v>
      </c>
      <c r="D575" s="60">
        <f>9.3883 * CHOOSE(CONTROL!$C$21, $C$12, 100%, $E$12)</f>
        <v>9.3882999999999992</v>
      </c>
      <c r="E575" s="61">
        <f>10.914 * CHOOSE(CONTROL!$C$21, $C$12, 100%, $E$12)</f>
        <v>10.914</v>
      </c>
      <c r="F575" s="61">
        <f>10.914 * CHOOSE(CONTROL!$C$21, $C$12, 100%, $E$12)</f>
        <v>10.914</v>
      </c>
      <c r="G575" s="61">
        <f>10.9153 * CHOOSE(CONTROL!$C$21, $C$12, 100%, $E$12)</f>
        <v>10.9153</v>
      </c>
      <c r="H575" s="61">
        <f>18.3434* CHOOSE(CONTROL!$C$21, $C$12, 100%, $E$12)</f>
        <v>18.343399999999999</v>
      </c>
      <c r="I575" s="61">
        <f>18.3448 * CHOOSE(CONTROL!$C$21, $C$12, 100%, $E$12)</f>
        <v>18.344799999999999</v>
      </c>
      <c r="J575" s="61">
        <f>10.914 * CHOOSE(CONTROL!$C$21, $C$12, 100%, $E$12)</f>
        <v>10.914</v>
      </c>
      <c r="K575" s="61">
        <f>10.9153 * CHOOSE(CONTROL!$C$21, $C$12, 100%, $E$12)</f>
        <v>10.9153</v>
      </c>
    </row>
    <row r="576" spans="1:11" ht="15">
      <c r="A576" s="13">
        <v>59415</v>
      </c>
      <c r="B576" s="60">
        <f>9.3641 * CHOOSE(CONTROL!$C$21, $C$12, 100%, $E$12)</f>
        <v>9.3641000000000005</v>
      </c>
      <c r="C576" s="60">
        <f>9.3641 * CHOOSE(CONTROL!$C$21, $C$12, 100%, $E$12)</f>
        <v>9.3641000000000005</v>
      </c>
      <c r="D576" s="60">
        <f>9.3853 * CHOOSE(CONTROL!$C$21, $C$12, 100%, $E$12)</f>
        <v>9.3853000000000009</v>
      </c>
      <c r="E576" s="61">
        <f>10.8994 * CHOOSE(CONTROL!$C$21, $C$12, 100%, $E$12)</f>
        <v>10.8994</v>
      </c>
      <c r="F576" s="61">
        <f>10.8994 * CHOOSE(CONTROL!$C$21, $C$12, 100%, $E$12)</f>
        <v>10.8994</v>
      </c>
      <c r="G576" s="61">
        <f>10.9008 * CHOOSE(CONTROL!$C$21, $C$12, 100%, $E$12)</f>
        <v>10.9008</v>
      </c>
      <c r="H576" s="61">
        <f>18.3816* CHOOSE(CONTROL!$C$21, $C$12, 100%, $E$12)</f>
        <v>18.381599999999999</v>
      </c>
      <c r="I576" s="61">
        <f>18.383 * CHOOSE(CONTROL!$C$21, $C$12, 100%, $E$12)</f>
        <v>18.382999999999999</v>
      </c>
      <c r="J576" s="61">
        <f>10.8994 * CHOOSE(CONTROL!$C$21, $C$12, 100%, $E$12)</f>
        <v>10.8994</v>
      </c>
      <c r="K576" s="61">
        <f>10.9008 * CHOOSE(CONTROL!$C$21, $C$12, 100%, $E$12)</f>
        <v>10.9008</v>
      </c>
    </row>
    <row r="577" spans="1:11" ht="15">
      <c r="A577" s="13">
        <v>59445</v>
      </c>
      <c r="B577" s="60">
        <f>9.3771 * CHOOSE(CONTROL!$C$21, $C$12, 100%, $E$12)</f>
        <v>9.3771000000000004</v>
      </c>
      <c r="C577" s="60">
        <f>9.3771 * CHOOSE(CONTROL!$C$21, $C$12, 100%, $E$12)</f>
        <v>9.3771000000000004</v>
      </c>
      <c r="D577" s="60">
        <f>9.3877 * CHOOSE(CONTROL!$C$21, $C$12, 100%, $E$12)</f>
        <v>9.3877000000000006</v>
      </c>
      <c r="E577" s="61">
        <f>10.9357 * CHOOSE(CONTROL!$C$21, $C$12, 100%, $E$12)</f>
        <v>10.935700000000001</v>
      </c>
      <c r="F577" s="61">
        <f>10.9357 * CHOOSE(CONTROL!$C$21, $C$12, 100%, $E$12)</f>
        <v>10.935700000000001</v>
      </c>
      <c r="G577" s="61">
        <f>10.9359 * CHOOSE(CONTROL!$C$21, $C$12, 100%, $E$12)</f>
        <v>10.9359</v>
      </c>
      <c r="H577" s="61">
        <f>18.4199* CHOOSE(CONTROL!$C$21, $C$12, 100%, $E$12)</f>
        <v>18.419899999999998</v>
      </c>
      <c r="I577" s="61">
        <f>18.4201 * CHOOSE(CONTROL!$C$21, $C$12, 100%, $E$12)</f>
        <v>18.420100000000001</v>
      </c>
      <c r="J577" s="61">
        <f>10.9357 * CHOOSE(CONTROL!$C$21, $C$12, 100%, $E$12)</f>
        <v>10.935700000000001</v>
      </c>
      <c r="K577" s="61">
        <f>10.9359 * CHOOSE(CONTROL!$C$21, $C$12, 100%, $E$12)</f>
        <v>10.9359</v>
      </c>
    </row>
    <row r="578" spans="1:11" ht="15">
      <c r="A578" s="13">
        <v>59476</v>
      </c>
      <c r="B578" s="60">
        <f>9.3802 * CHOOSE(CONTROL!$C$21, $C$12, 100%, $E$12)</f>
        <v>9.3802000000000003</v>
      </c>
      <c r="C578" s="60">
        <f>9.3802 * CHOOSE(CONTROL!$C$21, $C$12, 100%, $E$12)</f>
        <v>9.3802000000000003</v>
      </c>
      <c r="D578" s="60">
        <f>9.3907 * CHOOSE(CONTROL!$C$21, $C$12, 100%, $E$12)</f>
        <v>9.3907000000000007</v>
      </c>
      <c r="E578" s="61">
        <f>10.9627 * CHOOSE(CONTROL!$C$21, $C$12, 100%, $E$12)</f>
        <v>10.9627</v>
      </c>
      <c r="F578" s="61">
        <f>10.9627 * CHOOSE(CONTROL!$C$21, $C$12, 100%, $E$12)</f>
        <v>10.9627</v>
      </c>
      <c r="G578" s="61">
        <f>10.9629 * CHOOSE(CONTROL!$C$21, $C$12, 100%, $E$12)</f>
        <v>10.962899999999999</v>
      </c>
      <c r="H578" s="61">
        <f>18.4583* CHOOSE(CONTROL!$C$21, $C$12, 100%, $E$12)</f>
        <v>18.458300000000001</v>
      </c>
      <c r="I578" s="61">
        <f>18.4584 * CHOOSE(CONTROL!$C$21, $C$12, 100%, $E$12)</f>
        <v>18.458400000000001</v>
      </c>
      <c r="J578" s="61">
        <f>10.9627 * CHOOSE(CONTROL!$C$21, $C$12, 100%, $E$12)</f>
        <v>10.9627</v>
      </c>
      <c r="K578" s="61">
        <f>10.9629 * CHOOSE(CONTROL!$C$21, $C$12, 100%, $E$12)</f>
        <v>10.962899999999999</v>
      </c>
    </row>
    <row r="579" spans="1:11" ht="15">
      <c r="A579" s="13">
        <v>59506</v>
      </c>
      <c r="B579" s="60">
        <f>9.3802 * CHOOSE(CONTROL!$C$21, $C$12, 100%, $E$12)</f>
        <v>9.3802000000000003</v>
      </c>
      <c r="C579" s="60">
        <f>9.3802 * CHOOSE(CONTROL!$C$21, $C$12, 100%, $E$12)</f>
        <v>9.3802000000000003</v>
      </c>
      <c r="D579" s="60">
        <f>9.3907 * CHOOSE(CONTROL!$C$21, $C$12, 100%, $E$12)</f>
        <v>9.3907000000000007</v>
      </c>
      <c r="E579" s="61">
        <f>10.9005 * CHOOSE(CONTROL!$C$21, $C$12, 100%, $E$12)</f>
        <v>10.900499999999999</v>
      </c>
      <c r="F579" s="61">
        <f>10.9005 * CHOOSE(CONTROL!$C$21, $C$12, 100%, $E$12)</f>
        <v>10.900499999999999</v>
      </c>
      <c r="G579" s="61">
        <f>10.9007 * CHOOSE(CONTROL!$C$21, $C$12, 100%, $E$12)</f>
        <v>10.900700000000001</v>
      </c>
      <c r="H579" s="61">
        <f>18.4967* CHOOSE(CONTROL!$C$21, $C$12, 100%, $E$12)</f>
        <v>18.496700000000001</v>
      </c>
      <c r="I579" s="61">
        <f>18.4969 * CHOOSE(CONTROL!$C$21, $C$12, 100%, $E$12)</f>
        <v>18.4969</v>
      </c>
      <c r="J579" s="61">
        <f>10.9005 * CHOOSE(CONTROL!$C$21, $C$12, 100%, $E$12)</f>
        <v>10.900499999999999</v>
      </c>
      <c r="K579" s="61">
        <f>10.9007 * CHOOSE(CONTROL!$C$21, $C$12, 100%, $E$12)</f>
        <v>10.900700000000001</v>
      </c>
    </row>
    <row r="580" spans="1:11" ht="15">
      <c r="A580" s="13">
        <v>59537</v>
      </c>
      <c r="B580" s="60">
        <f>9.4557 * CHOOSE(CONTROL!$C$21, $C$12, 100%, $E$12)</f>
        <v>9.4557000000000002</v>
      </c>
      <c r="C580" s="60">
        <f>9.4557 * CHOOSE(CONTROL!$C$21, $C$12, 100%, $E$12)</f>
        <v>9.4557000000000002</v>
      </c>
      <c r="D580" s="60">
        <f>9.4663 * CHOOSE(CONTROL!$C$21, $C$12, 100%, $E$12)</f>
        <v>9.4663000000000004</v>
      </c>
      <c r="E580" s="61">
        <f>11.0338 * CHOOSE(CONTROL!$C$21, $C$12, 100%, $E$12)</f>
        <v>11.033799999999999</v>
      </c>
      <c r="F580" s="61">
        <f>11.0338 * CHOOSE(CONTROL!$C$21, $C$12, 100%, $E$12)</f>
        <v>11.033799999999999</v>
      </c>
      <c r="G580" s="61">
        <f>11.034 * CHOOSE(CONTROL!$C$21, $C$12, 100%, $E$12)</f>
        <v>11.034000000000001</v>
      </c>
      <c r="H580" s="61">
        <f>18.524* CHOOSE(CONTROL!$C$21, $C$12, 100%, $E$12)</f>
        <v>18.524000000000001</v>
      </c>
      <c r="I580" s="61">
        <f>18.5242 * CHOOSE(CONTROL!$C$21, $C$12, 100%, $E$12)</f>
        <v>18.5242</v>
      </c>
      <c r="J580" s="61">
        <f>11.0338 * CHOOSE(CONTROL!$C$21, $C$12, 100%, $E$12)</f>
        <v>11.033799999999999</v>
      </c>
      <c r="K580" s="61">
        <f>11.034 * CHOOSE(CONTROL!$C$21, $C$12, 100%, $E$12)</f>
        <v>11.034000000000001</v>
      </c>
    </row>
    <row r="581" spans="1:11" ht="15">
      <c r="A581" s="13">
        <v>59568</v>
      </c>
      <c r="B581" s="60">
        <f>9.4527 * CHOOSE(CONTROL!$C$21, $C$12, 100%, $E$12)</f>
        <v>9.4527000000000001</v>
      </c>
      <c r="C581" s="60">
        <f>9.4527 * CHOOSE(CONTROL!$C$21, $C$12, 100%, $E$12)</f>
        <v>9.4527000000000001</v>
      </c>
      <c r="D581" s="60">
        <f>9.4633 * CHOOSE(CONTROL!$C$21, $C$12, 100%, $E$12)</f>
        <v>9.4633000000000003</v>
      </c>
      <c r="E581" s="61">
        <f>10.9111 * CHOOSE(CONTROL!$C$21, $C$12, 100%, $E$12)</f>
        <v>10.911099999999999</v>
      </c>
      <c r="F581" s="61">
        <f>10.9111 * CHOOSE(CONTROL!$C$21, $C$12, 100%, $E$12)</f>
        <v>10.911099999999999</v>
      </c>
      <c r="G581" s="61">
        <f>10.9113 * CHOOSE(CONTROL!$C$21, $C$12, 100%, $E$12)</f>
        <v>10.911300000000001</v>
      </c>
      <c r="H581" s="61">
        <f>18.5626* CHOOSE(CONTROL!$C$21, $C$12, 100%, $E$12)</f>
        <v>18.5626</v>
      </c>
      <c r="I581" s="61">
        <f>18.5628 * CHOOSE(CONTROL!$C$21, $C$12, 100%, $E$12)</f>
        <v>18.562799999999999</v>
      </c>
      <c r="J581" s="61">
        <f>10.9111 * CHOOSE(CONTROL!$C$21, $C$12, 100%, $E$12)</f>
        <v>10.911099999999999</v>
      </c>
      <c r="K581" s="61">
        <f>10.9113 * CHOOSE(CONTROL!$C$21, $C$12, 100%, $E$12)</f>
        <v>10.911300000000001</v>
      </c>
    </row>
    <row r="582" spans="1:11" ht="15">
      <c r="A582" s="13">
        <v>59596</v>
      </c>
      <c r="B582" s="60">
        <f>9.4497 * CHOOSE(CONTROL!$C$21, $C$12, 100%, $E$12)</f>
        <v>9.4497</v>
      </c>
      <c r="C582" s="60">
        <f>9.4497 * CHOOSE(CONTROL!$C$21, $C$12, 100%, $E$12)</f>
        <v>9.4497</v>
      </c>
      <c r="D582" s="60">
        <f>9.4602 * CHOOSE(CONTROL!$C$21, $C$12, 100%, $E$12)</f>
        <v>9.4602000000000004</v>
      </c>
      <c r="E582" s="61">
        <f>11.0041 * CHOOSE(CONTROL!$C$21, $C$12, 100%, $E$12)</f>
        <v>11.004099999999999</v>
      </c>
      <c r="F582" s="61">
        <f>11.0041 * CHOOSE(CONTROL!$C$21, $C$12, 100%, $E$12)</f>
        <v>11.004099999999999</v>
      </c>
      <c r="G582" s="61">
        <f>11.0042 * CHOOSE(CONTROL!$C$21, $C$12, 100%, $E$12)</f>
        <v>11.004200000000001</v>
      </c>
      <c r="H582" s="61">
        <f>18.6012* CHOOSE(CONTROL!$C$21, $C$12, 100%, $E$12)</f>
        <v>18.601199999999999</v>
      </c>
      <c r="I582" s="61">
        <f>18.6014 * CHOOSE(CONTROL!$C$21, $C$12, 100%, $E$12)</f>
        <v>18.601400000000002</v>
      </c>
      <c r="J582" s="61">
        <f>11.0041 * CHOOSE(CONTROL!$C$21, $C$12, 100%, $E$12)</f>
        <v>11.004099999999999</v>
      </c>
      <c r="K582" s="61">
        <f>11.0042 * CHOOSE(CONTROL!$C$21, $C$12, 100%, $E$12)</f>
        <v>11.004200000000001</v>
      </c>
    </row>
    <row r="583" spans="1:11" ht="15">
      <c r="A583" s="13">
        <v>59627</v>
      </c>
      <c r="B583" s="60">
        <f>9.452 * CHOOSE(CONTROL!$C$21, $C$12, 100%, $E$12)</f>
        <v>9.452</v>
      </c>
      <c r="C583" s="60">
        <f>9.452 * CHOOSE(CONTROL!$C$21, $C$12, 100%, $E$12)</f>
        <v>9.452</v>
      </c>
      <c r="D583" s="60">
        <f>9.4626 * CHOOSE(CONTROL!$C$21, $C$12, 100%, $E$12)</f>
        <v>9.4626000000000001</v>
      </c>
      <c r="E583" s="61">
        <f>11.102 * CHOOSE(CONTROL!$C$21, $C$12, 100%, $E$12)</f>
        <v>11.102</v>
      </c>
      <c r="F583" s="61">
        <f>11.102 * CHOOSE(CONTROL!$C$21, $C$12, 100%, $E$12)</f>
        <v>11.102</v>
      </c>
      <c r="G583" s="61">
        <f>11.1022 * CHOOSE(CONTROL!$C$21, $C$12, 100%, $E$12)</f>
        <v>11.1022</v>
      </c>
      <c r="H583" s="61">
        <f>18.64* CHOOSE(CONTROL!$C$21, $C$12, 100%, $E$12)</f>
        <v>18.64</v>
      </c>
      <c r="I583" s="61">
        <f>18.6402 * CHOOSE(CONTROL!$C$21, $C$12, 100%, $E$12)</f>
        <v>18.6402</v>
      </c>
      <c r="J583" s="61">
        <f>11.102 * CHOOSE(CONTROL!$C$21, $C$12, 100%, $E$12)</f>
        <v>11.102</v>
      </c>
      <c r="K583" s="61">
        <f>11.1022 * CHOOSE(CONTROL!$C$21, $C$12, 100%, $E$12)</f>
        <v>11.1022</v>
      </c>
    </row>
    <row r="584" spans="1:11" ht="15">
      <c r="A584" s="13">
        <v>59657</v>
      </c>
      <c r="B584" s="60">
        <f>9.452 * CHOOSE(CONTROL!$C$21, $C$12, 100%, $E$12)</f>
        <v>9.452</v>
      </c>
      <c r="C584" s="60">
        <f>9.452 * CHOOSE(CONTROL!$C$21, $C$12, 100%, $E$12)</f>
        <v>9.452</v>
      </c>
      <c r="D584" s="60">
        <f>9.4732 * CHOOSE(CONTROL!$C$21, $C$12, 100%, $E$12)</f>
        <v>9.4732000000000003</v>
      </c>
      <c r="E584" s="61">
        <f>11.1403 * CHOOSE(CONTROL!$C$21, $C$12, 100%, $E$12)</f>
        <v>11.1403</v>
      </c>
      <c r="F584" s="61">
        <f>11.1403 * CHOOSE(CONTROL!$C$21, $C$12, 100%, $E$12)</f>
        <v>11.1403</v>
      </c>
      <c r="G584" s="61">
        <f>11.1417 * CHOOSE(CONTROL!$C$21, $C$12, 100%, $E$12)</f>
        <v>11.1417</v>
      </c>
      <c r="H584" s="61">
        <f>18.6788* CHOOSE(CONTROL!$C$21, $C$12, 100%, $E$12)</f>
        <v>18.678799999999999</v>
      </c>
      <c r="I584" s="61">
        <f>18.6802 * CHOOSE(CONTROL!$C$21, $C$12, 100%, $E$12)</f>
        <v>18.680199999999999</v>
      </c>
      <c r="J584" s="61">
        <f>11.1403 * CHOOSE(CONTROL!$C$21, $C$12, 100%, $E$12)</f>
        <v>11.1403</v>
      </c>
      <c r="K584" s="61">
        <f>11.1417 * CHOOSE(CONTROL!$C$21, $C$12, 100%, $E$12)</f>
        <v>11.1417</v>
      </c>
    </row>
    <row r="585" spans="1:11" ht="15">
      <c r="A585" s="13">
        <v>59688</v>
      </c>
      <c r="B585" s="60">
        <f>9.4581 * CHOOSE(CONTROL!$C$21, $C$12, 100%, $E$12)</f>
        <v>9.4581</v>
      </c>
      <c r="C585" s="60">
        <f>9.4581 * CHOOSE(CONTROL!$C$21, $C$12, 100%, $E$12)</f>
        <v>9.4581</v>
      </c>
      <c r="D585" s="60">
        <f>9.4793 * CHOOSE(CONTROL!$C$21, $C$12, 100%, $E$12)</f>
        <v>9.4793000000000003</v>
      </c>
      <c r="E585" s="61">
        <f>11.1062 * CHOOSE(CONTROL!$C$21, $C$12, 100%, $E$12)</f>
        <v>11.106199999999999</v>
      </c>
      <c r="F585" s="61">
        <f>11.1062 * CHOOSE(CONTROL!$C$21, $C$12, 100%, $E$12)</f>
        <v>11.106199999999999</v>
      </c>
      <c r="G585" s="61">
        <f>11.1076 * CHOOSE(CONTROL!$C$21, $C$12, 100%, $E$12)</f>
        <v>11.1076</v>
      </c>
      <c r="H585" s="61">
        <f>18.7177* CHOOSE(CONTROL!$C$21, $C$12, 100%, $E$12)</f>
        <v>18.717700000000001</v>
      </c>
      <c r="I585" s="61">
        <f>18.7191 * CHOOSE(CONTROL!$C$21, $C$12, 100%, $E$12)</f>
        <v>18.719100000000001</v>
      </c>
      <c r="J585" s="61">
        <f>11.1062 * CHOOSE(CONTROL!$C$21, $C$12, 100%, $E$12)</f>
        <v>11.106199999999999</v>
      </c>
      <c r="K585" s="61">
        <f>11.1076 * CHOOSE(CONTROL!$C$21, $C$12, 100%, $E$12)</f>
        <v>11.1076</v>
      </c>
    </row>
    <row r="586" spans="1:11" ht="15">
      <c r="A586" s="13">
        <v>59718</v>
      </c>
      <c r="B586" s="60">
        <f>9.6097 * CHOOSE(CONTROL!$C$21, $C$12, 100%, $E$12)</f>
        <v>9.6097000000000001</v>
      </c>
      <c r="C586" s="60">
        <f>9.6097 * CHOOSE(CONTROL!$C$21, $C$12, 100%, $E$12)</f>
        <v>9.6097000000000001</v>
      </c>
      <c r="D586" s="60">
        <f>9.6308 * CHOOSE(CONTROL!$C$21, $C$12, 100%, $E$12)</f>
        <v>9.6308000000000007</v>
      </c>
      <c r="E586" s="61">
        <f>11.321 * CHOOSE(CONTROL!$C$21, $C$12, 100%, $E$12)</f>
        <v>11.321</v>
      </c>
      <c r="F586" s="61">
        <f>11.321 * CHOOSE(CONTROL!$C$21, $C$12, 100%, $E$12)</f>
        <v>11.321</v>
      </c>
      <c r="G586" s="61">
        <f>11.3224 * CHOOSE(CONTROL!$C$21, $C$12, 100%, $E$12)</f>
        <v>11.3224</v>
      </c>
      <c r="H586" s="61">
        <f>18.7567* CHOOSE(CONTROL!$C$21, $C$12, 100%, $E$12)</f>
        <v>18.756699999999999</v>
      </c>
      <c r="I586" s="61">
        <f>18.7581 * CHOOSE(CONTROL!$C$21, $C$12, 100%, $E$12)</f>
        <v>18.758099999999999</v>
      </c>
      <c r="J586" s="61">
        <f>11.321 * CHOOSE(CONTROL!$C$21, $C$12, 100%, $E$12)</f>
        <v>11.321</v>
      </c>
      <c r="K586" s="61">
        <f>11.3224 * CHOOSE(CONTROL!$C$21, $C$12, 100%, $E$12)</f>
        <v>11.3224</v>
      </c>
    </row>
    <row r="587" spans="1:11" ht="15">
      <c r="A587" s="13">
        <v>59749</v>
      </c>
      <c r="B587" s="60">
        <f>9.6164 * CHOOSE(CONTROL!$C$21, $C$12, 100%, $E$12)</f>
        <v>9.6164000000000005</v>
      </c>
      <c r="C587" s="60">
        <f>9.6164 * CHOOSE(CONTROL!$C$21, $C$12, 100%, $E$12)</f>
        <v>9.6164000000000005</v>
      </c>
      <c r="D587" s="60">
        <f>9.6375 * CHOOSE(CONTROL!$C$21, $C$12, 100%, $E$12)</f>
        <v>9.6374999999999993</v>
      </c>
      <c r="E587" s="61">
        <f>11.2108 * CHOOSE(CONTROL!$C$21, $C$12, 100%, $E$12)</f>
        <v>11.210800000000001</v>
      </c>
      <c r="F587" s="61">
        <f>11.2108 * CHOOSE(CONTROL!$C$21, $C$12, 100%, $E$12)</f>
        <v>11.210800000000001</v>
      </c>
      <c r="G587" s="61">
        <f>11.2122 * CHOOSE(CONTROL!$C$21, $C$12, 100%, $E$12)</f>
        <v>11.212199999999999</v>
      </c>
      <c r="H587" s="61">
        <f>18.7958* CHOOSE(CONTROL!$C$21, $C$12, 100%, $E$12)</f>
        <v>18.7958</v>
      </c>
      <c r="I587" s="61">
        <f>18.7972 * CHOOSE(CONTROL!$C$21, $C$12, 100%, $E$12)</f>
        <v>18.7972</v>
      </c>
      <c r="J587" s="61">
        <f>11.2108 * CHOOSE(CONTROL!$C$21, $C$12, 100%, $E$12)</f>
        <v>11.210800000000001</v>
      </c>
      <c r="K587" s="61">
        <f>11.2122 * CHOOSE(CONTROL!$C$21, $C$12, 100%, $E$12)</f>
        <v>11.212199999999999</v>
      </c>
    </row>
    <row r="588" spans="1:11" ht="15">
      <c r="A588" s="13">
        <v>59780</v>
      </c>
      <c r="B588" s="60">
        <f>9.6134 * CHOOSE(CONTROL!$C$21, $C$12, 100%, $E$12)</f>
        <v>9.6134000000000004</v>
      </c>
      <c r="C588" s="60">
        <f>9.6134 * CHOOSE(CONTROL!$C$21, $C$12, 100%, $E$12)</f>
        <v>9.6134000000000004</v>
      </c>
      <c r="D588" s="60">
        <f>9.6345 * CHOOSE(CONTROL!$C$21, $C$12, 100%, $E$12)</f>
        <v>9.6344999999999992</v>
      </c>
      <c r="E588" s="61">
        <f>11.1959 * CHOOSE(CONTROL!$C$21, $C$12, 100%, $E$12)</f>
        <v>11.1959</v>
      </c>
      <c r="F588" s="61">
        <f>11.1959 * CHOOSE(CONTROL!$C$21, $C$12, 100%, $E$12)</f>
        <v>11.1959</v>
      </c>
      <c r="G588" s="61">
        <f>11.1973 * CHOOSE(CONTROL!$C$21, $C$12, 100%, $E$12)</f>
        <v>11.1973</v>
      </c>
      <c r="H588" s="61">
        <f>18.835* CHOOSE(CONTROL!$C$21, $C$12, 100%, $E$12)</f>
        <v>18.835000000000001</v>
      </c>
      <c r="I588" s="61">
        <f>18.8364 * CHOOSE(CONTROL!$C$21, $C$12, 100%, $E$12)</f>
        <v>18.836400000000001</v>
      </c>
      <c r="J588" s="61">
        <f>11.1959 * CHOOSE(CONTROL!$C$21, $C$12, 100%, $E$12)</f>
        <v>11.1959</v>
      </c>
      <c r="K588" s="61">
        <f>11.1973 * CHOOSE(CONTROL!$C$21, $C$12, 100%, $E$12)</f>
        <v>11.1973</v>
      </c>
    </row>
    <row r="589" spans="1:11" ht="15">
      <c r="A589" s="13">
        <v>59810</v>
      </c>
      <c r="B589" s="60">
        <f>9.6271 * CHOOSE(CONTROL!$C$21, $C$12, 100%, $E$12)</f>
        <v>9.6271000000000004</v>
      </c>
      <c r="C589" s="60">
        <f>9.6271 * CHOOSE(CONTROL!$C$21, $C$12, 100%, $E$12)</f>
        <v>9.6271000000000004</v>
      </c>
      <c r="D589" s="60">
        <f>9.6377 * CHOOSE(CONTROL!$C$21, $C$12, 100%, $E$12)</f>
        <v>9.6377000000000006</v>
      </c>
      <c r="E589" s="61">
        <f>11.2336 * CHOOSE(CONTROL!$C$21, $C$12, 100%, $E$12)</f>
        <v>11.233599999999999</v>
      </c>
      <c r="F589" s="61">
        <f>11.2336 * CHOOSE(CONTROL!$C$21, $C$12, 100%, $E$12)</f>
        <v>11.233599999999999</v>
      </c>
      <c r="G589" s="61">
        <f>11.2337 * CHOOSE(CONTROL!$C$21, $C$12, 100%, $E$12)</f>
        <v>11.233700000000001</v>
      </c>
      <c r="H589" s="61">
        <f>18.8742* CHOOSE(CONTROL!$C$21, $C$12, 100%, $E$12)</f>
        <v>18.874199999999998</v>
      </c>
      <c r="I589" s="61">
        <f>18.8744 * CHOOSE(CONTROL!$C$21, $C$12, 100%, $E$12)</f>
        <v>18.874400000000001</v>
      </c>
      <c r="J589" s="61">
        <f>11.2336 * CHOOSE(CONTROL!$C$21, $C$12, 100%, $E$12)</f>
        <v>11.233599999999999</v>
      </c>
      <c r="K589" s="61">
        <f>11.2337 * CHOOSE(CONTROL!$C$21, $C$12, 100%, $E$12)</f>
        <v>11.233700000000001</v>
      </c>
    </row>
    <row r="590" spans="1:11" ht="15">
      <c r="A590" s="13">
        <v>59841</v>
      </c>
      <c r="B590" s="60">
        <f>9.6302 * CHOOSE(CONTROL!$C$21, $C$12, 100%, $E$12)</f>
        <v>9.6302000000000003</v>
      </c>
      <c r="C590" s="60">
        <f>9.6302 * CHOOSE(CONTROL!$C$21, $C$12, 100%, $E$12)</f>
        <v>9.6302000000000003</v>
      </c>
      <c r="D590" s="60">
        <f>9.6407 * CHOOSE(CONTROL!$C$21, $C$12, 100%, $E$12)</f>
        <v>9.6407000000000007</v>
      </c>
      <c r="E590" s="61">
        <f>11.2612 * CHOOSE(CONTROL!$C$21, $C$12, 100%, $E$12)</f>
        <v>11.261200000000001</v>
      </c>
      <c r="F590" s="61">
        <f>11.2612 * CHOOSE(CONTROL!$C$21, $C$12, 100%, $E$12)</f>
        <v>11.261200000000001</v>
      </c>
      <c r="G590" s="61">
        <f>11.2614 * CHOOSE(CONTROL!$C$21, $C$12, 100%, $E$12)</f>
        <v>11.2614</v>
      </c>
      <c r="H590" s="61">
        <f>18.9135* CHOOSE(CONTROL!$C$21, $C$12, 100%, $E$12)</f>
        <v>18.913499999999999</v>
      </c>
      <c r="I590" s="61">
        <f>18.9137 * CHOOSE(CONTROL!$C$21, $C$12, 100%, $E$12)</f>
        <v>18.913699999999999</v>
      </c>
      <c r="J590" s="61">
        <f>11.2612 * CHOOSE(CONTROL!$C$21, $C$12, 100%, $E$12)</f>
        <v>11.261200000000001</v>
      </c>
      <c r="K590" s="61">
        <f>11.2614 * CHOOSE(CONTROL!$C$21, $C$12, 100%, $E$12)</f>
        <v>11.2614</v>
      </c>
    </row>
    <row r="591" spans="1:11" ht="15">
      <c r="A591" s="13">
        <v>59871</v>
      </c>
      <c r="B591" s="60">
        <f>9.6302 * CHOOSE(CONTROL!$C$21, $C$12, 100%, $E$12)</f>
        <v>9.6302000000000003</v>
      </c>
      <c r="C591" s="60">
        <f>9.6302 * CHOOSE(CONTROL!$C$21, $C$12, 100%, $E$12)</f>
        <v>9.6302000000000003</v>
      </c>
      <c r="D591" s="60">
        <f>9.6407 * CHOOSE(CONTROL!$C$21, $C$12, 100%, $E$12)</f>
        <v>9.6407000000000007</v>
      </c>
      <c r="E591" s="61">
        <f>11.1974 * CHOOSE(CONTROL!$C$21, $C$12, 100%, $E$12)</f>
        <v>11.1974</v>
      </c>
      <c r="F591" s="61">
        <f>11.1974 * CHOOSE(CONTROL!$C$21, $C$12, 100%, $E$12)</f>
        <v>11.1974</v>
      </c>
      <c r="G591" s="61">
        <f>11.1976 * CHOOSE(CONTROL!$C$21, $C$12, 100%, $E$12)</f>
        <v>11.1976</v>
      </c>
      <c r="H591" s="61">
        <f>18.9529* CHOOSE(CONTROL!$C$21, $C$12, 100%, $E$12)</f>
        <v>18.9529</v>
      </c>
      <c r="I591" s="61">
        <f>18.9531 * CHOOSE(CONTROL!$C$21, $C$12, 100%, $E$12)</f>
        <v>18.953099999999999</v>
      </c>
      <c r="J591" s="61">
        <f>11.1974 * CHOOSE(CONTROL!$C$21, $C$12, 100%, $E$12)</f>
        <v>11.1974</v>
      </c>
      <c r="K591" s="61">
        <f>11.1976 * CHOOSE(CONTROL!$C$21, $C$12, 100%, $E$12)</f>
        <v>11.1976</v>
      </c>
    </row>
    <row r="592" spans="1:11" ht="15">
      <c r="A592" s="13">
        <v>59902</v>
      </c>
      <c r="B592" s="60">
        <f>9.7011 * CHOOSE(CONTROL!$C$21, $C$12, 100%, $E$12)</f>
        <v>9.7011000000000003</v>
      </c>
      <c r="C592" s="60">
        <f>9.7011 * CHOOSE(CONTROL!$C$21, $C$12, 100%, $E$12)</f>
        <v>9.7011000000000003</v>
      </c>
      <c r="D592" s="60">
        <f>9.7116 * CHOOSE(CONTROL!$C$21, $C$12, 100%, $E$12)</f>
        <v>9.7116000000000007</v>
      </c>
      <c r="E592" s="61">
        <f>11.3263 * CHOOSE(CONTROL!$C$21, $C$12, 100%, $E$12)</f>
        <v>11.3263</v>
      </c>
      <c r="F592" s="61">
        <f>11.3263 * CHOOSE(CONTROL!$C$21, $C$12, 100%, $E$12)</f>
        <v>11.3263</v>
      </c>
      <c r="G592" s="61">
        <f>11.3264 * CHOOSE(CONTROL!$C$21, $C$12, 100%, $E$12)</f>
        <v>11.3264</v>
      </c>
      <c r="H592" s="61">
        <f>18.9699* CHOOSE(CONTROL!$C$21, $C$12, 100%, $E$12)</f>
        <v>18.969899999999999</v>
      </c>
      <c r="I592" s="61">
        <f>18.97 * CHOOSE(CONTROL!$C$21, $C$12, 100%, $E$12)</f>
        <v>18.97</v>
      </c>
      <c r="J592" s="61">
        <f>11.3263 * CHOOSE(CONTROL!$C$21, $C$12, 100%, $E$12)</f>
        <v>11.3263</v>
      </c>
      <c r="K592" s="61">
        <f>11.3264 * CHOOSE(CONTROL!$C$21, $C$12, 100%, $E$12)</f>
        <v>11.3264</v>
      </c>
    </row>
    <row r="593" spans="1:11" ht="15">
      <c r="A593" s="13">
        <v>59933</v>
      </c>
      <c r="B593" s="60">
        <f>9.698 * CHOOSE(CONTROL!$C$21, $C$12, 100%, $E$12)</f>
        <v>9.6980000000000004</v>
      </c>
      <c r="C593" s="60">
        <f>9.698 * CHOOSE(CONTROL!$C$21, $C$12, 100%, $E$12)</f>
        <v>9.6980000000000004</v>
      </c>
      <c r="D593" s="60">
        <f>9.7086 * CHOOSE(CONTROL!$C$21, $C$12, 100%, $E$12)</f>
        <v>9.7086000000000006</v>
      </c>
      <c r="E593" s="61">
        <f>11.2003 * CHOOSE(CONTROL!$C$21, $C$12, 100%, $E$12)</f>
        <v>11.2003</v>
      </c>
      <c r="F593" s="61">
        <f>11.2003 * CHOOSE(CONTROL!$C$21, $C$12, 100%, $E$12)</f>
        <v>11.2003</v>
      </c>
      <c r="G593" s="61">
        <f>11.2005 * CHOOSE(CONTROL!$C$21, $C$12, 100%, $E$12)</f>
        <v>11.2005</v>
      </c>
      <c r="H593" s="61">
        <f>19.0094* CHOOSE(CONTROL!$C$21, $C$12, 100%, $E$12)</f>
        <v>19.009399999999999</v>
      </c>
      <c r="I593" s="61">
        <f>19.0096 * CHOOSE(CONTROL!$C$21, $C$12, 100%, $E$12)</f>
        <v>19.009599999999999</v>
      </c>
      <c r="J593" s="61">
        <f>11.2003 * CHOOSE(CONTROL!$C$21, $C$12, 100%, $E$12)</f>
        <v>11.2003</v>
      </c>
      <c r="K593" s="61">
        <f>11.2005 * CHOOSE(CONTROL!$C$21, $C$12, 100%, $E$12)</f>
        <v>11.2005</v>
      </c>
    </row>
    <row r="594" spans="1:11" ht="15">
      <c r="A594" s="13">
        <v>59962</v>
      </c>
      <c r="B594" s="60">
        <f>9.695 * CHOOSE(CONTROL!$C$21, $C$12, 100%, $E$12)</f>
        <v>9.6950000000000003</v>
      </c>
      <c r="C594" s="60">
        <f>9.695 * CHOOSE(CONTROL!$C$21, $C$12, 100%, $E$12)</f>
        <v>9.6950000000000003</v>
      </c>
      <c r="D594" s="60">
        <f>9.7056 * CHOOSE(CONTROL!$C$21, $C$12, 100%, $E$12)</f>
        <v>9.7056000000000004</v>
      </c>
      <c r="E594" s="61">
        <f>11.2958 * CHOOSE(CONTROL!$C$21, $C$12, 100%, $E$12)</f>
        <v>11.2958</v>
      </c>
      <c r="F594" s="61">
        <f>11.2958 * CHOOSE(CONTROL!$C$21, $C$12, 100%, $E$12)</f>
        <v>11.2958</v>
      </c>
      <c r="G594" s="61">
        <f>11.296 * CHOOSE(CONTROL!$C$21, $C$12, 100%, $E$12)</f>
        <v>11.295999999999999</v>
      </c>
      <c r="H594" s="61">
        <f>19.049* CHOOSE(CONTROL!$C$21, $C$12, 100%, $E$12)</f>
        <v>19.048999999999999</v>
      </c>
      <c r="I594" s="61">
        <f>19.0492 * CHOOSE(CONTROL!$C$21, $C$12, 100%, $E$12)</f>
        <v>19.049199999999999</v>
      </c>
      <c r="J594" s="61">
        <f>11.2958 * CHOOSE(CONTROL!$C$21, $C$12, 100%, $E$12)</f>
        <v>11.2958</v>
      </c>
      <c r="K594" s="61">
        <f>11.296 * CHOOSE(CONTROL!$C$21, $C$12, 100%, $E$12)</f>
        <v>11.295999999999999</v>
      </c>
    </row>
    <row r="595" spans="1:11" ht="15">
      <c r="A595" s="13">
        <v>59993</v>
      </c>
      <c r="B595" s="60">
        <f>9.6976 * CHOOSE(CONTROL!$C$21, $C$12, 100%, $E$12)</f>
        <v>9.6975999999999996</v>
      </c>
      <c r="C595" s="60">
        <f>9.6976 * CHOOSE(CONTROL!$C$21, $C$12, 100%, $E$12)</f>
        <v>9.6975999999999996</v>
      </c>
      <c r="D595" s="60">
        <f>9.7081 * CHOOSE(CONTROL!$C$21, $C$12, 100%, $E$12)</f>
        <v>9.7081</v>
      </c>
      <c r="E595" s="61">
        <f>11.3964 * CHOOSE(CONTROL!$C$21, $C$12, 100%, $E$12)</f>
        <v>11.3964</v>
      </c>
      <c r="F595" s="61">
        <f>11.3964 * CHOOSE(CONTROL!$C$21, $C$12, 100%, $E$12)</f>
        <v>11.3964</v>
      </c>
      <c r="G595" s="61">
        <f>11.3966 * CHOOSE(CONTROL!$C$21, $C$12, 100%, $E$12)</f>
        <v>11.396599999999999</v>
      </c>
      <c r="H595" s="61">
        <f>19.0887* CHOOSE(CONTROL!$C$21, $C$12, 100%, $E$12)</f>
        <v>19.088699999999999</v>
      </c>
      <c r="I595" s="61">
        <f>19.0889 * CHOOSE(CONTROL!$C$21, $C$12, 100%, $E$12)</f>
        <v>19.088899999999999</v>
      </c>
      <c r="J595" s="61">
        <f>11.3964 * CHOOSE(CONTROL!$C$21, $C$12, 100%, $E$12)</f>
        <v>11.3964</v>
      </c>
      <c r="K595" s="61">
        <f>11.3966 * CHOOSE(CONTROL!$C$21, $C$12, 100%, $E$12)</f>
        <v>11.396599999999999</v>
      </c>
    </row>
    <row r="596" spans="1:11" ht="15">
      <c r="A596" s="13">
        <v>60023</v>
      </c>
      <c r="B596" s="60">
        <f>9.6976 * CHOOSE(CONTROL!$C$21, $C$12, 100%, $E$12)</f>
        <v>9.6975999999999996</v>
      </c>
      <c r="C596" s="60">
        <f>9.6976 * CHOOSE(CONTROL!$C$21, $C$12, 100%, $E$12)</f>
        <v>9.6975999999999996</v>
      </c>
      <c r="D596" s="60">
        <f>9.7187 * CHOOSE(CONTROL!$C$21, $C$12, 100%, $E$12)</f>
        <v>9.7187000000000001</v>
      </c>
      <c r="E596" s="61">
        <f>11.4357 * CHOOSE(CONTROL!$C$21, $C$12, 100%, $E$12)</f>
        <v>11.435700000000001</v>
      </c>
      <c r="F596" s="61">
        <f>11.4357 * CHOOSE(CONTROL!$C$21, $C$12, 100%, $E$12)</f>
        <v>11.435700000000001</v>
      </c>
      <c r="G596" s="61">
        <f>11.4371 * CHOOSE(CONTROL!$C$21, $C$12, 100%, $E$12)</f>
        <v>11.437099999999999</v>
      </c>
      <c r="H596" s="61">
        <f>19.1284* CHOOSE(CONTROL!$C$21, $C$12, 100%, $E$12)</f>
        <v>19.128399999999999</v>
      </c>
      <c r="I596" s="61">
        <f>19.1298 * CHOOSE(CONTROL!$C$21, $C$12, 100%, $E$12)</f>
        <v>19.129799999999999</v>
      </c>
      <c r="J596" s="61">
        <f>11.4357 * CHOOSE(CONTROL!$C$21, $C$12, 100%, $E$12)</f>
        <v>11.435700000000001</v>
      </c>
      <c r="K596" s="61">
        <f>11.4371 * CHOOSE(CONTROL!$C$21, $C$12, 100%, $E$12)</f>
        <v>11.437099999999999</v>
      </c>
    </row>
    <row r="597" spans="1:11" ht="15">
      <c r="A597" s="13">
        <v>60054</v>
      </c>
      <c r="B597" s="60">
        <f>9.7037 * CHOOSE(CONTROL!$C$21, $C$12, 100%, $E$12)</f>
        <v>9.7036999999999995</v>
      </c>
      <c r="C597" s="60">
        <f>9.7037 * CHOOSE(CONTROL!$C$21, $C$12, 100%, $E$12)</f>
        <v>9.7036999999999995</v>
      </c>
      <c r="D597" s="60">
        <f>9.7248 * CHOOSE(CONTROL!$C$21, $C$12, 100%, $E$12)</f>
        <v>9.7248000000000001</v>
      </c>
      <c r="E597" s="61">
        <f>11.4007 * CHOOSE(CONTROL!$C$21, $C$12, 100%, $E$12)</f>
        <v>11.400700000000001</v>
      </c>
      <c r="F597" s="61">
        <f>11.4007 * CHOOSE(CONTROL!$C$21, $C$12, 100%, $E$12)</f>
        <v>11.400700000000001</v>
      </c>
      <c r="G597" s="61">
        <f>11.402 * CHOOSE(CONTROL!$C$21, $C$12, 100%, $E$12)</f>
        <v>11.401999999999999</v>
      </c>
      <c r="H597" s="61">
        <f>19.1683* CHOOSE(CONTROL!$C$21, $C$12, 100%, $E$12)</f>
        <v>19.168299999999999</v>
      </c>
      <c r="I597" s="61">
        <f>19.1697 * CHOOSE(CONTROL!$C$21, $C$12, 100%, $E$12)</f>
        <v>19.169699999999999</v>
      </c>
      <c r="J597" s="61">
        <f>11.4007 * CHOOSE(CONTROL!$C$21, $C$12, 100%, $E$12)</f>
        <v>11.400700000000001</v>
      </c>
      <c r="K597" s="61">
        <f>11.402 * CHOOSE(CONTROL!$C$21, $C$12, 100%, $E$12)</f>
        <v>11.401999999999999</v>
      </c>
    </row>
    <row r="598" spans="1:11" ht="15">
      <c r="A598" s="13">
        <v>60084</v>
      </c>
      <c r="B598" s="60">
        <f>9.8589 * CHOOSE(CONTROL!$C$21, $C$12, 100%, $E$12)</f>
        <v>9.8589000000000002</v>
      </c>
      <c r="C598" s="60">
        <f>9.8589 * CHOOSE(CONTROL!$C$21, $C$12, 100%, $E$12)</f>
        <v>9.8589000000000002</v>
      </c>
      <c r="D598" s="60">
        <f>9.8801 * CHOOSE(CONTROL!$C$21, $C$12, 100%, $E$12)</f>
        <v>9.8801000000000005</v>
      </c>
      <c r="E598" s="61">
        <f>11.6209 * CHOOSE(CONTROL!$C$21, $C$12, 100%, $E$12)</f>
        <v>11.620900000000001</v>
      </c>
      <c r="F598" s="61">
        <f>11.6209 * CHOOSE(CONTROL!$C$21, $C$12, 100%, $E$12)</f>
        <v>11.620900000000001</v>
      </c>
      <c r="G598" s="61">
        <f>11.6223 * CHOOSE(CONTROL!$C$21, $C$12, 100%, $E$12)</f>
        <v>11.622299999999999</v>
      </c>
      <c r="H598" s="61">
        <f>19.2082* CHOOSE(CONTROL!$C$21, $C$12, 100%, $E$12)</f>
        <v>19.208200000000001</v>
      </c>
      <c r="I598" s="61">
        <f>19.2096 * CHOOSE(CONTROL!$C$21, $C$12, 100%, $E$12)</f>
        <v>19.209599999999998</v>
      </c>
      <c r="J598" s="61">
        <f>11.6209 * CHOOSE(CONTROL!$C$21, $C$12, 100%, $E$12)</f>
        <v>11.620900000000001</v>
      </c>
      <c r="K598" s="61">
        <f>11.6223 * CHOOSE(CONTROL!$C$21, $C$12, 100%, $E$12)</f>
        <v>11.622299999999999</v>
      </c>
    </row>
    <row r="599" spans="1:11" ht="15">
      <c r="A599" s="13">
        <v>60115</v>
      </c>
      <c r="B599" s="60">
        <f>9.8656 * CHOOSE(CONTROL!$C$21, $C$12, 100%, $E$12)</f>
        <v>9.8656000000000006</v>
      </c>
      <c r="C599" s="60">
        <f>9.8656 * CHOOSE(CONTROL!$C$21, $C$12, 100%, $E$12)</f>
        <v>9.8656000000000006</v>
      </c>
      <c r="D599" s="60">
        <f>9.8867 * CHOOSE(CONTROL!$C$21, $C$12, 100%, $E$12)</f>
        <v>9.8866999999999994</v>
      </c>
      <c r="E599" s="61">
        <f>11.5076 * CHOOSE(CONTROL!$C$21, $C$12, 100%, $E$12)</f>
        <v>11.5076</v>
      </c>
      <c r="F599" s="61">
        <f>11.5076 * CHOOSE(CONTROL!$C$21, $C$12, 100%, $E$12)</f>
        <v>11.5076</v>
      </c>
      <c r="G599" s="61">
        <f>11.509 * CHOOSE(CONTROL!$C$21, $C$12, 100%, $E$12)</f>
        <v>11.509</v>
      </c>
      <c r="H599" s="61">
        <f>19.2483* CHOOSE(CONTROL!$C$21, $C$12, 100%, $E$12)</f>
        <v>19.2483</v>
      </c>
      <c r="I599" s="61">
        <f>19.2496 * CHOOSE(CONTROL!$C$21, $C$12, 100%, $E$12)</f>
        <v>19.249600000000001</v>
      </c>
      <c r="J599" s="61">
        <f>11.5076 * CHOOSE(CONTROL!$C$21, $C$12, 100%, $E$12)</f>
        <v>11.5076</v>
      </c>
      <c r="K599" s="61">
        <f>11.509 * CHOOSE(CONTROL!$C$21, $C$12, 100%, $E$12)</f>
        <v>11.509</v>
      </c>
    </row>
    <row r="600" spans="1:11" ht="15">
      <c r="A600" s="13">
        <v>60146</v>
      </c>
      <c r="B600" s="60">
        <f>9.8626 * CHOOSE(CONTROL!$C$21, $C$12, 100%, $E$12)</f>
        <v>9.8626000000000005</v>
      </c>
      <c r="C600" s="60">
        <f>9.8626 * CHOOSE(CONTROL!$C$21, $C$12, 100%, $E$12)</f>
        <v>9.8626000000000005</v>
      </c>
      <c r="D600" s="60">
        <f>9.8837 * CHOOSE(CONTROL!$C$21, $C$12, 100%, $E$12)</f>
        <v>9.8836999999999993</v>
      </c>
      <c r="E600" s="61">
        <f>11.4924 * CHOOSE(CONTROL!$C$21, $C$12, 100%, $E$12)</f>
        <v>11.4924</v>
      </c>
      <c r="F600" s="61">
        <f>11.4924 * CHOOSE(CONTROL!$C$21, $C$12, 100%, $E$12)</f>
        <v>11.4924</v>
      </c>
      <c r="G600" s="61">
        <f>11.4938 * CHOOSE(CONTROL!$C$21, $C$12, 100%, $E$12)</f>
        <v>11.4938</v>
      </c>
      <c r="H600" s="61">
        <f>19.2884* CHOOSE(CONTROL!$C$21, $C$12, 100%, $E$12)</f>
        <v>19.288399999999999</v>
      </c>
      <c r="I600" s="61">
        <f>19.2897 * CHOOSE(CONTROL!$C$21, $C$12, 100%, $E$12)</f>
        <v>19.2897</v>
      </c>
      <c r="J600" s="61">
        <f>11.4924 * CHOOSE(CONTROL!$C$21, $C$12, 100%, $E$12)</f>
        <v>11.4924</v>
      </c>
      <c r="K600" s="61">
        <f>11.4938 * CHOOSE(CONTROL!$C$21, $C$12, 100%, $E$12)</f>
        <v>11.4938</v>
      </c>
    </row>
    <row r="601" spans="1:11" ht="15">
      <c r="A601" s="13">
        <v>60176</v>
      </c>
      <c r="B601" s="60">
        <f>9.8772 * CHOOSE(CONTROL!$C$21, $C$12, 100%, $E$12)</f>
        <v>9.8772000000000002</v>
      </c>
      <c r="C601" s="60">
        <f>9.8772 * CHOOSE(CONTROL!$C$21, $C$12, 100%, $E$12)</f>
        <v>9.8772000000000002</v>
      </c>
      <c r="D601" s="60">
        <f>9.8877 * CHOOSE(CONTROL!$C$21, $C$12, 100%, $E$12)</f>
        <v>9.8877000000000006</v>
      </c>
      <c r="E601" s="61">
        <f>11.5314 * CHOOSE(CONTROL!$C$21, $C$12, 100%, $E$12)</f>
        <v>11.5314</v>
      </c>
      <c r="F601" s="61">
        <f>11.5314 * CHOOSE(CONTROL!$C$21, $C$12, 100%, $E$12)</f>
        <v>11.5314</v>
      </c>
      <c r="G601" s="61">
        <f>11.5316 * CHOOSE(CONTROL!$C$21, $C$12, 100%, $E$12)</f>
        <v>11.531599999999999</v>
      </c>
      <c r="H601" s="61">
        <f>19.3285* CHOOSE(CONTROL!$C$21, $C$12, 100%, $E$12)</f>
        <v>19.328499999999998</v>
      </c>
      <c r="I601" s="61">
        <f>19.3287 * CHOOSE(CONTROL!$C$21, $C$12, 100%, $E$12)</f>
        <v>19.328700000000001</v>
      </c>
      <c r="J601" s="61">
        <f>11.5314 * CHOOSE(CONTROL!$C$21, $C$12, 100%, $E$12)</f>
        <v>11.5314</v>
      </c>
      <c r="K601" s="61">
        <f>11.5316 * CHOOSE(CONTROL!$C$21, $C$12, 100%, $E$12)</f>
        <v>11.531599999999999</v>
      </c>
    </row>
    <row r="602" spans="1:11" ht="15">
      <c r="A602" s="13">
        <v>60207</v>
      </c>
      <c r="B602" s="60">
        <f>9.8802 * CHOOSE(CONTROL!$C$21, $C$12, 100%, $E$12)</f>
        <v>9.8802000000000003</v>
      </c>
      <c r="C602" s="60">
        <f>9.8802 * CHOOSE(CONTROL!$C$21, $C$12, 100%, $E$12)</f>
        <v>9.8802000000000003</v>
      </c>
      <c r="D602" s="60">
        <f>9.8908 * CHOOSE(CONTROL!$C$21, $C$12, 100%, $E$12)</f>
        <v>9.8908000000000005</v>
      </c>
      <c r="E602" s="61">
        <f>11.5597 * CHOOSE(CONTROL!$C$21, $C$12, 100%, $E$12)</f>
        <v>11.559699999999999</v>
      </c>
      <c r="F602" s="61">
        <f>11.5597 * CHOOSE(CONTROL!$C$21, $C$12, 100%, $E$12)</f>
        <v>11.559699999999999</v>
      </c>
      <c r="G602" s="61">
        <f>11.5599 * CHOOSE(CONTROL!$C$21, $C$12, 100%, $E$12)</f>
        <v>11.559900000000001</v>
      </c>
      <c r="H602" s="61">
        <f>19.3688* CHOOSE(CONTROL!$C$21, $C$12, 100%, $E$12)</f>
        <v>19.3688</v>
      </c>
      <c r="I602" s="61">
        <f>19.369 * CHOOSE(CONTROL!$C$21, $C$12, 100%, $E$12)</f>
        <v>19.369</v>
      </c>
      <c r="J602" s="61">
        <f>11.5597 * CHOOSE(CONTROL!$C$21, $C$12, 100%, $E$12)</f>
        <v>11.559699999999999</v>
      </c>
      <c r="K602" s="61">
        <f>11.5599 * CHOOSE(CONTROL!$C$21, $C$12, 100%, $E$12)</f>
        <v>11.559900000000001</v>
      </c>
    </row>
    <row r="603" spans="1:11" ht="15">
      <c r="A603" s="13">
        <v>60237</v>
      </c>
      <c r="B603" s="60">
        <f>9.8802 * CHOOSE(CONTROL!$C$21, $C$12, 100%, $E$12)</f>
        <v>9.8802000000000003</v>
      </c>
      <c r="C603" s="60">
        <f>9.8802 * CHOOSE(CONTROL!$C$21, $C$12, 100%, $E$12)</f>
        <v>9.8802000000000003</v>
      </c>
      <c r="D603" s="60">
        <f>9.8908 * CHOOSE(CONTROL!$C$21, $C$12, 100%, $E$12)</f>
        <v>9.8908000000000005</v>
      </c>
      <c r="E603" s="61">
        <f>11.4942 * CHOOSE(CONTROL!$C$21, $C$12, 100%, $E$12)</f>
        <v>11.494199999999999</v>
      </c>
      <c r="F603" s="61">
        <f>11.4942 * CHOOSE(CONTROL!$C$21, $C$12, 100%, $E$12)</f>
        <v>11.494199999999999</v>
      </c>
      <c r="G603" s="61">
        <f>11.4944 * CHOOSE(CONTROL!$C$21, $C$12, 100%, $E$12)</f>
        <v>11.494400000000001</v>
      </c>
      <c r="H603" s="61">
        <f>19.4092* CHOOSE(CONTROL!$C$21, $C$12, 100%, $E$12)</f>
        <v>19.409199999999998</v>
      </c>
      <c r="I603" s="61">
        <f>19.4093 * CHOOSE(CONTROL!$C$21, $C$12, 100%, $E$12)</f>
        <v>19.409300000000002</v>
      </c>
      <c r="J603" s="61">
        <f>11.4942 * CHOOSE(CONTROL!$C$21, $C$12, 100%, $E$12)</f>
        <v>11.494199999999999</v>
      </c>
      <c r="K603" s="61">
        <f>11.4944 * CHOOSE(CONTROL!$C$21, $C$12, 100%, $E$12)</f>
        <v>11.494400000000001</v>
      </c>
    </row>
    <row r="604" spans="1:11" ht="15">
      <c r="A604" s="13">
        <v>60268</v>
      </c>
      <c r="B604" s="60">
        <f>9.9464 * CHOOSE(CONTROL!$C$21, $C$12, 100%, $E$12)</f>
        <v>9.9464000000000006</v>
      </c>
      <c r="C604" s="60">
        <f>9.9464 * CHOOSE(CONTROL!$C$21, $C$12, 100%, $E$12)</f>
        <v>9.9464000000000006</v>
      </c>
      <c r="D604" s="60">
        <f>9.9569 * CHOOSE(CONTROL!$C$21, $C$12, 100%, $E$12)</f>
        <v>9.9568999999999992</v>
      </c>
      <c r="E604" s="61">
        <f>11.6187 * CHOOSE(CONTROL!$C$21, $C$12, 100%, $E$12)</f>
        <v>11.6187</v>
      </c>
      <c r="F604" s="61">
        <f>11.6187 * CHOOSE(CONTROL!$C$21, $C$12, 100%, $E$12)</f>
        <v>11.6187</v>
      </c>
      <c r="G604" s="61">
        <f>11.6188 * CHOOSE(CONTROL!$C$21, $C$12, 100%, $E$12)</f>
        <v>11.6188</v>
      </c>
      <c r="H604" s="61">
        <f>19.4158* CHOOSE(CONTROL!$C$21, $C$12, 100%, $E$12)</f>
        <v>19.415800000000001</v>
      </c>
      <c r="I604" s="61">
        <f>19.4159 * CHOOSE(CONTROL!$C$21, $C$12, 100%, $E$12)</f>
        <v>19.415900000000001</v>
      </c>
      <c r="J604" s="61">
        <f>11.6187 * CHOOSE(CONTROL!$C$21, $C$12, 100%, $E$12)</f>
        <v>11.6187</v>
      </c>
      <c r="K604" s="61">
        <f>11.6188 * CHOOSE(CONTROL!$C$21, $C$12, 100%, $E$12)</f>
        <v>11.6188</v>
      </c>
    </row>
    <row r="605" spans="1:11" ht="15">
      <c r="A605" s="13">
        <v>60299</v>
      </c>
      <c r="B605" s="60">
        <f>9.9433 * CHOOSE(CONTROL!$C$21, $C$12, 100%, $E$12)</f>
        <v>9.9433000000000007</v>
      </c>
      <c r="C605" s="60">
        <f>9.9433 * CHOOSE(CONTROL!$C$21, $C$12, 100%, $E$12)</f>
        <v>9.9433000000000007</v>
      </c>
      <c r="D605" s="60">
        <f>9.9539 * CHOOSE(CONTROL!$C$21, $C$12, 100%, $E$12)</f>
        <v>9.9539000000000009</v>
      </c>
      <c r="E605" s="61">
        <f>11.4895 * CHOOSE(CONTROL!$C$21, $C$12, 100%, $E$12)</f>
        <v>11.4895</v>
      </c>
      <c r="F605" s="61">
        <f>11.4895 * CHOOSE(CONTROL!$C$21, $C$12, 100%, $E$12)</f>
        <v>11.4895</v>
      </c>
      <c r="G605" s="61">
        <f>11.4897 * CHOOSE(CONTROL!$C$21, $C$12, 100%, $E$12)</f>
        <v>11.489699999999999</v>
      </c>
      <c r="H605" s="61">
        <f>19.4562* CHOOSE(CONTROL!$C$21, $C$12, 100%, $E$12)</f>
        <v>19.456199999999999</v>
      </c>
      <c r="I605" s="61">
        <f>19.4564 * CHOOSE(CONTROL!$C$21, $C$12, 100%, $E$12)</f>
        <v>19.456399999999999</v>
      </c>
      <c r="J605" s="61">
        <f>11.4895 * CHOOSE(CONTROL!$C$21, $C$12, 100%, $E$12)</f>
        <v>11.4895</v>
      </c>
      <c r="K605" s="61">
        <f>11.4897 * CHOOSE(CONTROL!$C$21, $C$12, 100%, $E$12)</f>
        <v>11.489699999999999</v>
      </c>
    </row>
    <row r="606" spans="1:11" ht="15">
      <c r="A606" s="13">
        <v>60327</v>
      </c>
      <c r="B606" s="60">
        <f>9.9403 * CHOOSE(CONTROL!$C$21, $C$12, 100%, $E$12)</f>
        <v>9.9403000000000006</v>
      </c>
      <c r="C606" s="60">
        <f>9.9403 * CHOOSE(CONTROL!$C$21, $C$12, 100%, $E$12)</f>
        <v>9.9403000000000006</v>
      </c>
      <c r="D606" s="60">
        <f>9.9509 * CHOOSE(CONTROL!$C$21, $C$12, 100%, $E$12)</f>
        <v>9.9509000000000007</v>
      </c>
      <c r="E606" s="61">
        <f>11.5875 * CHOOSE(CONTROL!$C$21, $C$12, 100%, $E$12)</f>
        <v>11.5875</v>
      </c>
      <c r="F606" s="61">
        <f>11.5875 * CHOOSE(CONTROL!$C$21, $C$12, 100%, $E$12)</f>
        <v>11.5875</v>
      </c>
      <c r="G606" s="61">
        <f>11.5877 * CHOOSE(CONTROL!$C$21, $C$12, 100%, $E$12)</f>
        <v>11.5877</v>
      </c>
      <c r="H606" s="61">
        <f>19.4967* CHOOSE(CONTROL!$C$21, $C$12, 100%, $E$12)</f>
        <v>19.496700000000001</v>
      </c>
      <c r="I606" s="61">
        <f>19.4969 * CHOOSE(CONTROL!$C$21, $C$12, 100%, $E$12)</f>
        <v>19.4969</v>
      </c>
      <c r="J606" s="61">
        <f>11.5875 * CHOOSE(CONTROL!$C$21, $C$12, 100%, $E$12)</f>
        <v>11.5875</v>
      </c>
      <c r="K606" s="61">
        <f>11.5877 * CHOOSE(CONTROL!$C$21, $C$12, 100%, $E$12)</f>
        <v>11.5877</v>
      </c>
    </row>
    <row r="607" spans="1:11" ht="15">
      <c r="A607" s="13">
        <v>60358</v>
      </c>
      <c r="B607" s="60">
        <f>9.9431 * CHOOSE(CONTROL!$C$21, $C$12, 100%, $E$12)</f>
        <v>9.9430999999999994</v>
      </c>
      <c r="C607" s="60">
        <f>9.9431 * CHOOSE(CONTROL!$C$21, $C$12, 100%, $E$12)</f>
        <v>9.9430999999999994</v>
      </c>
      <c r="D607" s="60">
        <f>9.9537 * CHOOSE(CONTROL!$C$21, $C$12, 100%, $E$12)</f>
        <v>9.9536999999999995</v>
      </c>
      <c r="E607" s="61">
        <f>11.6909 * CHOOSE(CONTROL!$C$21, $C$12, 100%, $E$12)</f>
        <v>11.690899999999999</v>
      </c>
      <c r="F607" s="61">
        <f>11.6909 * CHOOSE(CONTROL!$C$21, $C$12, 100%, $E$12)</f>
        <v>11.690899999999999</v>
      </c>
      <c r="G607" s="61">
        <f>11.691 * CHOOSE(CONTROL!$C$21, $C$12, 100%, $E$12)</f>
        <v>11.691000000000001</v>
      </c>
      <c r="H607" s="61">
        <f>19.5374* CHOOSE(CONTROL!$C$21, $C$12, 100%, $E$12)</f>
        <v>19.537400000000002</v>
      </c>
      <c r="I607" s="61">
        <f>19.5375 * CHOOSE(CONTROL!$C$21, $C$12, 100%, $E$12)</f>
        <v>19.537500000000001</v>
      </c>
      <c r="J607" s="61">
        <f>11.6909 * CHOOSE(CONTROL!$C$21, $C$12, 100%, $E$12)</f>
        <v>11.690899999999999</v>
      </c>
      <c r="K607" s="61">
        <f>11.691 * CHOOSE(CONTROL!$C$21, $C$12, 100%, $E$12)</f>
        <v>11.691000000000001</v>
      </c>
    </row>
    <row r="608" spans="1:11" ht="15">
      <c r="A608" s="13">
        <v>60388</v>
      </c>
      <c r="B608" s="60">
        <f>9.9431 * CHOOSE(CONTROL!$C$21, $C$12, 100%, $E$12)</f>
        <v>9.9430999999999994</v>
      </c>
      <c r="C608" s="60">
        <f>9.9431 * CHOOSE(CONTROL!$C$21, $C$12, 100%, $E$12)</f>
        <v>9.9430999999999994</v>
      </c>
      <c r="D608" s="60">
        <f>9.9642 * CHOOSE(CONTROL!$C$21, $C$12, 100%, $E$12)</f>
        <v>9.9641999999999999</v>
      </c>
      <c r="E608" s="61">
        <f>11.7312 * CHOOSE(CONTROL!$C$21, $C$12, 100%, $E$12)</f>
        <v>11.731199999999999</v>
      </c>
      <c r="F608" s="61">
        <f>11.7312 * CHOOSE(CONTROL!$C$21, $C$12, 100%, $E$12)</f>
        <v>11.731199999999999</v>
      </c>
      <c r="G608" s="61">
        <f>11.7326 * CHOOSE(CONTROL!$C$21, $C$12, 100%, $E$12)</f>
        <v>11.7326</v>
      </c>
      <c r="H608" s="61">
        <f>19.5781* CHOOSE(CONTROL!$C$21, $C$12, 100%, $E$12)</f>
        <v>19.578099999999999</v>
      </c>
      <c r="I608" s="61">
        <f>19.5794 * CHOOSE(CONTROL!$C$21, $C$12, 100%, $E$12)</f>
        <v>19.5794</v>
      </c>
      <c r="J608" s="61">
        <f>11.7312 * CHOOSE(CONTROL!$C$21, $C$12, 100%, $E$12)</f>
        <v>11.731199999999999</v>
      </c>
      <c r="K608" s="61">
        <f>11.7326 * CHOOSE(CONTROL!$C$21, $C$12, 100%, $E$12)</f>
        <v>11.7326</v>
      </c>
    </row>
    <row r="609" spans="1:11" ht="15">
      <c r="A609" s="13">
        <v>60419</v>
      </c>
      <c r="B609" s="60">
        <f>9.9492 * CHOOSE(CONTROL!$C$21, $C$12, 100%, $E$12)</f>
        <v>9.9491999999999994</v>
      </c>
      <c r="C609" s="60">
        <f>9.9492 * CHOOSE(CONTROL!$C$21, $C$12, 100%, $E$12)</f>
        <v>9.9491999999999994</v>
      </c>
      <c r="D609" s="60">
        <f>9.9703 * CHOOSE(CONTROL!$C$21, $C$12, 100%, $E$12)</f>
        <v>9.9702999999999999</v>
      </c>
      <c r="E609" s="61">
        <f>11.6951 * CHOOSE(CONTROL!$C$21, $C$12, 100%, $E$12)</f>
        <v>11.6951</v>
      </c>
      <c r="F609" s="61">
        <f>11.6951 * CHOOSE(CONTROL!$C$21, $C$12, 100%, $E$12)</f>
        <v>11.6951</v>
      </c>
      <c r="G609" s="61">
        <f>11.6965 * CHOOSE(CONTROL!$C$21, $C$12, 100%, $E$12)</f>
        <v>11.6965</v>
      </c>
      <c r="H609" s="61">
        <f>19.6189* CHOOSE(CONTROL!$C$21, $C$12, 100%, $E$12)</f>
        <v>19.6189</v>
      </c>
      <c r="I609" s="61">
        <f>19.6202 * CHOOSE(CONTROL!$C$21, $C$12, 100%, $E$12)</f>
        <v>19.620200000000001</v>
      </c>
      <c r="J609" s="61">
        <f>11.6951 * CHOOSE(CONTROL!$C$21, $C$12, 100%, $E$12)</f>
        <v>11.6951</v>
      </c>
      <c r="K609" s="61">
        <f>11.6965 * CHOOSE(CONTROL!$C$21, $C$12, 100%, $E$12)</f>
        <v>11.6965</v>
      </c>
    </row>
    <row r="610" spans="1:11" ht="15">
      <c r="A610" s="13">
        <v>60449</v>
      </c>
      <c r="B610" s="60">
        <f>10.1081 * CHOOSE(CONTROL!$C$21, $C$12, 100%, $E$12)</f>
        <v>10.1081</v>
      </c>
      <c r="C610" s="60">
        <f>10.1081 * CHOOSE(CONTROL!$C$21, $C$12, 100%, $E$12)</f>
        <v>10.1081</v>
      </c>
      <c r="D610" s="60">
        <f>10.1293 * CHOOSE(CONTROL!$C$21, $C$12, 100%, $E$12)</f>
        <v>10.129300000000001</v>
      </c>
      <c r="E610" s="61">
        <f>11.9208 * CHOOSE(CONTROL!$C$21, $C$12, 100%, $E$12)</f>
        <v>11.9208</v>
      </c>
      <c r="F610" s="61">
        <f>11.9208 * CHOOSE(CONTROL!$C$21, $C$12, 100%, $E$12)</f>
        <v>11.9208</v>
      </c>
      <c r="G610" s="61">
        <f>11.9222 * CHOOSE(CONTROL!$C$21, $C$12, 100%, $E$12)</f>
        <v>11.9222</v>
      </c>
      <c r="H610" s="61">
        <f>19.6597* CHOOSE(CONTROL!$C$21, $C$12, 100%, $E$12)</f>
        <v>19.659700000000001</v>
      </c>
      <c r="I610" s="61">
        <f>19.6611 * CHOOSE(CONTROL!$C$21, $C$12, 100%, $E$12)</f>
        <v>19.661100000000001</v>
      </c>
      <c r="J610" s="61">
        <f>11.9208 * CHOOSE(CONTROL!$C$21, $C$12, 100%, $E$12)</f>
        <v>11.9208</v>
      </c>
      <c r="K610" s="61">
        <f>11.9222 * CHOOSE(CONTROL!$C$21, $C$12, 100%, $E$12)</f>
        <v>11.9222</v>
      </c>
    </row>
    <row r="611" spans="1:11" ht="15">
      <c r="A611" s="13">
        <v>60480</v>
      </c>
      <c r="B611" s="60">
        <f>10.1148 * CHOOSE(CONTROL!$C$21, $C$12, 100%, $E$12)</f>
        <v>10.114800000000001</v>
      </c>
      <c r="C611" s="60">
        <f>10.1148 * CHOOSE(CONTROL!$C$21, $C$12, 100%, $E$12)</f>
        <v>10.114800000000001</v>
      </c>
      <c r="D611" s="60">
        <f>10.136 * CHOOSE(CONTROL!$C$21, $C$12, 100%, $E$12)</f>
        <v>10.135999999999999</v>
      </c>
      <c r="E611" s="61">
        <f>11.8045 * CHOOSE(CONTROL!$C$21, $C$12, 100%, $E$12)</f>
        <v>11.804500000000001</v>
      </c>
      <c r="F611" s="61">
        <f>11.8045 * CHOOSE(CONTROL!$C$21, $C$12, 100%, $E$12)</f>
        <v>11.804500000000001</v>
      </c>
      <c r="G611" s="61">
        <f>11.8058 * CHOOSE(CONTROL!$C$21, $C$12, 100%, $E$12)</f>
        <v>11.8058</v>
      </c>
      <c r="H611" s="61">
        <f>19.7007* CHOOSE(CONTROL!$C$21, $C$12, 100%, $E$12)</f>
        <v>19.700700000000001</v>
      </c>
      <c r="I611" s="61">
        <f>19.7021 * CHOOSE(CONTROL!$C$21, $C$12, 100%, $E$12)</f>
        <v>19.702100000000002</v>
      </c>
      <c r="J611" s="61">
        <f>11.8045 * CHOOSE(CONTROL!$C$21, $C$12, 100%, $E$12)</f>
        <v>11.804500000000001</v>
      </c>
      <c r="K611" s="61">
        <f>11.8058 * CHOOSE(CONTROL!$C$21, $C$12, 100%, $E$12)</f>
        <v>11.8058</v>
      </c>
    </row>
    <row r="612" spans="1:11" ht="15">
      <c r="A612" s="13">
        <v>60511</v>
      </c>
      <c r="B612" s="60">
        <f>10.1118 * CHOOSE(CONTROL!$C$21, $C$12, 100%, $E$12)</f>
        <v>10.111800000000001</v>
      </c>
      <c r="C612" s="60">
        <f>10.1118 * CHOOSE(CONTROL!$C$21, $C$12, 100%, $E$12)</f>
        <v>10.111800000000001</v>
      </c>
      <c r="D612" s="60">
        <f>10.1329 * CHOOSE(CONTROL!$C$21, $C$12, 100%, $E$12)</f>
        <v>10.132899999999999</v>
      </c>
      <c r="E612" s="61">
        <f>11.7889 * CHOOSE(CONTROL!$C$21, $C$12, 100%, $E$12)</f>
        <v>11.7889</v>
      </c>
      <c r="F612" s="61">
        <f>11.7889 * CHOOSE(CONTROL!$C$21, $C$12, 100%, $E$12)</f>
        <v>11.7889</v>
      </c>
      <c r="G612" s="61">
        <f>11.7903 * CHOOSE(CONTROL!$C$21, $C$12, 100%, $E$12)</f>
        <v>11.7903</v>
      </c>
      <c r="H612" s="61">
        <f>19.7417* CHOOSE(CONTROL!$C$21, $C$12, 100%, $E$12)</f>
        <v>19.741700000000002</v>
      </c>
      <c r="I612" s="61">
        <f>19.7431 * CHOOSE(CONTROL!$C$21, $C$12, 100%, $E$12)</f>
        <v>19.743099999999998</v>
      </c>
      <c r="J612" s="61">
        <f>11.7889 * CHOOSE(CONTROL!$C$21, $C$12, 100%, $E$12)</f>
        <v>11.7889</v>
      </c>
      <c r="K612" s="61">
        <f>11.7903 * CHOOSE(CONTROL!$C$21, $C$12, 100%, $E$12)</f>
        <v>11.7903</v>
      </c>
    </row>
    <row r="613" spans="1:11" ht="15">
      <c r="A613" s="13">
        <v>60541</v>
      </c>
      <c r="B613" s="60">
        <f>10.1272 * CHOOSE(CONTROL!$C$21, $C$12, 100%, $E$12)</f>
        <v>10.1272</v>
      </c>
      <c r="C613" s="60">
        <f>10.1272 * CHOOSE(CONTROL!$C$21, $C$12, 100%, $E$12)</f>
        <v>10.1272</v>
      </c>
      <c r="D613" s="60">
        <f>10.1377 * CHOOSE(CONTROL!$C$21, $C$12, 100%, $E$12)</f>
        <v>10.137700000000001</v>
      </c>
      <c r="E613" s="61">
        <f>11.8293 * CHOOSE(CONTROL!$C$21, $C$12, 100%, $E$12)</f>
        <v>11.8293</v>
      </c>
      <c r="F613" s="61">
        <f>11.8293 * CHOOSE(CONTROL!$C$21, $C$12, 100%, $E$12)</f>
        <v>11.8293</v>
      </c>
      <c r="G613" s="61">
        <f>11.8294 * CHOOSE(CONTROL!$C$21, $C$12, 100%, $E$12)</f>
        <v>11.8294</v>
      </c>
      <c r="H613" s="61">
        <f>19.7829* CHOOSE(CONTROL!$C$21, $C$12, 100%, $E$12)</f>
        <v>19.782900000000001</v>
      </c>
      <c r="I613" s="61">
        <f>19.783 * CHOOSE(CONTROL!$C$21, $C$12, 100%, $E$12)</f>
        <v>19.783000000000001</v>
      </c>
      <c r="J613" s="61">
        <f>11.8293 * CHOOSE(CONTROL!$C$21, $C$12, 100%, $E$12)</f>
        <v>11.8293</v>
      </c>
      <c r="K613" s="61">
        <f>11.8294 * CHOOSE(CONTROL!$C$21, $C$12, 100%, $E$12)</f>
        <v>11.8294</v>
      </c>
    </row>
    <row r="614" spans="1:11" ht="15">
      <c r="A614" s="13">
        <v>60572</v>
      </c>
      <c r="B614" s="60">
        <f>10.1302 * CHOOSE(CONTROL!$C$21, $C$12, 100%, $E$12)</f>
        <v>10.1302</v>
      </c>
      <c r="C614" s="60">
        <f>10.1302 * CHOOSE(CONTROL!$C$21, $C$12, 100%, $E$12)</f>
        <v>10.1302</v>
      </c>
      <c r="D614" s="60">
        <f>10.1408 * CHOOSE(CONTROL!$C$21, $C$12, 100%, $E$12)</f>
        <v>10.1408</v>
      </c>
      <c r="E614" s="61">
        <f>11.8583 * CHOOSE(CONTROL!$C$21, $C$12, 100%, $E$12)</f>
        <v>11.8583</v>
      </c>
      <c r="F614" s="61">
        <f>11.8583 * CHOOSE(CONTROL!$C$21, $C$12, 100%, $E$12)</f>
        <v>11.8583</v>
      </c>
      <c r="G614" s="61">
        <f>11.8584 * CHOOSE(CONTROL!$C$21, $C$12, 100%, $E$12)</f>
        <v>11.8584</v>
      </c>
      <c r="H614" s="61">
        <f>19.8241* CHOOSE(CONTROL!$C$21, $C$12, 100%, $E$12)</f>
        <v>19.824100000000001</v>
      </c>
      <c r="I614" s="61">
        <f>19.8242 * CHOOSE(CONTROL!$C$21, $C$12, 100%, $E$12)</f>
        <v>19.824200000000001</v>
      </c>
      <c r="J614" s="61">
        <f>11.8583 * CHOOSE(CONTROL!$C$21, $C$12, 100%, $E$12)</f>
        <v>11.8583</v>
      </c>
      <c r="K614" s="61">
        <f>11.8584 * CHOOSE(CONTROL!$C$21, $C$12, 100%, $E$12)</f>
        <v>11.8584</v>
      </c>
    </row>
    <row r="615" spans="1:11" ht="15">
      <c r="A615" s="13">
        <v>60602</v>
      </c>
      <c r="B615" s="60">
        <f>10.1302 * CHOOSE(CONTROL!$C$21, $C$12, 100%, $E$12)</f>
        <v>10.1302</v>
      </c>
      <c r="C615" s="60">
        <f>10.1302 * CHOOSE(CONTROL!$C$21, $C$12, 100%, $E$12)</f>
        <v>10.1302</v>
      </c>
      <c r="D615" s="60">
        <f>10.1408 * CHOOSE(CONTROL!$C$21, $C$12, 100%, $E$12)</f>
        <v>10.1408</v>
      </c>
      <c r="E615" s="61">
        <f>11.791 * CHOOSE(CONTROL!$C$21, $C$12, 100%, $E$12)</f>
        <v>11.791</v>
      </c>
      <c r="F615" s="61">
        <f>11.791 * CHOOSE(CONTROL!$C$21, $C$12, 100%, $E$12)</f>
        <v>11.791</v>
      </c>
      <c r="G615" s="61">
        <f>11.7912 * CHOOSE(CONTROL!$C$21, $C$12, 100%, $E$12)</f>
        <v>11.7912</v>
      </c>
      <c r="H615" s="61">
        <f>19.8654* CHOOSE(CONTROL!$C$21, $C$12, 100%, $E$12)</f>
        <v>19.865400000000001</v>
      </c>
      <c r="I615" s="61">
        <f>19.8655 * CHOOSE(CONTROL!$C$21, $C$12, 100%, $E$12)</f>
        <v>19.865500000000001</v>
      </c>
      <c r="J615" s="61">
        <f>11.791 * CHOOSE(CONTROL!$C$21, $C$12, 100%, $E$12)</f>
        <v>11.791</v>
      </c>
      <c r="K615" s="61">
        <f>11.7912 * CHOOSE(CONTROL!$C$21, $C$12, 100%, $E$12)</f>
        <v>11.7912</v>
      </c>
    </row>
    <row r="616" spans="1:11" ht="15">
      <c r="A616" s="13">
        <v>60633</v>
      </c>
      <c r="B616" s="60">
        <f>10.1917 * CHOOSE(CONTROL!$C$21, $C$12, 100%, $E$12)</f>
        <v>10.191700000000001</v>
      </c>
      <c r="C616" s="60">
        <f>10.1917 * CHOOSE(CONTROL!$C$21, $C$12, 100%, $E$12)</f>
        <v>10.191700000000001</v>
      </c>
      <c r="D616" s="60">
        <f>10.2023 * CHOOSE(CONTROL!$C$21, $C$12, 100%, $E$12)</f>
        <v>10.202299999999999</v>
      </c>
      <c r="E616" s="61">
        <f>11.9111 * CHOOSE(CONTROL!$C$21, $C$12, 100%, $E$12)</f>
        <v>11.911099999999999</v>
      </c>
      <c r="F616" s="61">
        <f>11.9111 * CHOOSE(CONTROL!$C$21, $C$12, 100%, $E$12)</f>
        <v>11.911099999999999</v>
      </c>
      <c r="G616" s="61">
        <f>11.9113 * CHOOSE(CONTROL!$C$21, $C$12, 100%, $E$12)</f>
        <v>11.911300000000001</v>
      </c>
      <c r="H616" s="61">
        <f>19.8617* CHOOSE(CONTROL!$C$21, $C$12, 100%, $E$12)</f>
        <v>19.861699999999999</v>
      </c>
      <c r="I616" s="61">
        <f>19.8618 * CHOOSE(CONTROL!$C$21, $C$12, 100%, $E$12)</f>
        <v>19.861799999999999</v>
      </c>
      <c r="J616" s="61">
        <f>11.9111 * CHOOSE(CONTROL!$C$21, $C$12, 100%, $E$12)</f>
        <v>11.911099999999999</v>
      </c>
      <c r="K616" s="61">
        <f>11.9113 * CHOOSE(CONTROL!$C$21, $C$12, 100%, $E$12)</f>
        <v>11.911300000000001</v>
      </c>
    </row>
    <row r="617" spans="1:11" ht="15">
      <c r="A617" s="13">
        <v>60664</v>
      </c>
      <c r="B617" s="60">
        <f>10.1887 * CHOOSE(CONTROL!$C$21, $C$12, 100%, $E$12)</f>
        <v>10.188700000000001</v>
      </c>
      <c r="C617" s="60">
        <f>10.1887 * CHOOSE(CONTROL!$C$21, $C$12, 100%, $E$12)</f>
        <v>10.188700000000001</v>
      </c>
      <c r="D617" s="60">
        <f>10.1992 * CHOOSE(CONTROL!$C$21, $C$12, 100%, $E$12)</f>
        <v>10.199199999999999</v>
      </c>
      <c r="E617" s="61">
        <f>11.7787 * CHOOSE(CONTROL!$C$21, $C$12, 100%, $E$12)</f>
        <v>11.778700000000001</v>
      </c>
      <c r="F617" s="61">
        <f>11.7787 * CHOOSE(CONTROL!$C$21, $C$12, 100%, $E$12)</f>
        <v>11.778700000000001</v>
      </c>
      <c r="G617" s="61">
        <f>11.7789 * CHOOSE(CONTROL!$C$21, $C$12, 100%, $E$12)</f>
        <v>11.7789</v>
      </c>
      <c r="H617" s="61">
        <f>19.903* CHOOSE(CONTROL!$C$21, $C$12, 100%, $E$12)</f>
        <v>19.902999999999999</v>
      </c>
      <c r="I617" s="61">
        <f>19.9032 * CHOOSE(CONTROL!$C$21, $C$12, 100%, $E$12)</f>
        <v>19.903199999999998</v>
      </c>
      <c r="J617" s="61">
        <f>11.7787 * CHOOSE(CONTROL!$C$21, $C$12, 100%, $E$12)</f>
        <v>11.778700000000001</v>
      </c>
      <c r="K617" s="61">
        <f>11.7789 * CHOOSE(CONTROL!$C$21, $C$12, 100%, $E$12)</f>
        <v>11.7789</v>
      </c>
    </row>
    <row r="618" spans="1:11" ht="15">
      <c r="A618" s="13">
        <v>60692</v>
      </c>
      <c r="B618" s="60">
        <f>10.1856 * CHOOSE(CONTROL!$C$21, $C$12, 100%, $E$12)</f>
        <v>10.185600000000001</v>
      </c>
      <c r="C618" s="60">
        <f>10.1856 * CHOOSE(CONTROL!$C$21, $C$12, 100%, $E$12)</f>
        <v>10.185600000000001</v>
      </c>
      <c r="D618" s="60">
        <f>10.1962 * CHOOSE(CONTROL!$C$21, $C$12, 100%, $E$12)</f>
        <v>10.196199999999999</v>
      </c>
      <c r="E618" s="61">
        <f>11.8793 * CHOOSE(CONTROL!$C$21, $C$12, 100%, $E$12)</f>
        <v>11.879300000000001</v>
      </c>
      <c r="F618" s="61">
        <f>11.8793 * CHOOSE(CONTROL!$C$21, $C$12, 100%, $E$12)</f>
        <v>11.879300000000001</v>
      </c>
      <c r="G618" s="61">
        <f>11.8794 * CHOOSE(CONTROL!$C$21, $C$12, 100%, $E$12)</f>
        <v>11.8794</v>
      </c>
      <c r="H618" s="61">
        <f>19.9445* CHOOSE(CONTROL!$C$21, $C$12, 100%, $E$12)</f>
        <v>19.944500000000001</v>
      </c>
      <c r="I618" s="61">
        <f>19.9447 * CHOOSE(CONTROL!$C$21, $C$12, 100%, $E$12)</f>
        <v>19.944700000000001</v>
      </c>
      <c r="J618" s="61">
        <f>11.8793 * CHOOSE(CONTROL!$C$21, $C$12, 100%, $E$12)</f>
        <v>11.879300000000001</v>
      </c>
      <c r="K618" s="61">
        <f>11.8794 * CHOOSE(CONTROL!$C$21, $C$12, 100%, $E$12)</f>
        <v>11.8794</v>
      </c>
    </row>
    <row r="619" spans="1:11" ht="15">
      <c r="A619" s="13">
        <v>60723</v>
      </c>
      <c r="B619" s="60">
        <f>10.1886 * CHOOSE(CONTROL!$C$21, $C$12, 100%, $E$12)</f>
        <v>10.188599999999999</v>
      </c>
      <c r="C619" s="60">
        <f>10.1886 * CHOOSE(CONTROL!$C$21, $C$12, 100%, $E$12)</f>
        <v>10.188599999999999</v>
      </c>
      <c r="D619" s="60">
        <f>10.1992 * CHOOSE(CONTROL!$C$21, $C$12, 100%, $E$12)</f>
        <v>10.199199999999999</v>
      </c>
      <c r="E619" s="61">
        <f>11.9853 * CHOOSE(CONTROL!$C$21, $C$12, 100%, $E$12)</f>
        <v>11.985300000000001</v>
      </c>
      <c r="F619" s="61">
        <f>11.9853 * CHOOSE(CONTROL!$C$21, $C$12, 100%, $E$12)</f>
        <v>11.985300000000001</v>
      </c>
      <c r="G619" s="61">
        <f>11.9855 * CHOOSE(CONTROL!$C$21, $C$12, 100%, $E$12)</f>
        <v>11.9855</v>
      </c>
      <c r="H619" s="61">
        <f>19.986* CHOOSE(CONTROL!$C$21, $C$12, 100%, $E$12)</f>
        <v>19.986000000000001</v>
      </c>
      <c r="I619" s="61">
        <f>19.9862 * CHOOSE(CONTROL!$C$21, $C$12, 100%, $E$12)</f>
        <v>19.9862</v>
      </c>
      <c r="J619" s="61">
        <f>11.9853 * CHOOSE(CONTROL!$C$21, $C$12, 100%, $E$12)</f>
        <v>11.985300000000001</v>
      </c>
      <c r="K619" s="61">
        <f>11.9855 * CHOOSE(CONTROL!$C$21, $C$12, 100%, $E$12)</f>
        <v>11.9855</v>
      </c>
    </row>
    <row r="620" spans="1:11" ht="15">
      <c r="A620" s="13">
        <v>60753</v>
      </c>
      <c r="B620" s="60">
        <f>10.1886 * CHOOSE(CONTROL!$C$21, $C$12, 100%, $E$12)</f>
        <v>10.188599999999999</v>
      </c>
      <c r="C620" s="60">
        <f>10.1886 * CHOOSE(CONTROL!$C$21, $C$12, 100%, $E$12)</f>
        <v>10.188599999999999</v>
      </c>
      <c r="D620" s="60">
        <f>10.2097 * CHOOSE(CONTROL!$C$21, $C$12, 100%, $E$12)</f>
        <v>10.2097</v>
      </c>
      <c r="E620" s="61">
        <f>12.0267 * CHOOSE(CONTROL!$C$21, $C$12, 100%, $E$12)</f>
        <v>12.0267</v>
      </c>
      <c r="F620" s="61">
        <f>12.0267 * CHOOSE(CONTROL!$C$21, $C$12, 100%, $E$12)</f>
        <v>12.0267</v>
      </c>
      <c r="G620" s="61">
        <f>12.028 * CHOOSE(CONTROL!$C$21, $C$12, 100%, $E$12)</f>
        <v>12.028</v>
      </c>
      <c r="H620" s="61">
        <f>20.0277* CHOOSE(CONTROL!$C$21, $C$12, 100%, $E$12)</f>
        <v>20.027699999999999</v>
      </c>
      <c r="I620" s="61">
        <f>20.0291 * CHOOSE(CONTROL!$C$21, $C$12, 100%, $E$12)</f>
        <v>20.0291</v>
      </c>
      <c r="J620" s="61">
        <f>12.0267 * CHOOSE(CONTROL!$C$21, $C$12, 100%, $E$12)</f>
        <v>12.0267</v>
      </c>
      <c r="K620" s="61">
        <f>12.028 * CHOOSE(CONTROL!$C$21, $C$12, 100%, $E$12)</f>
        <v>12.028</v>
      </c>
    </row>
    <row r="621" spans="1:11" ht="15">
      <c r="A621" s="13">
        <v>60784</v>
      </c>
      <c r="B621" s="60">
        <f>10.1947 * CHOOSE(CONTROL!$C$21, $C$12, 100%, $E$12)</f>
        <v>10.194699999999999</v>
      </c>
      <c r="C621" s="60">
        <f>10.1947 * CHOOSE(CONTROL!$C$21, $C$12, 100%, $E$12)</f>
        <v>10.194699999999999</v>
      </c>
      <c r="D621" s="60">
        <f>10.2158 * CHOOSE(CONTROL!$C$21, $C$12, 100%, $E$12)</f>
        <v>10.2158</v>
      </c>
      <c r="E621" s="61">
        <f>11.9896 * CHOOSE(CONTROL!$C$21, $C$12, 100%, $E$12)</f>
        <v>11.989599999999999</v>
      </c>
      <c r="F621" s="61">
        <f>11.9896 * CHOOSE(CONTROL!$C$21, $C$12, 100%, $E$12)</f>
        <v>11.989599999999999</v>
      </c>
      <c r="G621" s="61">
        <f>11.9909 * CHOOSE(CONTROL!$C$21, $C$12, 100%, $E$12)</f>
        <v>11.9909</v>
      </c>
      <c r="H621" s="61">
        <f>20.0694* CHOOSE(CONTROL!$C$21, $C$12, 100%, $E$12)</f>
        <v>20.069400000000002</v>
      </c>
      <c r="I621" s="61">
        <f>20.0708 * CHOOSE(CONTROL!$C$21, $C$12, 100%, $E$12)</f>
        <v>20.070799999999998</v>
      </c>
      <c r="J621" s="61">
        <f>11.9896 * CHOOSE(CONTROL!$C$21, $C$12, 100%, $E$12)</f>
        <v>11.989599999999999</v>
      </c>
      <c r="K621" s="61">
        <f>11.9909 * CHOOSE(CONTROL!$C$21, $C$12, 100%, $E$12)</f>
        <v>11.9909</v>
      </c>
    </row>
    <row r="622" spans="1:11" ht="15">
      <c r="A622" s="13">
        <v>60814</v>
      </c>
      <c r="B622" s="60">
        <f>10.3574 * CHOOSE(CONTROL!$C$21, $C$12, 100%, $E$12)</f>
        <v>10.3574</v>
      </c>
      <c r="C622" s="60">
        <f>10.3574 * CHOOSE(CONTROL!$C$21, $C$12, 100%, $E$12)</f>
        <v>10.3574</v>
      </c>
      <c r="D622" s="60">
        <f>10.3785 * CHOOSE(CONTROL!$C$21, $C$12, 100%, $E$12)</f>
        <v>10.378500000000001</v>
      </c>
      <c r="E622" s="61">
        <f>12.2207 * CHOOSE(CONTROL!$C$21, $C$12, 100%, $E$12)</f>
        <v>12.220700000000001</v>
      </c>
      <c r="F622" s="61">
        <f>12.2207 * CHOOSE(CONTROL!$C$21, $C$12, 100%, $E$12)</f>
        <v>12.220700000000001</v>
      </c>
      <c r="G622" s="61">
        <f>12.2221 * CHOOSE(CONTROL!$C$21, $C$12, 100%, $E$12)</f>
        <v>12.222099999999999</v>
      </c>
      <c r="H622" s="61">
        <f>20.1112* CHOOSE(CONTROL!$C$21, $C$12, 100%, $E$12)</f>
        <v>20.1112</v>
      </c>
      <c r="I622" s="61">
        <f>20.1126 * CHOOSE(CONTROL!$C$21, $C$12, 100%, $E$12)</f>
        <v>20.1126</v>
      </c>
      <c r="J622" s="61">
        <f>12.2207 * CHOOSE(CONTROL!$C$21, $C$12, 100%, $E$12)</f>
        <v>12.220700000000001</v>
      </c>
      <c r="K622" s="61">
        <f>12.2221 * CHOOSE(CONTROL!$C$21, $C$12, 100%, $E$12)</f>
        <v>12.222099999999999</v>
      </c>
    </row>
    <row r="623" spans="1:11" ht="15">
      <c r="A623" s="13">
        <v>60845</v>
      </c>
      <c r="B623" s="60">
        <f>10.364 * CHOOSE(CONTROL!$C$21, $C$12, 100%, $E$12)</f>
        <v>10.364000000000001</v>
      </c>
      <c r="C623" s="60">
        <f>10.364 * CHOOSE(CONTROL!$C$21, $C$12, 100%, $E$12)</f>
        <v>10.364000000000001</v>
      </c>
      <c r="D623" s="60">
        <f>10.3852 * CHOOSE(CONTROL!$C$21, $C$12, 100%, $E$12)</f>
        <v>10.385199999999999</v>
      </c>
      <c r="E623" s="61">
        <f>12.1013 * CHOOSE(CONTROL!$C$21, $C$12, 100%, $E$12)</f>
        <v>12.1013</v>
      </c>
      <c r="F623" s="61">
        <f>12.1013 * CHOOSE(CONTROL!$C$21, $C$12, 100%, $E$12)</f>
        <v>12.1013</v>
      </c>
      <c r="G623" s="61">
        <f>12.1027 * CHOOSE(CONTROL!$C$21, $C$12, 100%, $E$12)</f>
        <v>12.1027</v>
      </c>
      <c r="H623" s="61">
        <f>20.1531* CHOOSE(CONTROL!$C$21, $C$12, 100%, $E$12)</f>
        <v>20.153099999999998</v>
      </c>
      <c r="I623" s="61">
        <f>20.1545 * CHOOSE(CONTROL!$C$21, $C$12, 100%, $E$12)</f>
        <v>20.154499999999999</v>
      </c>
      <c r="J623" s="61">
        <f>12.1013 * CHOOSE(CONTROL!$C$21, $C$12, 100%, $E$12)</f>
        <v>12.1013</v>
      </c>
      <c r="K623" s="61">
        <f>12.1027 * CHOOSE(CONTROL!$C$21, $C$12, 100%, $E$12)</f>
        <v>12.1027</v>
      </c>
    </row>
    <row r="624" spans="1:11" ht="15">
      <c r="A624" s="13">
        <v>60876</v>
      </c>
      <c r="B624" s="60">
        <f>10.361 * CHOOSE(CONTROL!$C$21, $C$12, 100%, $E$12)</f>
        <v>10.361000000000001</v>
      </c>
      <c r="C624" s="60">
        <f>10.361 * CHOOSE(CONTROL!$C$21, $C$12, 100%, $E$12)</f>
        <v>10.361000000000001</v>
      </c>
      <c r="D624" s="60">
        <f>10.3821 * CHOOSE(CONTROL!$C$21, $C$12, 100%, $E$12)</f>
        <v>10.382099999999999</v>
      </c>
      <c r="E624" s="61">
        <f>12.0854 * CHOOSE(CONTROL!$C$21, $C$12, 100%, $E$12)</f>
        <v>12.0854</v>
      </c>
      <c r="F624" s="61">
        <f>12.0854 * CHOOSE(CONTROL!$C$21, $C$12, 100%, $E$12)</f>
        <v>12.0854</v>
      </c>
      <c r="G624" s="61">
        <f>12.0868 * CHOOSE(CONTROL!$C$21, $C$12, 100%, $E$12)</f>
        <v>12.0868</v>
      </c>
      <c r="H624" s="61">
        <f>20.1951* CHOOSE(CONTROL!$C$21, $C$12, 100%, $E$12)</f>
        <v>20.1951</v>
      </c>
      <c r="I624" s="61">
        <f>20.1965 * CHOOSE(CONTROL!$C$21, $C$12, 100%, $E$12)</f>
        <v>20.1965</v>
      </c>
      <c r="J624" s="61">
        <f>12.0854 * CHOOSE(CONTROL!$C$21, $C$12, 100%, $E$12)</f>
        <v>12.0854</v>
      </c>
      <c r="K624" s="61">
        <f>12.0868 * CHOOSE(CONTROL!$C$21, $C$12, 100%, $E$12)</f>
        <v>12.0868</v>
      </c>
    </row>
    <row r="625" spans="1:11" ht="15">
      <c r="A625" s="13">
        <v>60906</v>
      </c>
      <c r="B625" s="60">
        <f>10.3772 * CHOOSE(CONTROL!$C$21, $C$12, 100%, $E$12)</f>
        <v>10.3772</v>
      </c>
      <c r="C625" s="60">
        <f>10.3772 * CHOOSE(CONTROL!$C$21, $C$12, 100%, $E$12)</f>
        <v>10.3772</v>
      </c>
      <c r="D625" s="60">
        <f>10.3878 * CHOOSE(CONTROL!$C$21, $C$12, 100%, $E$12)</f>
        <v>10.3878</v>
      </c>
      <c r="E625" s="61">
        <f>12.1271 * CHOOSE(CONTROL!$C$21, $C$12, 100%, $E$12)</f>
        <v>12.1271</v>
      </c>
      <c r="F625" s="61">
        <f>12.1271 * CHOOSE(CONTROL!$C$21, $C$12, 100%, $E$12)</f>
        <v>12.1271</v>
      </c>
      <c r="G625" s="61">
        <f>12.1273 * CHOOSE(CONTROL!$C$21, $C$12, 100%, $E$12)</f>
        <v>12.1273</v>
      </c>
      <c r="H625" s="61">
        <f>20.2372* CHOOSE(CONTROL!$C$21, $C$12, 100%, $E$12)</f>
        <v>20.237200000000001</v>
      </c>
      <c r="I625" s="61">
        <f>20.2374 * CHOOSE(CONTROL!$C$21, $C$12, 100%, $E$12)</f>
        <v>20.237400000000001</v>
      </c>
      <c r="J625" s="61">
        <f>12.1271 * CHOOSE(CONTROL!$C$21, $C$12, 100%, $E$12)</f>
        <v>12.1271</v>
      </c>
      <c r="K625" s="61">
        <f>12.1273 * CHOOSE(CONTROL!$C$21, $C$12, 100%, $E$12)</f>
        <v>12.1273</v>
      </c>
    </row>
    <row r="626" spans="1:11" ht="15">
      <c r="A626" s="13">
        <v>60937</v>
      </c>
      <c r="B626" s="60">
        <f>10.3802 * CHOOSE(CONTROL!$C$21, $C$12, 100%, $E$12)</f>
        <v>10.3802</v>
      </c>
      <c r="C626" s="60">
        <f>10.3802 * CHOOSE(CONTROL!$C$21, $C$12, 100%, $E$12)</f>
        <v>10.3802</v>
      </c>
      <c r="D626" s="60">
        <f>10.3908 * CHOOSE(CONTROL!$C$21, $C$12, 100%, $E$12)</f>
        <v>10.3908</v>
      </c>
      <c r="E626" s="61">
        <f>12.1568 * CHOOSE(CONTROL!$C$21, $C$12, 100%, $E$12)</f>
        <v>12.1568</v>
      </c>
      <c r="F626" s="61">
        <f>12.1568 * CHOOSE(CONTROL!$C$21, $C$12, 100%, $E$12)</f>
        <v>12.1568</v>
      </c>
      <c r="G626" s="61">
        <f>12.157 * CHOOSE(CONTROL!$C$21, $C$12, 100%, $E$12)</f>
        <v>12.157</v>
      </c>
      <c r="H626" s="61">
        <f>20.2793* CHOOSE(CONTROL!$C$21, $C$12, 100%, $E$12)</f>
        <v>20.279299999999999</v>
      </c>
      <c r="I626" s="61">
        <f>20.2795 * CHOOSE(CONTROL!$C$21, $C$12, 100%, $E$12)</f>
        <v>20.279499999999999</v>
      </c>
      <c r="J626" s="61">
        <f>12.1568 * CHOOSE(CONTROL!$C$21, $C$12, 100%, $E$12)</f>
        <v>12.1568</v>
      </c>
      <c r="K626" s="61">
        <f>12.157 * CHOOSE(CONTROL!$C$21, $C$12, 100%, $E$12)</f>
        <v>12.157</v>
      </c>
    </row>
    <row r="627" spans="1:11" ht="15">
      <c r="A627" s="13">
        <v>60967</v>
      </c>
      <c r="B627" s="60">
        <f>10.3802 * CHOOSE(CONTROL!$C$21, $C$12, 100%, $E$12)</f>
        <v>10.3802</v>
      </c>
      <c r="C627" s="60">
        <f>10.3802 * CHOOSE(CONTROL!$C$21, $C$12, 100%, $E$12)</f>
        <v>10.3802</v>
      </c>
      <c r="D627" s="60">
        <f>10.3908 * CHOOSE(CONTROL!$C$21, $C$12, 100%, $E$12)</f>
        <v>10.3908</v>
      </c>
      <c r="E627" s="61">
        <f>12.0879 * CHOOSE(CONTROL!$C$21, $C$12, 100%, $E$12)</f>
        <v>12.087899999999999</v>
      </c>
      <c r="F627" s="61">
        <f>12.0879 * CHOOSE(CONTROL!$C$21, $C$12, 100%, $E$12)</f>
        <v>12.087899999999999</v>
      </c>
      <c r="G627" s="61">
        <f>12.088 * CHOOSE(CONTROL!$C$21, $C$12, 100%, $E$12)</f>
        <v>12.087999999999999</v>
      </c>
      <c r="H627" s="61">
        <f>20.3216* CHOOSE(CONTROL!$C$21, $C$12, 100%, $E$12)</f>
        <v>20.3216</v>
      </c>
      <c r="I627" s="61">
        <f>20.3218 * CHOOSE(CONTROL!$C$21, $C$12, 100%, $E$12)</f>
        <v>20.3218</v>
      </c>
      <c r="J627" s="61">
        <f>12.0879 * CHOOSE(CONTROL!$C$21, $C$12, 100%, $E$12)</f>
        <v>12.087899999999999</v>
      </c>
      <c r="K627" s="61">
        <f>12.088 * CHOOSE(CONTROL!$C$21, $C$12, 100%, $E$12)</f>
        <v>12.087999999999999</v>
      </c>
    </row>
    <row r="628" spans="1:11" ht="15">
      <c r="A628" s="13">
        <v>60998</v>
      </c>
      <c r="B628" s="60">
        <f>10.437 * CHOOSE(CONTROL!$C$21, $C$12, 100%, $E$12)</f>
        <v>10.436999999999999</v>
      </c>
      <c r="C628" s="60">
        <f>10.437 * CHOOSE(CONTROL!$C$21, $C$12, 100%, $E$12)</f>
        <v>10.436999999999999</v>
      </c>
      <c r="D628" s="60">
        <f>10.4476 * CHOOSE(CONTROL!$C$21, $C$12, 100%, $E$12)</f>
        <v>10.4476</v>
      </c>
      <c r="E628" s="61">
        <f>12.2035 * CHOOSE(CONTROL!$C$21, $C$12, 100%, $E$12)</f>
        <v>12.2035</v>
      </c>
      <c r="F628" s="61">
        <f>12.2035 * CHOOSE(CONTROL!$C$21, $C$12, 100%, $E$12)</f>
        <v>12.2035</v>
      </c>
      <c r="G628" s="61">
        <f>12.2037 * CHOOSE(CONTROL!$C$21, $C$12, 100%, $E$12)</f>
        <v>12.2037</v>
      </c>
      <c r="H628" s="61">
        <f>20.3075* CHOOSE(CONTROL!$C$21, $C$12, 100%, $E$12)</f>
        <v>20.307500000000001</v>
      </c>
      <c r="I628" s="61">
        <f>20.3077 * CHOOSE(CONTROL!$C$21, $C$12, 100%, $E$12)</f>
        <v>20.307700000000001</v>
      </c>
      <c r="J628" s="61">
        <f>12.2035 * CHOOSE(CONTROL!$C$21, $C$12, 100%, $E$12)</f>
        <v>12.2035</v>
      </c>
      <c r="K628" s="61">
        <f>12.2037 * CHOOSE(CONTROL!$C$21, $C$12, 100%, $E$12)</f>
        <v>12.2037</v>
      </c>
    </row>
    <row r="629" spans="1:11" ht="15">
      <c r="A629" s="13">
        <v>61029</v>
      </c>
      <c r="B629" s="60">
        <f>10.434 * CHOOSE(CONTROL!$C$21, $C$12, 100%, $E$12)</f>
        <v>10.433999999999999</v>
      </c>
      <c r="C629" s="60">
        <f>10.434 * CHOOSE(CONTROL!$C$21, $C$12, 100%, $E$12)</f>
        <v>10.433999999999999</v>
      </c>
      <c r="D629" s="60">
        <f>10.4445 * CHOOSE(CONTROL!$C$21, $C$12, 100%, $E$12)</f>
        <v>10.4445</v>
      </c>
      <c r="E629" s="61">
        <f>12.0679 * CHOOSE(CONTROL!$C$21, $C$12, 100%, $E$12)</f>
        <v>12.0679</v>
      </c>
      <c r="F629" s="61">
        <f>12.0679 * CHOOSE(CONTROL!$C$21, $C$12, 100%, $E$12)</f>
        <v>12.0679</v>
      </c>
      <c r="G629" s="61">
        <f>12.0681 * CHOOSE(CONTROL!$C$21, $C$12, 100%, $E$12)</f>
        <v>12.068099999999999</v>
      </c>
      <c r="H629" s="61">
        <f>20.3499* CHOOSE(CONTROL!$C$21, $C$12, 100%, $E$12)</f>
        <v>20.349900000000002</v>
      </c>
      <c r="I629" s="61">
        <f>20.35 * CHOOSE(CONTROL!$C$21, $C$12, 100%, $E$12)</f>
        <v>20.350000000000001</v>
      </c>
      <c r="J629" s="61">
        <f>12.0679 * CHOOSE(CONTROL!$C$21, $C$12, 100%, $E$12)</f>
        <v>12.0679</v>
      </c>
      <c r="K629" s="61">
        <f>12.0681 * CHOOSE(CONTROL!$C$21, $C$12, 100%, $E$12)</f>
        <v>12.068099999999999</v>
      </c>
    </row>
    <row r="630" spans="1:11" ht="15">
      <c r="A630" s="13">
        <v>61057</v>
      </c>
      <c r="B630" s="60">
        <f>10.4309 * CHOOSE(CONTROL!$C$21, $C$12, 100%, $E$12)</f>
        <v>10.430899999999999</v>
      </c>
      <c r="C630" s="60">
        <f>10.4309 * CHOOSE(CONTROL!$C$21, $C$12, 100%, $E$12)</f>
        <v>10.430899999999999</v>
      </c>
      <c r="D630" s="60">
        <f>10.4415 * CHOOSE(CONTROL!$C$21, $C$12, 100%, $E$12)</f>
        <v>10.4415</v>
      </c>
      <c r="E630" s="61">
        <f>12.171 * CHOOSE(CONTROL!$C$21, $C$12, 100%, $E$12)</f>
        <v>12.170999999999999</v>
      </c>
      <c r="F630" s="61">
        <f>12.171 * CHOOSE(CONTROL!$C$21, $C$12, 100%, $E$12)</f>
        <v>12.170999999999999</v>
      </c>
      <c r="G630" s="61">
        <f>12.1712 * CHOOSE(CONTROL!$C$21, $C$12, 100%, $E$12)</f>
        <v>12.171200000000001</v>
      </c>
      <c r="H630" s="61">
        <f>20.3922* CHOOSE(CONTROL!$C$21, $C$12, 100%, $E$12)</f>
        <v>20.392199999999999</v>
      </c>
      <c r="I630" s="61">
        <f>20.3924 * CHOOSE(CONTROL!$C$21, $C$12, 100%, $E$12)</f>
        <v>20.392399999999999</v>
      </c>
      <c r="J630" s="61">
        <f>12.171 * CHOOSE(CONTROL!$C$21, $C$12, 100%, $E$12)</f>
        <v>12.170999999999999</v>
      </c>
      <c r="K630" s="61">
        <f>12.1712 * CHOOSE(CONTROL!$C$21, $C$12, 100%, $E$12)</f>
        <v>12.171200000000001</v>
      </c>
    </row>
    <row r="631" spans="1:11" ht="15">
      <c r="A631" s="13">
        <v>61088</v>
      </c>
      <c r="B631" s="60">
        <f>10.4341 * CHOOSE(CONTROL!$C$21, $C$12, 100%, $E$12)</f>
        <v>10.434100000000001</v>
      </c>
      <c r="C631" s="60">
        <f>10.4341 * CHOOSE(CONTROL!$C$21, $C$12, 100%, $E$12)</f>
        <v>10.434100000000001</v>
      </c>
      <c r="D631" s="60">
        <f>10.4447 * CHOOSE(CONTROL!$C$21, $C$12, 100%, $E$12)</f>
        <v>10.444699999999999</v>
      </c>
      <c r="E631" s="61">
        <f>12.2798 * CHOOSE(CONTROL!$C$21, $C$12, 100%, $E$12)</f>
        <v>12.2798</v>
      </c>
      <c r="F631" s="61">
        <f>12.2798 * CHOOSE(CONTROL!$C$21, $C$12, 100%, $E$12)</f>
        <v>12.2798</v>
      </c>
      <c r="G631" s="61">
        <f>12.2799 * CHOOSE(CONTROL!$C$21, $C$12, 100%, $E$12)</f>
        <v>12.2799</v>
      </c>
      <c r="H631" s="61">
        <f>20.4347* CHOOSE(CONTROL!$C$21, $C$12, 100%, $E$12)</f>
        <v>20.434699999999999</v>
      </c>
      <c r="I631" s="61">
        <f>20.4349 * CHOOSE(CONTROL!$C$21, $C$12, 100%, $E$12)</f>
        <v>20.434899999999999</v>
      </c>
      <c r="J631" s="61">
        <f>12.2798 * CHOOSE(CONTROL!$C$21, $C$12, 100%, $E$12)</f>
        <v>12.2798</v>
      </c>
      <c r="K631" s="61">
        <f>12.2799 * CHOOSE(CONTROL!$C$21, $C$12, 100%, $E$12)</f>
        <v>12.2799</v>
      </c>
    </row>
    <row r="632" spans="1:11" ht="15">
      <c r="A632" s="13">
        <v>61118</v>
      </c>
      <c r="B632" s="60">
        <f>10.4341 * CHOOSE(CONTROL!$C$21, $C$12, 100%, $E$12)</f>
        <v>10.434100000000001</v>
      </c>
      <c r="C632" s="60">
        <f>10.4341 * CHOOSE(CONTROL!$C$21, $C$12, 100%, $E$12)</f>
        <v>10.434100000000001</v>
      </c>
      <c r="D632" s="60">
        <f>10.4553 * CHOOSE(CONTROL!$C$21, $C$12, 100%, $E$12)</f>
        <v>10.455299999999999</v>
      </c>
      <c r="E632" s="61">
        <f>12.3221 * CHOOSE(CONTROL!$C$21, $C$12, 100%, $E$12)</f>
        <v>12.322100000000001</v>
      </c>
      <c r="F632" s="61">
        <f>12.3221 * CHOOSE(CONTROL!$C$21, $C$12, 100%, $E$12)</f>
        <v>12.322100000000001</v>
      </c>
      <c r="G632" s="61">
        <f>12.3235 * CHOOSE(CONTROL!$C$21, $C$12, 100%, $E$12)</f>
        <v>12.323499999999999</v>
      </c>
      <c r="H632" s="61">
        <f>20.4773* CHOOSE(CONTROL!$C$21, $C$12, 100%, $E$12)</f>
        <v>20.4773</v>
      </c>
      <c r="I632" s="61">
        <f>20.4787 * CHOOSE(CONTROL!$C$21, $C$12, 100%, $E$12)</f>
        <v>20.4787</v>
      </c>
      <c r="J632" s="61">
        <f>12.3221 * CHOOSE(CONTROL!$C$21, $C$12, 100%, $E$12)</f>
        <v>12.322100000000001</v>
      </c>
      <c r="K632" s="61">
        <f>12.3235 * CHOOSE(CONTROL!$C$21, $C$12, 100%, $E$12)</f>
        <v>12.323499999999999</v>
      </c>
    </row>
    <row r="633" spans="1:11" ht="15">
      <c r="A633" s="13">
        <v>61149</v>
      </c>
      <c r="B633" s="60">
        <f>10.4402 * CHOOSE(CONTROL!$C$21, $C$12, 100%, $E$12)</f>
        <v>10.440200000000001</v>
      </c>
      <c r="C633" s="60">
        <f>10.4402 * CHOOSE(CONTROL!$C$21, $C$12, 100%, $E$12)</f>
        <v>10.440200000000001</v>
      </c>
      <c r="D633" s="60">
        <f>10.4614 * CHOOSE(CONTROL!$C$21, $C$12, 100%, $E$12)</f>
        <v>10.461399999999999</v>
      </c>
      <c r="E633" s="61">
        <f>12.284 * CHOOSE(CONTROL!$C$21, $C$12, 100%, $E$12)</f>
        <v>12.284000000000001</v>
      </c>
      <c r="F633" s="61">
        <f>12.284 * CHOOSE(CONTROL!$C$21, $C$12, 100%, $E$12)</f>
        <v>12.284000000000001</v>
      </c>
      <c r="G633" s="61">
        <f>12.2854 * CHOOSE(CONTROL!$C$21, $C$12, 100%, $E$12)</f>
        <v>12.285399999999999</v>
      </c>
      <c r="H633" s="61">
        <f>20.52* CHOOSE(CONTROL!$C$21, $C$12, 100%, $E$12)</f>
        <v>20.52</v>
      </c>
      <c r="I633" s="61">
        <f>20.5213 * CHOOSE(CONTROL!$C$21, $C$12, 100%, $E$12)</f>
        <v>20.5213</v>
      </c>
      <c r="J633" s="61">
        <f>12.284 * CHOOSE(CONTROL!$C$21, $C$12, 100%, $E$12)</f>
        <v>12.284000000000001</v>
      </c>
      <c r="K633" s="61">
        <f>12.2854 * CHOOSE(CONTROL!$C$21, $C$12, 100%, $E$12)</f>
        <v>12.285399999999999</v>
      </c>
    </row>
    <row r="634" spans="1:11" ht="15">
      <c r="A634" s="13">
        <v>61179</v>
      </c>
      <c r="B634" s="60">
        <f>10.6066 * CHOOSE(CONTROL!$C$21, $C$12, 100%, $E$12)</f>
        <v>10.6066</v>
      </c>
      <c r="C634" s="60">
        <f>10.6066 * CHOOSE(CONTROL!$C$21, $C$12, 100%, $E$12)</f>
        <v>10.6066</v>
      </c>
      <c r="D634" s="60">
        <f>10.6277 * CHOOSE(CONTROL!$C$21, $C$12, 100%, $E$12)</f>
        <v>10.627700000000001</v>
      </c>
      <c r="E634" s="61">
        <f>12.5206 * CHOOSE(CONTROL!$C$21, $C$12, 100%, $E$12)</f>
        <v>12.5206</v>
      </c>
      <c r="F634" s="61">
        <f>12.5206 * CHOOSE(CONTROL!$C$21, $C$12, 100%, $E$12)</f>
        <v>12.5206</v>
      </c>
      <c r="G634" s="61">
        <f>12.522 * CHOOSE(CONTROL!$C$21, $C$12, 100%, $E$12)</f>
        <v>12.522</v>
      </c>
      <c r="H634" s="61">
        <f>20.5627* CHOOSE(CONTROL!$C$21, $C$12, 100%, $E$12)</f>
        <v>20.5627</v>
      </c>
      <c r="I634" s="61">
        <f>20.5641 * CHOOSE(CONTROL!$C$21, $C$12, 100%, $E$12)</f>
        <v>20.5641</v>
      </c>
      <c r="J634" s="61">
        <f>12.5206 * CHOOSE(CONTROL!$C$21, $C$12, 100%, $E$12)</f>
        <v>12.5206</v>
      </c>
      <c r="K634" s="61">
        <f>12.522 * CHOOSE(CONTROL!$C$21, $C$12, 100%, $E$12)</f>
        <v>12.522</v>
      </c>
    </row>
    <row r="635" spans="1:11" ht="15">
      <c r="A635" s="13">
        <v>61210</v>
      </c>
      <c r="B635" s="60">
        <f>10.6133 * CHOOSE(CONTROL!$C$21, $C$12, 100%, $E$12)</f>
        <v>10.613300000000001</v>
      </c>
      <c r="C635" s="60">
        <f>10.6133 * CHOOSE(CONTROL!$C$21, $C$12, 100%, $E$12)</f>
        <v>10.613300000000001</v>
      </c>
      <c r="D635" s="60">
        <f>10.6344 * CHOOSE(CONTROL!$C$21, $C$12, 100%, $E$12)</f>
        <v>10.634399999999999</v>
      </c>
      <c r="E635" s="61">
        <f>12.3981 * CHOOSE(CONTROL!$C$21, $C$12, 100%, $E$12)</f>
        <v>12.398099999999999</v>
      </c>
      <c r="F635" s="61">
        <f>12.3981 * CHOOSE(CONTROL!$C$21, $C$12, 100%, $E$12)</f>
        <v>12.398099999999999</v>
      </c>
      <c r="G635" s="61">
        <f>12.3995 * CHOOSE(CONTROL!$C$21, $C$12, 100%, $E$12)</f>
        <v>12.3995</v>
      </c>
      <c r="H635" s="61">
        <f>20.6056* CHOOSE(CONTROL!$C$21, $C$12, 100%, $E$12)</f>
        <v>20.605599999999999</v>
      </c>
      <c r="I635" s="61">
        <f>20.6069 * CHOOSE(CONTROL!$C$21, $C$12, 100%, $E$12)</f>
        <v>20.6069</v>
      </c>
      <c r="J635" s="61">
        <f>12.3981 * CHOOSE(CONTROL!$C$21, $C$12, 100%, $E$12)</f>
        <v>12.398099999999999</v>
      </c>
      <c r="K635" s="61">
        <f>12.3995 * CHOOSE(CONTROL!$C$21, $C$12, 100%, $E$12)</f>
        <v>12.3995</v>
      </c>
    </row>
    <row r="636" spans="1:11" ht="15">
      <c r="A636" s="13">
        <v>61241</v>
      </c>
      <c r="B636" s="60">
        <f>10.6102 * CHOOSE(CONTROL!$C$21, $C$12, 100%, $E$12)</f>
        <v>10.610200000000001</v>
      </c>
      <c r="C636" s="60">
        <f>10.6102 * CHOOSE(CONTROL!$C$21, $C$12, 100%, $E$12)</f>
        <v>10.610200000000001</v>
      </c>
      <c r="D636" s="60">
        <f>10.6313 * CHOOSE(CONTROL!$C$21, $C$12, 100%, $E$12)</f>
        <v>10.6313</v>
      </c>
      <c r="E636" s="61">
        <f>12.3819 * CHOOSE(CONTROL!$C$21, $C$12, 100%, $E$12)</f>
        <v>12.3819</v>
      </c>
      <c r="F636" s="61">
        <f>12.3819 * CHOOSE(CONTROL!$C$21, $C$12, 100%, $E$12)</f>
        <v>12.3819</v>
      </c>
      <c r="G636" s="61">
        <f>12.3832 * CHOOSE(CONTROL!$C$21, $C$12, 100%, $E$12)</f>
        <v>12.3832</v>
      </c>
      <c r="H636" s="61">
        <f>20.6485* CHOOSE(CONTROL!$C$21, $C$12, 100%, $E$12)</f>
        <v>20.648499999999999</v>
      </c>
      <c r="I636" s="61">
        <f>20.6499 * CHOOSE(CONTROL!$C$21, $C$12, 100%, $E$12)</f>
        <v>20.649899999999999</v>
      </c>
      <c r="J636" s="61">
        <f>12.3819 * CHOOSE(CONTROL!$C$21, $C$12, 100%, $E$12)</f>
        <v>12.3819</v>
      </c>
      <c r="K636" s="61">
        <f>12.3832 * CHOOSE(CONTROL!$C$21, $C$12, 100%, $E$12)</f>
        <v>12.3832</v>
      </c>
    </row>
    <row r="637" spans="1:11" ht="15">
      <c r="A637" s="13">
        <v>61271</v>
      </c>
      <c r="B637" s="60">
        <f>10.6272 * CHOOSE(CONTROL!$C$21, $C$12, 100%, $E$12)</f>
        <v>10.6272</v>
      </c>
      <c r="C637" s="60">
        <f>10.6272 * CHOOSE(CONTROL!$C$21, $C$12, 100%, $E$12)</f>
        <v>10.6272</v>
      </c>
      <c r="D637" s="60">
        <f>10.6378 * CHOOSE(CONTROL!$C$21, $C$12, 100%, $E$12)</f>
        <v>10.6378</v>
      </c>
      <c r="E637" s="61">
        <f>12.425 * CHOOSE(CONTROL!$C$21, $C$12, 100%, $E$12)</f>
        <v>12.425000000000001</v>
      </c>
      <c r="F637" s="61">
        <f>12.425 * CHOOSE(CONTROL!$C$21, $C$12, 100%, $E$12)</f>
        <v>12.425000000000001</v>
      </c>
      <c r="G637" s="61">
        <f>12.4251 * CHOOSE(CONTROL!$C$21, $C$12, 100%, $E$12)</f>
        <v>12.4251</v>
      </c>
      <c r="H637" s="61">
        <f>20.6915* CHOOSE(CONTROL!$C$21, $C$12, 100%, $E$12)</f>
        <v>20.691500000000001</v>
      </c>
      <c r="I637" s="61">
        <f>20.6917 * CHOOSE(CONTROL!$C$21, $C$12, 100%, $E$12)</f>
        <v>20.691700000000001</v>
      </c>
      <c r="J637" s="61">
        <f>12.425 * CHOOSE(CONTROL!$C$21, $C$12, 100%, $E$12)</f>
        <v>12.425000000000001</v>
      </c>
      <c r="K637" s="61">
        <f>12.4251 * CHOOSE(CONTROL!$C$21, $C$12, 100%, $E$12)</f>
        <v>12.4251</v>
      </c>
    </row>
    <row r="638" spans="1:11" ht="15">
      <c r="A638" s="13">
        <v>61302</v>
      </c>
      <c r="B638" s="60">
        <f>10.6302 * CHOOSE(CONTROL!$C$21, $C$12, 100%, $E$12)</f>
        <v>10.6302</v>
      </c>
      <c r="C638" s="60">
        <f>10.6302 * CHOOSE(CONTROL!$C$21, $C$12, 100%, $E$12)</f>
        <v>10.6302</v>
      </c>
      <c r="D638" s="60">
        <f>10.6408 * CHOOSE(CONTROL!$C$21, $C$12, 100%, $E$12)</f>
        <v>10.6408</v>
      </c>
      <c r="E638" s="61">
        <f>12.4553 * CHOOSE(CONTROL!$C$21, $C$12, 100%, $E$12)</f>
        <v>12.455299999999999</v>
      </c>
      <c r="F638" s="61">
        <f>12.4553 * CHOOSE(CONTROL!$C$21, $C$12, 100%, $E$12)</f>
        <v>12.455299999999999</v>
      </c>
      <c r="G638" s="61">
        <f>12.4555 * CHOOSE(CONTROL!$C$21, $C$12, 100%, $E$12)</f>
        <v>12.455500000000001</v>
      </c>
      <c r="H638" s="61">
        <f>20.7346* CHOOSE(CONTROL!$C$21, $C$12, 100%, $E$12)</f>
        <v>20.7346</v>
      </c>
      <c r="I638" s="61">
        <f>20.7348 * CHOOSE(CONTROL!$C$21, $C$12, 100%, $E$12)</f>
        <v>20.7348</v>
      </c>
      <c r="J638" s="61">
        <f>12.4553 * CHOOSE(CONTROL!$C$21, $C$12, 100%, $E$12)</f>
        <v>12.455299999999999</v>
      </c>
      <c r="K638" s="61">
        <f>12.4555 * CHOOSE(CONTROL!$C$21, $C$12, 100%, $E$12)</f>
        <v>12.455500000000001</v>
      </c>
    </row>
    <row r="639" spans="1:11" ht="15">
      <c r="A639" s="13">
        <v>61332</v>
      </c>
      <c r="B639" s="60">
        <f>10.6302 * CHOOSE(CONTROL!$C$21, $C$12, 100%, $E$12)</f>
        <v>10.6302</v>
      </c>
      <c r="C639" s="60">
        <f>10.6302 * CHOOSE(CONTROL!$C$21, $C$12, 100%, $E$12)</f>
        <v>10.6302</v>
      </c>
      <c r="D639" s="60">
        <f>10.6408 * CHOOSE(CONTROL!$C$21, $C$12, 100%, $E$12)</f>
        <v>10.6408</v>
      </c>
      <c r="E639" s="61">
        <f>12.3847 * CHOOSE(CONTROL!$C$21, $C$12, 100%, $E$12)</f>
        <v>12.3847</v>
      </c>
      <c r="F639" s="61">
        <f>12.3847 * CHOOSE(CONTROL!$C$21, $C$12, 100%, $E$12)</f>
        <v>12.3847</v>
      </c>
      <c r="G639" s="61">
        <f>12.3849 * CHOOSE(CONTROL!$C$21, $C$12, 100%, $E$12)</f>
        <v>12.3849</v>
      </c>
      <c r="H639" s="61">
        <f>20.7778* CHOOSE(CONTROL!$C$21, $C$12, 100%, $E$12)</f>
        <v>20.777799999999999</v>
      </c>
      <c r="I639" s="61">
        <f>20.778 * CHOOSE(CONTROL!$C$21, $C$12, 100%, $E$12)</f>
        <v>20.777999999999999</v>
      </c>
      <c r="J639" s="61">
        <f>12.3847 * CHOOSE(CONTROL!$C$21, $C$12, 100%, $E$12)</f>
        <v>12.3847</v>
      </c>
      <c r="K639" s="61">
        <f>12.3849 * CHOOSE(CONTROL!$C$21, $C$12, 100%, $E$12)</f>
        <v>12.3849</v>
      </c>
    </row>
    <row r="640" spans="1:11" ht="15">
      <c r="A640" s="13">
        <v>61363</v>
      </c>
      <c r="B640" s="60">
        <f>10.6823 * CHOOSE(CONTROL!$C$21, $C$12, 100%, $E$12)</f>
        <v>10.6823</v>
      </c>
      <c r="C640" s="60">
        <f>10.6823 * CHOOSE(CONTROL!$C$21, $C$12, 100%, $E$12)</f>
        <v>10.6823</v>
      </c>
      <c r="D640" s="60">
        <f>10.6929 * CHOOSE(CONTROL!$C$21, $C$12, 100%, $E$12)</f>
        <v>10.6929</v>
      </c>
      <c r="E640" s="61">
        <f>12.4959 * CHOOSE(CONTROL!$C$21, $C$12, 100%, $E$12)</f>
        <v>12.495900000000001</v>
      </c>
      <c r="F640" s="61">
        <f>12.4959 * CHOOSE(CONTROL!$C$21, $C$12, 100%, $E$12)</f>
        <v>12.495900000000001</v>
      </c>
      <c r="G640" s="61">
        <f>12.4961 * CHOOSE(CONTROL!$C$21, $C$12, 100%, $E$12)</f>
        <v>12.4961</v>
      </c>
      <c r="H640" s="61">
        <f>20.7534* CHOOSE(CONTROL!$C$21, $C$12, 100%, $E$12)</f>
        <v>20.753399999999999</v>
      </c>
      <c r="I640" s="61">
        <f>20.7536 * CHOOSE(CONTROL!$C$21, $C$12, 100%, $E$12)</f>
        <v>20.753599999999999</v>
      </c>
      <c r="J640" s="61">
        <f>12.4959 * CHOOSE(CONTROL!$C$21, $C$12, 100%, $E$12)</f>
        <v>12.495900000000001</v>
      </c>
      <c r="K640" s="61">
        <f>12.4961 * CHOOSE(CONTROL!$C$21, $C$12, 100%, $E$12)</f>
        <v>12.4961</v>
      </c>
    </row>
    <row r="641" spans="1:11" ht="15">
      <c r="A641" s="13">
        <v>61394</v>
      </c>
      <c r="B641" s="60">
        <f>10.6793 * CHOOSE(CONTROL!$C$21, $C$12, 100%, $E$12)</f>
        <v>10.6793</v>
      </c>
      <c r="C641" s="60">
        <f>10.6793 * CHOOSE(CONTROL!$C$21, $C$12, 100%, $E$12)</f>
        <v>10.6793</v>
      </c>
      <c r="D641" s="60">
        <f>10.6899 * CHOOSE(CONTROL!$C$21, $C$12, 100%, $E$12)</f>
        <v>10.6899</v>
      </c>
      <c r="E641" s="61">
        <f>12.3571 * CHOOSE(CONTROL!$C$21, $C$12, 100%, $E$12)</f>
        <v>12.357100000000001</v>
      </c>
      <c r="F641" s="61">
        <f>12.3571 * CHOOSE(CONTROL!$C$21, $C$12, 100%, $E$12)</f>
        <v>12.357100000000001</v>
      </c>
      <c r="G641" s="61">
        <f>12.3573 * CHOOSE(CONTROL!$C$21, $C$12, 100%, $E$12)</f>
        <v>12.3573</v>
      </c>
      <c r="H641" s="61">
        <f>20.7967* CHOOSE(CONTROL!$C$21, $C$12, 100%, $E$12)</f>
        <v>20.796700000000001</v>
      </c>
      <c r="I641" s="61">
        <f>20.7969 * CHOOSE(CONTROL!$C$21, $C$12, 100%, $E$12)</f>
        <v>20.796900000000001</v>
      </c>
      <c r="J641" s="61">
        <f>12.3571 * CHOOSE(CONTROL!$C$21, $C$12, 100%, $E$12)</f>
        <v>12.357100000000001</v>
      </c>
      <c r="K641" s="61">
        <f>12.3573 * CHOOSE(CONTROL!$C$21, $C$12, 100%, $E$12)</f>
        <v>12.3573</v>
      </c>
    </row>
    <row r="642" spans="1:11" ht="15">
      <c r="A642" s="13">
        <v>61423</v>
      </c>
      <c r="B642" s="60">
        <f>10.6763 * CHOOSE(CONTROL!$C$21, $C$12, 100%, $E$12)</f>
        <v>10.676299999999999</v>
      </c>
      <c r="C642" s="60">
        <f>10.6763 * CHOOSE(CONTROL!$C$21, $C$12, 100%, $E$12)</f>
        <v>10.676299999999999</v>
      </c>
      <c r="D642" s="60">
        <f>10.6868 * CHOOSE(CONTROL!$C$21, $C$12, 100%, $E$12)</f>
        <v>10.6868</v>
      </c>
      <c r="E642" s="61">
        <f>12.4627 * CHOOSE(CONTROL!$C$21, $C$12, 100%, $E$12)</f>
        <v>12.4627</v>
      </c>
      <c r="F642" s="61">
        <f>12.4627 * CHOOSE(CONTROL!$C$21, $C$12, 100%, $E$12)</f>
        <v>12.4627</v>
      </c>
      <c r="G642" s="61">
        <f>12.4629 * CHOOSE(CONTROL!$C$21, $C$12, 100%, $E$12)</f>
        <v>12.462899999999999</v>
      </c>
      <c r="H642" s="61">
        <f>20.84* CHOOSE(CONTROL!$C$21, $C$12, 100%, $E$12)</f>
        <v>20.84</v>
      </c>
      <c r="I642" s="61">
        <f>20.8402 * CHOOSE(CONTROL!$C$21, $C$12, 100%, $E$12)</f>
        <v>20.840199999999999</v>
      </c>
      <c r="J642" s="61">
        <f>12.4627 * CHOOSE(CONTROL!$C$21, $C$12, 100%, $E$12)</f>
        <v>12.4627</v>
      </c>
      <c r="K642" s="61">
        <f>12.4629 * CHOOSE(CONTROL!$C$21, $C$12, 100%, $E$12)</f>
        <v>12.462899999999999</v>
      </c>
    </row>
    <row r="643" spans="1:11" ht="15">
      <c r="A643" s="13">
        <v>61454</v>
      </c>
      <c r="B643" s="60">
        <f>10.6797 * CHOOSE(CONTROL!$C$21, $C$12, 100%, $E$12)</f>
        <v>10.6797</v>
      </c>
      <c r="C643" s="60">
        <f>10.6797 * CHOOSE(CONTROL!$C$21, $C$12, 100%, $E$12)</f>
        <v>10.6797</v>
      </c>
      <c r="D643" s="60">
        <f>10.6902 * CHOOSE(CONTROL!$C$21, $C$12, 100%, $E$12)</f>
        <v>10.690200000000001</v>
      </c>
      <c r="E643" s="61">
        <f>12.5742 * CHOOSE(CONTROL!$C$21, $C$12, 100%, $E$12)</f>
        <v>12.574199999999999</v>
      </c>
      <c r="F643" s="61">
        <f>12.5742 * CHOOSE(CONTROL!$C$21, $C$12, 100%, $E$12)</f>
        <v>12.574199999999999</v>
      </c>
      <c r="G643" s="61">
        <f>12.5744 * CHOOSE(CONTROL!$C$21, $C$12, 100%, $E$12)</f>
        <v>12.574400000000001</v>
      </c>
      <c r="H643" s="61">
        <f>20.8834* CHOOSE(CONTROL!$C$21, $C$12, 100%, $E$12)</f>
        <v>20.883400000000002</v>
      </c>
      <c r="I643" s="61">
        <f>20.8836 * CHOOSE(CONTROL!$C$21, $C$12, 100%, $E$12)</f>
        <v>20.883600000000001</v>
      </c>
      <c r="J643" s="61">
        <f>12.5742 * CHOOSE(CONTROL!$C$21, $C$12, 100%, $E$12)</f>
        <v>12.574199999999999</v>
      </c>
      <c r="K643" s="61">
        <f>12.5744 * CHOOSE(CONTROL!$C$21, $C$12, 100%, $E$12)</f>
        <v>12.574400000000001</v>
      </c>
    </row>
    <row r="644" spans="1:11" ht="15">
      <c r="A644" s="13">
        <v>61484</v>
      </c>
      <c r="B644" s="60">
        <f>10.6797 * CHOOSE(CONTROL!$C$21, $C$12, 100%, $E$12)</f>
        <v>10.6797</v>
      </c>
      <c r="C644" s="60">
        <f>10.6797 * CHOOSE(CONTROL!$C$21, $C$12, 100%, $E$12)</f>
        <v>10.6797</v>
      </c>
      <c r="D644" s="60">
        <f>10.7008 * CHOOSE(CONTROL!$C$21, $C$12, 100%, $E$12)</f>
        <v>10.700799999999999</v>
      </c>
      <c r="E644" s="61">
        <f>12.6176 * CHOOSE(CONTROL!$C$21, $C$12, 100%, $E$12)</f>
        <v>12.617599999999999</v>
      </c>
      <c r="F644" s="61">
        <f>12.6176 * CHOOSE(CONTROL!$C$21, $C$12, 100%, $E$12)</f>
        <v>12.617599999999999</v>
      </c>
      <c r="G644" s="61">
        <f>12.619 * CHOOSE(CONTROL!$C$21, $C$12, 100%, $E$12)</f>
        <v>12.619</v>
      </c>
      <c r="H644" s="61">
        <f>20.9269* CHOOSE(CONTROL!$C$21, $C$12, 100%, $E$12)</f>
        <v>20.9269</v>
      </c>
      <c r="I644" s="61">
        <f>20.9283 * CHOOSE(CONTROL!$C$21, $C$12, 100%, $E$12)</f>
        <v>20.9283</v>
      </c>
      <c r="J644" s="61">
        <f>12.6176 * CHOOSE(CONTROL!$C$21, $C$12, 100%, $E$12)</f>
        <v>12.617599999999999</v>
      </c>
      <c r="K644" s="61">
        <f>12.619 * CHOOSE(CONTROL!$C$21, $C$12, 100%, $E$12)</f>
        <v>12.619</v>
      </c>
    </row>
    <row r="645" spans="1:11" ht="15">
      <c r="A645" s="13">
        <v>61515</v>
      </c>
      <c r="B645" s="60">
        <f>10.6858 * CHOOSE(CONTROL!$C$21, $C$12, 100%, $E$12)</f>
        <v>10.6858</v>
      </c>
      <c r="C645" s="60">
        <f>10.6858 * CHOOSE(CONTROL!$C$21, $C$12, 100%, $E$12)</f>
        <v>10.6858</v>
      </c>
      <c r="D645" s="60">
        <f>10.7069 * CHOOSE(CONTROL!$C$21, $C$12, 100%, $E$12)</f>
        <v>10.706899999999999</v>
      </c>
      <c r="E645" s="61">
        <f>12.5784 * CHOOSE(CONTROL!$C$21, $C$12, 100%, $E$12)</f>
        <v>12.5784</v>
      </c>
      <c r="F645" s="61">
        <f>12.5784 * CHOOSE(CONTROL!$C$21, $C$12, 100%, $E$12)</f>
        <v>12.5784</v>
      </c>
      <c r="G645" s="61">
        <f>12.5798 * CHOOSE(CONTROL!$C$21, $C$12, 100%, $E$12)</f>
        <v>12.579800000000001</v>
      </c>
      <c r="H645" s="61">
        <f>20.9705* CHOOSE(CONTROL!$C$21, $C$12, 100%, $E$12)</f>
        <v>20.970500000000001</v>
      </c>
      <c r="I645" s="61">
        <f>20.9719 * CHOOSE(CONTROL!$C$21, $C$12, 100%, $E$12)</f>
        <v>20.971900000000002</v>
      </c>
      <c r="J645" s="61">
        <f>12.5784 * CHOOSE(CONTROL!$C$21, $C$12, 100%, $E$12)</f>
        <v>12.5784</v>
      </c>
      <c r="K645" s="61">
        <f>12.5798 * CHOOSE(CONTROL!$C$21, $C$12, 100%, $E$12)</f>
        <v>12.579800000000001</v>
      </c>
    </row>
    <row r="646" spans="1:11" ht="15">
      <c r="A646" s="13">
        <v>61545</v>
      </c>
      <c r="B646" s="60">
        <f>10.8558 * CHOOSE(CONTROL!$C$21, $C$12, 100%, $E$12)</f>
        <v>10.8558</v>
      </c>
      <c r="C646" s="60">
        <f>10.8558 * CHOOSE(CONTROL!$C$21, $C$12, 100%, $E$12)</f>
        <v>10.8558</v>
      </c>
      <c r="D646" s="60">
        <f>10.8769 * CHOOSE(CONTROL!$C$21, $C$12, 100%, $E$12)</f>
        <v>10.876899999999999</v>
      </c>
      <c r="E646" s="61">
        <f>12.8205 * CHOOSE(CONTROL!$C$21, $C$12, 100%, $E$12)</f>
        <v>12.820499999999999</v>
      </c>
      <c r="F646" s="61">
        <f>12.8205 * CHOOSE(CONTROL!$C$21, $C$12, 100%, $E$12)</f>
        <v>12.820499999999999</v>
      </c>
      <c r="G646" s="61">
        <f>12.8218 * CHOOSE(CONTROL!$C$21, $C$12, 100%, $E$12)</f>
        <v>12.8218</v>
      </c>
      <c r="H646" s="61">
        <f>21.0142* CHOOSE(CONTROL!$C$21, $C$12, 100%, $E$12)</f>
        <v>21.014199999999999</v>
      </c>
      <c r="I646" s="61">
        <f>21.0156 * CHOOSE(CONTROL!$C$21, $C$12, 100%, $E$12)</f>
        <v>21.015599999999999</v>
      </c>
      <c r="J646" s="61">
        <f>12.8205 * CHOOSE(CONTROL!$C$21, $C$12, 100%, $E$12)</f>
        <v>12.820499999999999</v>
      </c>
      <c r="K646" s="61">
        <f>12.8218 * CHOOSE(CONTROL!$C$21, $C$12, 100%, $E$12)</f>
        <v>12.8218</v>
      </c>
    </row>
    <row r="647" spans="1:11" ht="15">
      <c r="A647" s="13">
        <v>61576</v>
      </c>
      <c r="B647" s="60">
        <f>10.8625 * CHOOSE(CONTROL!$C$21, $C$12, 100%, $E$12)</f>
        <v>10.862500000000001</v>
      </c>
      <c r="C647" s="60">
        <f>10.8625 * CHOOSE(CONTROL!$C$21, $C$12, 100%, $E$12)</f>
        <v>10.862500000000001</v>
      </c>
      <c r="D647" s="60">
        <f>10.8836 * CHOOSE(CONTROL!$C$21, $C$12, 100%, $E$12)</f>
        <v>10.883599999999999</v>
      </c>
      <c r="E647" s="61">
        <f>12.6949 * CHOOSE(CONTROL!$C$21, $C$12, 100%, $E$12)</f>
        <v>12.694900000000001</v>
      </c>
      <c r="F647" s="61">
        <f>12.6949 * CHOOSE(CONTROL!$C$21, $C$12, 100%, $E$12)</f>
        <v>12.694900000000001</v>
      </c>
      <c r="G647" s="61">
        <f>12.6963 * CHOOSE(CONTROL!$C$21, $C$12, 100%, $E$12)</f>
        <v>12.696300000000001</v>
      </c>
      <c r="H647" s="61">
        <f>21.058* CHOOSE(CONTROL!$C$21, $C$12, 100%, $E$12)</f>
        <v>21.058</v>
      </c>
      <c r="I647" s="61">
        <f>21.0594 * CHOOSE(CONTROL!$C$21, $C$12, 100%, $E$12)</f>
        <v>21.0594</v>
      </c>
      <c r="J647" s="61">
        <f>12.6949 * CHOOSE(CONTROL!$C$21, $C$12, 100%, $E$12)</f>
        <v>12.694900000000001</v>
      </c>
      <c r="K647" s="61">
        <f>12.6963 * CHOOSE(CONTROL!$C$21, $C$12, 100%, $E$12)</f>
        <v>12.696300000000001</v>
      </c>
    </row>
    <row r="648" spans="1:11" ht="15">
      <c r="A648" s="13">
        <v>61607</v>
      </c>
      <c r="B648" s="60">
        <f>10.8594 * CHOOSE(CONTROL!$C$21, $C$12, 100%, $E$12)</f>
        <v>10.859400000000001</v>
      </c>
      <c r="C648" s="60">
        <f>10.8594 * CHOOSE(CONTROL!$C$21, $C$12, 100%, $E$12)</f>
        <v>10.859400000000001</v>
      </c>
      <c r="D648" s="60">
        <f>10.8806 * CHOOSE(CONTROL!$C$21, $C$12, 100%, $E$12)</f>
        <v>10.880599999999999</v>
      </c>
      <c r="E648" s="61">
        <f>12.6784 * CHOOSE(CONTROL!$C$21, $C$12, 100%, $E$12)</f>
        <v>12.6784</v>
      </c>
      <c r="F648" s="61">
        <f>12.6784 * CHOOSE(CONTROL!$C$21, $C$12, 100%, $E$12)</f>
        <v>12.6784</v>
      </c>
      <c r="G648" s="61">
        <f>12.6797 * CHOOSE(CONTROL!$C$21, $C$12, 100%, $E$12)</f>
        <v>12.6797</v>
      </c>
      <c r="H648" s="61">
        <f>21.1019* CHOOSE(CONTROL!$C$21, $C$12, 100%, $E$12)</f>
        <v>21.101900000000001</v>
      </c>
      <c r="I648" s="61">
        <f>21.1032 * CHOOSE(CONTROL!$C$21, $C$12, 100%, $E$12)</f>
        <v>21.103200000000001</v>
      </c>
      <c r="J648" s="61">
        <f>12.6784 * CHOOSE(CONTROL!$C$21, $C$12, 100%, $E$12)</f>
        <v>12.6784</v>
      </c>
      <c r="K648" s="61">
        <f>12.6797 * CHOOSE(CONTROL!$C$21, $C$12, 100%, $E$12)</f>
        <v>12.6797</v>
      </c>
    </row>
    <row r="649" spans="1:11" ht="15">
      <c r="A649" s="13">
        <v>61637</v>
      </c>
      <c r="B649" s="60">
        <f>10.8772 * CHOOSE(CONTROL!$C$21, $C$12, 100%, $E$12)</f>
        <v>10.8772</v>
      </c>
      <c r="C649" s="60">
        <f>10.8772 * CHOOSE(CONTROL!$C$21, $C$12, 100%, $E$12)</f>
        <v>10.8772</v>
      </c>
      <c r="D649" s="60">
        <f>10.8878 * CHOOSE(CONTROL!$C$21, $C$12, 100%, $E$12)</f>
        <v>10.8878</v>
      </c>
      <c r="E649" s="61">
        <f>12.7228 * CHOOSE(CONTROL!$C$21, $C$12, 100%, $E$12)</f>
        <v>12.722799999999999</v>
      </c>
      <c r="F649" s="61">
        <f>12.7228 * CHOOSE(CONTROL!$C$21, $C$12, 100%, $E$12)</f>
        <v>12.722799999999999</v>
      </c>
      <c r="G649" s="61">
        <f>12.723 * CHOOSE(CONTROL!$C$21, $C$12, 100%, $E$12)</f>
        <v>12.723000000000001</v>
      </c>
      <c r="H649" s="61">
        <f>21.1458* CHOOSE(CONTROL!$C$21, $C$12, 100%, $E$12)</f>
        <v>21.145800000000001</v>
      </c>
      <c r="I649" s="61">
        <f>21.146 * CHOOSE(CONTROL!$C$21, $C$12, 100%, $E$12)</f>
        <v>21.146000000000001</v>
      </c>
      <c r="J649" s="61">
        <f>12.7228 * CHOOSE(CONTROL!$C$21, $C$12, 100%, $E$12)</f>
        <v>12.722799999999999</v>
      </c>
      <c r="K649" s="61">
        <f>12.723 * CHOOSE(CONTROL!$C$21, $C$12, 100%, $E$12)</f>
        <v>12.723000000000001</v>
      </c>
    </row>
    <row r="650" spans="1:11" ht="15">
      <c r="A650" s="13">
        <v>61668</v>
      </c>
      <c r="B650" s="60">
        <f>10.8803 * CHOOSE(CONTROL!$C$21, $C$12, 100%, $E$12)</f>
        <v>10.8803</v>
      </c>
      <c r="C650" s="60">
        <f>10.8803 * CHOOSE(CONTROL!$C$21, $C$12, 100%, $E$12)</f>
        <v>10.8803</v>
      </c>
      <c r="D650" s="60">
        <f>10.8908 * CHOOSE(CONTROL!$C$21, $C$12, 100%, $E$12)</f>
        <v>10.8908</v>
      </c>
      <c r="E650" s="61">
        <f>12.7538 * CHOOSE(CONTROL!$C$21, $C$12, 100%, $E$12)</f>
        <v>12.7538</v>
      </c>
      <c r="F650" s="61">
        <f>12.7538 * CHOOSE(CONTROL!$C$21, $C$12, 100%, $E$12)</f>
        <v>12.7538</v>
      </c>
      <c r="G650" s="61">
        <f>12.754 * CHOOSE(CONTROL!$C$21, $C$12, 100%, $E$12)</f>
        <v>12.754</v>
      </c>
      <c r="H650" s="61">
        <f>21.1899* CHOOSE(CONTROL!$C$21, $C$12, 100%, $E$12)</f>
        <v>21.189900000000002</v>
      </c>
      <c r="I650" s="61">
        <f>21.1901 * CHOOSE(CONTROL!$C$21, $C$12, 100%, $E$12)</f>
        <v>21.190100000000001</v>
      </c>
      <c r="J650" s="61">
        <f>12.7538 * CHOOSE(CONTROL!$C$21, $C$12, 100%, $E$12)</f>
        <v>12.7538</v>
      </c>
      <c r="K650" s="61">
        <f>12.754 * CHOOSE(CONTROL!$C$21, $C$12, 100%, $E$12)</f>
        <v>12.754</v>
      </c>
    </row>
    <row r="651" spans="1:11" ht="15">
      <c r="A651" s="13">
        <v>61698</v>
      </c>
      <c r="B651" s="60">
        <f>10.8803 * CHOOSE(CONTROL!$C$21, $C$12, 100%, $E$12)</f>
        <v>10.8803</v>
      </c>
      <c r="C651" s="60">
        <f>10.8803 * CHOOSE(CONTROL!$C$21, $C$12, 100%, $E$12)</f>
        <v>10.8803</v>
      </c>
      <c r="D651" s="60">
        <f>10.8908 * CHOOSE(CONTROL!$C$21, $C$12, 100%, $E$12)</f>
        <v>10.8908</v>
      </c>
      <c r="E651" s="61">
        <f>12.6815 * CHOOSE(CONTROL!$C$21, $C$12, 100%, $E$12)</f>
        <v>12.6815</v>
      </c>
      <c r="F651" s="61">
        <f>12.6815 * CHOOSE(CONTROL!$C$21, $C$12, 100%, $E$12)</f>
        <v>12.6815</v>
      </c>
      <c r="G651" s="61">
        <f>12.6817 * CHOOSE(CONTROL!$C$21, $C$12, 100%, $E$12)</f>
        <v>12.681699999999999</v>
      </c>
      <c r="H651" s="61">
        <f>21.234* CHOOSE(CONTROL!$C$21, $C$12, 100%, $E$12)</f>
        <v>21.234000000000002</v>
      </c>
      <c r="I651" s="61">
        <f>21.2342 * CHOOSE(CONTROL!$C$21, $C$12, 100%, $E$12)</f>
        <v>21.234200000000001</v>
      </c>
      <c r="J651" s="61">
        <f>12.6815 * CHOOSE(CONTROL!$C$21, $C$12, 100%, $E$12)</f>
        <v>12.6815</v>
      </c>
      <c r="K651" s="61">
        <f>12.6817 * CHOOSE(CONTROL!$C$21, $C$12, 100%, $E$12)</f>
        <v>12.681699999999999</v>
      </c>
    </row>
    <row r="652" spans="1:11" ht="15">
      <c r="A652" s="13">
        <v>61729</v>
      </c>
      <c r="B652" s="60">
        <f>10.9277 * CHOOSE(CONTROL!$C$21, $C$12, 100%, $E$12)</f>
        <v>10.9277</v>
      </c>
      <c r="C652" s="60">
        <f>10.9277 * CHOOSE(CONTROL!$C$21, $C$12, 100%, $E$12)</f>
        <v>10.9277</v>
      </c>
      <c r="D652" s="60">
        <f>10.9382 * CHOOSE(CONTROL!$C$21, $C$12, 100%, $E$12)</f>
        <v>10.9382</v>
      </c>
      <c r="E652" s="61">
        <f>12.7883 * CHOOSE(CONTROL!$C$21, $C$12, 100%, $E$12)</f>
        <v>12.7883</v>
      </c>
      <c r="F652" s="61">
        <f>12.7883 * CHOOSE(CONTROL!$C$21, $C$12, 100%, $E$12)</f>
        <v>12.7883</v>
      </c>
      <c r="G652" s="61">
        <f>12.7885 * CHOOSE(CONTROL!$C$21, $C$12, 100%, $E$12)</f>
        <v>12.788500000000001</v>
      </c>
      <c r="H652" s="61">
        <f>21.1993* CHOOSE(CONTROL!$C$21, $C$12, 100%, $E$12)</f>
        <v>21.199300000000001</v>
      </c>
      <c r="I652" s="61">
        <f>21.1995 * CHOOSE(CONTROL!$C$21, $C$12, 100%, $E$12)</f>
        <v>21.1995</v>
      </c>
      <c r="J652" s="61">
        <f>12.7883 * CHOOSE(CONTROL!$C$21, $C$12, 100%, $E$12)</f>
        <v>12.7883</v>
      </c>
      <c r="K652" s="61">
        <f>12.7885 * CHOOSE(CONTROL!$C$21, $C$12, 100%, $E$12)</f>
        <v>12.788500000000001</v>
      </c>
    </row>
    <row r="653" spans="1:11" ht="15">
      <c r="A653" s="13">
        <v>61760</v>
      </c>
      <c r="B653" s="60">
        <f>10.9246 * CHOOSE(CONTROL!$C$21, $C$12, 100%, $E$12)</f>
        <v>10.9246</v>
      </c>
      <c r="C653" s="60">
        <f>10.9246 * CHOOSE(CONTROL!$C$21, $C$12, 100%, $E$12)</f>
        <v>10.9246</v>
      </c>
      <c r="D653" s="60">
        <f>10.9352 * CHOOSE(CONTROL!$C$21, $C$12, 100%, $E$12)</f>
        <v>10.9352</v>
      </c>
      <c r="E653" s="61">
        <f>12.6463 * CHOOSE(CONTROL!$C$21, $C$12, 100%, $E$12)</f>
        <v>12.6463</v>
      </c>
      <c r="F653" s="61">
        <f>12.6463 * CHOOSE(CONTROL!$C$21, $C$12, 100%, $E$12)</f>
        <v>12.6463</v>
      </c>
      <c r="G653" s="61">
        <f>12.6465 * CHOOSE(CONTROL!$C$21, $C$12, 100%, $E$12)</f>
        <v>12.6465</v>
      </c>
      <c r="H653" s="61">
        <f>21.2435* CHOOSE(CONTROL!$C$21, $C$12, 100%, $E$12)</f>
        <v>21.243500000000001</v>
      </c>
      <c r="I653" s="61">
        <f>21.2437 * CHOOSE(CONTROL!$C$21, $C$12, 100%, $E$12)</f>
        <v>21.2437</v>
      </c>
      <c r="J653" s="61">
        <f>12.6463 * CHOOSE(CONTROL!$C$21, $C$12, 100%, $E$12)</f>
        <v>12.6463</v>
      </c>
      <c r="K653" s="61">
        <f>12.6465 * CHOOSE(CONTROL!$C$21, $C$12, 100%, $E$12)</f>
        <v>12.6465</v>
      </c>
    </row>
    <row r="654" spans="1:11" ht="15">
      <c r="A654" s="13">
        <v>61788</v>
      </c>
      <c r="B654" s="60">
        <f>10.9216 * CHOOSE(CONTROL!$C$21, $C$12, 100%, $E$12)</f>
        <v>10.9216</v>
      </c>
      <c r="C654" s="60">
        <f>10.9216 * CHOOSE(CONTROL!$C$21, $C$12, 100%, $E$12)</f>
        <v>10.9216</v>
      </c>
      <c r="D654" s="60">
        <f>10.9321 * CHOOSE(CONTROL!$C$21, $C$12, 100%, $E$12)</f>
        <v>10.9321</v>
      </c>
      <c r="E654" s="61">
        <f>12.7545 * CHOOSE(CONTROL!$C$21, $C$12, 100%, $E$12)</f>
        <v>12.7545</v>
      </c>
      <c r="F654" s="61">
        <f>12.7545 * CHOOSE(CONTROL!$C$21, $C$12, 100%, $E$12)</f>
        <v>12.7545</v>
      </c>
      <c r="G654" s="61">
        <f>12.7546 * CHOOSE(CONTROL!$C$21, $C$12, 100%, $E$12)</f>
        <v>12.7546</v>
      </c>
      <c r="H654" s="61">
        <f>21.2878* CHOOSE(CONTROL!$C$21, $C$12, 100%, $E$12)</f>
        <v>21.287800000000001</v>
      </c>
      <c r="I654" s="61">
        <f>21.2879 * CHOOSE(CONTROL!$C$21, $C$12, 100%, $E$12)</f>
        <v>21.2879</v>
      </c>
      <c r="J654" s="61">
        <f>12.7545 * CHOOSE(CONTROL!$C$21, $C$12, 100%, $E$12)</f>
        <v>12.7545</v>
      </c>
      <c r="K654" s="61">
        <f>12.7546 * CHOOSE(CONTROL!$C$21, $C$12, 100%, $E$12)</f>
        <v>12.7546</v>
      </c>
    </row>
    <row r="655" spans="1:11" ht="15">
      <c r="A655" s="13">
        <v>61819</v>
      </c>
      <c r="B655" s="60">
        <f>10.9252 * CHOOSE(CONTROL!$C$21, $C$12, 100%, $E$12)</f>
        <v>10.9252</v>
      </c>
      <c r="C655" s="60">
        <f>10.9252 * CHOOSE(CONTROL!$C$21, $C$12, 100%, $E$12)</f>
        <v>10.9252</v>
      </c>
      <c r="D655" s="60">
        <f>10.9358 * CHOOSE(CONTROL!$C$21, $C$12, 100%, $E$12)</f>
        <v>10.9358</v>
      </c>
      <c r="E655" s="61">
        <f>12.8687 * CHOOSE(CONTROL!$C$21, $C$12, 100%, $E$12)</f>
        <v>12.8687</v>
      </c>
      <c r="F655" s="61">
        <f>12.8687 * CHOOSE(CONTROL!$C$21, $C$12, 100%, $E$12)</f>
        <v>12.8687</v>
      </c>
      <c r="G655" s="61">
        <f>12.8688 * CHOOSE(CONTROL!$C$21, $C$12, 100%, $E$12)</f>
        <v>12.8688</v>
      </c>
      <c r="H655" s="61">
        <f>21.3321* CHOOSE(CONTROL!$C$21, $C$12, 100%, $E$12)</f>
        <v>21.332100000000001</v>
      </c>
      <c r="I655" s="61">
        <f>21.3323 * CHOOSE(CONTROL!$C$21, $C$12, 100%, $E$12)</f>
        <v>21.3323</v>
      </c>
      <c r="J655" s="61">
        <f>12.8687 * CHOOSE(CONTROL!$C$21, $C$12, 100%, $E$12)</f>
        <v>12.8687</v>
      </c>
      <c r="K655" s="61">
        <f>12.8688 * CHOOSE(CONTROL!$C$21, $C$12, 100%, $E$12)</f>
        <v>12.8688</v>
      </c>
    </row>
    <row r="656" spans="1:11" ht="15">
      <c r="A656" s="13">
        <v>61849</v>
      </c>
      <c r="B656" s="60">
        <f>10.9252 * CHOOSE(CONTROL!$C$21, $C$12, 100%, $E$12)</f>
        <v>10.9252</v>
      </c>
      <c r="C656" s="60">
        <f>10.9252 * CHOOSE(CONTROL!$C$21, $C$12, 100%, $E$12)</f>
        <v>10.9252</v>
      </c>
      <c r="D656" s="60">
        <f>10.9463 * CHOOSE(CONTROL!$C$21, $C$12, 100%, $E$12)</f>
        <v>10.946300000000001</v>
      </c>
      <c r="E656" s="61">
        <f>12.9131 * CHOOSE(CONTROL!$C$21, $C$12, 100%, $E$12)</f>
        <v>12.9131</v>
      </c>
      <c r="F656" s="61">
        <f>12.9131 * CHOOSE(CONTROL!$C$21, $C$12, 100%, $E$12)</f>
        <v>12.9131</v>
      </c>
      <c r="G656" s="61">
        <f>12.9144 * CHOOSE(CONTROL!$C$21, $C$12, 100%, $E$12)</f>
        <v>12.914400000000001</v>
      </c>
      <c r="H656" s="61">
        <f>21.3765* CHOOSE(CONTROL!$C$21, $C$12, 100%, $E$12)</f>
        <v>21.3765</v>
      </c>
      <c r="I656" s="61">
        <f>21.3779 * CHOOSE(CONTROL!$C$21, $C$12, 100%, $E$12)</f>
        <v>21.3779</v>
      </c>
      <c r="J656" s="61">
        <f>12.9131 * CHOOSE(CONTROL!$C$21, $C$12, 100%, $E$12)</f>
        <v>12.9131</v>
      </c>
      <c r="K656" s="61">
        <f>12.9144 * CHOOSE(CONTROL!$C$21, $C$12, 100%, $E$12)</f>
        <v>12.914400000000001</v>
      </c>
    </row>
    <row r="657" spans="1:11" ht="15">
      <c r="A657" s="13">
        <v>61880</v>
      </c>
      <c r="B657" s="60">
        <f>10.9313 * CHOOSE(CONTROL!$C$21, $C$12, 100%, $E$12)</f>
        <v>10.9313</v>
      </c>
      <c r="C657" s="60">
        <f>10.9313 * CHOOSE(CONTROL!$C$21, $C$12, 100%, $E$12)</f>
        <v>10.9313</v>
      </c>
      <c r="D657" s="60">
        <f>10.9524 * CHOOSE(CONTROL!$C$21, $C$12, 100%, $E$12)</f>
        <v>10.952400000000001</v>
      </c>
      <c r="E657" s="61">
        <f>12.8729 * CHOOSE(CONTROL!$C$21, $C$12, 100%, $E$12)</f>
        <v>12.8729</v>
      </c>
      <c r="F657" s="61">
        <f>12.8729 * CHOOSE(CONTROL!$C$21, $C$12, 100%, $E$12)</f>
        <v>12.8729</v>
      </c>
      <c r="G657" s="61">
        <f>12.8743 * CHOOSE(CONTROL!$C$21, $C$12, 100%, $E$12)</f>
        <v>12.8743</v>
      </c>
      <c r="H657" s="61">
        <f>21.4211* CHOOSE(CONTROL!$C$21, $C$12, 100%, $E$12)</f>
        <v>21.421099999999999</v>
      </c>
      <c r="I657" s="61">
        <f>21.4225 * CHOOSE(CONTROL!$C$21, $C$12, 100%, $E$12)</f>
        <v>21.422499999999999</v>
      </c>
      <c r="J657" s="61">
        <f>12.8729 * CHOOSE(CONTROL!$C$21, $C$12, 100%, $E$12)</f>
        <v>12.8729</v>
      </c>
      <c r="K657" s="61">
        <f>12.8743 * CHOOSE(CONTROL!$C$21, $C$12, 100%, $E$12)</f>
        <v>12.8743</v>
      </c>
    </row>
    <row r="658" spans="1:11" ht="15">
      <c r="A658" s="13">
        <v>61910</v>
      </c>
      <c r="B658" s="60">
        <f>11.105 * CHOOSE(CONTROL!$C$21, $C$12, 100%, $E$12)</f>
        <v>11.105</v>
      </c>
      <c r="C658" s="60">
        <f>11.105 * CHOOSE(CONTROL!$C$21, $C$12, 100%, $E$12)</f>
        <v>11.105</v>
      </c>
      <c r="D658" s="60">
        <f>11.1261 * CHOOSE(CONTROL!$C$21, $C$12, 100%, $E$12)</f>
        <v>11.126099999999999</v>
      </c>
      <c r="E658" s="61">
        <f>13.1203 * CHOOSE(CONTROL!$C$21, $C$12, 100%, $E$12)</f>
        <v>13.1203</v>
      </c>
      <c r="F658" s="61">
        <f>13.1203 * CHOOSE(CONTROL!$C$21, $C$12, 100%, $E$12)</f>
        <v>13.1203</v>
      </c>
      <c r="G658" s="61">
        <f>13.1217 * CHOOSE(CONTROL!$C$21, $C$12, 100%, $E$12)</f>
        <v>13.121700000000001</v>
      </c>
      <c r="H658" s="61">
        <f>21.4657* CHOOSE(CONTROL!$C$21, $C$12, 100%, $E$12)</f>
        <v>21.465699999999998</v>
      </c>
      <c r="I658" s="61">
        <f>21.4671 * CHOOSE(CONTROL!$C$21, $C$12, 100%, $E$12)</f>
        <v>21.467099999999999</v>
      </c>
      <c r="J658" s="61">
        <f>13.1203 * CHOOSE(CONTROL!$C$21, $C$12, 100%, $E$12)</f>
        <v>13.1203</v>
      </c>
      <c r="K658" s="61">
        <f>13.1217 * CHOOSE(CONTROL!$C$21, $C$12, 100%, $E$12)</f>
        <v>13.121700000000001</v>
      </c>
    </row>
    <row r="659" spans="1:11" ht="15">
      <c r="A659" s="13">
        <v>61941</v>
      </c>
      <c r="B659" s="60">
        <f>11.1117 * CHOOSE(CONTROL!$C$21, $C$12, 100%, $E$12)</f>
        <v>11.111700000000001</v>
      </c>
      <c r="C659" s="60">
        <f>11.1117 * CHOOSE(CONTROL!$C$21, $C$12, 100%, $E$12)</f>
        <v>11.111700000000001</v>
      </c>
      <c r="D659" s="60">
        <f>11.1328 * CHOOSE(CONTROL!$C$21, $C$12, 100%, $E$12)</f>
        <v>11.1328</v>
      </c>
      <c r="E659" s="61">
        <f>12.9918 * CHOOSE(CONTROL!$C$21, $C$12, 100%, $E$12)</f>
        <v>12.9918</v>
      </c>
      <c r="F659" s="61">
        <f>12.9918 * CHOOSE(CONTROL!$C$21, $C$12, 100%, $E$12)</f>
        <v>12.9918</v>
      </c>
      <c r="G659" s="61">
        <f>12.9931 * CHOOSE(CONTROL!$C$21, $C$12, 100%, $E$12)</f>
        <v>12.9931</v>
      </c>
      <c r="H659" s="61">
        <f>21.5104* CHOOSE(CONTROL!$C$21, $C$12, 100%, $E$12)</f>
        <v>21.510400000000001</v>
      </c>
      <c r="I659" s="61">
        <f>21.5118 * CHOOSE(CONTROL!$C$21, $C$12, 100%, $E$12)</f>
        <v>21.511800000000001</v>
      </c>
      <c r="J659" s="61">
        <f>12.9918 * CHOOSE(CONTROL!$C$21, $C$12, 100%, $E$12)</f>
        <v>12.9918</v>
      </c>
      <c r="K659" s="61">
        <f>12.9931 * CHOOSE(CONTROL!$C$21, $C$12, 100%, $E$12)</f>
        <v>12.9931</v>
      </c>
    </row>
    <row r="660" spans="1:11" ht="15">
      <c r="A660" s="13">
        <v>61972</v>
      </c>
      <c r="B660" s="60">
        <f>11.1087 * CHOOSE(CONTROL!$C$21, $C$12, 100%, $E$12)</f>
        <v>11.108700000000001</v>
      </c>
      <c r="C660" s="60">
        <f>11.1087 * CHOOSE(CONTROL!$C$21, $C$12, 100%, $E$12)</f>
        <v>11.108700000000001</v>
      </c>
      <c r="D660" s="60">
        <f>11.1298 * CHOOSE(CONTROL!$C$21, $C$12, 100%, $E$12)</f>
        <v>11.129799999999999</v>
      </c>
      <c r="E660" s="61">
        <f>12.9749 * CHOOSE(CONTROL!$C$21, $C$12, 100%, $E$12)</f>
        <v>12.9749</v>
      </c>
      <c r="F660" s="61">
        <f>12.9749 * CHOOSE(CONTROL!$C$21, $C$12, 100%, $E$12)</f>
        <v>12.9749</v>
      </c>
      <c r="G660" s="61">
        <f>12.9762 * CHOOSE(CONTROL!$C$21, $C$12, 100%, $E$12)</f>
        <v>12.9762</v>
      </c>
      <c r="H660" s="61">
        <f>21.5552* CHOOSE(CONTROL!$C$21, $C$12, 100%, $E$12)</f>
        <v>21.555199999999999</v>
      </c>
      <c r="I660" s="61">
        <f>21.5566 * CHOOSE(CONTROL!$C$21, $C$12, 100%, $E$12)</f>
        <v>21.5566</v>
      </c>
      <c r="J660" s="61">
        <f>12.9749 * CHOOSE(CONTROL!$C$21, $C$12, 100%, $E$12)</f>
        <v>12.9749</v>
      </c>
      <c r="K660" s="61">
        <f>12.9762 * CHOOSE(CONTROL!$C$21, $C$12, 100%, $E$12)</f>
        <v>12.9762</v>
      </c>
    </row>
    <row r="661" spans="1:11" ht="15">
      <c r="A661" s="13">
        <v>62002</v>
      </c>
      <c r="B661" s="60">
        <f>11.1272 * CHOOSE(CONTROL!$C$21, $C$12, 100%, $E$12)</f>
        <v>11.1272</v>
      </c>
      <c r="C661" s="60">
        <f>11.1272 * CHOOSE(CONTROL!$C$21, $C$12, 100%, $E$12)</f>
        <v>11.1272</v>
      </c>
      <c r="D661" s="60">
        <f>11.1378 * CHOOSE(CONTROL!$C$21, $C$12, 100%, $E$12)</f>
        <v>11.1378</v>
      </c>
      <c r="E661" s="61">
        <f>13.0206 * CHOOSE(CONTROL!$C$21, $C$12, 100%, $E$12)</f>
        <v>13.0206</v>
      </c>
      <c r="F661" s="61">
        <f>13.0206 * CHOOSE(CONTROL!$C$21, $C$12, 100%, $E$12)</f>
        <v>13.0206</v>
      </c>
      <c r="G661" s="61">
        <f>13.0208 * CHOOSE(CONTROL!$C$21, $C$12, 100%, $E$12)</f>
        <v>13.020799999999999</v>
      </c>
      <c r="H661" s="61">
        <f>21.6001* CHOOSE(CONTROL!$C$21, $C$12, 100%, $E$12)</f>
        <v>21.600100000000001</v>
      </c>
      <c r="I661" s="61">
        <f>21.6003 * CHOOSE(CONTROL!$C$21, $C$12, 100%, $E$12)</f>
        <v>21.600300000000001</v>
      </c>
      <c r="J661" s="61">
        <f>13.0206 * CHOOSE(CONTROL!$C$21, $C$12, 100%, $E$12)</f>
        <v>13.0206</v>
      </c>
      <c r="K661" s="61">
        <f>13.0208 * CHOOSE(CONTROL!$C$21, $C$12, 100%, $E$12)</f>
        <v>13.020799999999999</v>
      </c>
    </row>
    <row r="662" spans="1:11" ht="15">
      <c r="A662" s="13">
        <v>62033</v>
      </c>
      <c r="B662" s="60">
        <f>11.1303 * CHOOSE(CONTROL!$C$21, $C$12, 100%, $E$12)</f>
        <v>11.1303</v>
      </c>
      <c r="C662" s="60">
        <f>11.1303 * CHOOSE(CONTROL!$C$21, $C$12, 100%, $E$12)</f>
        <v>11.1303</v>
      </c>
      <c r="D662" s="60">
        <f>11.1408 * CHOOSE(CONTROL!$C$21, $C$12, 100%, $E$12)</f>
        <v>11.1408</v>
      </c>
      <c r="E662" s="61">
        <f>13.0524 * CHOOSE(CONTROL!$C$21, $C$12, 100%, $E$12)</f>
        <v>13.0524</v>
      </c>
      <c r="F662" s="61">
        <f>13.0524 * CHOOSE(CONTROL!$C$21, $C$12, 100%, $E$12)</f>
        <v>13.0524</v>
      </c>
      <c r="G662" s="61">
        <f>13.0525 * CHOOSE(CONTROL!$C$21, $C$12, 100%, $E$12)</f>
        <v>13.0525</v>
      </c>
      <c r="H662" s="61">
        <f>21.6451* CHOOSE(CONTROL!$C$21, $C$12, 100%, $E$12)</f>
        <v>21.645099999999999</v>
      </c>
      <c r="I662" s="61">
        <f>21.6453 * CHOOSE(CONTROL!$C$21, $C$12, 100%, $E$12)</f>
        <v>21.645299999999999</v>
      </c>
      <c r="J662" s="61">
        <f>13.0524 * CHOOSE(CONTROL!$C$21, $C$12, 100%, $E$12)</f>
        <v>13.0524</v>
      </c>
      <c r="K662" s="61">
        <f>13.0525 * CHOOSE(CONTROL!$C$21, $C$12, 100%, $E$12)</f>
        <v>13.0525</v>
      </c>
    </row>
    <row r="663" spans="1:11" ht="15">
      <c r="A663" s="13">
        <v>62063</v>
      </c>
      <c r="B663" s="60">
        <f>11.1303 * CHOOSE(CONTROL!$C$21, $C$12, 100%, $E$12)</f>
        <v>11.1303</v>
      </c>
      <c r="C663" s="60">
        <f>11.1303 * CHOOSE(CONTROL!$C$21, $C$12, 100%, $E$12)</f>
        <v>11.1303</v>
      </c>
      <c r="D663" s="60">
        <f>11.1408 * CHOOSE(CONTROL!$C$21, $C$12, 100%, $E$12)</f>
        <v>11.1408</v>
      </c>
      <c r="E663" s="61">
        <f>12.9784 * CHOOSE(CONTROL!$C$21, $C$12, 100%, $E$12)</f>
        <v>12.978400000000001</v>
      </c>
      <c r="F663" s="61">
        <f>12.9784 * CHOOSE(CONTROL!$C$21, $C$12, 100%, $E$12)</f>
        <v>12.978400000000001</v>
      </c>
      <c r="G663" s="61">
        <f>12.9785 * CHOOSE(CONTROL!$C$21, $C$12, 100%, $E$12)</f>
        <v>12.9785</v>
      </c>
      <c r="H663" s="61">
        <f>21.6902* CHOOSE(CONTROL!$C$21, $C$12, 100%, $E$12)</f>
        <v>21.690200000000001</v>
      </c>
      <c r="I663" s="61">
        <f>21.6904 * CHOOSE(CONTROL!$C$21, $C$12, 100%, $E$12)</f>
        <v>21.6904</v>
      </c>
      <c r="J663" s="61">
        <f>12.9784 * CHOOSE(CONTROL!$C$21, $C$12, 100%, $E$12)</f>
        <v>12.978400000000001</v>
      </c>
      <c r="K663" s="61">
        <f>12.9785 * CHOOSE(CONTROL!$C$21, $C$12, 100%, $E$12)</f>
        <v>12.9785</v>
      </c>
    </row>
    <row r="664" spans="1:11" ht="15">
      <c r="A664" s="13">
        <v>62094</v>
      </c>
      <c r="B664" s="60">
        <f>11.173 * CHOOSE(CONTROL!$C$21, $C$12, 100%, $E$12)</f>
        <v>11.173</v>
      </c>
      <c r="C664" s="60">
        <f>11.173 * CHOOSE(CONTROL!$C$21, $C$12, 100%, $E$12)</f>
        <v>11.173</v>
      </c>
      <c r="D664" s="60">
        <f>11.1835 * CHOOSE(CONTROL!$C$21, $C$12, 100%, $E$12)</f>
        <v>11.1835</v>
      </c>
      <c r="E664" s="61">
        <f>13.0807 * CHOOSE(CONTROL!$C$21, $C$12, 100%, $E$12)</f>
        <v>13.0807</v>
      </c>
      <c r="F664" s="61">
        <f>13.0807 * CHOOSE(CONTROL!$C$21, $C$12, 100%, $E$12)</f>
        <v>13.0807</v>
      </c>
      <c r="G664" s="61">
        <f>13.0809 * CHOOSE(CONTROL!$C$21, $C$12, 100%, $E$12)</f>
        <v>13.0809</v>
      </c>
      <c r="H664" s="61">
        <f>21.6452* CHOOSE(CONTROL!$C$21, $C$12, 100%, $E$12)</f>
        <v>21.645199999999999</v>
      </c>
      <c r="I664" s="61">
        <f>21.6454 * CHOOSE(CONTROL!$C$21, $C$12, 100%, $E$12)</f>
        <v>21.645399999999999</v>
      </c>
      <c r="J664" s="61">
        <f>13.0807 * CHOOSE(CONTROL!$C$21, $C$12, 100%, $E$12)</f>
        <v>13.0807</v>
      </c>
      <c r="K664" s="61">
        <f>13.0809 * CHOOSE(CONTROL!$C$21, $C$12, 100%, $E$12)</f>
        <v>13.0809</v>
      </c>
    </row>
    <row r="665" spans="1:11" ht="15">
      <c r="A665" s="13">
        <v>62125</v>
      </c>
      <c r="B665" s="60">
        <f>11.1699 * CHOOSE(CONTROL!$C$21, $C$12, 100%, $E$12)</f>
        <v>11.1699</v>
      </c>
      <c r="C665" s="60">
        <f>11.1699 * CHOOSE(CONTROL!$C$21, $C$12, 100%, $E$12)</f>
        <v>11.1699</v>
      </c>
      <c r="D665" s="60">
        <f>11.1805 * CHOOSE(CONTROL!$C$21, $C$12, 100%, $E$12)</f>
        <v>11.1805</v>
      </c>
      <c r="E665" s="61">
        <f>12.9355 * CHOOSE(CONTROL!$C$21, $C$12, 100%, $E$12)</f>
        <v>12.935499999999999</v>
      </c>
      <c r="F665" s="61">
        <f>12.9355 * CHOOSE(CONTROL!$C$21, $C$12, 100%, $E$12)</f>
        <v>12.935499999999999</v>
      </c>
      <c r="G665" s="61">
        <f>12.9357 * CHOOSE(CONTROL!$C$21, $C$12, 100%, $E$12)</f>
        <v>12.935700000000001</v>
      </c>
      <c r="H665" s="61">
        <f>21.6903* CHOOSE(CONTROL!$C$21, $C$12, 100%, $E$12)</f>
        <v>21.690300000000001</v>
      </c>
      <c r="I665" s="61">
        <f>21.6905 * CHOOSE(CONTROL!$C$21, $C$12, 100%, $E$12)</f>
        <v>21.6905</v>
      </c>
      <c r="J665" s="61">
        <f>12.9355 * CHOOSE(CONTROL!$C$21, $C$12, 100%, $E$12)</f>
        <v>12.935499999999999</v>
      </c>
      <c r="K665" s="61">
        <f>12.9357 * CHOOSE(CONTROL!$C$21, $C$12, 100%, $E$12)</f>
        <v>12.935700000000001</v>
      </c>
    </row>
    <row r="666" spans="1:11" ht="15">
      <c r="A666" s="13">
        <v>62153</v>
      </c>
      <c r="B666" s="60">
        <f>11.1669 * CHOOSE(CONTROL!$C$21, $C$12, 100%, $E$12)</f>
        <v>11.1669</v>
      </c>
      <c r="C666" s="60">
        <f>11.1669 * CHOOSE(CONTROL!$C$21, $C$12, 100%, $E$12)</f>
        <v>11.1669</v>
      </c>
      <c r="D666" s="60">
        <f>11.1775 * CHOOSE(CONTROL!$C$21, $C$12, 100%, $E$12)</f>
        <v>11.1775</v>
      </c>
      <c r="E666" s="61">
        <f>13.0462 * CHOOSE(CONTROL!$C$21, $C$12, 100%, $E$12)</f>
        <v>13.046200000000001</v>
      </c>
      <c r="F666" s="61">
        <f>13.0462 * CHOOSE(CONTROL!$C$21, $C$12, 100%, $E$12)</f>
        <v>13.046200000000001</v>
      </c>
      <c r="G666" s="61">
        <f>13.0464 * CHOOSE(CONTROL!$C$21, $C$12, 100%, $E$12)</f>
        <v>13.0464</v>
      </c>
      <c r="H666" s="61">
        <f>21.7355* CHOOSE(CONTROL!$C$21, $C$12, 100%, $E$12)</f>
        <v>21.735499999999998</v>
      </c>
      <c r="I666" s="61">
        <f>21.7357 * CHOOSE(CONTROL!$C$21, $C$12, 100%, $E$12)</f>
        <v>21.735700000000001</v>
      </c>
      <c r="J666" s="61">
        <f>13.0462 * CHOOSE(CONTROL!$C$21, $C$12, 100%, $E$12)</f>
        <v>13.046200000000001</v>
      </c>
      <c r="K666" s="61">
        <f>13.0464 * CHOOSE(CONTROL!$C$21, $C$12, 100%, $E$12)</f>
        <v>13.0464</v>
      </c>
    </row>
    <row r="667" spans="1:11" ht="15">
      <c r="A667" s="13">
        <v>62184</v>
      </c>
      <c r="B667" s="60">
        <f>11.1707 * CHOOSE(CONTROL!$C$21, $C$12, 100%, $E$12)</f>
        <v>11.1707</v>
      </c>
      <c r="C667" s="60">
        <f>11.1707 * CHOOSE(CONTROL!$C$21, $C$12, 100%, $E$12)</f>
        <v>11.1707</v>
      </c>
      <c r="D667" s="60">
        <f>11.1813 * CHOOSE(CONTROL!$C$21, $C$12, 100%, $E$12)</f>
        <v>11.1813</v>
      </c>
      <c r="E667" s="61">
        <f>13.1631 * CHOOSE(CONTROL!$C$21, $C$12, 100%, $E$12)</f>
        <v>13.1631</v>
      </c>
      <c r="F667" s="61">
        <f>13.1631 * CHOOSE(CONTROL!$C$21, $C$12, 100%, $E$12)</f>
        <v>13.1631</v>
      </c>
      <c r="G667" s="61">
        <f>13.1633 * CHOOSE(CONTROL!$C$21, $C$12, 100%, $E$12)</f>
        <v>13.1633</v>
      </c>
      <c r="H667" s="61">
        <f>21.7808* CHOOSE(CONTROL!$C$21, $C$12, 100%, $E$12)</f>
        <v>21.780799999999999</v>
      </c>
      <c r="I667" s="61">
        <f>21.781 * CHOOSE(CONTROL!$C$21, $C$12, 100%, $E$12)</f>
        <v>21.780999999999999</v>
      </c>
      <c r="J667" s="61">
        <f>13.1631 * CHOOSE(CONTROL!$C$21, $C$12, 100%, $E$12)</f>
        <v>13.1631</v>
      </c>
      <c r="K667" s="61">
        <f>13.1633 * CHOOSE(CONTROL!$C$21, $C$12, 100%, $E$12)</f>
        <v>13.1633</v>
      </c>
    </row>
    <row r="668" spans="1:11" ht="15">
      <c r="A668" s="13">
        <v>62214</v>
      </c>
      <c r="B668" s="60">
        <f>11.1707 * CHOOSE(CONTROL!$C$21, $C$12, 100%, $E$12)</f>
        <v>11.1707</v>
      </c>
      <c r="C668" s="60">
        <f>11.1707 * CHOOSE(CONTROL!$C$21, $C$12, 100%, $E$12)</f>
        <v>11.1707</v>
      </c>
      <c r="D668" s="60">
        <f>11.1918 * CHOOSE(CONTROL!$C$21, $C$12, 100%, $E$12)</f>
        <v>11.191800000000001</v>
      </c>
      <c r="E668" s="61">
        <f>13.2085 * CHOOSE(CONTROL!$C$21, $C$12, 100%, $E$12)</f>
        <v>13.208500000000001</v>
      </c>
      <c r="F668" s="61">
        <f>13.2085 * CHOOSE(CONTROL!$C$21, $C$12, 100%, $E$12)</f>
        <v>13.208500000000001</v>
      </c>
      <c r="G668" s="61">
        <f>13.2099 * CHOOSE(CONTROL!$C$21, $C$12, 100%, $E$12)</f>
        <v>13.209899999999999</v>
      </c>
      <c r="H668" s="61">
        <f>21.8262* CHOOSE(CONTROL!$C$21, $C$12, 100%, $E$12)</f>
        <v>21.8262</v>
      </c>
      <c r="I668" s="61">
        <f>21.8275 * CHOOSE(CONTROL!$C$21, $C$12, 100%, $E$12)</f>
        <v>21.827500000000001</v>
      </c>
      <c r="J668" s="61">
        <f>13.2085 * CHOOSE(CONTROL!$C$21, $C$12, 100%, $E$12)</f>
        <v>13.208500000000001</v>
      </c>
      <c r="K668" s="61">
        <f>13.2099 * CHOOSE(CONTROL!$C$21, $C$12, 100%, $E$12)</f>
        <v>13.209899999999999</v>
      </c>
    </row>
    <row r="669" spans="1:11" ht="15">
      <c r="A669" s="13">
        <v>62245</v>
      </c>
      <c r="B669" s="60">
        <f>11.1768 * CHOOSE(CONTROL!$C$21, $C$12, 100%, $E$12)</f>
        <v>11.1768</v>
      </c>
      <c r="C669" s="60">
        <f>11.1768 * CHOOSE(CONTROL!$C$21, $C$12, 100%, $E$12)</f>
        <v>11.1768</v>
      </c>
      <c r="D669" s="60">
        <f>11.1979 * CHOOSE(CONTROL!$C$21, $C$12, 100%, $E$12)</f>
        <v>11.197900000000001</v>
      </c>
      <c r="E669" s="61">
        <f>13.1673 * CHOOSE(CONTROL!$C$21, $C$12, 100%, $E$12)</f>
        <v>13.167299999999999</v>
      </c>
      <c r="F669" s="61">
        <f>13.1673 * CHOOSE(CONTROL!$C$21, $C$12, 100%, $E$12)</f>
        <v>13.167299999999999</v>
      </c>
      <c r="G669" s="61">
        <f>13.1687 * CHOOSE(CONTROL!$C$21, $C$12, 100%, $E$12)</f>
        <v>13.168699999999999</v>
      </c>
      <c r="H669" s="61">
        <f>21.8716* CHOOSE(CONTROL!$C$21, $C$12, 100%, $E$12)</f>
        <v>21.871600000000001</v>
      </c>
      <c r="I669" s="61">
        <f>21.873 * CHOOSE(CONTROL!$C$21, $C$12, 100%, $E$12)</f>
        <v>21.873000000000001</v>
      </c>
      <c r="J669" s="61">
        <f>13.1673 * CHOOSE(CONTROL!$C$21, $C$12, 100%, $E$12)</f>
        <v>13.167299999999999</v>
      </c>
      <c r="K669" s="61">
        <f>13.1687 * CHOOSE(CONTROL!$C$21, $C$12, 100%, $E$12)</f>
        <v>13.168699999999999</v>
      </c>
    </row>
    <row r="670" spans="1:11" ht="15">
      <c r="A670" s="13">
        <v>62275</v>
      </c>
      <c r="B670" s="60">
        <f>11.3542 * CHOOSE(CONTROL!$C$21, $C$12, 100%, $E$12)</f>
        <v>11.354200000000001</v>
      </c>
      <c r="C670" s="60">
        <f>11.3542 * CHOOSE(CONTROL!$C$21, $C$12, 100%, $E$12)</f>
        <v>11.354200000000001</v>
      </c>
      <c r="D670" s="60">
        <f>11.3753 * CHOOSE(CONTROL!$C$21, $C$12, 100%, $E$12)</f>
        <v>11.375299999999999</v>
      </c>
      <c r="E670" s="61">
        <f>13.4202 * CHOOSE(CONTROL!$C$21, $C$12, 100%, $E$12)</f>
        <v>13.420199999999999</v>
      </c>
      <c r="F670" s="61">
        <f>13.4202 * CHOOSE(CONTROL!$C$21, $C$12, 100%, $E$12)</f>
        <v>13.420199999999999</v>
      </c>
      <c r="G670" s="61">
        <f>13.4216 * CHOOSE(CONTROL!$C$21, $C$12, 100%, $E$12)</f>
        <v>13.4216</v>
      </c>
      <c r="H670" s="61">
        <f>21.9172* CHOOSE(CONTROL!$C$21, $C$12, 100%, $E$12)</f>
        <v>21.917200000000001</v>
      </c>
      <c r="I670" s="61">
        <f>21.9186 * CHOOSE(CONTROL!$C$21, $C$12, 100%, $E$12)</f>
        <v>21.918600000000001</v>
      </c>
      <c r="J670" s="61">
        <f>13.4202 * CHOOSE(CONTROL!$C$21, $C$12, 100%, $E$12)</f>
        <v>13.420199999999999</v>
      </c>
      <c r="K670" s="61">
        <f>13.4216 * CHOOSE(CONTROL!$C$21, $C$12, 100%, $E$12)</f>
        <v>13.4216</v>
      </c>
    </row>
    <row r="671" spans="1:11" ht="15">
      <c r="A671" s="13">
        <v>62306</v>
      </c>
      <c r="B671" s="60">
        <f>11.3609 * CHOOSE(CONTROL!$C$21, $C$12, 100%, $E$12)</f>
        <v>11.360900000000001</v>
      </c>
      <c r="C671" s="60">
        <f>11.3609 * CHOOSE(CONTROL!$C$21, $C$12, 100%, $E$12)</f>
        <v>11.360900000000001</v>
      </c>
      <c r="D671" s="60">
        <f>11.382 * CHOOSE(CONTROL!$C$21, $C$12, 100%, $E$12)</f>
        <v>11.382</v>
      </c>
      <c r="E671" s="61">
        <f>13.2886 * CHOOSE(CONTROL!$C$21, $C$12, 100%, $E$12)</f>
        <v>13.288600000000001</v>
      </c>
      <c r="F671" s="61">
        <f>13.2886 * CHOOSE(CONTROL!$C$21, $C$12, 100%, $E$12)</f>
        <v>13.288600000000001</v>
      </c>
      <c r="G671" s="61">
        <f>13.29 * CHOOSE(CONTROL!$C$21, $C$12, 100%, $E$12)</f>
        <v>13.29</v>
      </c>
      <c r="H671" s="61">
        <f>21.9629* CHOOSE(CONTROL!$C$21, $C$12, 100%, $E$12)</f>
        <v>21.962900000000001</v>
      </c>
      <c r="I671" s="61">
        <f>21.9642 * CHOOSE(CONTROL!$C$21, $C$12, 100%, $E$12)</f>
        <v>21.964200000000002</v>
      </c>
      <c r="J671" s="61">
        <f>13.2886 * CHOOSE(CONTROL!$C$21, $C$12, 100%, $E$12)</f>
        <v>13.288600000000001</v>
      </c>
      <c r="K671" s="61">
        <f>13.29 * CHOOSE(CONTROL!$C$21, $C$12, 100%, $E$12)</f>
        <v>13.29</v>
      </c>
    </row>
    <row r="672" spans="1:11" ht="15">
      <c r="A672" s="13">
        <v>62337</v>
      </c>
      <c r="B672" s="60">
        <f>11.3579 * CHOOSE(CONTROL!$C$21, $C$12, 100%, $E$12)</f>
        <v>11.357900000000001</v>
      </c>
      <c r="C672" s="60">
        <f>11.3579 * CHOOSE(CONTROL!$C$21, $C$12, 100%, $E$12)</f>
        <v>11.357900000000001</v>
      </c>
      <c r="D672" s="60">
        <f>11.379 * CHOOSE(CONTROL!$C$21, $C$12, 100%, $E$12)</f>
        <v>11.379</v>
      </c>
      <c r="E672" s="61">
        <f>13.2713 * CHOOSE(CONTROL!$C$21, $C$12, 100%, $E$12)</f>
        <v>13.2713</v>
      </c>
      <c r="F672" s="61">
        <f>13.2713 * CHOOSE(CONTROL!$C$21, $C$12, 100%, $E$12)</f>
        <v>13.2713</v>
      </c>
      <c r="G672" s="61">
        <f>13.2727 * CHOOSE(CONTROL!$C$21, $C$12, 100%, $E$12)</f>
        <v>13.2727</v>
      </c>
      <c r="H672" s="61">
        <f>22.0086* CHOOSE(CONTROL!$C$21, $C$12, 100%, $E$12)</f>
        <v>22.008600000000001</v>
      </c>
      <c r="I672" s="61">
        <f>22.01 * CHOOSE(CONTROL!$C$21, $C$12, 100%, $E$12)</f>
        <v>22.01</v>
      </c>
      <c r="J672" s="61">
        <f>13.2713 * CHOOSE(CONTROL!$C$21, $C$12, 100%, $E$12)</f>
        <v>13.2713</v>
      </c>
      <c r="K672" s="61">
        <f>13.2727 * CHOOSE(CONTROL!$C$21, $C$12, 100%, $E$12)</f>
        <v>13.2727</v>
      </c>
    </row>
    <row r="673" spans="1:11" ht="15">
      <c r="A673" s="13">
        <v>62367</v>
      </c>
      <c r="B673" s="60">
        <f>11.3773 * CHOOSE(CONTROL!$C$21, $C$12, 100%, $E$12)</f>
        <v>11.3773</v>
      </c>
      <c r="C673" s="60">
        <f>11.3773 * CHOOSE(CONTROL!$C$21, $C$12, 100%, $E$12)</f>
        <v>11.3773</v>
      </c>
      <c r="D673" s="60">
        <f>11.3878 * CHOOSE(CONTROL!$C$21, $C$12, 100%, $E$12)</f>
        <v>11.3878</v>
      </c>
      <c r="E673" s="61">
        <f>13.3185 * CHOOSE(CONTROL!$C$21, $C$12, 100%, $E$12)</f>
        <v>13.3185</v>
      </c>
      <c r="F673" s="61">
        <f>13.3185 * CHOOSE(CONTROL!$C$21, $C$12, 100%, $E$12)</f>
        <v>13.3185</v>
      </c>
      <c r="G673" s="61">
        <f>13.3187 * CHOOSE(CONTROL!$C$21, $C$12, 100%, $E$12)</f>
        <v>13.3187</v>
      </c>
      <c r="H673" s="61">
        <f>22.0545* CHOOSE(CONTROL!$C$21, $C$12, 100%, $E$12)</f>
        <v>22.054500000000001</v>
      </c>
      <c r="I673" s="61">
        <f>22.0546 * CHOOSE(CONTROL!$C$21, $C$12, 100%, $E$12)</f>
        <v>22.054600000000001</v>
      </c>
      <c r="J673" s="61">
        <f>13.3185 * CHOOSE(CONTROL!$C$21, $C$12, 100%, $E$12)</f>
        <v>13.3185</v>
      </c>
      <c r="K673" s="61">
        <f>13.3187 * CHOOSE(CONTROL!$C$21, $C$12, 100%, $E$12)</f>
        <v>13.3187</v>
      </c>
    </row>
    <row r="674" spans="1:11" ht="15">
      <c r="A674" s="13">
        <v>62398</v>
      </c>
      <c r="B674" s="60">
        <f>11.3803 * CHOOSE(CONTROL!$C$21, $C$12, 100%, $E$12)</f>
        <v>11.3803</v>
      </c>
      <c r="C674" s="60">
        <f>11.3803 * CHOOSE(CONTROL!$C$21, $C$12, 100%, $E$12)</f>
        <v>11.3803</v>
      </c>
      <c r="D674" s="60">
        <f>11.3909 * CHOOSE(CONTROL!$C$21, $C$12, 100%, $E$12)</f>
        <v>11.3909</v>
      </c>
      <c r="E674" s="61">
        <f>13.3509 * CHOOSE(CONTROL!$C$21, $C$12, 100%, $E$12)</f>
        <v>13.350899999999999</v>
      </c>
      <c r="F674" s="61">
        <f>13.3509 * CHOOSE(CONTROL!$C$21, $C$12, 100%, $E$12)</f>
        <v>13.350899999999999</v>
      </c>
      <c r="G674" s="61">
        <f>13.3511 * CHOOSE(CONTROL!$C$21, $C$12, 100%, $E$12)</f>
        <v>13.351100000000001</v>
      </c>
      <c r="H674" s="61">
        <f>22.1004* CHOOSE(CONTROL!$C$21, $C$12, 100%, $E$12)</f>
        <v>22.1004</v>
      </c>
      <c r="I674" s="61">
        <f>22.1006 * CHOOSE(CONTROL!$C$21, $C$12, 100%, $E$12)</f>
        <v>22.1006</v>
      </c>
      <c r="J674" s="61">
        <f>13.3509 * CHOOSE(CONTROL!$C$21, $C$12, 100%, $E$12)</f>
        <v>13.350899999999999</v>
      </c>
      <c r="K674" s="61">
        <f>13.3511 * CHOOSE(CONTROL!$C$21, $C$12, 100%, $E$12)</f>
        <v>13.351100000000001</v>
      </c>
    </row>
    <row r="675" spans="1:11" ht="15">
      <c r="A675" s="13">
        <v>62428</v>
      </c>
      <c r="B675" s="60">
        <f>11.3803 * CHOOSE(CONTROL!$C$21, $C$12, 100%, $E$12)</f>
        <v>11.3803</v>
      </c>
      <c r="C675" s="60">
        <f>11.3803 * CHOOSE(CONTROL!$C$21, $C$12, 100%, $E$12)</f>
        <v>11.3803</v>
      </c>
      <c r="D675" s="60">
        <f>11.3909 * CHOOSE(CONTROL!$C$21, $C$12, 100%, $E$12)</f>
        <v>11.3909</v>
      </c>
      <c r="E675" s="61">
        <f>13.2752 * CHOOSE(CONTROL!$C$21, $C$12, 100%, $E$12)</f>
        <v>13.2752</v>
      </c>
      <c r="F675" s="61">
        <f>13.2752 * CHOOSE(CONTROL!$C$21, $C$12, 100%, $E$12)</f>
        <v>13.2752</v>
      </c>
      <c r="G675" s="61">
        <f>13.2754 * CHOOSE(CONTROL!$C$21, $C$12, 100%, $E$12)</f>
        <v>13.275399999999999</v>
      </c>
      <c r="H675" s="61">
        <f>22.1465* CHOOSE(CONTROL!$C$21, $C$12, 100%, $E$12)</f>
        <v>22.1465</v>
      </c>
      <c r="I675" s="61">
        <f>22.1466 * CHOOSE(CONTROL!$C$21, $C$12, 100%, $E$12)</f>
        <v>22.146599999999999</v>
      </c>
      <c r="J675" s="61">
        <f>13.2752 * CHOOSE(CONTROL!$C$21, $C$12, 100%, $E$12)</f>
        <v>13.2752</v>
      </c>
      <c r="K675" s="61">
        <f>13.2754 * CHOOSE(CONTROL!$C$21, $C$12, 100%, $E$12)</f>
        <v>13.275399999999999</v>
      </c>
    </row>
    <row r="676" spans="1:11" ht="15">
      <c r="A676" s="13">
        <v>62459</v>
      </c>
      <c r="B676" s="60">
        <f>11.4183 * CHOOSE(CONTROL!$C$21, $C$12, 100%, $E$12)</f>
        <v>11.4183</v>
      </c>
      <c r="C676" s="60">
        <f>11.4183 * CHOOSE(CONTROL!$C$21, $C$12, 100%, $E$12)</f>
        <v>11.4183</v>
      </c>
      <c r="D676" s="60">
        <f>11.4289 * CHOOSE(CONTROL!$C$21, $C$12, 100%, $E$12)</f>
        <v>11.428900000000001</v>
      </c>
      <c r="E676" s="61">
        <f>13.3731 * CHOOSE(CONTROL!$C$21, $C$12, 100%, $E$12)</f>
        <v>13.373100000000001</v>
      </c>
      <c r="F676" s="61">
        <f>13.3731 * CHOOSE(CONTROL!$C$21, $C$12, 100%, $E$12)</f>
        <v>13.373100000000001</v>
      </c>
      <c r="G676" s="61">
        <f>13.3733 * CHOOSE(CONTROL!$C$21, $C$12, 100%, $E$12)</f>
        <v>13.3733</v>
      </c>
      <c r="H676" s="61">
        <f>22.0911* CHOOSE(CONTROL!$C$21, $C$12, 100%, $E$12)</f>
        <v>22.091100000000001</v>
      </c>
      <c r="I676" s="61">
        <f>22.0913 * CHOOSE(CONTROL!$C$21, $C$12, 100%, $E$12)</f>
        <v>22.0913</v>
      </c>
      <c r="J676" s="61">
        <f>13.3731 * CHOOSE(CONTROL!$C$21, $C$12, 100%, $E$12)</f>
        <v>13.373100000000001</v>
      </c>
      <c r="K676" s="61">
        <f>13.3733 * CHOOSE(CONTROL!$C$21, $C$12, 100%, $E$12)</f>
        <v>13.3733</v>
      </c>
    </row>
    <row r="677" spans="1:11" ht="15">
      <c r="A677" s="13">
        <v>62490</v>
      </c>
      <c r="B677" s="60">
        <f>11.4153 * CHOOSE(CONTROL!$C$21, $C$12, 100%, $E$12)</f>
        <v>11.4153</v>
      </c>
      <c r="C677" s="60">
        <f>11.4153 * CHOOSE(CONTROL!$C$21, $C$12, 100%, $E$12)</f>
        <v>11.4153</v>
      </c>
      <c r="D677" s="60">
        <f>11.4258 * CHOOSE(CONTROL!$C$21, $C$12, 100%, $E$12)</f>
        <v>11.425800000000001</v>
      </c>
      <c r="E677" s="61">
        <f>13.2247 * CHOOSE(CONTROL!$C$21, $C$12, 100%, $E$12)</f>
        <v>13.2247</v>
      </c>
      <c r="F677" s="61">
        <f>13.2247 * CHOOSE(CONTROL!$C$21, $C$12, 100%, $E$12)</f>
        <v>13.2247</v>
      </c>
      <c r="G677" s="61">
        <f>13.2249 * CHOOSE(CONTROL!$C$21, $C$12, 100%, $E$12)</f>
        <v>13.2249</v>
      </c>
      <c r="H677" s="61">
        <f>22.1371* CHOOSE(CONTROL!$C$21, $C$12, 100%, $E$12)</f>
        <v>22.1371</v>
      </c>
      <c r="I677" s="61">
        <f>22.1373 * CHOOSE(CONTROL!$C$21, $C$12, 100%, $E$12)</f>
        <v>22.1373</v>
      </c>
      <c r="J677" s="61">
        <f>13.2247 * CHOOSE(CONTROL!$C$21, $C$12, 100%, $E$12)</f>
        <v>13.2247</v>
      </c>
      <c r="K677" s="61">
        <f>13.2249 * CHOOSE(CONTROL!$C$21, $C$12, 100%, $E$12)</f>
        <v>13.2249</v>
      </c>
    </row>
    <row r="678" spans="1:11" ht="15">
      <c r="A678" s="13">
        <v>62518</v>
      </c>
      <c r="B678" s="60">
        <f>11.4122 * CHOOSE(CONTROL!$C$21, $C$12, 100%, $E$12)</f>
        <v>11.4122</v>
      </c>
      <c r="C678" s="60">
        <f>11.4122 * CHOOSE(CONTROL!$C$21, $C$12, 100%, $E$12)</f>
        <v>11.4122</v>
      </c>
      <c r="D678" s="60">
        <f>11.4228 * CHOOSE(CONTROL!$C$21, $C$12, 100%, $E$12)</f>
        <v>11.422800000000001</v>
      </c>
      <c r="E678" s="61">
        <f>13.3379 * CHOOSE(CONTROL!$C$21, $C$12, 100%, $E$12)</f>
        <v>13.337899999999999</v>
      </c>
      <c r="F678" s="61">
        <f>13.3379 * CHOOSE(CONTROL!$C$21, $C$12, 100%, $E$12)</f>
        <v>13.337899999999999</v>
      </c>
      <c r="G678" s="61">
        <f>13.3381 * CHOOSE(CONTROL!$C$21, $C$12, 100%, $E$12)</f>
        <v>13.338100000000001</v>
      </c>
      <c r="H678" s="61">
        <f>22.1833* CHOOSE(CONTROL!$C$21, $C$12, 100%, $E$12)</f>
        <v>22.183299999999999</v>
      </c>
      <c r="I678" s="61">
        <f>22.1834 * CHOOSE(CONTROL!$C$21, $C$12, 100%, $E$12)</f>
        <v>22.183399999999999</v>
      </c>
      <c r="J678" s="61">
        <f>13.3379 * CHOOSE(CONTROL!$C$21, $C$12, 100%, $E$12)</f>
        <v>13.337899999999999</v>
      </c>
      <c r="K678" s="61">
        <f>13.3381 * CHOOSE(CONTROL!$C$21, $C$12, 100%, $E$12)</f>
        <v>13.338100000000001</v>
      </c>
    </row>
    <row r="679" spans="1:11" ht="15">
      <c r="A679" s="13">
        <v>62549</v>
      </c>
      <c r="B679" s="60">
        <f>11.4162 * CHOOSE(CONTROL!$C$21, $C$12, 100%, $E$12)</f>
        <v>11.4162</v>
      </c>
      <c r="C679" s="60">
        <f>11.4162 * CHOOSE(CONTROL!$C$21, $C$12, 100%, $E$12)</f>
        <v>11.4162</v>
      </c>
      <c r="D679" s="60">
        <f>11.4268 * CHOOSE(CONTROL!$C$21, $C$12, 100%, $E$12)</f>
        <v>11.4268</v>
      </c>
      <c r="E679" s="61">
        <f>13.4575 * CHOOSE(CONTROL!$C$21, $C$12, 100%, $E$12)</f>
        <v>13.4575</v>
      </c>
      <c r="F679" s="61">
        <f>13.4575 * CHOOSE(CONTROL!$C$21, $C$12, 100%, $E$12)</f>
        <v>13.4575</v>
      </c>
      <c r="G679" s="61">
        <f>13.4577 * CHOOSE(CONTROL!$C$21, $C$12, 100%, $E$12)</f>
        <v>13.457700000000001</v>
      </c>
      <c r="H679" s="61">
        <f>22.2295* CHOOSE(CONTROL!$C$21, $C$12, 100%, $E$12)</f>
        <v>22.229500000000002</v>
      </c>
      <c r="I679" s="61">
        <f>22.2296 * CHOOSE(CONTROL!$C$21, $C$12, 100%, $E$12)</f>
        <v>22.229600000000001</v>
      </c>
      <c r="J679" s="61">
        <f>13.4575 * CHOOSE(CONTROL!$C$21, $C$12, 100%, $E$12)</f>
        <v>13.4575</v>
      </c>
      <c r="K679" s="61">
        <f>13.4577 * CHOOSE(CONTROL!$C$21, $C$12, 100%, $E$12)</f>
        <v>13.457700000000001</v>
      </c>
    </row>
    <row r="680" spans="1:11" ht="15">
      <c r="A680" s="13">
        <v>62579</v>
      </c>
      <c r="B680" s="60">
        <f>11.4162 * CHOOSE(CONTROL!$C$21, $C$12, 100%, $E$12)</f>
        <v>11.4162</v>
      </c>
      <c r="C680" s="60">
        <f>11.4162 * CHOOSE(CONTROL!$C$21, $C$12, 100%, $E$12)</f>
        <v>11.4162</v>
      </c>
      <c r="D680" s="60">
        <f>11.4374 * CHOOSE(CONTROL!$C$21, $C$12, 100%, $E$12)</f>
        <v>11.4374</v>
      </c>
      <c r="E680" s="61">
        <f>13.504 * CHOOSE(CONTROL!$C$21, $C$12, 100%, $E$12)</f>
        <v>13.504</v>
      </c>
      <c r="F680" s="61">
        <f>13.504 * CHOOSE(CONTROL!$C$21, $C$12, 100%, $E$12)</f>
        <v>13.504</v>
      </c>
      <c r="G680" s="61">
        <f>13.5054 * CHOOSE(CONTROL!$C$21, $C$12, 100%, $E$12)</f>
        <v>13.5054</v>
      </c>
      <c r="H680" s="61">
        <f>22.2758* CHOOSE(CONTROL!$C$21, $C$12, 100%, $E$12)</f>
        <v>22.2758</v>
      </c>
      <c r="I680" s="61">
        <f>22.2772 * CHOOSE(CONTROL!$C$21, $C$12, 100%, $E$12)</f>
        <v>22.277200000000001</v>
      </c>
      <c r="J680" s="61">
        <f>13.504 * CHOOSE(CONTROL!$C$21, $C$12, 100%, $E$12)</f>
        <v>13.504</v>
      </c>
      <c r="K680" s="61">
        <f>13.5054 * CHOOSE(CONTROL!$C$21, $C$12, 100%, $E$12)</f>
        <v>13.5054</v>
      </c>
    </row>
    <row r="681" spans="1:11" ht="15">
      <c r="A681" s="13">
        <v>62610</v>
      </c>
      <c r="B681" s="60">
        <f>11.4223 * CHOOSE(CONTROL!$C$21, $C$12, 100%, $E$12)</f>
        <v>11.4223</v>
      </c>
      <c r="C681" s="60">
        <f>11.4223 * CHOOSE(CONTROL!$C$21, $C$12, 100%, $E$12)</f>
        <v>11.4223</v>
      </c>
      <c r="D681" s="60">
        <f>11.4435 * CHOOSE(CONTROL!$C$21, $C$12, 100%, $E$12)</f>
        <v>11.4435</v>
      </c>
      <c r="E681" s="61">
        <f>13.4618 * CHOOSE(CONTROL!$C$21, $C$12, 100%, $E$12)</f>
        <v>13.4618</v>
      </c>
      <c r="F681" s="61">
        <f>13.4618 * CHOOSE(CONTROL!$C$21, $C$12, 100%, $E$12)</f>
        <v>13.4618</v>
      </c>
      <c r="G681" s="61">
        <f>13.4632 * CHOOSE(CONTROL!$C$21, $C$12, 100%, $E$12)</f>
        <v>13.463200000000001</v>
      </c>
      <c r="H681" s="61">
        <f>22.3222* CHOOSE(CONTROL!$C$21, $C$12, 100%, $E$12)</f>
        <v>22.322199999999999</v>
      </c>
      <c r="I681" s="61">
        <f>22.3236 * CHOOSE(CONTROL!$C$21, $C$12, 100%, $E$12)</f>
        <v>22.323599999999999</v>
      </c>
      <c r="J681" s="61">
        <f>13.4618 * CHOOSE(CONTROL!$C$21, $C$12, 100%, $E$12)</f>
        <v>13.4618</v>
      </c>
      <c r="K681" s="61">
        <f>13.4632 * CHOOSE(CONTROL!$C$21, $C$12, 100%, $E$12)</f>
        <v>13.463200000000001</v>
      </c>
    </row>
    <row r="682" spans="1:11" ht="15">
      <c r="A682" s="13">
        <v>62640</v>
      </c>
      <c r="B682" s="60">
        <f>11.6034 * CHOOSE(CONTROL!$C$21, $C$12, 100%, $E$12)</f>
        <v>11.603400000000001</v>
      </c>
      <c r="C682" s="60">
        <f>11.6034 * CHOOSE(CONTROL!$C$21, $C$12, 100%, $E$12)</f>
        <v>11.603400000000001</v>
      </c>
      <c r="D682" s="60">
        <f>11.6246 * CHOOSE(CONTROL!$C$21, $C$12, 100%, $E$12)</f>
        <v>11.624599999999999</v>
      </c>
      <c r="E682" s="61">
        <f>13.7201 * CHOOSE(CONTROL!$C$21, $C$12, 100%, $E$12)</f>
        <v>13.7201</v>
      </c>
      <c r="F682" s="61">
        <f>13.7201 * CHOOSE(CONTROL!$C$21, $C$12, 100%, $E$12)</f>
        <v>13.7201</v>
      </c>
      <c r="G682" s="61">
        <f>13.7215 * CHOOSE(CONTROL!$C$21, $C$12, 100%, $E$12)</f>
        <v>13.721500000000001</v>
      </c>
      <c r="H682" s="61">
        <f>22.3687* CHOOSE(CONTROL!$C$21, $C$12, 100%, $E$12)</f>
        <v>22.3687</v>
      </c>
      <c r="I682" s="61">
        <f>22.3701 * CHOOSE(CONTROL!$C$21, $C$12, 100%, $E$12)</f>
        <v>22.370100000000001</v>
      </c>
      <c r="J682" s="61">
        <f>13.7201 * CHOOSE(CONTROL!$C$21, $C$12, 100%, $E$12)</f>
        <v>13.7201</v>
      </c>
      <c r="K682" s="61">
        <f>13.7215 * CHOOSE(CONTROL!$C$21, $C$12, 100%, $E$12)</f>
        <v>13.721500000000001</v>
      </c>
    </row>
    <row r="683" spans="1:11" ht="15">
      <c r="A683" s="13">
        <v>62671</v>
      </c>
      <c r="B683" s="60">
        <f>11.6101 * CHOOSE(CONTROL!$C$21, $C$12, 100%, $E$12)</f>
        <v>11.610099999999999</v>
      </c>
      <c r="C683" s="60">
        <f>11.6101 * CHOOSE(CONTROL!$C$21, $C$12, 100%, $E$12)</f>
        <v>11.610099999999999</v>
      </c>
      <c r="D683" s="60">
        <f>11.6312 * CHOOSE(CONTROL!$C$21, $C$12, 100%, $E$12)</f>
        <v>11.6312</v>
      </c>
      <c r="E683" s="61">
        <f>13.5854 * CHOOSE(CONTROL!$C$21, $C$12, 100%, $E$12)</f>
        <v>13.5854</v>
      </c>
      <c r="F683" s="61">
        <f>13.5854 * CHOOSE(CONTROL!$C$21, $C$12, 100%, $E$12)</f>
        <v>13.5854</v>
      </c>
      <c r="G683" s="61">
        <f>13.5868 * CHOOSE(CONTROL!$C$21, $C$12, 100%, $E$12)</f>
        <v>13.5868</v>
      </c>
      <c r="H683" s="61">
        <f>22.4153* CHOOSE(CONTROL!$C$21, $C$12, 100%, $E$12)</f>
        <v>22.415299999999998</v>
      </c>
      <c r="I683" s="61">
        <f>22.4167 * CHOOSE(CONTROL!$C$21, $C$12, 100%, $E$12)</f>
        <v>22.416699999999999</v>
      </c>
      <c r="J683" s="61">
        <f>13.5854 * CHOOSE(CONTROL!$C$21, $C$12, 100%, $E$12)</f>
        <v>13.5854</v>
      </c>
      <c r="K683" s="61">
        <f>13.5868 * CHOOSE(CONTROL!$C$21, $C$12, 100%, $E$12)</f>
        <v>13.5868</v>
      </c>
    </row>
    <row r="684" spans="1:11" ht="15">
      <c r="A684" s="13">
        <v>62702</v>
      </c>
      <c r="B684" s="60">
        <f>11.6071 * CHOOSE(CONTROL!$C$21, $C$12, 100%, $E$12)</f>
        <v>11.607100000000001</v>
      </c>
      <c r="C684" s="60">
        <f>11.6071 * CHOOSE(CONTROL!$C$21, $C$12, 100%, $E$12)</f>
        <v>11.607100000000001</v>
      </c>
      <c r="D684" s="60">
        <f>11.6282 * CHOOSE(CONTROL!$C$21, $C$12, 100%, $E$12)</f>
        <v>11.6282</v>
      </c>
      <c r="E684" s="61">
        <f>13.5678 * CHOOSE(CONTROL!$C$21, $C$12, 100%, $E$12)</f>
        <v>13.5678</v>
      </c>
      <c r="F684" s="61">
        <f>13.5678 * CHOOSE(CONTROL!$C$21, $C$12, 100%, $E$12)</f>
        <v>13.5678</v>
      </c>
      <c r="G684" s="61">
        <f>13.5692 * CHOOSE(CONTROL!$C$21, $C$12, 100%, $E$12)</f>
        <v>13.5692</v>
      </c>
      <c r="H684" s="61">
        <f>22.462* CHOOSE(CONTROL!$C$21, $C$12, 100%, $E$12)</f>
        <v>22.462</v>
      </c>
      <c r="I684" s="61">
        <f>22.4634 * CHOOSE(CONTROL!$C$21, $C$12, 100%, $E$12)</f>
        <v>22.4634</v>
      </c>
      <c r="J684" s="61">
        <f>13.5678 * CHOOSE(CONTROL!$C$21, $C$12, 100%, $E$12)</f>
        <v>13.5678</v>
      </c>
      <c r="K684" s="61">
        <f>13.5692 * CHOOSE(CONTROL!$C$21, $C$12, 100%, $E$12)</f>
        <v>13.5692</v>
      </c>
    </row>
    <row r="685" spans="1:11" ht="15">
      <c r="A685" s="13">
        <v>62732</v>
      </c>
      <c r="B685" s="60">
        <f>11.6273 * CHOOSE(CONTROL!$C$21, $C$12, 100%, $E$12)</f>
        <v>11.6273</v>
      </c>
      <c r="C685" s="60">
        <f>11.6273 * CHOOSE(CONTROL!$C$21, $C$12, 100%, $E$12)</f>
        <v>11.6273</v>
      </c>
      <c r="D685" s="60">
        <f>11.6378 * CHOOSE(CONTROL!$C$21, $C$12, 100%, $E$12)</f>
        <v>11.6378</v>
      </c>
      <c r="E685" s="61">
        <f>13.6163 * CHOOSE(CONTROL!$C$21, $C$12, 100%, $E$12)</f>
        <v>13.616300000000001</v>
      </c>
      <c r="F685" s="61">
        <f>13.6163 * CHOOSE(CONTROL!$C$21, $C$12, 100%, $E$12)</f>
        <v>13.616300000000001</v>
      </c>
      <c r="G685" s="61">
        <f>13.6165 * CHOOSE(CONTROL!$C$21, $C$12, 100%, $E$12)</f>
        <v>13.6165</v>
      </c>
      <c r="H685" s="61">
        <f>22.5088* CHOOSE(CONTROL!$C$21, $C$12, 100%, $E$12)</f>
        <v>22.508800000000001</v>
      </c>
      <c r="I685" s="61">
        <f>22.509 * CHOOSE(CONTROL!$C$21, $C$12, 100%, $E$12)</f>
        <v>22.509</v>
      </c>
      <c r="J685" s="61">
        <f>13.6163 * CHOOSE(CONTROL!$C$21, $C$12, 100%, $E$12)</f>
        <v>13.616300000000001</v>
      </c>
      <c r="K685" s="61">
        <f>13.6165 * CHOOSE(CONTROL!$C$21, $C$12, 100%, $E$12)</f>
        <v>13.6165</v>
      </c>
    </row>
    <row r="686" spans="1:11" ht="15">
      <c r="A686" s="13">
        <v>62763</v>
      </c>
      <c r="B686" s="60">
        <f>11.6303 * CHOOSE(CONTROL!$C$21, $C$12, 100%, $E$12)</f>
        <v>11.6303</v>
      </c>
      <c r="C686" s="60">
        <f>11.6303 * CHOOSE(CONTROL!$C$21, $C$12, 100%, $E$12)</f>
        <v>11.6303</v>
      </c>
      <c r="D686" s="60">
        <f>11.6409 * CHOOSE(CONTROL!$C$21, $C$12, 100%, $E$12)</f>
        <v>11.6409</v>
      </c>
      <c r="E686" s="61">
        <f>13.6494 * CHOOSE(CONTROL!$C$21, $C$12, 100%, $E$12)</f>
        <v>13.6494</v>
      </c>
      <c r="F686" s="61">
        <f>13.6494 * CHOOSE(CONTROL!$C$21, $C$12, 100%, $E$12)</f>
        <v>13.6494</v>
      </c>
      <c r="G686" s="61">
        <f>13.6496 * CHOOSE(CONTROL!$C$21, $C$12, 100%, $E$12)</f>
        <v>13.6496</v>
      </c>
      <c r="H686" s="61">
        <f>22.5557* CHOOSE(CONTROL!$C$21, $C$12, 100%, $E$12)</f>
        <v>22.555700000000002</v>
      </c>
      <c r="I686" s="61">
        <f>22.5559 * CHOOSE(CONTROL!$C$21, $C$12, 100%, $E$12)</f>
        <v>22.555900000000001</v>
      </c>
      <c r="J686" s="61">
        <f>13.6494 * CHOOSE(CONTROL!$C$21, $C$12, 100%, $E$12)</f>
        <v>13.6494</v>
      </c>
      <c r="K686" s="61">
        <f>13.6496 * CHOOSE(CONTROL!$C$21, $C$12, 100%, $E$12)</f>
        <v>13.6496</v>
      </c>
    </row>
    <row r="687" spans="1:11" ht="15">
      <c r="A687" s="13">
        <v>62793</v>
      </c>
      <c r="B687" s="60">
        <f>11.6303 * CHOOSE(CONTROL!$C$21, $C$12, 100%, $E$12)</f>
        <v>11.6303</v>
      </c>
      <c r="C687" s="60">
        <f>11.6303 * CHOOSE(CONTROL!$C$21, $C$12, 100%, $E$12)</f>
        <v>11.6303</v>
      </c>
      <c r="D687" s="60">
        <f>11.6409 * CHOOSE(CONTROL!$C$21, $C$12, 100%, $E$12)</f>
        <v>11.6409</v>
      </c>
      <c r="E687" s="61">
        <f>13.572 * CHOOSE(CONTROL!$C$21, $C$12, 100%, $E$12)</f>
        <v>13.571999999999999</v>
      </c>
      <c r="F687" s="61">
        <f>13.572 * CHOOSE(CONTROL!$C$21, $C$12, 100%, $E$12)</f>
        <v>13.571999999999999</v>
      </c>
      <c r="G687" s="61">
        <f>13.5722 * CHOOSE(CONTROL!$C$21, $C$12, 100%, $E$12)</f>
        <v>13.5722</v>
      </c>
      <c r="H687" s="61">
        <f>22.6027* CHOOSE(CONTROL!$C$21, $C$12, 100%, $E$12)</f>
        <v>22.602699999999999</v>
      </c>
      <c r="I687" s="61">
        <f>22.6028 * CHOOSE(CONTROL!$C$21, $C$12, 100%, $E$12)</f>
        <v>22.602799999999998</v>
      </c>
      <c r="J687" s="61">
        <f>13.572 * CHOOSE(CONTROL!$C$21, $C$12, 100%, $E$12)</f>
        <v>13.571999999999999</v>
      </c>
      <c r="K687" s="61">
        <f>13.5722 * CHOOSE(CONTROL!$C$21, $C$12, 100%, $E$12)</f>
        <v>13.5722</v>
      </c>
    </row>
    <row r="688" spans="1:11" ht="15">
      <c r="A688" s="13">
        <v>62824</v>
      </c>
      <c r="B688" s="60">
        <f>11.6636 * CHOOSE(CONTROL!$C$21, $C$12, 100%, $E$12)</f>
        <v>11.663600000000001</v>
      </c>
      <c r="C688" s="60">
        <f>11.6636 * CHOOSE(CONTROL!$C$21, $C$12, 100%, $E$12)</f>
        <v>11.663600000000001</v>
      </c>
      <c r="D688" s="60">
        <f>11.6742 * CHOOSE(CONTROL!$C$21, $C$12, 100%, $E$12)</f>
        <v>11.674200000000001</v>
      </c>
      <c r="E688" s="61">
        <f>13.6655 * CHOOSE(CONTROL!$C$21, $C$12, 100%, $E$12)</f>
        <v>13.6655</v>
      </c>
      <c r="F688" s="61">
        <f>13.6655 * CHOOSE(CONTROL!$C$21, $C$12, 100%, $E$12)</f>
        <v>13.6655</v>
      </c>
      <c r="G688" s="61">
        <f>13.6657 * CHOOSE(CONTROL!$C$21, $C$12, 100%, $E$12)</f>
        <v>13.665699999999999</v>
      </c>
      <c r="H688" s="61">
        <f>22.537* CHOOSE(CONTROL!$C$21, $C$12, 100%, $E$12)</f>
        <v>22.536999999999999</v>
      </c>
      <c r="I688" s="61">
        <f>22.5372 * CHOOSE(CONTROL!$C$21, $C$12, 100%, $E$12)</f>
        <v>22.537199999999999</v>
      </c>
      <c r="J688" s="61">
        <f>13.6655 * CHOOSE(CONTROL!$C$21, $C$12, 100%, $E$12)</f>
        <v>13.6655</v>
      </c>
      <c r="K688" s="61">
        <f>13.6657 * CHOOSE(CONTROL!$C$21, $C$12, 100%, $E$12)</f>
        <v>13.665699999999999</v>
      </c>
    </row>
    <row r="689" spans="1:11" ht="15">
      <c r="A689" s="13">
        <v>62855</v>
      </c>
      <c r="B689" s="60">
        <f>11.6606 * CHOOSE(CONTROL!$C$21, $C$12, 100%, $E$12)</f>
        <v>11.660600000000001</v>
      </c>
      <c r="C689" s="60">
        <f>11.6606 * CHOOSE(CONTROL!$C$21, $C$12, 100%, $E$12)</f>
        <v>11.660600000000001</v>
      </c>
      <c r="D689" s="60">
        <f>11.6711 * CHOOSE(CONTROL!$C$21, $C$12, 100%, $E$12)</f>
        <v>11.671099999999999</v>
      </c>
      <c r="E689" s="61">
        <f>13.5139 * CHOOSE(CONTROL!$C$21, $C$12, 100%, $E$12)</f>
        <v>13.5139</v>
      </c>
      <c r="F689" s="61">
        <f>13.5139 * CHOOSE(CONTROL!$C$21, $C$12, 100%, $E$12)</f>
        <v>13.5139</v>
      </c>
      <c r="G689" s="61">
        <f>13.5141 * CHOOSE(CONTROL!$C$21, $C$12, 100%, $E$12)</f>
        <v>13.514099999999999</v>
      </c>
      <c r="H689" s="61">
        <f>22.584* CHOOSE(CONTROL!$C$21, $C$12, 100%, $E$12)</f>
        <v>22.584</v>
      </c>
      <c r="I689" s="61">
        <f>22.5841 * CHOOSE(CONTROL!$C$21, $C$12, 100%, $E$12)</f>
        <v>22.584099999999999</v>
      </c>
      <c r="J689" s="61">
        <f>13.5139 * CHOOSE(CONTROL!$C$21, $C$12, 100%, $E$12)</f>
        <v>13.5139</v>
      </c>
      <c r="K689" s="61">
        <f>13.5141 * CHOOSE(CONTROL!$C$21, $C$12, 100%, $E$12)</f>
        <v>13.514099999999999</v>
      </c>
    </row>
    <row r="690" spans="1:11" ht="15">
      <c r="A690" s="13">
        <v>62884</v>
      </c>
      <c r="B690" s="60">
        <f>11.6575 * CHOOSE(CONTROL!$C$21, $C$12, 100%, $E$12)</f>
        <v>11.657500000000001</v>
      </c>
      <c r="C690" s="60">
        <f>11.6575 * CHOOSE(CONTROL!$C$21, $C$12, 100%, $E$12)</f>
        <v>11.657500000000001</v>
      </c>
      <c r="D690" s="60">
        <f>11.6681 * CHOOSE(CONTROL!$C$21, $C$12, 100%, $E$12)</f>
        <v>11.668100000000001</v>
      </c>
      <c r="E690" s="61">
        <f>13.6297 * CHOOSE(CONTROL!$C$21, $C$12, 100%, $E$12)</f>
        <v>13.6297</v>
      </c>
      <c r="F690" s="61">
        <f>13.6297 * CHOOSE(CONTROL!$C$21, $C$12, 100%, $E$12)</f>
        <v>13.6297</v>
      </c>
      <c r="G690" s="61">
        <f>13.6298 * CHOOSE(CONTROL!$C$21, $C$12, 100%, $E$12)</f>
        <v>13.629799999999999</v>
      </c>
      <c r="H690" s="61">
        <f>22.631* CHOOSE(CONTROL!$C$21, $C$12, 100%, $E$12)</f>
        <v>22.631</v>
      </c>
      <c r="I690" s="61">
        <f>22.6312 * CHOOSE(CONTROL!$C$21, $C$12, 100%, $E$12)</f>
        <v>22.6312</v>
      </c>
      <c r="J690" s="61">
        <f>13.6297 * CHOOSE(CONTROL!$C$21, $C$12, 100%, $E$12)</f>
        <v>13.6297</v>
      </c>
      <c r="K690" s="61">
        <f>13.6298 * CHOOSE(CONTROL!$C$21, $C$12, 100%, $E$12)</f>
        <v>13.629799999999999</v>
      </c>
    </row>
    <row r="691" spans="1:11" ht="15">
      <c r="A691" s="13">
        <v>62915</v>
      </c>
      <c r="B691" s="60">
        <f>11.6618 * CHOOSE(CONTROL!$C$21, $C$12, 100%, $E$12)</f>
        <v>11.661799999999999</v>
      </c>
      <c r="C691" s="60">
        <f>11.6618 * CHOOSE(CONTROL!$C$21, $C$12, 100%, $E$12)</f>
        <v>11.661799999999999</v>
      </c>
      <c r="D691" s="60">
        <f>11.6723 * CHOOSE(CONTROL!$C$21, $C$12, 100%, $E$12)</f>
        <v>11.6723</v>
      </c>
      <c r="E691" s="61">
        <f>13.752 * CHOOSE(CONTROL!$C$21, $C$12, 100%, $E$12)</f>
        <v>13.752000000000001</v>
      </c>
      <c r="F691" s="61">
        <f>13.752 * CHOOSE(CONTROL!$C$21, $C$12, 100%, $E$12)</f>
        <v>13.752000000000001</v>
      </c>
      <c r="G691" s="61">
        <f>13.7522 * CHOOSE(CONTROL!$C$21, $C$12, 100%, $E$12)</f>
        <v>13.7522</v>
      </c>
      <c r="H691" s="61">
        <f>22.6782* CHOOSE(CONTROL!$C$21, $C$12, 100%, $E$12)</f>
        <v>22.6782</v>
      </c>
      <c r="I691" s="61">
        <f>22.6783 * CHOOSE(CONTROL!$C$21, $C$12, 100%, $E$12)</f>
        <v>22.6783</v>
      </c>
      <c r="J691" s="61">
        <f>13.752 * CHOOSE(CONTROL!$C$21, $C$12, 100%, $E$12)</f>
        <v>13.752000000000001</v>
      </c>
      <c r="K691" s="61">
        <f>13.7522 * CHOOSE(CONTROL!$C$21, $C$12, 100%, $E$12)</f>
        <v>13.7522</v>
      </c>
    </row>
    <row r="692" spans="1:11" ht="15">
      <c r="A692" s="13">
        <v>62945</v>
      </c>
      <c r="B692" s="60">
        <f>11.6618 * CHOOSE(CONTROL!$C$21, $C$12, 100%, $E$12)</f>
        <v>11.661799999999999</v>
      </c>
      <c r="C692" s="60">
        <f>11.6618 * CHOOSE(CONTROL!$C$21, $C$12, 100%, $E$12)</f>
        <v>11.661799999999999</v>
      </c>
      <c r="D692" s="60">
        <f>11.6829 * CHOOSE(CONTROL!$C$21, $C$12, 100%, $E$12)</f>
        <v>11.6829</v>
      </c>
      <c r="E692" s="61">
        <f>13.7995 * CHOOSE(CONTROL!$C$21, $C$12, 100%, $E$12)</f>
        <v>13.7995</v>
      </c>
      <c r="F692" s="61">
        <f>13.7995 * CHOOSE(CONTROL!$C$21, $C$12, 100%, $E$12)</f>
        <v>13.7995</v>
      </c>
      <c r="G692" s="61">
        <f>13.8008 * CHOOSE(CONTROL!$C$21, $C$12, 100%, $E$12)</f>
        <v>13.800800000000001</v>
      </c>
      <c r="H692" s="61">
        <f>22.7254* CHOOSE(CONTROL!$C$21, $C$12, 100%, $E$12)</f>
        <v>22.7254</v>
      </c>
      <c r="I692" s="61">
        <f>22.7268 * CHOOSE(CONTROL!$C$21, $C$12, 100%, $E$12)</f>
        <v>22.726800000000001</v>
      </c>
      <c r="J692" s="61">
        <f>13.7995 * CHOOSE(CONTROL!$C$21, $C$12, 100%, $E$12)</f>
        <v>13.7995</v>
      </c>
      <c r="K692" s="61">
        <f>13.8008 * CHOOSE(CONTROL!$C$21, $C$12, 100%, $E$12)</f>
        <v>13.800800000000001</v>
      </c>
    </row>
    <row r="693" spans="1:11" ht="15">
      <c r="A693" s="13">
        <v>62976</v>
      </c>
      <c r="B693" s="60">
        <f>11.6679 * CHOOSE(CONTROL!$C$21, $C$12, 100%, $E$12)</f>
        <v>11.667899999999999</v>
      </c>
      <c r="C693" s="60">
        <f>11.6679 * CHOOSE(CONTROL!$C$21, $C$12, 100%, $E$12)</f>
        <v>11.667899999999999</v>
      </c>
      <c r="D693" s="60">
        <f>11.689 * CHOOSE(CONTROL!$C$21, $C$12, 100%, $E$12)</f>
        <v>11.689</v>
      </c>
      <c r="E693" s="61">
        <f>13.7562 * CHOOSE(CONTROL!$C$21, $C$12, 100%, $E$12)</f>
        <v>13.7562</v>
      </c>
      <c r="F693" s="61">
        <f>13.7562 * CHOOSE(CONTROL!$C$21, $C$12, 100%, $E$12)</f>
        <v>13.7562</v>
      </c>
      <c r="G693" s="61">
        <f>13.7576 * CHOOSE(CONTROL!$C$21, $C$12, 100%, $E$12)</f>
        <v>13.7576</v>
      </c>
      <c r="H693" s="61">
        <f>22.7727* CHOOSE(CONTROL!$C$21, $C$12, 100%, $E$12)</f>
        <v>22.7727</v>
      </c>
      <c r="I693" s="61">
        <f>22.7741 * CHOOSE(CONTROL!$C$21, $C$12, 100%, $E$12)</f>
        <v>22.774100000000001</v>
      </c>
      <c r="J693" s="61">
        <f>13.7562 * CHOOSE(CONTROL!$C$21, $C$12, 100%, $E$12)</f>
        <v>13.7562</v>
      </c>
      <c r="K693" s="61">
        <f>13.7576 * CHOOSE(CONTROL!$C$21, $C$12, 100%, $E$12)</f>
        <v>13.7576</v>
      </c>
    </row>
    <row r="694" spans="1:11" ht="15">
      <c r="A694" s="13">
        <v>63006</v>
      </c>
      <c r="B694" s="60">
        <f>11.8526 * CHOOSE(CONTROL!$C$21, $C$12, 100%, $E$12)</f>
        <v>11.852600000000001</v>
      </c>
      <c r="C694" s="60">
        <f>11.8526 * CHOOSE(CONTROL!$C$21, $C$12, 100%, $E$12)</f>
        <v>11.852600000000001</v>
      </c>
      <c r="D694" s="60">
        <f>11.8738 * CHOOSE(CONTROL!$C$21, $C$12, 100%, $E$12)</f>
        <v>11.873799999999999</v>
      </c>
      <c r="E694" s="61">
        <f>14.02 * CHOOSE(CONTROL!$C$21, $C$12, 100%, $E$12)</f>
        <v>14.02</v>
      </c>
      <c r="F694" s="61">
        <f>14.02 * CHOOSE(CONTROL!$C$21, $C$12, 100%, $E$12)</f>
        <v>14.02</v>
      </c>
      <c r="G694" s="61">
        <f>14.0214 * CHOOSE(CONTROL!$C$21, $C$12, 100%, $E$12)</f>
        <v>14.0214</v>
      </c>
      <c r="H694" s="61">
        <f>22.8202* CHOOSE(CONTROL!$C$21, $C$12, 100%, $E$12)</f>
        <v>22.8202</v>
      </c>
      <c r="I694" s="61">
        <f>22.8216 * CHOOSE(CONTROL!$C$21, $C$12, 100%, $E$12)</f>
        <v>22.8216</v>
      </c>
      <c r="J694" s="61">
        <f>14.02 * CHOOSE(CONTROL!$C$21, $C$12, 100%, $E$12)</f>
        <v>14.02</v>
      </c>
      <c r="K694" s="61">
        <f>14.0214 * CHOOSE(CONTROL!$C$21, $C$12, 100%, $E$12)</f>
        <v>14.0214</v>
      </c>
    </row>
    <row r="695" spans="1:11" ht="15">
      <c r="A695" s="13">
        <v>63037</v>
      </c>
      <c r="B695" s="60">
        <f>11.8593 * CHOOSE(CONTROL!$C$21, $C$12, 100%, $E$12)</f>
        <v>11.859299999999999</v>
      </c>
      <c r="C695" s="60">
        <f>11.8593 * CHOOSE(CONTROL!$C$21, $C$12, 100%, $E$12)</f>
        <v>11.859299999999999</v>
      </c>
      <c r="D695" s="60">
        <f>11.8805 * CHOOSE(CONTROL!$C$21, $C$12, 100%, $E$12)</f>
        <v>11.8805</v>
      </c>
      <c r="E695" s="61">
        <f>13.8823 * CHOOSE(CONTROL!$C$21, $C$12, 100%, $E$12)</f>
        <v>13.882300000000001</v>
      </c>
      <c r="F695" s="61">
        <f>13.8823 * CHOOSE(CONTROL!$C$21, $C$12, 100%, $E$12)</f>
        <v>13.882300000000001</v>
      </c>
      <c r="G695" s="61">
        <f>13.8836 * CHOOSE(CONTROL!$C$21, $C$12, 100%, $E$12)</f>
        <v>13.883599999999999</v>
      </c>
      <c r="H695" s="61">
        <f>22.8677* CHOOSE(CONTROL!$C$21, $C$12, 100%, $E$12)</f>
        <v>22.867699999999999</v>
      </c>
      <c r="I695" s="61">
        <f>22.8691 * CHOOSE(CONTROL!$C$21, $C$12, 100%, $E$12)</f>
        <v>22.8691</v>
      </c>
      <c r="J695" s="61">
        <f>13.8823 * CHOOSE(CONTROL!$C$21, $C$12, 100%, $E$12)</f>
        <v>13.882300000000001</v>
      </c>
      <c r="K695" s="61">
        <f>13.8836 * CHOOSE(CONTROL!$C$21, $C$12, 100%, $E$12)</f>
        <v>13.883599999999999</v>
      </c>
    </row>
    <row r="696" spans="1:11" ht="15">
      <c r="A696" s="13">
        <v>63068</v>
      </c>
      <c r="B696" s="60">
        <f>11.8563 * CHOOSE(CONTROL!$C$21, $C$12, 100%, $E$12)</f>
        <v>11.856299999999999</v>
      </c>
      <c r="C696" s="60">
        <f>11.8563 * CHOOSE(CONTROL!$C$21, $C$12, 100%, $E$12)</f>
        <v>11.856299999999999</v>
      </c>
      <c r="D696" s="60">
        <f>11.8774 * CHOOSE(CONTROL!$C$21, $C$12, 100%, $E$12)</f>
        <v>11.8774</v>
      </c>
      <c r="E696" s="61">
        <f>13.8643 * CHOOSE(CONTROL!$C$21, $C$12, 100%, $E$12)</f>
        <v>13.8643</v>
      </c>
      <c r="F696" s="61">
        <f>13.8643 * CHOOSE(CONTROL!$C$21, $C$12, 100%, $E$12)</f>
        <v>13.8643</v>
      </c>
      <c r="G696" s="61">
        <f>13.8657 * CHOOSE(CONTROL!$C$21, $C$12, 100%, $E$12)</f>
        <v>13.8657</v>
      </c>
      <c r="H696" s="61">
        <f>22.9154* CHOOSE(CONTROL!$C$21, $C$12, 100%, $E$12)</f>
        <v>22.915400000000002</v>
      </c>
      <c r="I696" s="61">
        <f>22.9167 * CHOOSE(CONTROL!$C$21, $C$12, 100%, $E$12)</f>
        <v>22.916699999999999</v>
      </c>
      <c r="J696" s="61">
        <f>13.8643 * CHOOSE(CONTROL!$C$21, $C$12, 100%, $E$12)</f>
        <v>13.8643</v>
      </c>
      <c r="K696" s="61">
        <f>13.8657 * CHOOSE(CONTROL!$C$21, $C$12, 100%, $E$12)</f>
        <v>13.8657</v>
      </c>
    </row>
    <row r="697" spans="1:11" ht="15">
      <c r="A697" s="13">
        <v>63098</v>
      </c>
      <c r="B697" s="60">
        <f>11.8773 * CHOOSE(CONTROL!$C$21, $C$12, 100%, $E$12)</f>
        <v>11.8773</v>
      </c>
      <c r="C697" s="60">
        <f>11.8773 * CHOOSE(CONTROL!$C$21, $C$12, 100%, $E$12)</f>
        <v>11.8773</v>
      </c>
      <c r="D697" s="60">
        <f>11.8879 * CHOOSE(CONTROL!$C$21, $C$12, 100%, $E$12)</f>
        <v>11.8879</v>
      </c>
      <c r="E697" s="61">
        <f>13.9142 * CHOOSE(CONTROL!$C$21, $C$12, 100%, $E$12)</f>
        <v>13.914199999999999</v>
      </c>
      <c r="F697" s="61">
        <f>13.9142 * CHOOSE(CONTROL!$C$21, $C$12, 100%, $E$12)</f>
        <v>13.914199999999999</v>
      </c>
      <c r="G697" s="61">
        <f>13.9144 * CHOOSE(CONTROL!$C$21, $C$12, 100%, $E$12)</f>
        <v>13.914400000000001</v>
      </c>
      <c r="H697" s="61">
        <f>22.9631* CHOOSE(CONTROL!$C$21, $C$12, 100%, $E$12)</f>
        <v>22.963100000000001</v>
      </c>
      <c r="I697" s="61">
        <f>22.9633 * CHOOSE(CONTROL!$C$21, $C$12, 100%, $E$12)</f>
        <v>22.9633</v>
      </c>
      <c r="J697" s="61">
        <f>13.9142 * CHOOSE(CONTROL!$C$21, $C$12, 100%, $E$12)</f>
        <v>13.914199999999999</v>
      </c>
      <c r="K697" s="61">
        <f>13.9144 * CHOOSE(CONTROL!$C$21, $C$12, 100%, $E$12)</f>
        <v>13.914400000000001</v>
      </c>
    </row>
    <row r="698" spans="1:11" ht="15">
      <c r="A698" s="13">
        <v>63129</v>
      </c>
      <c r="B698" s="60">
        <f>11.8803 * CHOOSE(CONTROL!$C$21, $C$12, 100%, $E$12)</f>
        <v>11.8803</v>
      </c>
      <c r="C698" s="60">
        <f>11.8803 * CHOOSE(CONTROL!$C$21, $C$12, 100%, $E$12)</f>
        <v>11.8803</v>
      </c>
      <c r="D698" s="60">
        <f>11.8909 * CHOOSE(CONTROL!$C$21, $C$12, 100%, $E$12)</f>
        <v>11.8909</v>
      </c>
      <c r="E698" s="61">
        <f>13.9479 * CHOOSE(CONTROL!$C$21, $C$12, 100%, $E$12)</f>
        <v>13.947900000000001</v>
      </c>
      <c r="F698" s="61">
        <f>13.9479 * CHOOSE(CONTROL!$C$21, $C$12, 100%, $E$12)</f>
        <v>13.947900000000001</v>
      </c>
      <c r="G698" s="61">
        <f>13.9481 * CHOOSE(CONTROL!$C$21, $C$12, 100%, $E$12)</f>
        <v>13.9481</v>
      </c>
      <c r="H698" s="61">
        <f>23.0109* CHOOSE(CONTROL!$C$21, $C$12, 100%, $E$12)</f>
        <v>23.010899999999999</v>
      </c>
      <c r="I698" s="61">
        <f>23.0111 * CHOOSE(CONTROL!$C$21, $C$12, 100%, $E$12)</f>
        <v>23.011099999999999</v>
      </c>
      <c r="J698" s="61">
        <f>13.9479 * CHOOSE(CONTROL!$C$21, $C$12, 100%, $E$12)</f>
        <v>13.947900000000001</v>
      </c>
      <c r="K698" s="61">
        <f>13.9481 * CHOOSE(CONTROL!$C$21, $C$12, 100%, $E$12)</f>
        <v>13.9481</v>
      </c>
    </row>
    <row r="699" spans="1:11" ht="15">
      <c r="A699" s="13">
        <v>63159</v>
      </c>
      <c r="B699" s="60">
        <f>11.8803 * CHOOSE(CONTROL!$C$21, $C$12, 100%, $E$12)</f>
        <v>11.8803</v>
      </c>
      <c r="C699" s="60">
        <f>11.8803 * CHOOSE(CONTROL!$C$21, $C$12, 100%, $E$12)</f>
        <v>11.8803</v>
      </c>
      <c r="D699" s="60">
        <f>11.8909 * CHOOSE(CONTROL!$C$21, $C$12, 100%, $E$12)</f>
        <v>11.8909</v>
      </c>
      <c r="E699" s="61">
        <f>13.8688 * CHOOSE(CONTROL!$C$21, $C$12, 100%, $E$12)</f>
        <v>13.8688</v>
      </c>
      <c r="F699" s="61">
        <f>13.8688 * CHOOSE(CONTROL!$C$21, $C$12, 100%, $E$12)</f>
        <v>13.8688</v>
      </c>
      <c r="G699" s="61">
        <f>13.869 * CHOOSE(CONTROL!$C$21, $C$12, 100%, $E$12)</f>
        <v>13.869</v>
      </c>
      <c r="H699" s="61">
        <f>23.0589* CHOOSE(CONTROL!$C$21, $C$12, 100%, $E$12)</f>
        <v>23.058900000000001</v>
      </c>
      <c r="I699" s="61">
        <f>23.0591 * CHOOSE(CONTROL!$C$21, $C$12, 100%, $E$12)</f>
        <v>23.059100000000001</v>
      </c>
      <c r="J699" s="61">
        <f>13.8688 * CHOOSE(CONTROL!$C$21, $C$12, 100%, $E$12)</f>
        <v>13.8688</v>
      </c>
      <c r="K699" s="61">
        <f>13.869 * CHOOSE(CONTROL!$C$21, $C$12, 100%, $E$12)</f>
        <v>13.869</v>
      </c>
    </row>
    <row r="700" spans="1:11" ht="15">
      <c r="A700" s="13">
        <v>63190</v>
      </c>
      <c r="B700" s="60">
        <f>11.9089 * CHOOSE(CONTROL!$C$21, $C$12, 100%, $E$12)</f>
        <v>11.908899999999999</v>
      </c>
      <c r="C700" s="60">
        <f>11.9089 * CHOOSE(CONTROL!$C$21, $C$12, 100%, $E$12)</f>
        <v>11.908899999999999</v>
      </c>
      <c r="D700" s="60">
        <f>11.9195 * CHOOSE(CONTROL!$C$21, $C$12, 100%, $E$12)</f>
        <v>11.919499999999999</v>
      </c>
      <c r="E700" s="61">
        <f>13.958 * CHOOSE(CONTROL!$C$21, $C$12, 100%, $E$12)</f>
        <v>13.958</v>
      </c>
      <c r="F700" s="61">
        <f>13.958 * CHOOSE(CONTROL!$C$21, $C$12, 100%, $E$12)</f>
        <v>13.958</v>
      </c>
      <c r="G700" s="61">
        <f>13.9581 * CHOOSE(CONTROL!$C$21, $C$12, 100%, $E$12)</f>
        <v>13.9581</v>
      </c>
      <c r="H700" s="61">
        <f>22.9829* CHOOSE(CONTROL!$C$21, $C$12, 100%, $E$12)</f>
        <v>22.982900000000001</v>
      </c>
      <c r="I700" s="61">
        <f>22.9831 * CHOOSE(CONTROL!$C$21, $C$12, 100%, $E$12)</f>
        <v>22.9831</v>
      </c>
      <c r="J700" s="61">
        <f>13.958 * CHOOSE(CONTROL!$C$21, $C$12, 100%, $E$12)</f>
        <v>13.958</v>
      </c>
      <c r="K700" s="61">
        <f>13.9581 * CHOOSE(CONTROL!$C$21, $C$12, 100%, $E$12)</f>
        <v>13.9581</v>
      </c>
    </row>
    <row r="701" spans="1:11" ht="15">
      <c r="A701" s="13">
        <v>63221</v>
      </c>
      <c r="B701" s="60">
        <f>11.9059 * CHOOSE(CONTROL!$C$21, $C$12, 100%, $E$12)</f>
        <v>11.905900000000001</v>
      </c>
      <c r="C701" s="60">
        <f>11.9059 * CHOOSE(CONTROL!$C$21, $C$12, 100%, $E$12)</f>
        <v>11.905900000000001</v>
      </c>
      <c r="D701" s="60">
        <f>11.9165 * CHOOSE(CONTROL!$C$21, $C$12, 100%, $E$12)</f>
        <v>11.916499999999999</v>
      </c>
      <c r="E701" s="61">
        <f>13.8031 * CHOOSE(CONTROL!$C$21, $C$12, 100%, $E$12)</f>
        <v>13.803100000000001</v>
      </c>
      <c r="F701" s="61">
        <f>13.8031 * CHOOSE(CONTROL!$C$21, $C$12, 100%, $E$12)</f>
        <v>13.803100000000001</v>
      </c>
      <c r="G701" s="61">
        <f>13.8033 * CHOOSE(CONTROL!$C$21, $C$12, 100%, $E$12)</f>
        <v>13.8033</v>
      </c>
      <c r="H701" s="61">
        <f>23.0308* CHOOSE(CONTROL!$C$21, $C$12, 100%, $E$12)</f>
        <v>23.030799999999999</v>
      </c>
      <c r="I701" s="61">
        <f>23.031 * CHOOSE(CONTROL!$C$21, $C$12, 100%, $E$12)</f>
        <v>23.030999999999999</v>
      </c>
      <c r="J701" s="61">
        <f>13.8031 * CHOOSE(CONTROL!$C$21, $C$12, 100%, $E$12)</f>
        <v>13.803100000000001</v>
      </c>
      <c r="K701" s="61">
        <f>13.8033 * CHOOSE(CONTROL!$C$21, $C$12, 100%, $E$12)</f>
        <v>13.8033</v>
      </c>
    </row>
    <row r="702" spans="1:11" ht="15">
      <c r="A702" s="13">
        <v>63249</v>
      </c>
      <c r="B702" s="60">
        <f>11.9029 * CHOOSE(CONTROL!$C$21, $C$12, 100%, $E$12)</f>
        <v>11.902900000000001</v>
      </c>
      <c r="C702" s="60">
        <f>11.9029 * CHOOSE(CONTROL!$C$21, $C$12, 100%, $E$12)</f>
        <v>11.902900000000001</v>
      </c>
      <c r="D702" s="60">
        <f>11.9134 * CHOOSE(CONTROL!$C$21, $C$12, 100%, $E$12)</f>
        <v>11.913399999999999</v>
      </c>
      <c r="E702" s="61">
        <f>13.9214 * CHOOSE(CONTROL!$C$21, $C$12, 100%, $E$12)</f>
        <v>13.9214</v>
      </c>
      <c r="F702" s="61">
        <f>13.9214 * CHOOSE(CONTROL!$C$21, $C$12, 100%, $E$12)</f>
        <v>13.9214</v>
      </c>
      <c r="G702" s="61">
        <f>13.9216 * CHOOSE(CONTROL!$C$21, $C$12, 100%, $E$12)</f>
        <v>13.9216</v>
      </c>
      <c r="H702" s="61">
        <f>23.0788* CHOOSE(CONTROL!$C$21, $C$12, 100%, $E$12)</f>
        <v>23.078800000000001</v>
      </c>
      <c r="I702" s="61">
        <f>23.0789 * CHOOSE(CONTROL!$C$21, $C$12, 100%, $E$12)</f>
        <v>23.078900000000001</v>
      </c>
      <c r="J702" s="61">
        <f>13.9214 * CHOOSE(CONTROL!$C$21, $C$12, 100%, $E$12)</f>
        <v>13.9214</v>
      </c>
      <c r="K702" s="61">
        <f>13.9216 * CHOOSE(CONTROL!$C$21, $C$12, 100%, $E$12)</f>
        <v>13.9216</v>
      </c>
    </row>
    <row r="703" spans="1:11" ht="15">
      <c r="A703" s="13">
        <v>63280</v>
      </c>
      <c r="B703" s="60">
        <f>11.9073 * CHOOSE(CONTROL!$C$21, $C$12, 100%, $E$12)</f>
        <v>11.907299999999999</v>
      </c>
      <c r="C703" s="60">
        <f>11.9073 * CHOOSE(CONTROL!$C$21, $C$12, 100%, $E$12)</f>
        <v>11.907299999999999</v>
      </c>
      <c r="D703" s="60">
        <f>11.9179 * CHOOSE(CONTROL!$C$21, $C$12, 100%, $E$12)</f>
        <v>11.917899999999999</v>
      </c>
      <c r="E703" s="61">
        <f>14.0464 * CHOOSE(CONTROL!$C$21, $C$12, 100%, $E$12)</f>
        <v>14.0464</v>
      </c>
      <c r="F703" s="61">
        <f>14.0464 * CHOOSE(CONTROL!$C$21, $C$12, 100%, $E$12)</f>
        <v>14.0464</v>
      </c>
      <c r="G703" s="61">
        <f>14.0466 * CHOOSE(CONTROL!$C$21, $C$12, 100%, $E$12)</f>
        <v>14.0466</v>
      </c>
      <c r="H703" s="61">
        <f>23.1268* CHOOSE(CONTROL!$C$21, $C$12, 100%, $E$12)</f>
        <v>23.126799999999999</v>
      </c>
      <c r="I703" s="61">
        <f>23.127 * CHOOSE(CONTROL!$C$21, $C$12, 100%, $E$12)</f>
        <v>23.126999999999999</v>
      </c>
      <c r="J703" s="61">
        <f>14.0464 * CHOOSE(CONTROL!$C$21, $C$12, 100%, $E$12)</f>
        <v>14.0464</v>
      </c>
      <c r="K703" s="61">
        <f>14.0466 * CHOOSE(CONTROL!$C$21, $C$12, 100%, $E$12)</f>
        <v>14.0466</v>
      </c>
    </row>
    <row r="704" spans="1:11" ht="15">
      <c r="A704" s="13">
        <v>63310</v>
      </c>
      <c r="B704" s="60">
        <f>11.9073 * CHOOSE(CONTROL!$C$21, $C$12, 100%, $E$12)</f>
        <v>11.907299999999999</v>
      </c>
      <c r="C704" s="60">
        <f>11.9073 * CHOOSE(CONTROL!$C$21, $C$12, 100%, $E$12)</f>
        <v>11.907299999999999</v>
      </c>
      <c r="D704" s="60">
        <f>11.9284 * CHOOSE(CONTROL!$C$21, $C$12, 100%, $E$12)</f>
        <v>11.9284</v>
      </c>
      <c r="E704" s="61">
        <f>14.0949 * CHOOSE(CONTROL!$C$21, $C$12, 100%, $E$12)</f>
        <v>14.094900000000001</v>
      </c>
      <c r="F704" s="61">
        <f>14.0949 * CHOOSE(CONTROL!$C$21, $C$12, 100%, $E$12)</f>
        <v>14.094900000000001</v>
      </c>
      <c r="G704" s="61">
        <f>14.0963 * CHOOSE(CONTROL!$C$21, $C$12, 100%, $E$12)</f>
        <v>14.096299999999999</v>
      </c>
      <c r="H704" s="61">
        <f>23.175* CHOOSE(CONTROL!$C$21, $C$12, 100%, $E$12)</f>
        <v>23.175000000000001</v>
      </c>
      <c r="I704" s="61">
        <f>23.1764 * CHOOSE(CONTROL!$C$21, $C$12, 100%, $E$12)</f>
        <v>23.176400000000001</v>
      </c>
      <c r="J704" s="61">
        <f>14.0949 * CHOOSE(CONTROL!$C$21, $C$12, 100%, $E$12)</f>
        <v>14.094900000000001</v>
      </c>
      <c r="K704" s="61">
        <f>14.0963 * CHOOSE(CONTROL!$C$21, $C$12, 100%, $E$12)</f>
        <v>14.096299999999999</v>
      </c>
    </row>
    <row r="705" spans="1:11" ht="15">
      <c r="A705" s="13">
        <v>63341</v>
      </c>
      <c r="B705" s="60">
        <f>11.9134 * CHOOSE(CONTROL!$C$21, $C$12, 100%, $E$12)</f>
        <v>11.913399999999999</v>
      </c>
      <c r="C705" s="60">
        <f>11.9134 * CHOOSE(CONTROL!$C$21, $C$12, 100%, $E$12)</f>
        <v>11.913399999999999</v>
      </c>
      <c r="D705" s="60">
        <f>11.9345 * CHOOSE(CONTROL!$C$21, $C$12, 100%, $E$12)</f>
        <v>11.9345</v>
      </c>
      <c r="E705" s="61">
        <f>14.0507 * CHOOSE(CONTROL!$C$21, $C$12, 100%, $E$12)</f>
        <v>14.050700000000001</v>
      </c>
      <c r="F705" s="61">
        <f>14.0507 * CHOOSE(CONTROL!$C$21, $C$12, 100%, $E$12)</f>
        <v>14.050700000000001</v>
      </c>
      <c r="G705" s="61">
        <f>14.0521 * CHOOSE(CONTROL!$C$21, $C$12, 100%, $E$12)</f>
        <v>14.052099999999999</v>
      </c>
      <c r="H705" s="61">
        <f>23.2233* CHOOSE(CONTROL!$C$21, $C$12, 100%, $E$12)</f>
        <v>23.223299999999998</v>
      </c>
      <c r="I705" s="61">
        <f>23.2247 * CHOOSE(CONTROL!$C$21, $C$12, 100%, $E$12)</f>
        <v>23.224699999999999</v>
      </c>
      <c r="J705" s="61">
        <f>14.0507 * CHOOSE(CONTROL!$C$21, $C$12, 100%, $E$12)</f>
        <v>14.050700000000001</v>
      </c>
      <c r="K705" s="61">
        <f>14.0521 * CHOOSE(CONTROL!$C$21, $C$12, 100%, $E$12)</f>
        <v>14.052099999999999</v>
      </c>
    </row>
    <row r="706" spans="1:11" ht="15">
      <c r="A706" s="13">
        <v>63371</v>
      </c>
      <c r="B706" s="60">
        <f>12.1019 * CHOOSE(CONTROL!$C$21, $C$12, 100%, $E$12)</f>
        <v>12.101900000000001</v>
      </c>
      <c r="C706" s="60">
        <f>12.1019 * CHOOSE(CONTROL!$C$21, $C$12, 100%, $E$12)</f>
        <v>12.101900000000001</v>
      </c>
      <c r="D706" s="60">
        <f>12.123 * CHOOSE(CONTROL!$C$21, $C$12, 100%, $E$12)</f>
        <v>12.122999999999999</v>
      </c>
      <c r="E706" s="61">
        <f>14.3199 * CHOOSE(CONTROL!$C$21, $C$12, 100%, $E$12)</f>
        <v>14.319900000000001</v>
      </c>
      <c r="F706" s="61">
        <f>14.3199 * CHOOSE(CONTROL!$C$21, $C$12, 100%, $E$12)</f>
        <v>14.319900000000001</v>
      </c>
      <c r="G706" s="61">
        <f>14.3212 * CHOOSE(CONTROL!$C$21, $C$12, 100%, $E$12)</f>
        <v>14.321199999999999</v>
      </c>
      <c r="H706" s="61">
        <f>23.2717* CHOOSE(CONTROL!$C$21, $C$12, 100%, $E$12)</f>
        <v>23.271699999999999</v>
      </c>
      <c r="I706" s="61">
        <f>23.2731 * CHOOSE(CONTROL!$C$21, $C$12, 100%, $E$12)</f>
        <v>23.273099999999999</v>
      </c>
      <c r="J706" s="61">
        <f>14.3199 * CHOOSE(CONTROL!$C$21, $C$12, 100%, $E$12)</f>
        <v>14.319900000000001</v>
      </c>
      <c r="K706" s="61">
        <f>14.3212 * CHOOSE(CONTROL!$C$21, $C$12, 100%, $E$12)</f>
        <v>14.321199999999999</v>
      </c>
    </row>
    <row r="707" spans="1:11" ht="15">
      <c r="A707" s="13">
        <v>63402</v>
      </c>
      <c r="B707" s="60">
        <f>12.1086 * CHOOSE(CONTROL!$C$21, $C$12, 100%, $E$12)</f>
        <v>12.108599999999999</v>
      </c>
      <c r="C707" s="60">
        <f>12.1086 * CHOOSE(CONTROL!$C$21, $C$12, 100%, $E$12)</f>
        <v>12.108599999999999</v>
      </c>
      <c r="D707" s="60">
        <f>12.1297 * CHOOSE(CONTROL!$C$21, $C$12, 100%, $E$12)</f>
        <v>12.1297</v>
      </c>
      <c r="E707" s="61">
        <f>14.1791 * CHOOSE(CONTROL!$C$21, $C$12, 100%, $E$12)</f>
        <v>14.1791</v>
      </c>
      <c r="F707" s="61">
        <f>14.1791 * CHOOSE(CONTROL!$C$21, $C$12, 100%, $E$12)</f>
        <v>14.1791</v>
      </c>
      <c r="G707" s="61">
        <f>14.1805 * CHOOSE(CONTROL!$C$21, $C$12, 100%, $E$12)</f>
        <v>14.1805</v>
      </c>
      <c r="H707" s="61">
        <f>23.3202* CHOOSE(CONTROL!$C$21, $C$12, 100%, $E$12)</f>
        <v>23.3202</v>
      </c>
      <c r="I707" s="61">
        <f>23.3215 * CHOOSE(CONTROL!$C$21, $C$12, 100%, $E$12)</f>
        <v>23.3215</v>
      </c>
      <c r="J707" s="61">
        <f>14.1791 * CHOOSE(CONTROL!$C$21, $C$12, 100%, $E$12)</f>
        <v>14.1791</v>
      </c>
      <c r="K707" s="61">
        <f>14.1805 * CHOOSE(CONTROL!$C$21, $C$12, 100%, $E$12)</f>
        <v>14.1805</v>
      </c>
    </row>
    <row r="708" spans="1:11" ht="15">
      <c r="A708" s="13">
        <v>63433</v>
      </c>
      <c r="B708" s="60">
        <f>12.1055 * CHOOSE(CONTROL!$C$21, $C$12, 100%, $E$12)</f>
        <v>12.105499999999999</v>
      </c>
      <c r="C708" s="60">
        <f>12.1055 * CHOOSE(CONTROL!$C$21, $C$12, 100%, $E$12)</f>
        <v>12.105499999999999</v>
      </c>
      <c r="D708" s="60">
        <f>12.1266 * CHOOSE(CONTROL!$C$21, $C$12, 100%, $E$12)</f>
        <v>12.1266</v>
      </c>
      <c r="E708" s="61">
        <f>14.1608 * CHOOSE(CONTROL!$C$21, $C$12, 100%, $E$12)</f>
        <v>14.1608</v>
      </c>
      <c r="F708" s="61">
        <f>14.1608 * CHOOSE(CONTROL!$C$21, $C$12, 100%, $E$12)</f>
        <v>14.1608</v>
      </c>
      <c r="G708" s="61">
        <f>14.1622 * CHOOSE(CONTROL!$C$21, $C$12, 100%, $E$12)</f>
        <v>14.1622</v>
      </c>
      <c r="H708" s="61">
        <f>23.3687* CHOOSE(CONTROL!$C$21, $C$12, 100%, $E$12)</f>
        <v>23.3687</v>
      </c>
      <c r="I708" s="61">
        <f>23.3701 * CHOOSE(CONTROL!$C$21, $C$12, 100%, $E$12)</f>
        <v>23.370100000000001</v>
      </c>
      <c r="J708" s="61">
        <f>14.1608 * CHOOSE(CONTROL!$C$21, $C$12, 100%, $E$12)</f>
        <v>14.1608</v>
      </c>
      <c r="K708" s="61">
        <f>14.1622 * CHOOSE(CONTROL!$C$21, $C$12, 100%, $E$12)</f>
        <v>14.1622</v>
      </c>
    </row>
    <row r="709" spans="1:11" ht="15">
      <c r="A709" s="13">
        <v>63463</v>
      </c>
      <c r="B709" s="60">
        <f>12.1273 * CHOOSE(CONTROL!$C$21, $C$12, 100%, $E$12)</f>
        <v>12.1273</v>
      </c>
      <c r="C709" s="60">
        <f>12.1273 * CHOOSE(CONTROL!$C$21, $C$12, 100%, $E$12)</f>
        <v>12.1273</v>
      </c>
      <c r="D709" s="60">
        <f>12.1379 * CHOOSE(CONTROL!$C$21, $C$12, 100%, $E$12)</f>
        <v>12.1379</v>
      </c>
      <c r="E709" s="61">
        <f>14.212 * CHOOSE(CONTROL!$C$21, $C$12, 100%, $E$12)</f>
        <v>14.212</v>
      </c>
      <c r="F709" s="61">
        <f>14.212 * CHOOSE(CONTROL!$C$21, $C$12, 100%, $E$12)</f>
        <v>14.212</v>
      </c>
      <c r="G709" s="61">
        <f>14.2122 * CHOOSE(CONTROL!$C$21, $C$12, 100%, $E$12)</f>
        <v>14.212199999999999</v>
      </c>
      <c r="H709" s="61">
        <f>23.4174* CHOOSE(CONTROL!$C$21, $C$12, 100%, $E$12)</f>
        <v>23.417400000000001</v>
      </c>
      <c r="I709" s="61">
        <f>23.4176 * CHOOSE(CONTROL!$C$21, $C$12, 100%, $E$12)</f>
        <v>23.4176</v>
      </c>
      <c r="J709" s="61">
        <f>14.212 * CHOOSE(CONTROL!$C$21, $C$12, 100%, $E$12)</f>
        <v>14.212</v>
      </c>
      <c r="K709" s="61">
        <f>14.2122 * CHOOSE(CONTROL!$C$21, $C$12, 100%, $E$12)</f>
        <v>14.212199999999999</v>
      </c>
    </row>
    <row r="710" spans="1:11" ht="15">
      <c r="A710" s="13">
        <v>63494</v>
      </c>
      <c r="B710" s="60">
        <f>12.1304 * CHOOSE(CONTROL!$C$21, $C$12, 100%, $E$12)</f>
        <v>12.1304</v>
      </c>
      <c r="C710" s="60">
        <f>12.1304 * CHOOSE(CONTROL!$C$21, $C$12, 100%, $E$12)</f>
        <v>12.1304</v>
      </c>
      <c r="D710" s="60">
        <f>12.1409 * CHOOSE(CONTROL!$C$21, $C$12, 100%, $E$12)</f>
        <v>12.1409</v>
      </c>
      <c r="E710" s="61">
        <f>14.2465 * CHOOSE(CONTROL!$C$21, $C$12, 100%, $E$12)</f>
        <v>14.246499999999999</v>
      </c>
      <c r="F710" s="61">
        <f>14.2465 * CHOOSE(CONTROL!$C$21, $C$12, 100%, $E$12)</f>
        <v>14.246499999999999</v>
      </c>
      <c r="G710" s="61">
        <f>14.2467 * CHOOSE(CONTROL!$C$21, $C$12, 100%, $E$12)</f>
        <v>14.246700000000001</v>
      </c>
      <c r="H710" s="61">
        <f>23.4662* CHOOSE(CONTROL!$C$21, $C$12, 100%, $E$12)</f>
        <v>23.466200000000001</v>
      </c>
      <c r="I710" s="61">
        <f>23.4664 * CHOOSE(CONTROL!$C$21, $C$12, 100%, $E$12)</f>
        <v>23.4664</v>
      </c>
      <c r="J710" s="61">
        <f>14.2465 * CHOOSE(CONTROL!$C$21, $C$12, 100%, $E$12)</f>
        <v>14.246499999999999</v>
      </c>
      <c r="K710" s="61">
        <f>14.2467 * CHOOSE(CONTROL!$C$21, $C$12, 100%, $E$12)</f>
        <v>14.246700000000001</v>
      </c>
    </row>
    <row r="711" spans="1:11" ht="15">
      <c r="A711" s="13">
        <v>63524</v>
      </c>
      <c r="B711" s="60">
        <f>12.1304 * CHOOSE(CONTROL!$C$21, $C$12, 100%, $E$12)</f>
        <v>12.1304</v>
      </c>
      <c r="C711" s="60">
        <f>12.1304 * CHOOSE(CONTROL!$C$21, $C$12, 100%, $E$12)</f>
        <v>12.1304</v>
      </c>
      <c r="D711" s="60">
        <f>12.1409 * CHOOSE(CONTROL!$C$21, $C$12, 100%, $E$12)</f>
        <v>12.1409</v>
      </c>
      <c r="E711" s="61">
        <f>14.1657 * CHOOSE(CONTROL!$C$21, $C$12, 100%, $E$12)</f>
        <v>14.165699999999999</v>
      </c>
      <c r="F711" s="61">
        <f>14.1657 * CHOOSE(CONTROL!$C$21, $C$12, 100%, $E$12)</f>
        <v>14.165699999999999</v>
      </c>
      <c r="G711" s="61">
        <f>14.1659 * CHOOSE(CONTROL!$C$21, $C$12, 100%, $E$12)</f>
        <v>14.165900000000001</v>
      </c>
      <c r="H711" s="61">
        <f>23.5151* CHOOSE(CONTROL!$C$21, $C$12, 100%, $E$12)</f>
        <v>23.5151</v>
      </c>
      <c r="I711" s="61">
        <f>23.5153 * CHOOSE(CONTROL!$C$21, $C$12, 100%, $E$12)</f>
        <v>23.5153</v>
      </c>
      <c r="J711" s="61">
        <f>14.1657 * CHOOSE(CONTROL!$C$21, $C$12, 100%, $E$12)</f>
        <v>14.165699999999999</v>
      </c>
      <c r="K711" s="61">
        <f>14.1659 * CHOOSE(CONTROL!$C$21, $C$12, 100%, $E$12)</f>
        <v>14.165900000000001</v>
      </c>
    </row>
    <row r="712" spans="1:11" ht="15">
      <c r="A712" s="13">
        <v>63555</v>
      </c>
      <c r="B712" s="60">
        <f>12.1543 * CHOOSE(CONTROL!$C$21, $C$12, 100%, $E$12)</f>
        <v>12.154299999999999</v>
      </c>
      <c r="C712" s="60">
        <f>12.1543 * CHOOSE(CONTROL!$C$21, $C$12, 100%, $E$12)</f>
        <v>12.154299999999999</v>
      </c>
      <c r="D712" s="60">
        <f>12.1648 * CHOOSE(CONTROL!$C$21, $C$12, 100%, $E$12)</f>
        <v>12.1648</v>
      </c>
      <c r="E712" s="61">
        <f>14.2504 * CHOOSE(CONTROL!$C$21, $C$12, 100%, $E$12)</f>
        <v>14.250400000000001</v>
      </c>
      <c r="F712" s="61">
        <f>14.2504 * CHOOSE(CONTROL!$C$21, $C$12, 100%, $E$12)</f>
        <v>14.250400000000001</v>
      </c>
      <c r="G712" s="61">
        <f>14.2505 * CHOOSE(CONTROL!$C$21, $C$12, 100%, $E$12)</f>
        <v>14.250500000000001</v>
      </c>
      <c r="H712" s="61">
        <f>23.4288* CHOOSE(CONTROL!$C$21, $C$12, 100%, $E$12)</f>
        <v>23.428799999999999</v>
      </c>
      <c r="I712" s="61">
        <f>23.429 * CHOOSE(CONTROL!$C$21, $C$12, 100%, $E$12)</f>
        <v>23.428999999999998</v>
      </c>
      <c r="J712" s="61">
        <f>14.2504 * CHOOSE(CONTROL!$C$21, $C$12, 100%, $E$12)</f>
        <v>14.250400000000001</v>
      </c>
      <c r="K712" s="61">
        <f>14.2505 * CHOOSE(CONTROL!$C$21, $C$12, 100%, $E$12)</f>
        <v>14.250500000000001</v>
      </c>
    </row>
    <row r="713" spans="1:11" ht="15">
      <c r="A713" s="13">
        <v>63586</v>
      </c>
      <c r="B713" s="60">
        <f>12.1512 * CHOOSE(CONTROL!$C$21, $C$12, 100%, $E$12)</f>
        <v>12.151199999999999</v>
      </c>
      <c r="C713" s="60">
        <f>12.1512 * CHOOSE(CONTROL!$C$21, $C$12, 100%, $E$12)</f>
        <v>12.151199999999999</v>
      </c>
      <c r="D713" s="60">
        <f>12.1618 * CHOOSE(CONTROL!$C$21, $C$12, 100%, $E$12)</f>
        <v>12.161799999999999</v>
      </c>
      <c r="E713" s="61">
        <f>14.0923 * CHOOSE(CONTROL!$C$21, $C$12, 100%, $E$12)</f>
        <v>14.0923</v>
      </c>
      <c r="F713" s="61">
        <f>14.0923 * CHOOSE(CONTROL!$C$21, $C$12, 100%, $E$12)</f>
        <v>14.0923</v>
      </c>
      <c r="G713" s="61">
        <f>14.0925 * CHOOSE(CONTROL!$C$21, $C$12, 100%, $E$12)</f>
        <v>14.092499999999999</v>
      </c>
      <c r="H713" s="61">
        <f>23.4776* CHOOSE(CONTROL!$C$21, $C$12, 100%, $E$12)</f>
        <v>23.477599999999999</v>
      </c>
      <c r="I713" s="61">
        <f>23.4778 * CHOOSE(CONTROL!$C$21, $C$12, 100%, $E$12)</f>
        <v>23.477799999999998</v>
      </c>
      <c r="J713" s="61">
        <f>14.0923 * CHOOSE(CONTROL!$C$21, $C$12, 100%, $E$12)</f>
        <v>14.0923</v>
      </c>
      <c r="K713" s="61">
        <f>14.0925 * CHOOSE(CONTROL!$C$21, $C$12, 100%, $E$12)</f>
        <v>14.092499999999999</v>
      </c>
    </row>
    <row r="714" spans="1:11" ht="15">
      <c r="A714" s="13">
        <v>63614</v>
      </c>
      <c r="B714" s="60">
        <f>12.1482 * CHOOSE(CONTROL!$C$21, $C$12, 100%, $E$12)</f>
        <v>12.148199999999999</v>
      </c>
      <c r="C714" s="60">
        <f>12.1482 * CHOOSE(CONTROL!$C$21, $C$12, 100%, $E$12)</f>
        <v>12.148199999999999</v>
      </c>
      <c r="D714" s="60">
        <f>12.1587 * CHOOSE(CONTROL!$C$21, $C$12, 100%, $E$12)</f>
        <v>12.1587</v>
      </c>
      <c r="E714" s="61">
        <f>14.2131 * CHOOSE(CONTROL!$C$21, $C$12, 100%, $E$12)</f>
        <v>14.213100000000001</v>
      </c>
      <c r="F714" s="61">
        <f>14.2131 * CHOOSE(CONTROL!$C$21, $C$12, 100%, $E$12)</f>
        <v>14.213100000000001</v>
      </c>
      <c r="G714" s="61">
        <f>14.2133 * CHOOSE(CONTROL!$C$21, $C$12, 100%, $E$12)</f>
        <v>14.2133</v>
      </c>
      <c r="H714" s="61">
        <f>23.5265* CHOOSE(CONTROL!$C$21, $C$12, 100%, $E$12)</f>
        <v>23.526499999999999</v>
      </c>
      <c r="I714" s="61">
        <f>23.5267 * CHOOSE(CONTROL!$C$21, $C$12, 100%, $E$12)</f>
        <v>23.526700000000002</v>
      </c>
      <c r="J714" s="61">
        <f>14.2131 * CHOOSE(CONTROL!$C$21, $C$12, 100%, $E$12)</f>
        <v>14.213100000000001</v>
      </c>
      <c r="K714" s="61">
        <f>14.2133 * CHOOSE(CONTROL!$C$21, $C$12, 100%, $E$12)</f>
        <v>14.2133</v>
      </c>
    </row>
    <row r="715" spans="1:11" ht="15">
      <c r="A715" s="13">
        <v>63645</v>
      </c>
      <c r="B715" s="60">
        <f>12.1528 * CHOOSE(CONTROL!$C$21, $C$12, 100%, $E$12)</f>
        <v>12.152799999999999</v>
      </c>
      <c r="C715" s="60">
        <f>12.1528 * CHOOSE(CONTROL!$C$21, $C$12, 100%, $E$12)</f>
        <v>12.152799999999999</v>
      </c>
      <c r="D715" s="60">
        <f>12.1634 * CHOOSE(CONTROL!$C$21, $C$12, 100%, $E$12)</f>
        <v>12.163399999999999</v>
      </c>
      <c r="E715" s="61">
        <f>14.3409 * CHOOSE(CONTROL!$C$21, $C$12, 100%, $E$12)</f>
        <v>14.3409</v>
      </c>
      <c r="F715" s="61">
        <f>14.3409 * CHOOSE(CONTROL!$C$21, $C$12, 100%, $E$12)</f>
        <v>14.3409</v>
      </c>
      <c r="G715" s="61">
        <f>14.3411 * CHOOSE(CONTROL!$C$21, $C$12, 100%, $E$12)</f>
        <v>14.341100000000001</v>
      </c>
      <c r="H715" s="61">
        <f>23.5755* CHOOSE(CONTROL!$C$21, $C$12, 100%, $E$12)</f>
        <v>23.575500000000002</v>
      </c>
      <c r="I715" s="61">
        <f>23.5757 * CHOOSE(CONTROL!$C$21, $C$12, 100%, $E$12)</f>
        <v>23.575700000000001</v>
      </c>
      <c r="J715" s="61">
        <f>14.3409 * CHOOSE(CONTROL!$C$21, $C$12, 100%, $E$12)</f>
        <v>14.3409</v>
      </c>
      <c r="K715" s="61">
        <f>14.3411 * CHOOSE(CONTROL!$C$21, $C$12, 100%, $E$12)</f>
        <v>14.341100000000001</v>
      </c>
    </row>
    <row r="716" spans="1:11" ht="15">
      <c r="A716" s="13">
        <v>63675</v>
      </c>
      <c r="B716" s="60">
        <f>12.1528 * CHOOSE(CONTROL!$C$21, $C$12, 100%, $E$12)</f>
        <v>12.152799999999999</v>
      </c>
      <c r="C716" s="60">
        <f>12.1528 * CHOOSE(CONTROL!$C$21, $C$12, 100%, $E$12)</f>
        <v>12.152799999999999</v>
      </c>
      <c r="D716" s="60">
        <f>12.1739 * CHOOSE(CONTROL!$C$21, $C$12, 100%, $E$12)</f>
        <v>12.1739</v>
      </c>
      <c r="E716" s="61">
        <f>14.3904 * CHOOSE(CONTROL!$C$21, $C$12, 100%, $E$12)</f>
        <v>14.3904</v>
      </c>
      <c r="F716" s="61">
        <f>14.3904 * CHOOSE(CONTROL!$C$21, $C$12, 100%, $E$12)</f>
        <v>14.3904</v>
      </c>
      <c r="G716" s="61">
        <f>14.3918 * CHOOSE(CONTROL!$C$21, $C$12, 100%, $E$12)</f>
        <v>14.3918</v>
      </c>
      <c r="H716" s="61">
        <f>23.6246* CHOOSE(CONTROL!$C$21, $C$12, 100%, $E$12)</f>
        <v>23.624600000000001</v>
      </c>
      <c r="I716" s="61">
        <f>23.626 * CHOOSE(CONTROL!$C$21, $C$12, 100%, $E$12)</f>
        <v>23.626000000000001</v>
      </c>
      <c r="J716" s="61">
        <f>14.3904 * CHOOSE(CONTROL!$C$21, $C$12, 100%, $E$12)</f>
        <v>14.3904</v>
      </c>
      <c r="K716" s="61">
        <f>14.3918 * CHOOSE(CONTROL!$C$21, $C$12, 100%, $E$12)</f>
        <v>14.3918</v>
      </c>
    </row>
    <row r="717" spans="1:11" ht="15">
      <c r="A717" s="13">
        <v>63706</v>
      </c>
      <c r="B717" s="60">
        <f>12.1589 * CHOOSE(CONTROL!$C$21, $C$12, 100%, $E$12)</f>
        <v>12.158899999999999</v>
      </c>
      <c r="C717" s="60">
        <f>12.1589 * CHOOSE(CONTROL!$C$21, $C$12, 100%, $E$12)</f>
        <v>12.158899999999999</v>
      </c>
      <c r="D717" s="60">
        <f>12.18 * CHOOSE(CONTROL!$C$21, $C$12, 100%, $E$12)</f>
        <v>12.18</v>
      </c>
      <c r="E717" s="61">
        <f>14.3451 * CHOOSE(CONTROL!$C$21, $C$12, 100%, $E$12)</f>
        <v>14.3451</v>
      </c>
      <c r="F717" s="61">
        <f>14.3451 * CHOOSE(CONTROL!$C$21, $C$12, 100%, $E$12)</f>
        <v>14.3451</v>
      </c>
      <c r="G717" s="61">
        <f>14.3465 * CHOOSE(CONTROL!$C$21, $C$12, 100%, $E$12)</f>
        <v>14.346500000000001</v>
      </c>
      <c r="H717" s="61">
        <f>23.6739* CHOOSE(CONTROL!$C$21, $C$12, 100%, $E$12)</f>
        <v>23.6739</v>
      </c>
      <c r="I717" s="61">
        <f>23.6752 * CHOOSE(CONTROL!$C$21, $C$12, 100%, $E$12)</f>
        <v>23.6752</v>
      </c>
      <c r="J717" s="61">
        <f>14.3451 * CHOOSE(CONTROL!$C$21, $C$12, 100%, $E$12)</f>
        <v>14.3451</v>
      </c>
      <c r="K717" s="61">
        <f>14.3465 * CHOOSE(CONTROL!$C$21, $C$12, 100%, $E$12)</f>
        <v>14.346500000000001</v>
      </c>
    </row>
    <row r="718" spans="1:11" ht="15">
      <c r="A718" s="13">
        <v>63736</v>
      </c>
      <c r="B718" s="60">
        <f>12.3511 * CHOOSE(CONTROL!$C$21, $C$12, 100%, $E$12)</f>
        <v>12.351100000000001</v>
      </c>
      <c r="C718" s="60">
        <f>12.3511 * CHOOSE(CONTROL!$C$21, $C$12, 100%, $E$12)</f>
        <v>12.351100000000001</v>
      </c>
      <c r="D718" s="60">
        <f>12.3722 * CHOOSE(CONTROL!$C$21, $C$12, 100%, $E$12)</f>
        <v>12.372199999999999</v>
      </c>
      <c r="E718" s="61">
        <f>14.6198 * CHOOSE(CONTROL!$C$21, $C$12, 100%, $E$12)</f>
        <v>14.6198</v>
      </c>
      <c r="F718" s="61">
        <f>14.6198 * CHOOSE(CONTROL!$C$21, $C$12, 100%, $E$12)</f>
        <v>14.6198</v>
      </c>
      <c r="G718" s="61">
        <f>14.6211 * CHOOSE(CONTROL!$C$21, $C$12, 100%, $E$12)</f>
        <v>14.6211</v>
      </c>
      <c r="H718" s="61">
        <f>23.7232* CHOOSE(CONTROL!$C$21, $C$12, 100%, $E$12)</f>
        <v>23.723199999999999</v>
      </c>
      <c r="I718" s="61">
        <f>23.7246 * CHOOSE(CONTROL!$C$21, $C$12, 100%, $E$12)</f>
        <v>23.724599999999999</v>
      </c>
      <c r="J718" s="61">
        <f>14.6198 * CHOOSE(CONTROL!$C$21, $C$12, 100%, $E$12)</f>
        <v>14.6198</v>
      </c>
      <c r="K718" s="61">
        <f>14.6211 * CHOOSE(CONTROL!$C$21, $C$12, 100%, $E$12)</f>
        <v>14.6211</v>
      </c>
    </row>
    <row r="719" spans="1:11" ht="15">
      <c r="A719" s="13">
        <v>63767</v>
      </c>
      <c r="B719" s="60">
        <f>12.3578 * CHOOSE(CONTROL!$C$21, $C$12, 100%, $E$12)</f>
        <v>12.357799999999999</v>
      </c>
      <c r="C719" s="60">
        <f>12.3578 * CHOOSE(CONTROL!$C$21, $C$12, 100%, $E$12)</f>
        <v>12.357799999999999</v>
      </c>
      <c r="D719" s="60">
        <f>12.3789 * CHOOSE(CONTROL!$C$21, $C$12, 100%, $E$12)</f>
        <v>12.3789</v>
      </c>
      <c r="E719" s="61">
        <f>14.4759 * CHOOSE(CONTROL!$C$21, $C$12, 100%, $E$12)</f>
        <v>14.475899999999999</v>
      </c>
      <c r="F719" s="61">
        <f>14.4759 * CHOOSE(CONTROL!$C$21, $C$12, 100%, $E$12)</f>
        <v>14.475899999999999</v>
      </c>
      <c r="G719" s="61">
        <f>14.4773 * CHOOSE(CONTROL!$C$21, $C$12, 100%, $E$12)</f>
        <v>14.4773</v>
      </c>
      <c r="H719" s="61">
        <f>23.7726* CHOOSE(CONTROL!$C$21, $C$12, 100%, $E$12)</f>
        <v>23.772600000000001</v>
      </c>
      <c r="I719" s="61">
        <f>23.774 * CHOOSE(CONTROL!$C$21, $C$12, 100%, $E$12)</f>
        <v>23.774000000000001</v>
      </c>
      <c r="J719" s="61">
        <f>14.4759 * CHOOSE(CONTROL!$C$21, $C$12, 100%, $E$12)</f>
        <v>14.475899999999999</v>
      </c>
      <c r="K719" s="61">
        <f>14.4773 * CHOOSE(CONTROL!$C$21, $C$12, 100%, $E$12)</f>
        <v>14.4773</v>
      </c>
    </row>
    <row r="720" spans="1:11" ht="15">
      <c r="A720" s="13">
        <v>63798</v>
      </c>
      <c r="B720" s="60">
        <f>12.3547 * CHOOSE(CONTROL!$C$21, $C$12, 100%, $E$12)</f>
        <v>12.354699999999999</v>
      </c>
      <c r="C720" s="60">
        <f>12.3547 * CHOOSE(CONTROL!$C$21, $C$12, 100%, $E$12)</f>
        <v>12.354699999999999</v>
      </c>
      <c r="D720" s="60">
        <f>12.3759 * CHOOSE(CONTROL!$C$21, $C$12, 100%, $E$12)</f>
        <v>12.3759</v>
      </c>
      <c r="E720" s="61">
        <f>14.4573 * CHOOSE(CONTROL!$C$21, $C$12, 100%, $E$12)</f>
        <v>14.4573</v>
      </c>
      <c r="F720" s="61">
        <f>14.4573 * CHOOSE(CONTROL!$C$21, $C$12, 100%, $E$12)</f>
        <v>14.4573</v>
      </c>
      <c r="G720" s="61">
        <f>14.4587 * CHOOSE(CONTROL!$C$21, $C$12, 100%, $E$12)</f>
        <v>14.4587</v>
      </c>
      <c r="H720" s="61">
        <f>23.8221* CHOOSE(CONTROL!$C$21, $C$12, 100%, $E$12)</f>
        <v>23.822099999999999</v>
      </c>
      <c r="I720" s="61">
        <f>23.8235 * CHOOSE(CONTROL!$C$21, $C$12, 100%, $E$12)</f>
        <v>23.823499999999999</v>
      </c>
      <c r="J720" s="61">
        <f>14.4573 * CHOOSE(CONTROL!$C$21, $C$12, 100%, $E$12)</f>
        <v>14.4573</v>
      </c>
      <c r="K720" s="61">
        <f>14.4587 * CHOOSE(CONTROL!$C$21, $C$12, 100%, $E$12)</f>
        <v>14.4587</v>
      </c>
    </row>
    <row r="721" spans="1:11" ht="15">
      <c r="A721" s="13">
        <v>63828</v>
      </c>
      <c r="B721" s="60">
        <f>12.3773 * CHOOSE(CONTROL!$C$21, $C$12, 100%, $E$12)</f>
        <v>12.3773</v>
      </c>
      <c r="C721" s="60">
        <f>12.3773 * CHOOSE(CONTROL!$C$21, $C$12, 100%, $E$12)</f>
        <v>12.3773</v>
      </c>
      <c r="D721" s="60">
        <f>12.3879 * CHOOSE(CONTROL!$C$21, $C$12, 100%, $E$12)</f>
        <v>12.3879</v>
      </c>
      <c r="E721" s="61">
        <f>14.5099 * CHOOSE(CONTROL!$C$21, $C$12, 100%, $E$12)</f>
        <v>14.5099</v>
      </c>
      <c r="F721" s="61">
        <f>14.5099 * CHOOSE(CONTROL!$C$21, $C$12, 100%, $E$12)</f>
        <v>14.5099</v>
      </c>
      <c r="G721" s="61">
        <f>14.5101 * CHOOSE(CONTROL!$C$21, $C$12, 100%, $E$12)</f>
        <v>14.5101</v>
      </c>
      <c r="H721" s="61">
        <f>23.8718* CHOOSE(CONTROL!$C$21, $C$12, 100%, $E$12)</f>
        <v>23.8718</v>
      </c>
      <c r="I721" s="61">
        <f>23.8719 * CHOOSE(CONTROL!$C$21, $C$12, 100%, $E$12)</f>
        <v>23.8719</v>
      </c>
      <c r="J721" s="61">
        <f>14.5099 * CHOOSE(CONTROL!$C$21, $C$12, 100%, $E$12)</f>
        <v>14.5099</v>
      </c>
      <c r="K721" s="61">
        <f>14.5101 * CHOOSE(CONTROL!$C$21, $C$12, 100%, $E$12)</f>
        <v>14.5101</v>
      </c>
    </row>
    <row r="722" spans="1:11" ht="15">
      <c r="A722" s="13">
        <v>63859</v>
      </c>
      <c r="B722" s="60">
        <f>12.3804 * CHOOSE(CONTROL!$C$21, $C$12, 100%, $E$12)</f>
        <v>12.3804</v>
      </c>
      <c r="C722" s="60">
        <f>12.3804 * CHOOSE(CONTROL!$C$21, $C$12, 100%, $E$12)</f>
        <v>12.3804</v>
      </c>
      <c r="D722" s="60">
        <f>12.3909 * CHOOSE(CONTROL!$C$21, $C$12, 100%, $E$12)</f>
        <v>12.3909</v>
      </c>
      <c r="E722" s="61">
        <f>14.545 * CHOOSE(CONTROL!$C$21, $C$12, 100%, $E$12)</f>
        <v>14.545</v>
      </c>
      <c r="F722" s="61">
        <f>14.545 * CHOOSE(CONTROL!$C$21, $C$12, 100%, $E$12)</f>
        <v>14.545</v>
      </c>
      <c r="G722" s="61">
        <f>14.5452 * CHOOSE(CONTROL!$C$21, $C$12, 100%, $E$12)</f>
        <v>14.545199999999999</v>
      </c>
      <c r="H722" s="61">
        <f>23.9215* CHOOSE(CONTROL!$C$21, $C$12, 100%, $E$12)</f>
        <v>23.921500000000002</v>
      </c>
      <c r="I722" s="61">
        <f>23.9217 * CHOOSE(CONTROL!$C$21, $C$12, 100%, $E$12)</f>
        <v>23.921700000000001</v>
      </c>
      <c r="J722" s="61">
        <f>14.545 * CHOOSE(CONTROL!$C$21, $C$12, 100%, $E$12)</f>
        <v>14.545</v>
      </c>
      <c r="K722" s="61">
        <f>14.5452 * CHOOSE(CONTROL!$C$21, $C$12, 100%, $E$12)</f>
        <v>14.545199999999999</v>
      </c>
    </row>
    <row r="723" spans="1:11" ht="15">
      <c r="A723" s="13">
        <v>63889</v>
      </c>
      <c r="B723" s="60">
        <f>12.3804 * CHOOSE(CONTROL!$C$21, $C$12, 100%, $E$12)</f>
        <v>12.3804</v>
      </c>
      <c r="C723" s="60">
        <f>12.3804 * CHOOSE(CONTROL!$C$21, $C$12, 100%, $E$12)</f>
        <v>12.3804</v>
      </c>
      <c r="D723" s="60">
        <f>12.3909 * CHOOSE(CONTROL!$C$21, $C$12, 100%, $E$12)</f>
        <v>12.3909</v>
      </c>
      <c r="E723" s="61">
        <f>14.4625 * CHOOSE(CONTROL!$C$21, $C$12, 100%, $E$12)</f>
        <v>14.4625</v>
      </c>
      <c r="F723" s="61">
        <f>14.4625 * CHOOSE(CONTROL!$C$21, $C$12, 100%, $E$12)</f>
        <v>14.4625</v>
      </c>
      <c r="G723" s="61">
        <f>14.4627 * CHOOSE(CONTROL!$C$21, $C$12, 100%, $E$12)</f>
        <v>14.4627</v>
      </c>
      <c r="H723" s="61">
        <f>23.9713* CHOOSE(CONTROL!$C$21, $C$12, 100%, $E$12)</f>
        <v>23.971299999999999</v>
      </c>
      <c r="I723" s="61">
        <f>23.9715 * CHOOSE(CONTROL!$C$21, $C$12, 100%, $E$12)</f>
        <v>23.971499999999999</v>
      </c>
      <c r="J723" s="61">
        <f>14.4625 * CHOOSE(CONTROL!$C$21, $C$12, 100%, $E$12)</f>
        <v>14.4625</v>
      </c>
      <c r="K723" s="61">
        <f>14.4627 * CHOOSE(CONTROL!$C$21, $C$12, 100%, $E$12)</f>
        <v>14.4627</v>
      </c>
    </row>
    <row r="724" spans="1:11" ht="15">
      <c r="A724" s="13">
        <v>63920</v>
      </c>
      <c r="B724" s="60">
        <f>12.3996 * CHOOSE(CONTROL!$C$21, $C$12, 100%, $E$12)</f>
        <v>12.3996</v>
      </c>
      <c r="C724" s="60">
        <f>12.3996 * CHOOSE(CONTROL!$C$21, $C$12, 100%, $E$12)</f>
        <v>12.3996</v>
      </c>
      <c r="D724" s="60">
        <f>12.4101 * CHOOSE(CONTROL!$C$21, $C$12, 100%, $E$12)</f>
        <v>12.4101</v>
      </c>
      <c r="E724" s="61">
        <f>14.5428 * CHOOSE(CONTROL!$C$21, $C$12, 100%, $E$12)</f>
        <v>14.5428</v>
      </c>
      <c r="F724" s="61">
        <f>14.5428 * CHOOSE(CONTROL!$C$21, $C$12, 100%, $E$12)</f>
        <v>14.5428</v>
      </c>
      <c r="G724" s="61">
        <f>14.543 * CHOOSE(CONTROL!$C$21, $C$12, 100%, $E$12)</f>
        <v>14.542999999999999</v>
      </c>
      <c r="H724" s="61">
        <f>23.8747* CHOOSE(CONTROL!$C$21, $C$12, 100%, $E$12)</f>
        <v>23.874700000000001</v>
      </c>
      <c r="I724" s="61">
        <f>23.8749 * CHOOSE(CONTROL!$C$21, $C$12, 100%, $E$12)</f>
        <v>23.8749</v>
      </c>
      <c r="J724" s="61">
        <f>14.5428 * CHOOSE(CONTROL!$C$21, $C$12, 100%, $E$12)</f>
        <v>14.5428</v>
      </c>
      <c r="K724" s="61">
        <f>14.543 * CHOOSE(CONTROL!$C$21, $C$12, 100%, $E$12)</f>
        <v>14.542999999999999</v>
      </c>
    </row>
    <row r="725" spans="1:11" ht="15">
      <c r="A725" s="13">
        <v>63951</v>
      </c>
      <c r="B725" s="60">
        <f>12.3965 * CHOOSE(CONTROL!$C$21, $C$12, 100%, $E$12)</f>
        <v>12.3965</v>
      </c>
      <c r="C725" s="60">
        <f>12.3965 * CHOOSE(CONTROL!$C$21, $C$12, 100%, $E$12)</f>
        <v>12.3965</v>
      </c>
      <c r="D725" s="60">
        <f>12.4071 * CHOOSE(CONTROL!$C$21, $C$12, 100%, $E$12)</f>
        <v>12.4071</v>
      </c>
      <c r="E725" s="61">
        <f>14.3815 * CHOOSE(CONTROL!$C$21, $C$12, 100%, $E$12)</f>
        <v>14.381500000000001</v>
      </c>
      <c r="F725" s="61">
        <f>14.3815 * CHOOSE(CONTROL!$C$21, $C$12, 100%, $E$12)</f>
        <v>14.381500000000001</v>
      </c>
      <c r="G725" s="61">
        <f>14.3817 * CHOOSE(CONTROL!$C$21, $C$12, 100%, $E$12)</f>
        <v>14.3817</v>
      </c>
      <c r="H725" s="61">
        <f>23.9244* CHOOSE(CONTROL!$C$21, $C$12, 100%, $E$12)</f>
        <v>23.924399999999999</v>
      </c>
      <c r="I725" s="61">
        <f>23.9246 * CHOOSE(CONTROL!$C$21, $C$12, 100%, $E$12)</f>
        <v>23.924600000000002</v>
      </c>
      <c r="J725" s="61">
        <f>14.3815 * CHOOSE(CONTROL!$C$21, $C$12, 100%, $E$12)</f>
        <v>14.381500000000001</v>
      </c>
      <c r="K725" s="61">
        <f>14.3817 * CHOOSE(CONTROL!$C$21, $C$12, 100%, $E$12)</f>
        <v>14.3817</v>
      </c>
    </row>
    <row r="726" spans="1:11" ht="15">
      <c r="A726" s="13">
        <v>63979</v>
      </c>
      <c r="B726" s="60">
        <f>12.3935 * CHOOSE(CONTROL!$C$21, $C$12, 100%, $E$12)</f>
        <v>12.3935</v>
      </c>
      <c r="C726" s="60">
        <f>12.3935 * CHOOSE(CONTROL!$C$21, $C$12, 100%, $E$12)</f>
        <v>12.3935</v>
      </c>
      <c r="D726" s="60">
        <f>12.4041 * CHOOSE(CONTROL!$C$21, $C$12, 100%, $E$12)</f>
        <v>12.4041</v>
      </c>
      <c r="E726" s="61">
        <f>14.5049 * CHOOSE(CONTROL!$C$21, $C$12, 100%, $E$12)</f>
        <v>14.504899999999999</v>
      </c>
      <c r="F726" s="61">
        <f>14.5049 * CHOOSE(CONTROL!$C$21, $C$12, 100%, $E$12)</f>
        <v>14.504899999999999</v>
      </c>
      <c r="G726" s="61">
        <f>14.505 * CHOOSE(CONTROL!$C$21, $C$12, 100%, $E$12)</f>
        <v>14.505000000000001</v>
      </c>
      <c r="H726" s="61">
        <f>23.9743* CHOOSE(CONTROL!$C$21, $C$12, 100%, $E$12)</f>
        <v>23.974299999999999</v>
      </c>
      <c r="I726" s="61">
        <f>23.9744 * CHOOSE(CONTROL!$C$21, $C$12, 100%, $E$12)</f>
        <v>23.974399999999999</v>
      </c>
      <c r="J726" s="61">
        <f>14.5049 * CHOOSE(CONTROL!$C$21, $C$12, 100%, $E$12)</f>
        <v>14.504899999999999</v>
      </c>
      <c r="K726" s="61">
        <f>14.505 * CHOOSE(CONTROL!$C$21, $C$12, 100%, $E$12)</f>
        <v>14.505000000000001</v>
      </c>
    </row>
    <row r="727" spans="1:11" ht="15">
      <c r="A727" s="13">
        <v>64010</v>
      </c>
      <c r="B727" s="60">
        <f>12.3983 * CHOOSE(CONTROL!$C$21, $C$12, 100%, $E$12)</f>
        <v>12.398300000000001</v>
      </c>
      <c r="C727" s="60">
        <f>12.3983 * CHOOSE(CONTROL!$C$21, $C$12, 100%, $E$12)</f>
        <v>12.398300000000001</v>
      </c>
      <c r="D727" s="60">
        <f>12.4089 * CHOOSE(CONTROL!$C$21, $C$12, 100%, $E$12)</f>
        <v>12.408899999999999</v>
      </c>
      <c r="E727" s="61">
        <f>14.6353 * CHOOSE(CONTROL!$C$21, $C$12, 100%, $E$12)</f>
        <v>14.635300000000001</v>
      </c>
      <c r="F727" s="61">
        <f>14.6353 * CHOOSE(CONTROL!$C$21, $C$12, 100%, $E$12)</f>
        <v>14.635300000000001</v>
      </c>
      <c r="G727" s="61">
        <f>14.6355 * CHOOSE(CONTROL!$C$21, $C$12, 100%, $E$12)</f>
        <v>14.6355</v>
      </c>
      <c r="H727" s="61">
        <f>24.0242* CHOOSE(CONTROL!$C$21, $C$12, 100%, $E$12)</f>
        <v>24.0242</v>
      </c>
      <c r="I727" s="61">
        <f>24.0244 * CHOOSE(CONTROL!$C$21, $C$12, 100%, $E$12)</f>
        <v>24.0244</v>
      </c>
      <c r="J727" s="61">
        <f>14.6353 * CHOOSE(CONTROL!$C$21, $C$12, 100%, $E$12)</f>
        <v>14.635300000000001</v>
      </c>
      <c r="K727" s="61">
        <f>14.6355 * CHOOSE(CONTROL!$C$21, $C$12, 100%, $E$12)</f>
        <v>14.6355</v>
      </c>
    </row>
    <row r="728" spans="1:11" ht="15">
      <c r="A728" s="13">
        <v>64040</v>
      </c>
      <c r="B728" s="60">
        <f>12.3983 * CHOOSE(CONTROL!$C$21, $C$12, 100%, $E$12)</f>
        <v>12.398300000000001</v>
      </c>
      <c r="C728" s="60">
        <f>12.3983 * CHOOSE(CONTROL!$C$21, $C$12, 100%, $E$12)</f>
        <v>12.398300000000001</v>
      </c>
      <c r="D728" s="60">
        <f>12.4195 * CHOOSE(CONTROL!$C$21, $C$12, 100%, $E$12)</f>
        <v>12.419499999999999</v>
      </c>
      <c r="E728" s="61">
        <f>14.6859 * CHOOSE(CONTROL!$C$21, $C$12, 100%, $E$12)</f>
        <v>14.6859</v>
      </c>
      <c r="F728" s="61">
        <f>14.6859 * CHOOSE(CONTROL!$C$21, $C$12, 100%, $E$12)</f>
        <v>14.6859</v>
      </c>
      <c r="G728" s="61">
        <f>14.6872 * CHOOSE(CONTROL!$C$21, $C$12, 100%, $E$12)</f>
        <v>14.687200000000001</v>
      </c>
      <c r="H728" s="61">
        <f>24.0743* CHOOSE(CONTROL!$C$21, $C$12, 100%, $E$12)</f>
        <v>24.074300000000001</v>
      </c>
      <c r="I728" s="61">
        <f>24.0756 * CHOOSE(CONTROL!$C$21, $C$12, 100%, $E$12)</f>
        <v>24.075600000000001</v>
      </c>
      <c r="J728" s="61">
        <f>14.6859 * CHOOSE(CONTROL!$C$21, $C$12, 100%, $E$12)</f>
        <v>14.6859</v>
      </c>
      <c r="K728" s="61">
        <f>14.6872 * CHOOSE(CONTROL!$C$21, $C$12, 100%, $E$12)</f>
        <v>14.687200000000001</v>
      </c>
    </row>
    <row r="729" spans="1:11" ht="15">
      <c r="A729" s="13">
        <v>64071</v>
      </c>
      <c r="B729" s="60">
        <f>12.4044 * CHOOSE(CONTROL!$C$21, $C$12, 100%, $E$12)</f>
        <v>12.404400000000001</v>
      </c>
      <c r="C729" s="60">
        <f>12.4044 * CHOOSE(CONTROL!$C$21, $C$12, 100%, $E$12)</f>
        <v>12.404400000000001</v>
      </c>
      <c r="D729" s="60">
        <f>12.4256 * CHOOSE(CONTROL!$C$21, $C$12, 100%, $E$12)</f>
        <v>12.425599999999999</v>
      </c>
      <c r="E729" s="61">
        <f>14.6396 * CHOOSE(CONTROL!$C$21, $C$12, 100%, $E$12)</f>
        <v>14.6396</v>
      </c>
      <c r="F729" s="61">
        <f>14.6396 * CHOOSE(CONTROL!$C$21, $C$12, 100%, $E$12)</f>
        <v>14.6396</v>
      </c>
      <c r="G729" s="61">
        <f>14.6409 * CHOOSE(CONTROL!$C$21, $C$12, 100%, $E$12)</f>
        <v>14.6409</v>
      </c>
      <c r="H729" s="61">
        <f>24.1244* CHOOSE(CONTROL!$C$21, $C$12, 100%, $E$12)</f>
        <v>24.124400000000001</v>
      </c>
      <c r="I729" s="61">
        <f>24.1258 * CHOOSE(CONTROL!$C$21, $C$12, 100%, $E$12)</f>
        <v>24.125800000000002</v>
      </c>
      <c r="J729" s="61">
        <f>14.6396 * CHOOSE(CONTROL!$C$21, $C$12, 100%, $E$12)</f>
        <v>14.6396</v>
      </c>
      <c r="K729" s="61">
        <f>14.6409 * CHOOSE(CONTROL!$C$21, $C$12, 100%, $E$12)</f>
        <v>14.6409</v>
      </c>
    </row>
    <row r="730" spans="1:11" ht="15">
      <c r="A730" s="13">
        <v>64101</v>
      </c>
      <c r="B730" s="60">
        <f>12.6003 * CHOOSE(CONTROL!$C$21, $C$12, 100%, $E$12)</f>
        <v>12.600300000000001</v>
      </c>
      <c r="C730" s="60">
        <f>12.6003 * CHOOSE(CONTROL!$C$21, $C$12, 100%, $E$12)</f>
        <v>12.600300000000001</v>
      </c>
      <c r="D730" s="60">
        <f>12.6214 * CHOOSE(CONTROL!$C$21, $C$12, 100%, $E$12)</f>
        <v>12.6214</v>
      </c>
      <c r="E730" s="61">
        <f>14.9196 * CHOOSE(CONTROL!$C$21, $C$12, 100%, $E$12)</f>
        <v>14.919600000000001</v>
      </c>
      <c r="F730" s="61">
        <f>14.9196 * CHOOSE(CONTROL!$C$21, $C$12, 100%, $E$12)</f>
        <v>14.919600000000001</v>
      </c>
      <c r="G730" s="61">
        <f>14.921 * CHOOSE(CONTROL!$C$21, $C$12, 100%, $E$12)</f>
        <v>14.920999999999999</v>
      </c>
      <c r="H730" s="61">
        <f>24.1747* CHOOSE(CONTROL!$C$21, $C$12, 100%, $E$12)</f>
        <v>24.174700000000001</v>
      </c>
      <c r="I730" s="61">
        <f>24.176 * CHOOSE(CONTROL!$C$21, $C$12, 100%, $E$12)</f>
        <v>24.175999999999998</v>
      </c>
      <c r="J730" s="61">
        <f>14.9196 * CHOOSE(CONTROL!$C$21, $C$12, 100%, $E$12)</f>
        <v>14.919600000000001</v>
      </c>
      <c r="K730" s="61">
        <f>14.921 * CHOOSE(CONTROL!$C$21, $C$12, 100%, $E$12)</f>
        <v>14.920999999999999</v>
      </c>
    </row>
    <row r="731" spans="1:11" ht="15">
      <c r="A731" s="13">
        <v>64132</v>
      </c>
      <c r="B731" s="60">
        <f>12.607 * CHOOSE(CONTROL!$C$21, $C$12, 100%, $E$12)</f>
        <v>12.606999999999999</v>
      </c>
      <c r="C731" s="60">
        <f>12.607 * CHOOSE(CONTROL!$C$21, $C$12, 100%, $E$12)</f>
        <v>12.606999999999999</v>
      </c>
      <c r="D731" s="60">
        <f>12.6281 * CHOOSE(CONTROL!$C$21, $C$12, 100%, $E$12)</f>
        <v>12.6281</v>
      </c>
      <c r="E731" s="61">
        <f>14.7728 * CHOOSE(CONTROL!$C$21, $C$12, 100%, $E$12)</f>
        <v>14.7728</v>
      </c>
      <c r="F731" s="61">
        <f>14.7728 * CHOOSE(CONTROL!$C$21, $C$12, 100%, $E$12)</f>
        <v>14.7728</v>
      </c>
      <c r="G731" s="61">
        <f>14.7741 * CHOOSE(CONTROL!$C$21, $C$12, 100%, $E$12)</f>
        <v>14.774100000000001</v>
      </c>
      <c r="H731" s="61">
        <f>24.225* CHOOSE(CONTROL!$C$21, $C$12, 100%, $E$12)</f>
        <v>24.225000000000001</v>
      </c>
      <c r="I731" s="61">
        <f>24.2264 * CHOOSE(CONTROL!$C$21, $C$12, 100%, $E$12)</f>
        <v>24.226400000000002</v>
      </c>
      <c r="J731" s="61">
        <f>14.7728 * CHOOSE(CONTROL!$C$21, $C$12, 100%, $E$12)</f>
        <v>14.7728</v>
      </c>
      <c r="K731" s="61">
        <f>14.7741 * CHOOSE(CONTROL!$C$21, $C$12, 100%, $E$12)</f>
        <v>14.774100000000001</v>
      </c>
    </row>
    <row r="732" spans="1:11" ht="15">
      <c r="A732" s="13">
        <v>64163</v>
      </c>
      <c r="B732" s="60">
        <f>12.6039 * CHOOSE(CONTROL!$C$21, $C$12, 100%, $E$12)</f>
        <v>12.603899999999999</v>
      </c>
      <c r="C732" s="60">
        <f>12.6039 * CHOOSE(CONTROL!$C$21, $C$12, 100%, $E$12)</f>
        <v>12.603899999999999</v>
      </c>
      <c r="D732" s="60">
        <f>12.6251 * CHOOSE(CONTROL!$C$21, $C$12, 100%, $E$12)</f>
        <v>12.6251</v>
      </c>
      <c r="E732" s="61">
        <f>14.7538 * CHOOSE(CONTROL!$C$21, $C$12, 100%, $E$12)</f>
        <v>14.7538</v>
      </c>
      <c r="F732" s="61">
        <f>14.7538 * CHOOSE(CONTROL!$C$21, $C$12, 100%, $E$12)</f>
        <v>14.7538</v>
      </c>
      <c r="G732" s="61">
        <f>14.7552 * CHOOSE(CONTROL!$C$21, $C$12, 100%, $E$12)</f>
        <v>14.7552</v>
      </c>
      <c r="H732" s="61">
        <f>24.2755* CHOOSE(CONTROL!$C$21, $C$12, 100%, $E$12)</f>
        <v>24.275500000000001</v>
      </c>
      <c r="I732" s="61">
        <f>24.2769 * CHOOSE(CONTROL!$C$21, $C$12, 100%, $E$12)</f>
        <v>24.276900000000001</v>
      </c>
      <c r="J732" s="61">
        <f>14.7538 * CHOOSE(CONTROL!$C$21, $C$12, 100%, $E$12)</f>
        <v>14.7538</v>
      </c>
      <c r="K732" s="61">
        <f>14.7552 * CHOOSE(CONTROL!$C$21, $C$12, 100%, $E$12)</f>
        <v>14.7552</v>
      </c>
    </row>
    <row r="733" spans="1:11" ht="15">
      <c r="A733" s="13">
        <v>64193</v>
      </c>
      <c r="B733" s="60">
        <f>12.6274 * CHOOSE(CONTROL!$C$21, $C$12, 100%, $E$12)</f>
        <v>12.6274</v>
      </c>
      <c r="C733" s="60">
        <f>12.6274 * CHOOSE(CONTROL!$C$21, $C$12, 100%, $E$12)</f>
        <v>12.6274</v>
      </c>
      <c r="D733" s="60">
        <f>12.6379 * CHOOSE(CONTROL!$C$21, $C$12, 100%, $E$12)</f>
        <v>12.6379</v>
      </c>
      <c r="E733" s="61">
        <f>14.8077 * CHOOSE(CONTROL!$C$21, $C$12, 100%, $E$12)</f>
        <v>14.807700000000001</v>
      </c>
      <c r="F733" s="61">
        <f>14.8077 * CHOOSE(CONTROL!$C$21, $C$12, 100%, $E$12)</f>
        <v>14.807700000000001</v>
      </c>
      <c r="G733" s="61">
        <f>14.8079 * CHOOSE(CONTROL!$C$21, $C$12, 100%, $E$12)</f>
        <v>14.8079</v>
      </c>
      <c r="H733" s="61">
        <f>24.3261* CHOOSE(CONTROL!$C$21, $C$12, 100%, $E$12)</f>
        <v>24.3261</v>
      </c>
      <c r="I733" s="61">
        <f>24.3263 * CHOOSE(CONTROL!$C$21, $C$12, 100%, $E$12)</f>
        <v>24.3263</v>
      </c>
      <c r="J733" s="61">
        <f>14.8077 * CHOOSE(CONTROL!$C$21, $C$12, 100%, $E$12)</f>
        <v>14.807700000000001</v>
      </c>
      <c r="K733" s="61">
        <f>14.8079 * CHOOSE(CONTROL!$C$21, $C$12, 100%, $E$12)</f>
        <v>14.8079</v>
      </c>
    </row>
    <row r="734" spans="1:11" ht="15">
      <c r="A734" s="13">
        <v>64224</v>
      </c>
      <c r="B734" s="60">
        <f>12.6304 * CHOOSE(CONTROL!$C$21, $C$12, 100%, $E$12)</f>
        <v>12.6304</v>
      </c>
      <c r="C734" s="60">
        <f>12.6304 * CHOOSE(CONTROL!$C$21, $C$12, 100%, $E$12)</f>
        <v>12.6304</v>
      </c>
      <c r="D734" s="60">
        <f>12.641 * CHOOSE(CONTROL!$C$21, $C$12, 100%, $E$12)</f>
        <v>12.641</v>
      </c>
      <c r="E734" s="61">
        <f>14.8435 * CHOOSE(CONTROL!$C$21, $C$12, 100%, $E$12)</f>
        <v>14.843500000000001</v>
      </c>
      <c r="F734" s="61">
        <f>14.8435 * CHOOSE(CONTROL!$C$21, $C$12, 100%, $E$12)</f>
        <v>14.843500000000001</v>
      </c>
      <c r="G734" s="61">
        <f>14.8437 * CHOOSE(CONTROL!$C$21, $C$12, 100%, $E$12)</f>
        <v>14.8437</v>
      </c>
      <c r="H734" s="61">
        <f>24.3768* CHOOSE(CONTROL!$C$21, $C$12, 100%, $E$12)</f>
        <v>24.376799999999999</v>
      </c>
      <c r="I734" s="61">
        <f>24.3769 * CHOOSE(CONTROL!$C$21, $C$12, 100%, $E$12)</f>
        <v>24.376899999999999</v>
      </c>
      <c r="J734" s="61">
        <f>14.8435 * CHOOSE(CONTROL!$C$21, $C$12, 100%, $E$12)</f>
        <v>14.843500000000001</v>
      </c>
      <c r="K734" s="61">
        <f>14.8437 * CHOOSE(CONTROL!$C$21, $C$12, 100%, $E$12)</f>
        <v>14.8437</v>
      </c>
    </row>
    <row r="735" spans="1:11" ht="15">
      <c r="A735" s="13">
        <v>64254</v>
      </c>
      <c r="B735" s="60">
        <f>12.6304 * CHOOSE(CONTROL!$C$21, $C$12, 100%, $E$12)</f>
        <v>12.6304</v>
      </c>
      <c r="C735" s="60">
        <f>12.6304 * CHOOSE(CONTROL!$C$21, $C$12, 100%, $E$12)</f>
        <v>12.6304</v>
      </c>
      <c r="D735" s="60">
        <f>12.641 * CHOOSE(CONTROL!$C$21, $C$12, 100%, $E$12)</f>
        <v>12.641</v>
      </c>
      <c r="E735" s="61">
        <f>14.7593 * CHOOSE(CONTROL!$C$21, $C$12, 100%, $E$12)</f>
        <v>14.7593</v>
      </c>
      <c r="F735" s="61">
        <f>14.7593 * CHOOSE(CONTROL!$C$21, $C$12, 100%, $E$12)</f>
        <v>14.7593</v>
      </c>
      <c r="G735" s="61">
        <f>14.7595 * CHOOSE(CONTROL!$C$21, $C$12, 100%, $E$12)</f>
        <v>14.759499999999999</v>
      </c>
      <c r="H735" s="61">
        <f>24.4275* CHOOSE(CONTROL!$C$21, $C$12, 100%, $E$12)</f>
        <v>24.427499999999998</v>
      </c>
      <c r="I735" s="61">
        <f>24.4277 * CHOOSE(CONTROL!$C$21, $C$12, 100%, $E$12)</f>
        <v>24.427700000000002</v>
      </c>
      <c r="J735" s="61">
        <f>14.7593 * CHOOSE(CONTROL!$C$21, $C$12, 100%, $E$12)</f>
        <v>14.7593</v>
      </c>
      <c r="K735" s="61">
        <f>14.7595 * CHOOSE(CONTROL!$C$21, $C$12, 100%, $E$12)</f>
        <v>14.759499999999999</v>
      </c>
    </row>
    <row r="736" spans="1:11" ht="15">
      <c r="A736" s="13">
        <v>64285</v>
      </c>
      <c r="B736" s="60">
        <f>12.6449 * CHOOSE(CONTROL!$C$21, $C$12, 100%, $E$12)</f>
        <v>12.6449</v>
      </c>
      <c r="C736" s="60">
        <f>12.6449 * CHOOSE(CONTROL!$C$21, $C$12, 100%, $E$12)</f>
        <v>12.6449</v>
      </c>
      <c r="D736" s="60">
        <f>12.6555 * CHOOSE(CONTROL!$C$21, $C$12, 100%, $E$12)</f>
        <v>12.6555</v>
      </c>
      <c r="E736" s="61">
        <f>14.8352 * CHOOSE(CONTROL!$C$21, $C$12, 100%, $E$12)</f>
        <v>14.8352</v>
      </c>
      <c r="F736" s="61">
        <f>14.8352 * CHOOSE(CONTROL!$C$21, $C$12, 100%, $E$12)</f>
        <v>14.8352</v>
      </c>
      <c r="G736" s="61">
        <f>14.8354 * CHOOSE(CONTROL!$C$21, $C$12, 100%, $E$12)</f>
        <v>14.8354</v>
      </c>
      <c r="H736" s="61">
        <f>24.3206* CHOOSE(CONTROL!$C$21, $C$12, 100%, $E$12)</f>
        <v>24.320599999999999</v>
      </c>
      <c r="I736" s="61">
        <f>24.3207 * CHOOSE(CONTROL!$C$21, $C$12, 100%, $E$12)</f>
        <v>24.320699999999999</v>
      </c>
      <c r="J736" s="61">
        <f>14.8352 * CHOOSE(CONTROL!$C$21, $C$12, 100%, $E$12)</f>
        <v>14.8352</v>
      </c>
      <c r="K736" s="61">
        <f>14.8354 * CHOOSE(CONTROL!$C$21, $C$12, 100%, $E$12)</f>
        <v>14.8354</v>
      </c>
    </row>
    <row r="737" spans="1:11" ht="15">
      <c r="A737" s="13">
        <v>64316</v>
      </c>
      <c r="B737" s="60">
        <f>12.6419 * CHOOSE(CONTROL!$C$21, $C$12, 100%, $E$12)</f>
        <v>12.6419</v>
      </c>
      <c r="C737" s="60">
        <f>12.6419 * CHOOSE(CONTROL!$C$21, $C$12, 100%, $E$12)</f>
        <v>12.6419</v>
      </c>
      <c r="D737" s="60">
        <f>12.6524 * CHOOSE(CONTROL!$C$21, $C$12, 100%, $E$12)</f>
        <v>12.6524</v>
      </c>
      <c r="E737" s="61">
        <f>14.6708 * CHOOSE(CONTROL!$C$21, $C$12, 100%, $E$12)</f>
        <v>14.6708</v>
      </c>
      <c r="F737" s="61">
        <f>14.6708 * CHOOSE(CONTROL!$C$21, $C$12, 100%, $E$12)</f>
        <v>14.6708</v>
      </c>
      <c r="G737" s="61">
        <f>14.6709 * CHOOSE(CONTROL!$C$21, $C$12, 100%, $E$12)</f>
        <v>14.6709</v>
      </c>
      <c r="H737" s="61">
        <f>24.3712* CHOOSE(CONTROL!$C$21, $C$12, 100%, $E$12)</f>
        <v>24.371200000000002</v>
      </c>
      <c r="I737" s="61">
        <f>24.3714 * CHOOSE(CONTROL!$C$21, $C$12, 100%, $E$12)</f>
        <v>24.371400000000001</v>
      </c>
      <c r="J737" s="61">
        <f>14.6708 * CHOOSE(CONTROL!$C$21, $C$12, 100%, $E$12)</f>
        <v>14.6708</v>
      </c>
      <c r="K737" s="61">
        <f>14.6709 * CHOOSE(CONTROL!$C$21, $C$12, 100%, $E$12)</f>
        <v>14.6709</v>
      </c>
    </row>
    <row r="738" spans="1:11" ht="15">
      <c r="A738" s="13">
        <v>64345</v>
      </c>
      <c r="B738" s="60">
        <f>12.6388 * CHOOSE(CONTROL!$C$21, $C$12, 100%, $E$12)</f>
        <v>12.6388</v>
      </c>
      <c r="C738" s="60">
        <f>12.6388 * CHOOSE(CONTROL!$C$21, $C$12, 100%, $E$12)</f>
        <v>12.6388</v>
      </c>
      <c r="D738" s="60">
        <f>12.6494 * CHOOSE(CONTROL!$C$21, $C$12, 100%, $E$12)</f>
        <v>12.6494</v>
      </c>
      <c r="E738" s="61">
        <f>14.7966 * CHOOSE(CONTROL!$C$21, $C$12, 100%, $E$12)</f>
        <v>14.7966</v>
      </c>
      <c r="F738" s="61">
        <f>14.7966 * CHOOSE(CONTROL!$C$21, $C$12, 100%, $E$12)</f>
        <v>14.7966</v>
      </c>
      <c r="G738" s="61">
        <f>14.7968 * CHOOSE(CONTROL!$C$21, $C$12, 100%, $E$12)</f>
        <v>14.796799999999999</v>
      </c>
      <c r="H738" s="61">
        <f>24.422* CHOOSE(CONTROL!$C$21, $C$12, 100%, $E$12)</f>
        <v>24.422000000000001</v>
      </c>
      <c r="I738" s="61">
        <f>24.4222 * CHOOSE(CONTROL!$C$21, $C$12, 100%, $E$12)</f>
        <v>24.4222</v>
      </c>
      <c r="J738" s="61">
        <f>14.7966 * CHOOSE(CONTROL!$C$21, $C$12, 100%, $E$12)</f>
        <v>14.7966</v>
      </c>
      <c r="K738" s="61">
        <f>14.7968 * CHOOSE(CONTROL!$C$21, $C$12, 100%, $E$12)</f>
        <v>14.796799999999999</v>
      </c>
    </row>
    <row r="739" spans="1:11" ht="15">
      <c r="A739" s="13">
        <v>64376</v>
      </c>
      <c r="B739" s="60">
        <f>12.6439 * CHOOSE(CONTROL!$C$21, $C$12, 100%, $E$12)</f>
        <v>12.6439</v>
      </c>
      <c r="C739" s="60">
        <f>12.6439 * CHOOSE(CONTROL!$C$21, $C$12, 100%, $E$12)</f>
        <v>12.6439</v>
      </c>
      <c r="D739" s="60">
        <f>12.6544 * CHOOSE(CONTROL!$C$21, $C$12, 100%, $E$12)</f>
        <v>12.654400000000001</v>
      </c>
      <c r="E739" s="61">
        <f>14.9298 * CHOOSE(CONTROL!$C$21, $C$12, 100%, $E$12)</f>
        <v>14.9298</v>
      </c>
      <c r="F739" s="61">
        <f>14.9298 * CHOOSE(CONTROL!$C$21, $C$12, 100%, $E$12)</f>
        <v>14.9298</v>
      </c>
      <c r="G739" s="61">
        <f>14.93 * CHOOSE(CONTROL!$C$21, $C$12, 100%, $E$12)</f>
        <v>14.93</v>
      </c>
      <c r="H739" s="61">
        <f>24.4729* CHOOSE(CONTROL!$C$21, $C$12, 100%, $E$12)</f>
        <v>24.472899999999999</v>
      </c>
      <c r="I739" s="61">
        <f>24.4731 * CHOOSE(CONTROL!$C$21, $C$12, 100%, $E$12)</f>
        <v>24.473099999999999</v>
      </c>
      <c r="J739" s="61">
        <f>14.9298 * CHOOSE(CONTROL!$C$21, $C$12, 100%, $E$12)</f>
        <v>14.9298</v>
      </c>
      <c r="K739" s="61">
        <f>14.93 * CHOOSE(CONTROL!$C$21, $C$12, 100%, $E$12)</f>
        <v>14.93</v>
      </c>
    </row>
    <row r="740" spans="1:11" ht="15">
      <c r="A740" s="13">
        <v>64406</v>
      </c>
      <c r="B740" s="60">
        <f>12.6439 * CHOOSE(CONTROL!$C$21, $C$12, 100%, $E$12)</f>
        <v>12.6439</v>
      </c>
      <c r="C740" s="60">
        <f>12.6439 * CHOOSE(CONTROL!$C$21, $C$12, 100%, $E$12)</f>
        <v>12.6439</v>
      </c>
      <c r="D740" s="60">
        <f>12.665 * CHOOSE(CONTROL!$C$21, $C$12, 100%, $E$12)</f>
        <v>12.664999999999999</v>
      </c>
      <c r="E740" s="61">
        <f>14.9813 * CHOOSE(CONTROL!$C$21, $C$12, 100%, $E$12)</f>
        <v>14.981299999999999</v>
      </c>
      <c r="F740" s="61">
        <f>14.9813 * CHOOSE(CONTROL!$C$21, $C$12, 100%, $E$12)</f>
        <v>14.981299999999999</v>
      </c>
      <c r="G740" s="61">
        <f>14.9827 * CHOOSE(CONTROL!$C$21, $C$12, 100%, $E$12)</f>
        <v>14.982699999999999</v>
      </c>
      <c r="H740" s="61">
        <f>24.5239* CHOOSE(CONTROL!$C$21, $C$12, 100%, $E$12)</f>
        <v>24.523900000000001</v>
      </c>
      <c r="I740" s="61">
        <f>24.5252 * CHOOSE(CONTROL!$C$21, $C$12, 100%, $E$12)</f>
        <v>24.525200000000002</v>
      </c>
      <c r="J740" s="61">
        <f>14.9813 * CHOOSE(CONTROL!$C$21, $C$12, 100%, $E$12)</f>
        <v>14.981299999999999</v>
      </c>
      <c r="K740" s="61">
        <f>14.9827 * CHOOSE(CONTROL!$C$21, $C$12, 100%, $E$12)</f>
        <v>14.982699999999999</v>
      </c>
    </row>
    <row r="741" spans="1:11" ht="15">
      <c r="A741" s="13">
        <v>64437</v>
      </c>
      <c r="B741" s="60">
        <f>12.65 * CHOOSE(CONTROL!$C$21, $C$12, 100%, $E$12)</f>
        <v>12.65</v>
      </c>
      <c r="C741" s="60">
        <f>12.65 * CHOOSE(CONTROL!$C$21, $C$12, 100%, $E$12)</f>
        <v>12.65</v>
      </c>
      <c r="D741" s="60">
        <f>12.6711 * CHOOSE(CONTROL!$C$21, $C$12, 100%, $E$12)</f>
        <v>12.671099999999999</v>
      </c>
      <c r="E741" s="61">
        <f>14.934 * CHOOSE(CONTROL!$C$21, $C$12, 100%, $E$12)</f>
        <v>14.933999999999999</v>
      </c>
      <c r="F741" s="61">
        <f>14.934 * CHOOSE(CONTROL!$C$21, $C$12, 100%, $E$12)</f>
        <v>14.933999999999999</v>
      </c>
      <c r="G741" s="61">
        <f>14.9354 * CHOOSE(CONTROL!$C$21, $C$12, 100%, $E$12)</f>
        <v>14.9354</v>
      </c>
      <c r="H741" s="61">
        <f>24.575* CHOOSE(CONTROL!$C$21, $C$12, 100%, $E$12)</f>
        <v>24.574999999999999</v>
      </c>
      <c r="I741" s="61">
        <f>24.5763 * CHOOSE(CONTROL!$C$21, $C$12, 100%, $E$12)</f>
        <v>24.5763</v>
      </c>
      <c r="J741" s="61">
        <f>14.934 * CHOOSE(CONTROL!$C$21, $C$12, 100%, $E$12)</f>
        <v>14.933999999999999</v>
      </c>
      <c r="K741" s="61">
        <f>14.9354 * CHOOSE(CONTROL!$C$21, $C$12, 100%, $E$12)</f>
        <v>14.9354</v>
      </c>
    </row>
    <row r="742" spans="1:11" ht="15">
      <c r="A742" s="13">
        <v>64467</v>
      </c>
      <c r="B742" s="60">
        <f>12.8495 * CHOOSE(CONTROL!$C$21, $C$12, 100%, $E$12)</f>
        <v>12.849500000000001</v>
      </c>
      <c r="C742" s="60">
        <f>12.8495 * CHOOSE(CONTROL!$C$21, $C$12, 100%, $E$12)</f>
        <v>12.849500000000001</v>
      </c>
      <c r="D742" s="60">
        <f>12.8706 * CHOOSE(CONTROL!$C$21, $C$12, 100%, $E$12)</f>
        <v>12.8706</v>
      </c>
      <c r="E742" s="61">
        <f>15.2195 * CHOOSE(CONTROL!$C$21, $C$12, 100%, $E$12)</f>
        <v>15.2195</v>
      </c>
      <c r="F742" s="61">
        <f>15.2195 * CHOOSE(CONTROL!$C$21, $C$12, 100%, $E$12)</f>
        <v>15.2195</v>
      </c>
      <c r="G742" s="61">
        <f>15.2209 * CHOOSE(CONTROL!$C$21, $C$12, 100%, $E$12)</f>
        <v>15.2209</v>
      </c>
      <c r="H742" s="61">
        <f>24.6262* CHOOSE(CONTROL!$C$21, $C$12, 100%, $E$12)</f>
        <v>24.626200000000001</v>
      </c>
      <c r="I742" s="61">
        <f>24.6275 * CHOOSE(CONTROL!$C$21, $C$12, 100%, $E$12)</f>
        <v>24.627500000000001</v>
      </c>
      <c r="J742" s="61">
        <f>15.2195 * CHOOSE(CONTROL!$C$21, $C$12, 100%, $E$12)</f>
        <v>15.2195</v>
      </c>
      <c r="K742" s="61">
        <f>15.2209 * CHOOSE(CONTROL!$C$21, $C$12, 100%, $E$12)</f>
        <v>15.2209</v>
      </c>
    </row>
    <row r="743" spans="1:11" ht="15">
      <c r="A743" s="13">
        <v>64498</v>
      </c>
      <c r="B743" s="60">
        <f>12.8562 * CHOOSE(CONTROL!$C$21, $C$12, 100%, $E$12)</f>
        <v>12.856199999999999</v>
      </c>
      <c r="C743" s="60">
        <f>12.8562 * CHOOSE(CONTROL!$C$21, $C$12, 100%, $E$12)</f>
        <v>12.856199999999999</v>
      </c>
      <c r="D743" s="60">
        <f>12.8773 * CHOOSE(CONTROL!$C$21, $C$12, 100%, $E$12)</f>
        <v>12.8773</v>
      </c>
      <c r="E743" s="61">
        <f>15.0696 * CHOOSE(CONTROL!$C$21, $C$12, 100%, $E$12)</f>
        <v>15.069599999999999</v>
      </c>
      <c r="F743" s="61">
        <f>15.0696 * CHOOSE(CONTROL!$C$21, $C$12, 100%, $E$12)</f>
        <v>15.069599999999999</v>
      </c>
      <c r="G743" s="61">
        <f>15.071 * CHOOSE(CONTROL!$C$21, $C$12, 100%, $E$12)</f>
        <v>15.071</v>
      </c>
      <c r="H743" s="61">
        <f>24.6775* CHOOSE(CONTROL!$C$21, $C$12, 100%, $E$12)</f>
        <v>24.677499999999998</v>
      </c>
      <c r="I743" s="61">
        <f>24.6788 * CHOOSE(CONTROL!$C$21, $C$12, 100%, $E$12)</f>
        <v>24.678799999999999</v>
      </c>
      <c r="J743" s="61">
        <f>15.0696 * CHOOSE(CONTROL!$C$21, $C$12, 100%, $E$12)</f>
        <v>15.069599999999999</v>
      </c>
      <c r="K743" s="61">
        <f>15.071 * CHOOSE(CONTROL!$C$21, $C$12, 100%, $E$12)</f>
        <v>15.071</v>
      </c>
    </row>
    <row r="744" spans="1:11" ht="15">
      <c r="A744" s="13">
        <v>64529</v>
      </c>
      <c r="B744" s="60">
        <f>12.8532 * CHOOSE(CONTROL!$C$21, $C$12, 100%, $E$12)</f>
        <v>12.853199999999999</v>
      </c>
      <c r="C744" s="60">
        <f>12.8532 * CHOOSE(CONTROL!$C$21, $C$12, 100%, $E$12)</f>
        <v>12.853199999999999</v>
      </c>
      <c r="D744" s="60">
        <f>12.8743 * CHOOSE(CONTROL!$C$21, $C$12, 100%, $E$12)</f>
        <v>12.8743</v>
      </c>
      <c r="E744" s="61">
        <f>15.0503 * CHOOSE(CONTROL!$C$21, $C$12, 100%, $E$12)</f>
        <v>15.0503</v>
      </c>
      <c r="F744" s="61">
        <f>15.0503 * CHOOSE(CONTROL!$C$21, $C$12, 100%, $E$12)</f>
        <v>15.0503</v>
      </c>
      <c r="G744" s="61">
        <f>15.0517 * CHOOSE(CONTROL!$C$21, $C$12, 100%, $E$12)</f>
        <v>15.0517</v>
      </c>
      <c r="H744" s="61">
        <f>24.7289* CHOOSE(CONTROL!$C$21, $C$12, 100%, $E$12)</f>
        <v>24.728899999999999</v>
      </c>
      <c r="I744" s="61">
        <f>24.7303 * CHOOSE(CONTROL!$C$21, $C$12, 100%, $E$12)</f>
        <v>24.7303</v>
      </c>
      <c r="J744" s="61">
        <f>15.0503 * CHOOSE(CONTROL!$C$21, $C$12, 100%, $E$12)</f>
        <v>15.0503</v>
      </c>
      <c r="K744" s="61">
        <f>15.0517 * CHOOSE(CONTROL!$C$21, $C$12, 100%, $E$12)</f>
        <v>15.0517</v>
      </c>
    </row>
    <row r="745" spans="1:11" ht="15">
      <c r="A745" s="13">
        <v>64559</v>
      </c>
      <c r="B745" s="60">
        <f>12.8774 * CHOOSE(CONTROL!$C$21, $C$12, 100%, $E$12)</f>
        <v>12.8774</v>
      </c>
      <c r="C745" s="60">
        <f>12.8774 * CHOOSE(CONTROL!$C$21, $C$12, 100%, $E$12)</f>
        <v>12.8774</v>
      </c>
      <c r="D745" s="60">
        <f>12.8879 * CHOOSE(CONTROL!$C$21, $C$12, 100%, $E$12)</f>
        <v>12.8879</v>
      </c>
      <c r="E745" s="61">
        <f>15.1056 * CHOOSE(CONTROL!$C$21, $C$12, 100%, $E$12)</f>
        <v>15.105600000000001</v>
      </c>
      <c r="F745" s="61">
        <f>15.1056 * CHOOSE(CONTROL!$C$21, $C$12, 100%, $E$12)</f>
        <v>15.105600000000001</v>
      </c>
      <c r="G745" s="61">
        <f>15.1058 * CHOOSE(CONTROL!$C$21, $C$12, 100%, $E$12)</f>
        <v>15.1058</v>
      </c>
      <c r="H745" s="61">
        <f>24.7804* CHOOSE(CONTROL!$C$21, $C$12, 100%, $E$12)</f>
        <v>24.7804</v>
      </c>
      <c r="I745" s="61">
        <f>24.7806 * CHOOSE(CONTROL!$C$21, $C$12, 100%, $E$12)</f>
        <v>24.7806</v>
      </c>
      <c r="J745" s="61">
        <f>15.1056 * CHOOSE(CONTROL!$C$21, $C$12, 100%, $E$12)</f>
        <v>15.105600000000001</v>
      </c>
      <c r="K745" s="61">
        <f>15.1058 * CHOOSE(CONTROL!$C$21, $C$12, 100%, $E$12)</f>
        <v>15.1058</v>
      </c>
    </row>
    <row r="746" spans="1:11" ht="15">
      <c r="A746" s="13">
        <v>64590</v>
      </c>
      <c r="B746" s="60">
        <f>12.8804 * CHOOSE(CONTROL!$C$21, $C$12, 100%, $E$12)</f>
        <v>12.8804</v>
      </c>
      <c r="C746" s="60">
        <f>12.8804 * CHOOSE(CONTROL!$C$21, $C$12, 100%, $E$12)</f>
        <v>12.8804</v>
      </c>
      <c r="D746" s="60">
        <f>12.891 * CHOOSE(CONTROL!$C$21, $C$12, 100%, $E$12)</f>
        <v>12.891</v>
      </c>
      <c r="E746" s="61">
        <f>15.1421 * CHOOSE(CONTROL!$C$21, $C$12, 100%, $E$12)</f>
        <v>15.142099999999999</v>
      </c>
      <c r="F746" s="61">
        <f>15.1421 * CHOOSE(CONTROL!$C$21, $C$12, 100%, $E$12)</f>
        <v>15.142099999999999</v>
      </c>
      <c r="G746" s="61">
        <f>15.1422 * CHOOSE(CONTROL!$C$21, $C$12, 100%, $E$12)</f>
        <v>15.142200000000001</v>
      </c>
      <c r="H746" s="61">
        <f>24.832* CHOOSE(CONTROL!$C$21, $C$12, 100%, $E$12)</f>
        <v>24.832000000000001</v>
      </c>
      <c r="I746" s="61">
        <f>24.8322 * CHOOSE(CONTROL!$C$21, $C$12, 100%, $E$12)</f>
        <v>24.8322</v>
      </c>
      <c r="J746" s="61">
        <f>15.1421 * CHOOSE(CONTROL!$C$21, $C$12, 100%, $E$12)</f>
        <v>15.142099999999999</v>
      </c>
      <c r="K746" s="61">
        <f>15.1422 * CHOOSE(CONTROL!$C$21, $C$12, 100%, $E$12)</f>
        <v>15.142200000000001</v>
      </c>
    </row>
    <row r="747" spans="1:11" ht="15">
      <c r="A747" s="13">
        <v>64620</v>
      </c>
      <c r="B747" s="60">
        <f>12.8804 * CHOOSE(CONTROL!$C$21, $C$12, 100%, $E$12)</f>
        <v>12.8804</v>
      </c>
      <c r="C747" s="60">
        <f>12.8804 * CHOOSE(CONTROL!$C$21, $C$12, 100%, $E$12)</f>
        <v>12.8804</v>
      </c>
      <c r="D747" s="60">
        <f>12.891 * CHOOSE(CONTROL!$C$21, $C$12, 100%, $E$12)</f>
        <v>12.891</v>
      </c>
      <c r="E747" s="61">
        <f>15.0562 * CHOOSE(CONTROL!$C$21, $C$12, 100%, $E$12)</f>
        <v>15.0562</v>
      </c>
      <c r="F747" s="61">
        <f>15.0562 * CHOOSE(CONTROL!$C$21, $C$12, 100%, $E$12)</f>
        <v>15.0562</v>
      </c>
      <c r="G747" s="61">
        <f>15.0563 * CHOOSE(CONTROL!$C$21, $C$12, 100%, $E$12)</f>
        <v>15.0563</v>
      </c>
      <c r="H747" s="61">
        <f>24.8838* CHOOSE(CONTROL!$C$21, $C$12, 100%, $E$12)</f>
        <v>24.883800000000001</v>
      </c>
      <c r="I747" s="61">
        <f>24.8839 * CHOOSE(CONTROL!$C$21, $C$12, 100%, $E$12)</f>
        <v>24.883900000000001</v>
      </c>
      <c r="J747" s="61">
        <f>15.0562 * CHOOSE(CONTROL!$C$21, $C$12, 100%, $E$12)</f>
        <v>15.0562</v>
      </c>
      <c r="K747" s="61">
        <f>15.0563 * CHOOSE(CONTROL!$C$21, $C$12, 100%, $E$12)</f>
        <v>15.0563</v>
      </c>
    </row>
    <row r="748" spans="1:11" ht="15">
      <c r="A748" s="13">
        <v>64651</v>
      </c>
      <c r="B748" s="60">
        <f>12.8902 * CHOOSE(CONTROL!$C$21, $C$12, 100%, $E$12)</f>
        <v>12.8902</v>
      </c>
      <c r="C748" s="60">
        <f>12.8902 * CHOOSE(CONTROL!$C$21, $C$12, 100%, $E$12)</f>
        <v>12.8902</v>
      </c>
      <c r="D748" s="60">
        <f>12.9008 * CHOOSE(CONTROL!$C$21, $C$12, 100%, $E$12)</f>
        <v>12.9008</v>
      </c>
      <c r="E748" s="61">
        <f>15.1276 * CHOOSE(CONTROL!$C$21, $C$12, 100%, $E$12)</f>
        <v>15.127599999999999</v>
      </c>
      <c r="F748" s="61">
        <f>15.1276 * CHOOSE(CONTROL!$C$21, $C$12, 100%, $E$12)</f>
        <v>15.127599999999999</v>
      </c>
      <c r="G748" s="61">
        <f>15.1278 * CHOOSE(CONTROL!$C$21, $C$12, 100%, $E$12)</f>
        <v>15.127800000000001</v>
      </c>
      <c r="H748" s="61">
        <f>24.7665* CHOOSE(CONTROL!$C$21, $C$12, 100%, $E$12)</f>
        <v>24.766500000000001</v>
      </c>
      <c r="I748" s="61">
        <f>24.7666 * CHOOSE(CONTROL!$C$21, $C$12, 100%, $E$12)</f>
        <v>24.7666</v>
      </c>
      <c r="J748" s="61">
        <f>15.1276 * CHOOSE(CONTROL!$C$21, $C$12, 100%, $E$12)</f>
        <v>15.127599999999999</v>
      </c>
      <c r="K748" s="61">
        <f>15.1278 * CHOOSE(CONTROL!$C$21, $C$12, 100%, $E$12)</f>
        <v>15.127800000000001</v>
      </c>
    </row>
    <row r="749" spans="1:11" ht="15">
      <c r="A749" s="13">
        <v>64682</v>
      </c>
      <c r="B749" s="60">
        <f>12.8872 * CHOOSE(CONTROL!$C$21, $C$12, 100%, $E$12)</f>
        <v>12.8872</v>
      </c>
      <c r="C749" s="60">
        <f>12.8872 * CHOOSE(CONTROL!$C$21, $C$12, 100%, $E$12)</f>
        <v>12.8872</v>
      </c>
      <c r="D749" s="60">
        <f>12.8977 * CHOOSE(CONTROL!$C$21, $C$12, 100%, $E$12)</f>
        <v>12.8977</v>
      </c>
      <c r="E749" s="61">
        <f>14.96 * CHOOSE(CONTROL!$C$21, $C$12, 100%, $E$12)</f>
        <v>14.96</v>
      </c>
      <c r="F749" s="61">
        <f>14.96 * CHOOSE(CONTROL!$C$21, $C$12, 100%, $E$12)</f>
        <v>14.96</v>
      </c>
      <c r="G749" s="61">
        <f>14.9601 * CHOOSE(CONTROL!$C$21, $C$12, 100%, $E$12)</f>
        <v>14.960100000000001</v>
      </c>
      <c r="H749" s="61">
        <f>24.8181* CHOOSE(CONTROL!$C$21, $C$12, 100%, $E$12)</f>
        <v>24.818100000000001</v>
      </c>
      <c r="I749" s="61">
        <f>24.8182 * CHOOSE(CONTROL!$C$21, $C$12, 100%, $E$12)</f>
        <v>24.818200000000001</v>
      </c>
      <c r="J749" s="61">
        <f>14.96 * CHOOSE(CONTROL!$C$21, $C$12, 100%, $E$12)</f>
        <v>14.96</v>
      </c>
      <c r="K749" s="61">
        <f>14.9601 * CHOOSE(CONTROL!$C$21, $C$12, 100%, $E$12)</f>
        <v>14.960100000000001</v>
      </c>
    </row>
    <row r="750" spans="1:11" ht="15">
      <c r="A750" s="13">
        <v>64710</v>
      </c>
      <c r="B750" s="60">
        <f>12.8841 * CHOOSE(CONTROL!$C$21, $C$12, 100%, $E$12)</f>
        <v>12.8841</v>
      </c>
      <c r="C750" s="60">
        <f>12.8841 * CHOOSE(CONTROL!$C$21, $C$12, 100%, $E$12)</f>
        <v>12.8841</v>
      </c>
      <c r="D750" s="60">
        <f>12.8947 * CHOOSE(CONTROL!$C$21, $C$12, 100%, $E$12)</f>
        <v>12.8947</v>
      </c>
      <c r="E750" s="61">
        <f>15.0883 * CHOOSE(CONTROL!$C$21, $C$12, 100%, $E$12)</f>
        <v>15.0883</v>
      </c>
      <c r="F750" s="61">
        <f>15.0883 * CHOOSE(CONTROL!$C$21, $C$12, 100%, $E$12)</f>
        <v>15.0883</v>
      </c>
      <c r="G750" s="61">
        <f>15.0885 * CHOOSE(CONTROL!$C$21, $C$12, 100%, $E$12)</f>
        <v>15.0885</v>
      </c>
      <c r="H750" s="61">
        <f>24.8698* CHOOSE(CONTROL!$C$21, $C$12, 100%, $E$12)</f>
        <v>24.869800000000001</v>
      </c>
      <c r="I750" s="61">
        <f>24.8699 * CHOOSE(CONTROL!$C$21, $C$12, 100%, $E$12)</f>
        <v>24.869900000000001</v>
      </c>
      <c r="J750" s="61">
        <f>15.0883 * CHOOSE(CONTROL!$C$21, $C$12, 100%, $E$12)</f>
        <v>15.0883</v>
      </c>
      <c r="K750" s="61">
        <f>15.0885 * CHOOSE(CONTROL!$C$21, $C$12, 100%, $E$12)</f>
        <v>15.0885</v>
      </c>
    </row>
    <row r="751" spans="1:11" ht="15">
      <c r="A751" s="13">
        <v>64741</v>
      </c>
      <c r="B751" s="60">
        <f>12.8894 * CHOOSE(CONTROL!$C$21, $C$12, 100%, $E$12)</f>
        <v>12.8894</v>
      </c>
      <c r="C751" s="60">
        <f>12.8894 * CHOOSE(CONTROL!$C$21, $C$12, 100%, $E$12)</f>
        <v>12.8894</v>
      </c>
      <c r="D751" s="60">
        <f>12.9 * CHOOSE(CONTROL!$C$21, $C$12, 100%, $E$12)</f>
        <v>12.9</v>
      </c>
      <c r="E751" s="61">
        <f>15.2242 * CHOOSE(CONTROL!$C$21, $C$12, 100%, $E$12)</f>
        <v>15.2242</v>
      </c>
      <c r="F751" s="61">
        <f>15.2242 * CHOOSE(CONTROL!$C$21, $C$12, 100%, $E$12)</f>
        <v>15.2242</v>
      </c>
      <c r="G751" s="61">
        <f>15.2244 * CHOOSE(CONTROL!$C$21, $C$12, 100%, $E$12)</f>
        <v>15.224399999999999</v>
      </c>
      <c r="H751" s="61">
        <f>24.9216* CHOOSE(CONTROL!$C$21, $C$12, 100%, $E$12)</f>
        <v>24.921600000000002</v>
      </c>
      <c r="I751" s="61">
        <f>24.9217 * CHOOSE(CONTROL!$C$21, $C$12, 100%, $E$12)</f>
        <v>24.921700000000001</v>
      </c>
      <c r="J751" s="61">
        <f>15.2242 * CHOOSE(CONTROL!$C$21, $C$12, 100%, $E$12)</f>
        <v>15.2242</v>
      </c>
      <c r="K751" s="61">
        <f>15.2244 * CHOOSE(CONTROL!$C$21, $C$12, 100%, $E$12)</f>
        <v>15.224399999999999</v>
      </c>
    </row>
    <row r="752" spans="1:11" ht="15">
      <c r="A752" s="13">
        <v>64771</v>
      </c>
      <c r="B752" s="60">
        <f>12.8894 * CHOOSE(CONTROL!$C$21, $C$12, 100%, $E$12)</f>
        <v>12.8894</v>
      </c>
      <c r="C752" s="60">
        <f>12.8894 * CHOOSE(CONTROL!$C$21, $C$12, 100%, $E$12)</f>
        <v>12.8894</v>
      </c>
      <c r="D752" s="60">
        <f>12.9105 * CHOOSE(CONTROL!$C$21, $C$12, 100%, $E$12)</f>
        <v>12.910500000000001</v>
      </c>
      <c r="E752" s="61">
        <f>15.2768 * CHOOSE(CONTROL!$C$21, $C$12, 100%, $E$12)</f>
        <v>15.2768</v>
      </c>
      <c r="F752" s="61">
        <f>15.2768 * CHOOSE(CONTROL!$C$21, $C$12, 100%, $E$12)</f>
        <v>15.2768</v>
      </c>
      <c r="G752" s="61">
        <f>15.2782 * CHOOSE(CONTROL!$C$21, $C$12, 100%, $E$12)</f>
        <v>15.2782</v>
      </c>
      <c r="H752" s="61">
        <f>24.9735* CHOOSE(CONTROL!$C$21, $C$12, 100%, $E$12)</f>
        <v>24.973500000000001</v>
      </c>
      <c r="I752" s="61">
        <f>24.9749 * CHOOSE(CONTROL!$C$21, $C$12, 100%, $E$12)</f>
        <v>24.974900000000002</v>
      </c>
      <c r="J752" s="61">
        <f>15.2768 * CHOOSE(CONTROL!$C$21, $C$12, 100%, $E$12)</f>
        <v>15.2768</v>
      </c>
      <c r="K752" s="61">
        <f>15.2782 * CHOOSE(CONTROL!$C$21, $C$12, 100%, $E$12)</f>
        <v>15.2782</v>
      </c>
    </row>
    <row r="753" spans="1:11" ht="15">
      <c r="A753" s="13">
        <v>64802</v>
      </c>
      <c r="B753" s="60">
        <f>12.8955 * CHOOSE(CONTROL!$C$21, $C$12, 100%, $E$12)</f>
        <v>12.8955</v>
      </c>
      <c r="C753" s="60">
        <f>12.8955 * CHOOSE(CONTROL!$C$21, $C$12, 100%, $E$12)</f>
        <v>12.8955</v>
      </c>
      <c r="D753" s="60">
        <f>12.9166 * CHOOSE(CONTROL!$C$21, $C$12, 100%, $E$12)</f>
        <v>12.916600000000001</v>
      </c>
      <c r="E753" s="61">
        <f>15.2285 * CHOOSE(CONTROL!$C$21, $C$12, 100%, $E$12)</f>
        <v>15.2285</v>
      </c>
      <c r="F753" s="61">
        <f>15.2285 * CHOOSE(CONTROL!$C$21, $C$12, 100%, $E$12)</f>
        <v>15.2285</v>
      </c>
      <c r="G753" s="61">
        <f>15.2298 * CHOOSE(CONTROL!$C$21, $C$12, 100%, $E$12)</f>
        <v>15.229799999999999</v>
      </c>
      <c r="H753" s="61">
        <f>25.0255* CHOOSE(CONTROL!$C$21, $C$12, 100%, $E$12)</f>
        <v>25.025500000000001</v>
      </c>
      <c r="I753" s="61">
        <f>25.0269 * CHOOSE(CONTROL!$C$21, $C$12, 100%, $E$12)</f>
        <v>25.026900000000001</v>
      </c>
      <c r="J753" s="61">
        <f>15.2285 * CHOOSE(CONTROL!$C$21, $C$12, 100%, $E$12)</f>
        <v>15.2285</v>
      </c>
      <c r="K753" s="61">
        <f>15.2298 * CHOOSE(CONTROL!$C$21, $C$12, 100%, $E$12)</f>
        <v>15.229799999999999</v>
      </c>
    </row>
    <row r="754" spans="1:11" ht="15">
      <c r="A754" s="13">
        <v>64832</v>
      </c>
      <c r="B754" s="60">
        <f>13.0987 * CHOOSE(CONTROL!$C$21, $C$12, 100%, $E$12)</f>
        <v>13.098699999999999</v>
      </c>
      <c r="C754" s="60">
        <f>13.0987 * CHOOSE(CONTROL!$C$21, $C$12, 100%, $E$12)</f>
        <v>13.098699999999999</v>
      </c>
      <c r="D754" s="60">
        <f>13.1198 * CHOOSE(CONTROL!$C$21, $C$12, 100%, $E$12)</f>
        <v>13.1198</v>
      </c>
      <c r="E754" s="61">
        <f>15.5194 * CHOOSE(CONTROL!$C$21, $C$12, 100%, $E$12)</f>
        <v>15.519399999999999</v>
      </c>
      <c r="F754" s="61">
        <f>15.5194 * CHOOSE(CONTROL!$C$21, $C$12, 100%, $E$12)</f>
        <v>15.519399999999999</v>
      </c>
      <c r="G754" s="61">
        <f>15.5208 * CHOOSE(CONTROL!$C$21, $C$12, 100%, $E$12)</f>
        <v>15.520799999999999</v>
      </c>
      <c r="H754" s="61">
        <f>25.0777* CHOOSE(CONTROL!$C$21, $C$12, 100%, $E$12)</f>
        <v>25.0777</v>
      </c>
      <c r="I754" s="61">
        <f>25.079 * CHOOSE(CONTROL!$C$21, $C$12, 100%, $E$12)</f>
        <v>25.079000000000001</v>
      </c>
      <c r="J754" s="61">
        <f>15.5194 * CHOOSE(CONTROL!$C$21, $C$12, 100%, $E$12)</f>
        <v>15.519399999999999</v>
      </c>
      <c r="K754" s="61">
        <f>15.5208 * CHOOSE(CONTROL!$C$21, $C$12, 100%, $E$12)</f>
        <v>15.520799999999999</v>
      </c>
    </row>
    <row r="755" spans="1:11" ht="15">
      <c r="A755" s="13">
        <v>64863</v>
      </c>
      <c r="B755" s="60">
        <f>13.1054 * CHOOSE(CONTROL!$C$21, $C$12, 100%, $E$12)</f>
        <v>13.105399999999999</v>
      </c>
      <c r="C755" s="60">
        <f>13.1054 * CHOOSE(CONTROL!$C$21, $C$12, 100%, $E$12)</f>
        <v>13.105399999999999</v>
      </c>
      <c r="D755" s="60">
        <f>13.1265 * CHOOSE(CONTROL!$C$21, $C$12, 100%, $E$12)</f>
        <v>13.1265</v>
      </c>
      <c r="E755" s="61">
        <f>15.3664 * CHOOSE(CONTROL!$C$21, $C$12, 100%, $E$12)</f>
        <v>15.366400000000001</v>
      </c>
      <c r="F755" s="61">
        <f>15.3664 * CHOOSE(CONTROL!$C$21, $C$12, 100%, $E$12)</f>
        <v>15.366400000000001</v>
      </c>
      <c r="G755" s="61">
        <f>15.3678 * CHOOSE(CONTROL!$C$21, $C$12, 100%, $E$12)</f>
        <v>15.367800000000001</v>
      </c>
      <c r="H755" s="61">
        <f>25.1299* CHOOSE(CONTROL!$C$21, $C$12, 100%, $E$12)</f>
        <v>25.129899999999999</v>
      </c>
      <c r="I755" s="61">
        <f>25.1313 * CHOOSE(CONTROL!$C$21, $C$12, 100%, $E$12)</f>
        <v>25.1313</v>
      </c>
      <c r="J755" s="61">
        <f>15.3664 * CHOOSE(CONTROL!$C$21, $C$12, 100%, $E$12)</f>
        <v>15.366400000000001</v>
      </c>
      <c r="K755" s="61">
        <f>15.3678 * CHOOSE(CONTROL!$C$21, $C$12, 100%, $E$12)</f>
        <v>15.367800000000001</v>
      </c>
    </row>
    <row r="756" spans="1:11" ht="15">
      <c r="A756" s="13">
        <v>64894</v>
      </c>
      <c r="B756" s="60">
        <f>13.1024 * CHOOSE(CONTROL!$C$21, $C$12, 100%, $E$12)</f>
        <v>13.102399999999999</v>
      </c>
      <c r="C756" s="60">
        <f>13.1024 * CHOOSE(CONTROL!$C$21, $C$12, 100%, $E$12)</f>
        <v>13.102399999999999</v>
      </c>
      <c r="D756" s="60">
        <f>13.1235 * CHOOSE(CONTROL!$C$21, $C$12, 100%, $E$12)</f>
        <v>13.1235</v>
      </c>
      <c r="E756" s="61">
        <f>15.3468 * CHOOSE(CONTROL!$C$21, $C$12, 100%, $E$12)</f>
        <v>15.3468</v>
      </c>
      <c r="F756" s="61">
        <f>15.3468 * CHOOSE(CONTROL!$C$21, $C$12, 100%, $E$12)</f>
        <v>15.3468</v>
      </c>
      <c r="G756" s="61">
        <f>15.3482 * CHOOSE(CONTROL!$C$21, $C$12, 100%, $E$12)</f>
        <v>15.3482</v>
      </c>
      <c r="H756" s="61">
        <f>25.1823* CHOOSE(CONTROL!$C$21, $C$12, 100%, $E$12)</f>
        <v>25.182300000000001</v>
      </c>
      <c r="I756" s="61">
        <f>25.1836 * CHOOSE(CONTROL!$C$21, $C$12, 100%, $E$12)</f>
        <v>25.183599999999998</v>
      </c>
      <c r="J756" s="61">
        <f>15.3468 * CHOOSE(CONTROL!$C$21, $C$12, 100%, $E$12)</f>
        <v>15.3468</v>
      </c>
      <c r="K756" s="61">
        <f>15.3482 * CHOOSE(CONTROL!$C$21, $C$12, 100%, $E$12)</f>
        <v>15.3482</v>
      </c>
    </row>
    <row r="757" spans="1:11" ht="15">
      <c r="A757" s="13">
        <v>64924</v>
      </c>
      <c r="B757" s="60">
        <f>13.1274 * CHOOSE(CONTROL!$C$21, $C$12, 100%, $E$12)</f>
        <v>13.1274</v>
      </c>
      <c r="C757" s="60">
        <f>13.1274 * CHOOSE(CONTROL!$C$21, $C$12, 100%, $E$12)</f>
        <v>13.1274</v>
      </c>
      <c r="D757" s="60">
        <f>13.138 * CHOOSE(CONTROL!$C$21, $C$12, 100%, $E$12)</f>
        <v>13.138</v>
      </c>
      <c r="E757" s="61">
        <f>15.4034 * CHOOSE(CONTROL!$C$21, $C$12, 100%, $E$12)</f>
        <v>15.4034</v>
      </c>
      <c r="F757" s="61">
        <f>15.4034 * CHOOSE(CONTROL!$C$21, $C$12, 100%, $E$12)</f>
        <v>15.4034</v>
      </c>
      <c r="G757" s="61">
        <f>15.4036 * CHOOSE(CONTROL!$C$21, $C$12, 100%, $E$12)</f>
        <v>15.403600000000001</v>
      </c>
      <c r="H757" s="61">
        <f>25.2347* CHOOSE(CONTROL!$C$21, $C$12, 100%, $E$12)</f>
        <v>25.2347</v>
      </c>
      <c r="I757" s="61">
        <f>25.2349 * CHOOSE(CONTROL!$C$21, $C$12, 100%, $E$12)</f>
        <v>25.2349</v>
      </c>
      <c r="J757" s="61">
        <f>15.4034 * CHOOSE(CONTROL!$C$21, $C$12, 100%, $E$12)</f>
        <v>15.4034</v>
      </c>
      <c r="K757" s="61">
        <f>15.4036 * CHOOSE(CONTROL!$C$21, $C$12, 100%, $E$12)</f>
        <v>15.403600000000001</v>
      </c>
    </row>
    <row r="758" spans="1:11" ht="15">
      <c r="A758" s="13">
        <v>64955</v>
      </c>
      <c r="B758" s="60">
        <f>13.1304 * CHOOSE(CONTROL!$C$21, $C$12, 100%, $E$12)</f>
        <v>13.1304</v>
      </c>
      <c r="C758" s="60">
        <f>13.1304 * CHOOSE(CONTROL!$C$21, $C$12, 100%, $E$12)</f>
        <v>13.1304</v>
      </c>
      <c r="D758" s="60">
        <f>13.141 * CHOOSE(CONTROL!$C$21, $C$12, 100%, $E$12)</f>
        <v>13.141</v>
      </c>
      <c r="E758" s="61">
        <f>15.4406 * CHOOSE(CONTROL!$C$21, $C$12, 100%, $E$12)</f>
        <v>15.4406</v>
      </c>
      <c r="F758" s="61">
        <f>15.4406 * CHOOSE(CONTROL!$C$21, $C$12, 100%, $E$12)</f>
        <v>15.4406</v>
      </c>
      <c r="G758" s="61">
        <f>15.4408 * CHOOSE(CONTROL!$C$21, $C$12, 100%, $E$12)</f>
        <v>15.440799999999999</v>
      </c>
      <c r="H758" s="61">
        <f>25.2873* CHOOSE(CONTROL!$C$21, $C$12, 100%, $E$12)</f>
        <v>25.287299999999998</v>
      </c>
      <c r="I758" s="61">
        <f>25.2875 * CHOOSE(CONTROL!$C$21, $C$12, 100%, $E$12)</f>
        <v>25.287500000000001</v>
      </c>
      <c r="J758" s="61">
        <f>15.4406 * CHOOSE(CONTROL!$C$21, $C$12, 100%, $E$12)</f>
        <v>15.4406</v>
      </c>
      <c r="K758" s="61">
        <f>15.4408 * CHOOSE(CONTROL!$C$21, $C$12, 100%, $E$12)</f>
        <v>15.440799999999999</v>
      </c>
    </row>
    <row r="759" spans="1:11" ht="15">
      <c r="A759" s="13">
        <v>64985</v>
      </c>
      <c r="B759" s="60">
        <f>13.1304 * CHOOSE(CONTROL!$C$21, $C$12, 100%, $E$12)</f>
        <v>13.1304</v>
      </c>
      <c r="C759" s="60">
        <f>13.1304 * CHOOSE(CONTROL!$C$21, $C$12, 100%, $E$12)</f>
        <v>13.1304</v>
      </c>
      <c r="D759" s="60">
        <f>13.141 * CHOOSE(CONTROL!$C$21, $C$12, 100%, $E$12)</f>
        <v>13.141</v>
      </c>
      <c r="E759" s="61">
        <f>15.353 * CHOOSE(CONTROL!$C$21, $C$12, 100%, $E$12)</f>
        <v>15.353</v>
      </c>
      <c r="F759" s="61">
        <f>15.353 * CHOOSE(CONTROL!$C$21, $C$12, 100%, $E$12)</f>
        <v>15.353</v>
      </c>
      <c r="G759" s="61">
        <f>15.3532 * CHOOSE(CONTROL!$C$21, $C$12, 100%, $E$12)</f>
        <v>15.353199999999999</v>
      </c>
      <c r="H759" s="61">
        <f>25.34* CHOOSE(CONTROL!$C$21, $C$12, 100%, $E$12)</f>
        <v>25.34</v>
      </c>
      <c r="I759" s="61">
        <f>25.3401 * CHOOSE(CONTROL!$C$21, $C$12, 100%, $E$12)</f>
        <v>25.3401</v>
      </c>
      <c r="J759" s="61">
        <f>15.353 * CHOOSE(CONTROL!$C$21, $C$12, 100%, $E$12)</f>
        <v>15.353</v>
      </c>
      <c r="K759" s="61">
        <f>15.3532 * CHOOSE(CONTROL!$C$21, $C$12, 100%, $E$12)</f>
        <v>15.353199999999999</v>
      </c>
    </row>
    <row r="760" spans="1:11" ht="15">
      <c r="A760" s="13">
        <v>65016</v>
      </c>
      <c r="B760" s="60">
        <f>13.1355 * CHOOSE(CONTROL!$C$21, $C$12, 100%, $E$12)</f>
        <v>13.1355</v>
      </c>
      <c r="C760" s="60">
        <f>13.1355 * CHOOSE(CONTROL!$C$21, $C$12, 100%, $E$12)</f>
        <v>13.1355</v>
      </c>
      <c r="D760" s="60">
        <f>13.1461 * CHOOSE(CONTROL!$C$21, $C$12, 100%, $E$12)</f>
        <v>13.146100000000001</v>
      </c>
      <c r="E760" s="61">
        <f>15.42 * CHOOSE(CONTROL!$C$21, $C$12, 100%, $E$12)</f>
        <v>15.42</v>
      </c>
      <c r="F760" s="61">
        <f>15.42 * CHOOSE(CONTROL!$C$21, $C$12, 100%, $E$12)</f>
        <v>15.42</v>
      </c>
      <c r="G760" s="61">
        <f>15.4202 * CHOOSE(CONTROL!$C$21, $C$12, 100%, $E$12)</f>
        <v>15.420199999999999</v>
      </c>
      <c r="H760" s="61">
        <f>25.2123* CHOOSE(CONTROL!$C$21, $C$12, 100%, $E$12)</f>
        <v>25.212299999999999</v>
      </c>
      <c r="I760" s="61">
        <f>25.2125 * CHOOSE(CONTROL!$C$21, $C$12, 100%, $E$12)</f>
        <v>25.212499999999999</v>
      </c>
      <c r="J760" s="61">
        <f>15.42 * CHOOSE(CONTROL!$C$21, $C$12, 100%, $E$12)</f>
        <v>15.42</v>
      </c>
      <c r="K760" s="61">
        <f>15.4202 * CHOOSE(CONTROL!$C$21, $C$12, 100%, $E$12)</f>
        <v>15.420199999999999</v>
      </c>
    </row>
    <row r="761" spans="1:11" ht="15">
      <c r="A761" s="13">
        <v>65047</v>
      </c>
      <c r="B761" s="60">
        <f>13.1325 * CHOOSE(CONTROL!$C$21, $C$12, 100%, $E$12)</f>
        <v>13.1325</v>
      </c>
      <c r="C761" s="60">
        <f>13.1325 * CHOOSE(CONTROL!$C$21, $C$12, 100%, $E$12)</f>
        <v>13.1325</v>
      </c>
      <c r="D761" s="60">
        <f>13.1431 * CHOOSE(CONTROL!$C$21, $C$12, 100%, $E$12)</f>
        <v>13.1431</v>
      </c>
      <c r="E761" s="61">
        <f>15.2492 * CHOOSE(CONTROL!$C$21, $C$12, 100%, $E$12)</f>
        <v>15.2492</v>
      </c>
      <c r="F761" s="61">
        <f>15.2492 * CHOOSE(CONTROL!$C$21, $C$12, 100%, $E$12)</f>
        <v>15.2492</v>
      </c>
      <c r="G761" s="61">
        <f>15.2493 * CHOOSE(CONTROL!$C$21, $C$12, 100%, $E$12)</f>
        <v>15.2493</v>
      </c>
      <c r="H761" s="61">
        <f>25.2649* CHOOSE(CONTROL!$C$21, $C$12, 100%, $E$12)</f>
        <v>25.264900000000001</v>
      </c>
      <c r="I761" s="61">
        <f>25.2651 * CHOOSE(CONTROL!$C$21, $C$12, 100%, $E$12)</f>
        <v>25.2651</v>
      </c>
      <c r="J761" s="61">
        <f>15.2492 * CHOOSE(CONTROL!$C$21, $C$12, 100%, $E$12)</f>
        <v>15.2492</v>
      </c>
      <c r="K761" s="61">
        <f>15.2493 * CHOOSE(CONTROL!$C$21, $C$12, 100%, $E$12)</f>
        <v>15.2493</v>
      </c>
    </row>
    <row r="762" spans="1:11" ht="15">
      <c r="A762" s="13">
        <v>65075</v>
      </c>
      <c r="B762" s="60">
        <f>13.1295 * CHOOSE(CONTROL!$C$21, $C$12, 100%, $E$12)</f>
        <v>13.1295</v>
      </c>
      <c r="C762" s="60">
        <f>13.1295 * CHOOSE(CONTROL!$C$21, $C$12, 100%, $E$12)</f>
        <v>13.1295</v>
      </c>
      <c r="D762" s="60">
        <f>13.14 * CHOOSE(CONTROL!$C$21, $C$12, 100%, $E$12)</f>
        <v>13.14</v>
      </c>
      <c r="E762" s="61">
        <f>15.3801 * CHOOSE(CONTROL!$C$21, $C$12, 100%, $E$12)</f>
        <v>15.380100000000001</v>
      </c>
      <c r="F762" s="61">
        <f>15.3801 * CHOOSE(CONTROL!$C$21, $C$12, 100%, $E$12)</f>
        <v>15.380100000000001</v>
      </c>
      <c r="G762" s="61">
        <f>15.3802 * CHOOSE(CONTROL!$C$21, $C$12, 100%, $E$12)</f>
        <v>15.3802</v>
      </c>
      <c r="H762" s="61">
        <f>25.3175* CHOOSE(CONTROL!$C$21, $C$12, 100%, $E$12)</f>
        <v>25.317499999999999</v>
      </c>
      <c r="I762" s="61">
        <f>25.3177 * CHOOSE(CONTROL!$C$21, $C$12, 100%, $E$12)</f>
        <v>25.317699999999999</v>
      </c>
      <c r="J762" s="61">
        <f>15.3801 * CHOOSE(CONTROL!$C$21, $C$12, 100%, $E$12)</f>
        <v>15.380100000000001</v>
      </c>
      <c r="K762" s="61">
        <f>15.3802 * CHOOSE(CONTROL!$C$21, $C$12, 100%, $E$12)</f>
        <v>15.3802</v>
      </c>
    </row>
    <row r="763" spans="1:11" ht="15">
      <c r="A763" s="13">
        <v>65106</v>
      </c>
      <c r="B763" s="60">
        <f>13.1349 * CHOOSE(CONTROL!$C$21, $C$12, 100%, $E$12)</f>
        <v>13.1349</v>
      </c>
      <c r="C763" s="60">
        <f>13.1349 * CHOOSE(CONTROL!$C$21, $C$12, 100%, $E$12)</f>
        <v>13.1349</v>
      </c>
      <c r="D763" s="60">
        <f>13.1455 * CHOOSE(CONTROL!$C$21, $C$12, 100%, $E$12)</f>
        <v>13.1455</v>
      </c>
      <c r="E763" s="61">
        <f>15.5187 * CHOOSE(CONTROL!$C$21, $C$12, 100%, $E$12)</f>
        <v>15.518700000000001</v>
      </c>
      <c r="F763" s="61">
        <f>15.5187 * CHOOSE(CONTROL!$C$21, $C$12, 100%, $E$12)</f>
        <v>15.518700000000001</v>
      </c>
      <c r="G763" s="61">
        <f>15.5189 * CHOOSE(CONTROL!$C$21, $C$12, 100%, $E$12)</f>
        <v>15.5189</v>
      </c>
      <c r="H763" s="61">
        <f>25.3703* CHOOSE(CONTROL!$C$21, $C$12, 100%, $E$12)</f>
        <v>25.3703</v>
      </c>
      <c r="I763" s="61">
        <f>25.3704 * CHOOSE(CONTROL!$C$21, $C$12, 100%, $E$12)</f>
        <v>25.3704</v>
      </c>
      <c r="J763" s="61">
        <f>15.5187 * CHOOSE(CONTROL!$C$21, $C$12, 100%, $E$12)</f>
        <v>15.518700000000001</v>
      </c>
      <c r="K763" s="61">
        <f>15.5189 * CHOOSE(CONTROL!$C$21, $C$12, 100%, $E$12)</f>
        <v>15.5189</v>
      </c>
    </row>
    <row r="764" spans="1:11" ht="15">
      <c r="A764" s="13">
        <v>65136</v>
      </c>
      <c r="B764" s="60">
        <f>13.1349 * CHOOSE(CONTROL!$C$21, $C$12, 100%, $E$12)</f>
        <v>13.1349</v>
      </c>
      <c r="C764" s="60">
        <f>13.1349 * CHOOSE(CONTROL!$C$21, $C$12, 100%, $E$12)</f>
        <v>13.1349</v>
      </c>
      <c r="D764" s="60">
        <f>13.156 * CHOOSE(CONTROL!$C$21, $C$12, 100%, $E$12)</f>
        <v>13.156000000000001</v>
      </c>
      <c r="E764" s="61">
        <f>15.5722 * CHOOSE(CONTROL!$C$21, $C$12, 100%, $E$12)</f>
        <v>15.5722</v>
      </c>
      <c r="F764" s="61">
        <f>15.5722 * CHOOSE(CONTROL!$C$21, $C$12, 100%, $E$12)</f>
        <v>15.5722</v>
      </c>
      <c r="G764" s="61">
        <f>15.5736 * CHOOSE(CONTROL!$C$21, $C$12, 100%, $E$12)</f>
        <v>15.573600000000001</v>
      </c>
      <c r="H764" s="61">
        <f>25.4231* CHOOSE(CONTROL!$C$21, $C$12, 100%, $E$12)</f>
        <v>25.423100000000002</v>
      </c>
      <c r="I764" s="61">
        <f>25.4245 * CHOOSE(CONTROL!$C$21, $C$12, 100%, $E$12)</f>
        <v>25.424499999999998</v>
      </c>
      <c r="J764" s="61">
        <f>15.5722 * CHOOSE(CONTROL!$C$21, $C$12, 100%, $E$12)</f>
        <v>15.5722</v>
      </c>
      <c r="K764" s="61">
        <f>15.5736 * CHOOSE(CONTROL!$C$21, $C$12, 100%, $E$12)</f>
        <v>15.573600000000001</v>
      </c>
    </row>
    <row r="765" spans="1:11" ht="15">
      <c r="A765" s="13">
        <v>65167</v>
      </c>
      <c r="B765" s="60">
        <f>13.141 * CHOOSE(CONTROL!$C$21, $C$12, 100%, $E$12)</f>
        <v>13.141</v>
      </c>
      <c r="C765" s="60">
        <f>13.141 * CHOOSE(CONTROL!$C$21, $C$12, 100%, $E$12)</f>
        <v>13.141</v>
      </c>
      <c r="D765" s="60">
        <f>13.1621 * CHOOSE(CONTROL!$C$21, $C$12, 100%, $E$12)</f>
        <v>13.162100000000001</v>
      </c>
      <c r="E765" s="61">
        <f>15.5229 * CHOOSE(CONTROL!$C$21, $C$12, 100%, $E$12)</f>
        <v>15.5229</v>
      </c>
      <c r="F765" s="61">
        <f>15.5229 * CHOOSE(CONTROL!$C$21, $C$12, 100%, $E$12)</f>
        <v>15.5229</v>
      </c>
      <c r="G765" s="61">
        <f>15.5243 * CHOOSE(CONTROL!$C$21, $C$12, 100%, $E$12)</f>
        <v>15.5243</v>
      </c>
      <c r="H765" s="61">
        <f>25.4761* CHOOSE(CONTROL!$C$21, $C$12, 100%, $E$12)</f>
        <v>25.476099999999999</v>
      </c>
      <c r="I765" s="61">
        <f>25.4775 * CHOOSE(CONTROL!$C$21, $C$12, 100%, $E$12)</f>
        <v>25.477499999999999</v>
      </c>
      <c r="J765" s="61">
        <f>15.5229 * CHOOSE(CONTROL!$C$21, $C$12, 100%, $E$12)</f>
        <v>15.5229</v>
      </c>
      <c r="K765" s="61">
        <f>15.5243 * CHOOSE(CONTROL!$C$21, $C$12, 100%, $E$12)</f>
        <v>15.5243</v>
      </c>
    </row>
    <row r="766" spans="1:11" ht="15">
      <c r="A766" s="13">
        <v>65197</v>
      </c>
      <c r="B766" s="60">
        <f>13.3479 * CHOOSE(CONTROL!$C$21, $C$12, 100%, $E$12)</f>
        <v>13.347899999999999</v>
      </c>
      <c r="C766" s="60">
        <f>13.3479 * CHOOSE(CONTROL!$C$21, $C$12, 100%, $E$12)</f>
        <v>13.347899999999999</v>
      </c>
      <c r="D766" s="60">
        <f>13.3691 * CHOOSE(CONTROL!$C$21, $C$12, 100%, $E$12)</f>
        <v>13.3691</v>
      </c>
      <c r="E766" s="61">
        <f>15.8193 * CHOOSE(CONTROL!$C$21, $C$12, 100%, $E$12)</f>
        <v>15.8193</v>
      </c>
      <c r="F766" s="61">
        <f>15.8193 * CHOOSE(CONTROL!$C$21, $C$12, 100%, $E$12)</f>
        <v>15.8193</v>
      </c>
      <c r="G766" s="61">
        <f>15.8207 * CHOOSE(CONTROL!$C$21, $C$12, 100%, $E$12)</f>
        <v>15.8207</v>
      </c>
      <c r="H766" s="61">
        <f>25.5291* CHOOSE(CONTROL!$C$21, $C$12, 100%, $E$12)</f>
        <v>25.5291</v>
      </c>
      <c r="I766" s="61">
        <f>25.5305 * CHOOSE(CONTROL!$C$21, $C$12, 100%, $E$12)</f>
        <v>25.5305</v>
      </c>
      <c r="J766" s="61">
        <f>15.8193 * CHOOSE(CONTROL!$C$21, $C$12, 100%, $E$12)</f>
        <v>15.8193</v>
      </c>
      <c r="K766" s="61">
        <f>15.8207 * CHOOSE(CONTROL!$C$21, $C$12, 100%, $E$12)</f>
        <v>15.8207</v>
      </c>
    </row>
    <row r="767" spans="1:11" ht="15">
      <c r="A767" s="13">
        <v>65228</v>
      </c>
      <c r="B767" s="60">
        <f>13.3546 * CHOOSE(CONTROL!$C$21, $C$12, 100%, $E$12)</f>
        <v>13.3546</v>
      </c>
      <c r="C767" s="60">
        <f>13.3546 * CHOOSE(CONTROL!$C$21, $C$12, 100%, $E$12)</f>
        <v>13.3546</v>
      </c>
      <c r="D767" s="60">
        <f>13.3758 * CHOOSE(CONTROL!$C$21, $C$12, 100%, $E$12)</f>
        <v>13.3758</v>
      </c>
      <c r="E767" s="61">
        <f>15.6632 * CHOOSE(CONTROL!$C$21, $C$12, 100%, $E$12)</f>
        <v>15.6632</v>
      </c>
      <c r="F767" s="61">
        <f>15.6632 * CHOOSE(CONTROL!$C$21, $C$12, 100%, $E$12)</f>
        <v>15.6632</v>
      </c>
      <c r="G767" s="61">
        <f>15.6646 * CHOOSE(CONTROL!$C$21, $C$12, 100%, $E$12)</f>
        <v>15.6646</v>
      </c>
      <c r="H767" s="61">
        <f>25.5823* CHOOSE(CONTROL!$C$21, $C$12, 100%, $E$12)</f>
        <v>25.5823</v>
      </c>
      <c r="I767" s="61">
        <f>25.5837 * CHOOSE(CONTROL!$C$21, $C$12, 100%, $E$12)</f>
        <v>25.5837</v>
      </c>
      <c r="J767" s="61">
        <f>15.6632 * CHOOSE(CONTROL!$C$21, $C$12, 100%, $E$12)</f>
        <v>15.6632</v>
      </c>
      <c r="K767" s="61">
        <f>15.6646 * CHOOSE(CONTROL!$C$21, $C$12, 100%, $E$12)</f>
        <v>15.6646</v>
      </c>
    </row>
    <row r="768" spans="1:11" ht="15">
      <c r="A768" s="13">
        <v>65259</v>
      </c>
      <c r="B768" s="60">
        <f>13.3516 * CHOOSE(CONTROL!$C$21, $C$12, 100%, $E$12)</f>
        <v>13.351599999999999</v>
      </c>
      <c r="C768" s="60">
        <f>13.3516 * CHOOSE(CONTROL!$C$21, $C$12, 100%, $E$12)</f>
        <v>13.351599999999999</v>
      </c>
      <c r="D768" s="60">
        <f>13.3727 * CHOOSE(CONTROL!$C$21, $C$12, 100%, $E$12)</f>
        <v>13.3727</v>
      </c>
      <c r="E768" s="61">
        <f>15.6433 * CHOOSE(CONTROL!$C$21, $C$12, 100%, $E$12)</f>
        <v>15.6433</v>
      </c>
      <c r="F768" s="61">
        <f>15.6433 * CHOOSE(CONTROL!$C$21, $C$12, 100%, $E$12)</f>
        <v>15.6433</v>
      </c>
      <c r="G768" s="61">
        <f>15.6446 * CHOOSE(CONTROL!$C$21, $C$12, 100%, $E$12)</f>
        <v>15.644600000000001</v>
      </c>
      <c r="H768" s="61">
        <f>25.6356* CHOOSE(CONTROL!$C$21, $C$12, 100%, $E$12)</f>
        <v>25.6356</v>
      </c>
      <c r="I768" s="61">
        <f>25.637 * CHOOSE(CONTROL!$C$21, $C$12, 100%, $E$12)</f>
        <v>25.637</v>
      </c>
      <c r="J768" s="61">
        <f>15.6433 * CHOOSE(CONTROL!$C$21, $C$12, 100%, $E$12)</f>
        <v>15.6433</v>
      </c>
      <c r="K768" s="61">
        <f>15.6446 * CHOOSE(CONTROL!$C$21, $C$12, 100%, $E$12)</f>
        <v>15.644600000000001</v>
      </c>
    </row>
    <row r="769" spans="1:11" ht="15">
      <c r="A769" s="13">
        <v>65289</v>
      </c>
      <c r="B769" s="60">
        <f>13.3774 * CHOOSE(CONTROL!$C$21, $C$12, 100%, $E$12)</f>
        <v>13.3774</v>
      </c>
      <c r="C769" s="60">
        <f>13.3774 * CHOOSE(CONTROL!$C$21, $C$12, 100%, $E$12)</f>
        <v>13.3774</v>
      </c>
      <c r="D769" s="60">
        <f>13.388 * CHOOSE(CONTROL!$C$21, $C$12, 100%, $E$12)</f>
        <v>13.388</v>
      </c>
      <c r="E769" s="61">
        <f>15.7013 * CHOOSE(CONTROL!$C$21, $C$12, 100%, $E$12)</f>
        <v>15.7013</v>
      </c>
      <c r="F769" s="61">
        <f>15.7013 * CHOOSE(CONTROL!$C$21, $C$12, 100%, $E$12)</f>
        <v>15.7013</v>
      </c>
      <c r="G769" s="61">
        <f>15.7015 * CHOOSE(CONTROL!$C$21, $C$12, 100%, $E$12)</f>
        <v>15.701499999999999</v>
      </c>
      <c r="H769" s="61">
        <f>25.689* CHOOSE(CONTROL!$C$21, $C$12, 100%, $E$12)</f>
        <v>25.689</v>
      </c>
      <c r="I769" s="61">
        <f>25.6892 * CHOOSE(CONTROL!$C$21, $C$12, 100%, $E$12)</f>
        <v>25.6892</v>
      </c>
      <c r="J769" s="61">
        <f>15.7013 * CHOOSE(CONTROL!$C$21, $C$12, 100%, $E$12)</f>
        <v>15.7013</v>
      </c>
      <c r="K769" s="61">
        <f>15.7015 * CHOOSE(CONTROL!$C$21, $C$12, 100%, $E$12)</f>
        <v>15.701499999999999</v>
      </c>
    </row>
    <row r="770" spans="1:11" ht="15">
      <c r="A770" s="13">
        <v>65320</v>
      </c>
      <c r="B770" s="60">
        <f>13.3804 * CHOOSE(CONTROL!$C$21, $C$12, 100%, $E$12)</f>
        <v>13.3804</v>
      </c>
      <c r="C770" s="60">
        <f>13.3804 * CHOOSE(CONTROL!$C$21, $C$12, 100%, $E$12)</f>
        <v>13.3804</v>
      </c>
      <c r="D770" s="60">
        <f>13.391 * CHOOSE(CONTROL!$C$21, $C$12, 100%, $E$12)</f>
        <v>13.391</v>
      </c>
      <c r="E770" s="61">
        <f>15.7391 * CHOOSE(CONTROL!$C$21, $C$12, 100%, $E$12)</f>
        <v>15.739100000000001</v>
      </c>
      <c r="F770" s="61">
        <f>15.7391 * CHOOSE(CONTROL!$C$21, $C$12, 100%, $E$12)</f>
        <v>15.739100000000001</v>
      </c>
      <c r="G770" s="61">
        <f>15.7393 * CHOOSE(CONTROL!$C$21, $C$12, 100%, $E$12)</f>
        <v>15.7393</v>
      </c>
      <c r="H770" s="61">
        <f>25.7426* CHOOSE(CONTROL!$C$21, $C$12, 100%, $E$12)</f>
        <v>25.742599999999999</v>
      </c>
      <c r="I770" s="61">
        <f>25.7427 * CHOOSE(CONTROL!$C$21, $C$12, 100%, $E$12)</f>
        <v>25.742699999999999</v>
      </c>
      <c r="J770" s="61">
        <f>15.7391 * CHOOSE(CONTROL!$C$21, $C$12, 100%, $E$12)</f>
        <v>15.739100000000001</v>
      </c>
      <c r="K770" s="61">
        <f>15.7393 * CHOOSE(CONTROL!$C$21, $C$12, 100%, $E$12)</f>
        <v>15.7393</v>
      </c>
    </row>
    <row r="771" spans="1:11" ht="15">
      <c r="A771" s="13">
        <v>65350</v>
      </c>
      <c r="B771" s="60">
        <f>13.3804 * CHOOSE(CONTROL!$C$21, $C$12, 100%, $E$12)</f>
        <v>13.3804</v>
      </c>
      <c r="C771" s="60">
        <f>13.3804 * CHOOSE(CONTROL!$C$21, $C$12, 100%, $E$12)</f>
        <v>13.3804</v>
      </c>
      <c r="D771" s="60">
        <f>13.391 * CHOOSE(CONTROL!$C$21, $C$12, 100%, $E$12)</f>
        <v>13.391</v>
      </c>
      <c r="E771" s="61">
        <f>15.6498 * CHOOSE(CONTROL!$C$21, $C$12, 100%, $E$12)</f>
        <v>15.649800000000001</v>
      </c>
      <c r="F771" s="61">
        <f>15.6498 * CHOOSE(CONTROL!$C$21, $C$12, 100%, $E$12)</f>
        <v>15.649800000000001</v>
      </c>
      <c r="G771" s="61">
        <f>15.65 * CHOOSE(CONTROL!$C$21, $C$12, 100%, $E$12)</f>
        <v>15.65</v>
      </c>
      <c r="H771" s="61">
        <f>25.7962* CHOOSE(CONTROL!$C$21, $C$12, 100%, $E$12)</f>
        <v>25.796199999999999</v>
      </c>
      <c r="I771" s="61">
        <f>25.7964 * CHOOSE(CONTROL!$C$21, $C$12, 100%, $E$12)</f>
        <v>25.796399999999998</v>
      </c>
      <c r="J771" s="61">
        <f>15.6498 * CHOOSE(CONTROL!$C$21, $C$12, 100%, $E$12)</f>
        <v>15.649800000000001</v>
      </c>
      <c r="K771" s="61">
        <f>15.65 * CHOOSE(CONTROL!$C$21, $C$12, 100%, $E$12)</f>
        <v>15.65</v>
      </c>
    </row>
    <row r="772" spans="1:11" ht="15">
      <c r="A772" s="13">
        <v>65381</v>
      </c>
      <c r="B772" s="60">
        <f>13.3809 * CHOOSE(CONTROL!$C$21, $C$12, 100%, $E$12)</f>
        <v>13.3809</v>
      </c>
      <c r="C772" s="60">
        <f>13.3809 * CHOOSE(CONTROL!$C$21, $C$12, 100%, $E$12)</f>
        <v>13.3809</v>
      </c>
      <c r="D772" s="60">
        <f>13.3914 * CHOOSE(CONTROL!$C$21, $C$12, 100%, $E$12)</f>
        <v>13.391400000000001</v>
      </c>
      <c r="E772" s="61">
        <f>15.7124 * CHOOSE(CONTROL!$C$21, $C$12, 100%, $E$12)</f>
        <v>15.712400000000001</v>
      </c>
      <c r="F772" s="61">
        <f>15.7124 * CHOOSE(CONTROL!$C$21, $C$12, 100%, $E$12)</f>
        <v>15.712400000000001</v>
      </c>
      <c r="G772" s="61">
        <f>15.7126 * CHOOSE(CONTROL!$C$21, $C$12, 100%, $E$12)</f>
        <v>15.7126</v>
      </c>
      <c r="H772" s="61">
        <f>25.6582* CHOOSE(CONTROL!$C$21, $C$12, 100%, $E$12)</f>
        <v>25.658200000000001</v>
      </c>
      <c r="I772" s="61">
        <f>25.6584 * CHOOSE(CONTROL!$C$21, $C$12, 100%, $E$12)</f>
        <v>25.6584</v>
      </c>
      <c r="J772" s="61">
        <f>15.7124 * CHOOSE(CONTROL!$C$21, $C$12, 100%, $E$12)</f>
        <v>15.712400000000001</v>
      </c>
      <c r="K772" s="61">
        <f>15.7126 * CHOOSE(CONTROL!$C$21, $C$12, 100%, $E$12)</f>
        <v>15.7126</v>
      </c>
    </row>
    <row r="773" spans="1:11" ht="15">
      <c r="A773" s="13">
        <v>65412</v>
      </c>
      <c r="B773" s="60">
        <f>13.3778 * CHOOSE(CONTROL!$C$21, $C$12, 100%, $E$12)</f>
        <v>13.377800000000001</v>
      </c>
      <c r="C773" s="60">
        <f>13.3778 * CHOOSE(CONTROL!$C$21, $C$12, 100%, $E$12)</f>
        <v>13.377800000000001</v>
      </c>
      <c r="D773" s="60">
        <f>13.3884 * CHOOSE(CONTROL!$C$21, $C$12, 100%, $E$12)</f>
        <v>13.388400000000001</v>
      </c>
      <c r="E773" s="61">
        <f>15.5384 * CHOOSE(CONTROL!$C$21, $C$12, 100%, $E$12)</f>
        <v>15.538399999999999</v>
      </c>
      <c r="F773" s="61">
        <f>15.5384 * CHOOSE(CONTROL!$C$21, $C$12, 100%, $E$12)</f>
        <v>15.538399999999999</v>
      </c>
      <c r="G773" s="61">
        <f>15.5385 * CHOOSE(CONTROL!$C$21, $C$12, 100%, $E$12)</f>
        <v>15.538500000000001</v>
      </c>
      <c r="H773" s="61">
        <f>25.7117* CHOOSE(CONTROL!$C$21, $C$12, 100%, $E$12)</f>
        <v>25.7117</v>
      </c>
      <c r="I773" s="61">
        <f>25.7119 * CHOOSE(CONTROL!$C$21, $C$12, 100%, $E$12)</f>
        <v>25.7119</v>
      </c>
      <c r="J773" s="61">
        <f>15.5384 * CHOOSE(CONTROL!$C$21, $C$12, 100%, $E$12)</f>
        <v>15.538399999999999</v>
      </c>
      <c r="K773" s="61">
        <f>15.5385 * CHOOSE(CONTROL!$C$21, $C$12, 100%, $E$12)</f>
        <v>15.538500000000001</v>
      </c>
    </row>
    <row r="774" spans="1:11" ht="15">
      <c r="A774" s="13">
        <v>65440</v>
      </c>
      <c r="B774" s="60">
        <f>13.3748 * CHOOSE(CONTROL!$C$21, $C$12, 100%, $E$12)</f>
        <v>13.3748</v>
      </c>
      <c r="C774" s="60">
        <f>13.3748 * CHOOSE(CONTROL!$C$21, $C$12, 100%, $E$12)</f>
        <v>13.3748</v>
      </c>
      <c r="D774" s="60">
        <f>13.3853 * CHOOSE(CONTROL!$C$21, $C$12, 100%, $E$12)</f>
        <v>13.385300000000001</v>
      </c>
      <c r="E774" s="61">
        <f>15.6718 * CHOOSE(CONTROL!$C$21, $C$12, 100%, $E$12)</f>
        <v>15.671799999999999</v>
      </c>
      <c r="F774" s="61">
        <f>15.6718 * CHOOSE(CONTROL!$C$21, $C$12, 100%, $E$12)</f>
        <v>15.671799999999999</v>
      </c>
      <c r="G774" s="61">
        <f>15.672 * CHOOSE(CONTROL!$C$21, $C$12, 100%, $E$12)</f>
        <v>15.672000000000001</v>
      </c>
      <c r="H774" s="61">
        <f>25.7653* CHOOSE(CONTROL!$C$21, $C$12, 100%, $E$12)</f>
        <v>25.7653</v>
      </c>
      <c r="I774" s="61">
        <f>25.7654 * CHOOSE(CONTROL!$C$21, $C$12, 100%, $E$12)</f>
        <v>25.7654</v>
      </c>
      <c r="J774" s="61">
        <f>15.6718 * CHOOSE(CONTROL!$C$21, $C$12, 100%, $E$12)</f>
        <v>15.671799999999999</v>
      </c>
      <c r="K774" s="61">
        <f>15.672 * CHOOSE(CONTROL!$C$21, $C$12, 100%, $E$12)</f>
        <v>15.672000000000001</v>
      </c>
    </row>
    <row r="775" spans="1:11" ht="15">
      <c r="A775" s="13">
        <v>65471</v>
      </c>
      <c r="B775" s="60">
        <f>13.3804 * CHOOSE(CONTROL!$C$21, $C$12, 100%, $E$12)</f>
        <v>13.3804</v>
      </c>
      <c r="C775" s="60">
        <f>13.3804 * CHOOSE(CONTROL!$C$21, $C$12, 100%, $E$12)</f>
        <v>13.3804</v>
      </c>
      <c r="D775" s="60">
        <f>13.391 * CHOOSE(CONTROL!$C$21, $C$12, 100%, $E$12)</f>
        <v>13.391</v>
      </c>
      <c r="E775" s="61">
        <f>15.8131 * CHOOSE(CONTROL!$C$21, $C$12, 100%, $E$12)</f>
        <v>15.8131</v>
      </c>
      <c r="F775" s="61">
        <f>15.8131 * CHOOSE(CONTROL!$C$21, $C$12, 100%, $E$12)</f>
        <v>15.8131</v>
      </c>
      <c r="G775" s="61">
        <f>15.8133 * CHOOSE(CONTROL!$C$21, $C$12, 100%, $E$12)</f>
        <v>15.8133</v>
      </c>
      <c r="H775" s="61">
        <f>25.8189* CHOOSE(CONTROL!$C$21, $C$12, 100%, $E$12)</f>
        <v>25.818899999999999</v>
      </c>
      <c r="I775" s="61">
        <f>25.8191 * CHOOSE(CONTROL!$C$21, $C$12, 100%, $E$12)</f>
        <v>25.819099999999999</v>
      </c>
      <c r="J775" s="61">
        <f>15.8131 * CHOOSE(CONTROL!$C$21, $C$12, 100%, $E$12)</f>
        <v>15.8131</v>
      </c>
      <c r="K775" s="61">
        <f>15.8133 * CHOOSE(CONTROL!$C$21, $C$12, 100%, $E$12)</f>
        <v>15.8133</v>
      </c>
    </row>
    <row r="776" spans="1:11" ht="15">
      <c r="A776" s="13">
        <v>65501</v>
      </c>
      <c r="B776" s="60">
        <f>13.3804 * CHOOSE(CONTROL!$C$21, $C$12, 100%, $E$12)</f>
        <v>13.3804</v>
      </c>
      <c r="C776" s="60">
        <f>13.3804 * CHOOSE(CONTROL!$C$21, $C$12, 100%, $E$12)</f>
        <v>13.3804</v>
      </c>
      <c r="D776" s="60">
        <f>13.4016 * CHOOSE(CONTROL!$C$21, $C$12, 100%, $E$12)</f>
        <v>13.4016</v>
      </c>
      <c r="E776" s="61">
        <f>15.8677 * CHOOSE(CONTROL!$C$21, $C$12, 100%, $E$12)</f>
        <v>15.867699999999999</v>
      </c>
      <c r="F776" s="61">
        <f>15.8677 * CHOOSE(CONTROL!$C$21, $C$12, 100%, $E$12)</f>
        <v>15.867699999999999</v>
      </c>
      <c r="G776" s="61">
        <f>15.8691 * CHOOSE(CONTROL!$C$21, $C$12, 100%, $E$12)</f>
        <v>15.8691</v>
      </c>
      <c r="H776" s="61">
        <f>25.8727* CHOOSE(CONTROL!$C$21, $C$12, 100%, $E$12)</f>
        <v>25.872699999999998</v>
      </c>
      <c r="I776" s="61">
        <f>25.8741 * CHOOSE(CONTROL!$C$21, $C$12, 100%, $E$12)</f>
        <v>25.874099999999999</v>
      </c>
      <c r="J776" s="61">
        <f>15.8677 * CHOOSE(CONTROL!$C$21, $C$12, 100%, $E$12)</f>
        <v>15.867699999999999</v>
      </c>
      <c r="K776" s="61">
        <f>15.8691 * CHOOSE(CONTROL!$C$21, $C$12, 100%, $E$12)</f>
        <v>15.8691</v>
      </c>
    </row>
    <row r="777" spans="1:11" ht="15">
      <c r="A777" s="13">
        <v>65532</v>
      </c>
      <c r="B777" s="60">
        <f>13.3865 * CHOOSE(CONTROL!$C$21, $C$12, 100%, $E$12)</f>
        <v>13.3865</v>
      </c>
      <c r="C777" s="60">
        <f>13.3865 * CHOOSE(CONTROL!$C$21, $C$12, 100%, $E$12)</f>
        <v>13.3865</v>
      </c>
      <c r="D777" s="60">
        <f>13.4077 * CHOOSE(CONTROL!$C$21, $C$12, 100%, $E$12)</f>
        <v>13.4077</v>
      </c>
      <c r="E777" s="61">
        <f>15.8174 * CHOOSE(CONTROL!$C$21, $C$12, 100%, $E$12)</f>
        <v>15.817399999999999</v>
      </c>
      <c r="F777" s="61">
        <f>15.8174 * CHOOSE(CONTROL!$C$21, $C$12, 100%, $E$12)</f>
        <v>15.817399999999999</v>
      </c>
      <c r="G777" s="61">
        <f>15.8187 * CHOOSE(CONTROL!$C$21, $C$12, 100%, $E$12)</f>
        <v>15.8187</v>
      </c>
      <c r="H777" s="61">
        <f>25.9266* CHOOSE(CONTROL!$C$21, $C$12, 100%, $E$12)</f>
        <v>25.926600000000001</v>
      </c>
      <c r="I777" s="61">
        <f>25.928 * CHOOSE(CONTROL!$C$21, $C$12, 100%, $E$12)</f>
        <v>25.928000000000001</v>
      </c>
      <c r="J777" s="61">
        <f>15.8174 * CHOOSE(CONTROL!$C$21, $C$12, 100%, $E$12)</f>
        <v>15.817399999999999</v>
      </c>
      <c r="K777" s="61">
        <f>15.8187 * CHOOSE(CONTROL!$C$21, $C$12, 100%, $E$12)</f>
        <v>15.8187</v>
      </c>
    </row>
    <row r="778" spans="1:11" ht="15">
      <c r="A778" s="13">
        <v>65562</v>
      </c>
      <c r="B778" s="60">
        <f>13.5972 * CHOOSE(CONTROL!$C$21, $C$12, 100%, $E$12)</f>
        <v>13.597200000000001</v>
      </c>
      <c r="C778" s="60">
        <f>13.5972 * CHOOSE(CONTROL!$C$21, $C$12, 100%, $E$12)</f>
        <v>13.597200000000001</v>
      </c>
      <c r="D778" s="60">
        <f>13.6183 * CHOOSE(CONTROL!$C$21, $C$12, 100%, $E$12)</f>
        <v>13.6183</v>
      </c>
      <c r="E778" s="61">
        <f>16.1192 * CHOOSE(CONTROL!$C$21, $C$12, 100%, $E$12)</f>
        <v>16.119199999999999</v>
      </c>
      <c r="F778" s="61">
        <f>16.1192 * CHOOSE(CONTROL!$C$21, $C$12, 100%, $E$12)</f>
        <v>16.119199999999999</v>
      </c>
      <c r="G778" s="61">
        <f>16.1205 * CHOOSE(CONTROL!$C$21, $C$12, 100%, $E$12)</f>
        <v>16.1205</v>
      </c>
      <c r="H778" s="61">
        <f>25.9806* CHOOSE(CONTROL!$C$21, $C$12, 100%, $E$12)</f>
        <v>25.980599999999999</v>
      </c>
      <c r="I778" s="61">
        <f>25.982 * CHOOSE(CONTROL!$C$21, $C$12, 100%, $E$12)</f>
        <v>25.981999999999999</v>
      </c>
      <c r="J778" s="61">
        <f>16.1192 * CHOOSE(CONTROL!$C$21, $C$12, 100%, $E$12)</f>
        <v>16.119199999999999</v>
      </c>
      <c r="K778" s="61">
        <f>16.1205 * CHOOSE(CONTROL!$C$21, $C$12, 100%, $E$12)</f>
        <v>16.1205</v>
      </c>
    </row>
    <row r="779" spans="1:11" ht="15">
      <c r="A779" s="13">
        <v>65593</v>
      </c>
      <c r="B779" s="60">
        <f>13.6038 * CHOOSE(CONTROL!$C$21, $C$12, 100%, $E$12)</f>
        <v>13.6038</v>
      </c>
      <c r="C779" s="60">
        <f>13.6038 * CHOOSE(CONTROL!$C$21, $C$12, 100%, $E$12)</f>
        <v>13.6038</v>
      </c>
      <c r="D779" s="60">
        <f>13.625 * CHOOSE(CONTROL!$C$21, $C$12, 100%, $E$12)</f>
        <v>13.625</v>
      </c>
      <c r="E779" s="61">
        <f>15.9601 * CHOOSE(CONTROL!$C$21, $C$12, 100%, $E$12)</f>
        <v>15.960100000000001</v>
      </c>
      <c r="F779" s="61">
        <f>15.9601 * CHOOSE(CONTROL!$C$21, $C$12, 100%, $E$12)</f>
        <v>15.960100000000001</v>
      </c>
      <c r="G779" s="61">
        <f>15.9614 * CHOOSE(CONTROL!$C$21, $C$12, 100%, $E$12)</f>
        <v>15.961399999999999</v>
      </c>
      <c r="H779" s="61">
        <f>26.0348* CHOOSE(CONTROL!$C$21, $C$12, 100%, $E$12)</f>
        <v>26.034800000000001</v>
      </c>
      <c r="I779" s="61">
        <f>26.0361 * CHOOSE(CONTROL!$C$21, $C$12, 100%, $E$12)</f>
        <v>26.036100000000001</v>
      </c>
      <c r="J779" s="61">
        <f>15.9601 * CHOOSE(CONTROL!$C$21, $C$12, 100%, $E$12)</f>
        <v>15.960100000000001</v>
      </c>
      <c r="K779" s="61">
        <f>15.9614 * CHOOSE(CONTROL!$C$21, $C$12, 100%, $E$12)</f>
        <v>15.961399999999999</v>
      </c>
    </row>
    <row r="780" spans="1:11" ht="15">
      <c r="A780" s="13">
        <v>65624</v>
      </c>
      <c r="B780" s="60">
        <f>13.6008 * CHOOSE(CONTROL!$C$21, $C$12, 100%, $E$12)</f>
        <v>13.6008</v>
      </c>
      <c r="C780" s="60">
        <f>13.6008 * CHOOSE(CONTROL!$C$21, $C$12, 100%, $E$12)</f>
        <v>13.6008</v>
      </c>
      <c r="D780" s="60">
        <f>13.6219 * CHOOSE(CONTROL!$C$21, $C$12, 100%, $E$12)</f>
        <v>13.6219</v>
      </c>
      <c r="E780" s="61">
        <f>15.9398 * CHOOSE(CONTROL!$C$21, $C$12, 100%, $E$12)</f>
        <v>15.9398</v>
      </c>
      <c r="F780" s="61">
        <f>15.9398 * CHOOSE(CONTROL!$C$21, $C$12, 100%, $E$12)</f>
        <v>15.9398</v>
      </c>
      <c r="G780" s="61">
        <f>15.9411 * CHOOSE(CONTROL!$C$21, $C$12, 100%, $E$12)</f>
        <v>15.9411</v>
      </c>
      <c r="H780" s="61">
        <f>26.089* CHOOSE(CONTROL!$C$21, $C$12, 100%, $E$12)</f>
        <v>26.088999999999999</v>
      </c>
      <c r="I780" s="61">
        <f>26.0904 * CHOOSE(CONTROL!$C$21, $C$12, 100%, $E$12)</f>
        <v>26.090399999999999</v>
      </c>
      <c r="J780" s="61">
        <f>15.9398 * CHOOSE(CONTROL!$C$21, $C$12, 100%, $E$12)</f>
        <v>15.9398</v>
      </c>
      <c r="K780" s="61">
        <f>15.9411 * CHOOSE(CONTROL!$C$21, $C$12, 100%, $E$12)</f>
        <v>15.9411</v>
      </c>
    </row>
    <row r="781" spans="1:11" ht="15">
      <c r="A781" s="13">
        <v>65654</v>
      </c>
      <c r="B781" s="60">
        <f>13.6274 * CHOOSE(CONTROL!$C$21, $C$12, 100%, $E$12)</f>
        <v>13.6274</v>
      </c>
      <c r="C781" s="60">
        <f>13.6274 * CHOOSE(CONTROL!$C$21, $C$12, 100%, $E$12)</f>
        <v>13.6274</v>
      </c>
      <c r="D781" s="60">
        <f>13.638 * CHOOSE(CONTROL!$C$21, $C$12, 100%, $E$12)</f>
        <v>13.638</v>
      </c>
      <c r="E781" s="61">
        <f>15.9991 * CHOOSE(CONTROL!$C$21, $C$12, 100%, $E$12)</f>
        <v>15.9991</v>
      </c>
      <c r="F781" s="61">
        <f>15.9991 * CHOOSE(CONTROL!$C$21, $C$12, 100%, $E$12)</f>
        <v>15.9991</v>
      </c>
      <c r="G781" s="61">
        <f>15.9993 * CHOOSE(CONTROL!$C$21, $C$12, 100%, $E$12)</f>
        <v>15.9993</v>
      </c>
      <c r="H781" s="61">
        <f>26.1434* CHOOSE(CONTROL!$C$21, $C$12, 100%, $E$12)</f>
        <v>26.1434</v>
      </c>
      <c r="I781" s="61">
        <f>26.1435 * CHOOSE(CONTROL!$C$21, $C$12, 100%, $E$12)</f>
        <v>26.1435</v>
      </c>
      <c r="J781" s="61">
        <f>15.9991 * CHOOSE(CONTROL!$C$21, $C$12, 100%, $E$12)</f>
        <v>15.9991</v>
      </c>
      <c r="K781" s="61">
        <f>15.9993 * CHOOSE(CONTROL!$C$21, $C$12, 100%, $E$12)</f>
        <v>15.9993</v>
      </c>
    </row>
    <row r="782" spans="1:11" ht="15">
      <c r="A782" s="13">
        <v>65685</v>
      </c>
      <c r="B782" s="60">
        <f>13.6305 * CHOOSE(CONTROL!$C$21, $C$12, 100%, $E$12)</f>
        <v>13.6305</v>
      </c>
      <c r="C782" s="60">
        <f>13.6305 * CHOOSE(CONTROL!$C$21, $C$12, 100%, $E$12)</f>
        <v>13.6305</v>
      </c>
      <c r="D782" s="60">
        <f>13.641 * CHOOSE(CONTROL!$C$21, $C$12, 100%, $E$12)</f>
        <v>13.641</v>
      </c>
      <c r="E782" s="61">
        <f>16.0376 * CHOOSE(CONTROL!$C$21, $C$12, 100%, $E$12)</f>
        <v>16.037600000000001</v>
      </c>
      <c r="F782" s="61">
        <f>16.0376 * CHOOSE(CONTROL!$C$21, $C$12, 100%, $E$12)</f>
        <v>16.037600000000001</v>
      </c>
      <c r="G782" s="61">
        <f>16.0378 * CHOOSE(CONTROL!$C$21, $C$12, 100%, $E$12)</f>
        <v>16.037800000000001</v>
      </c>
      <c r="H782" s="61">
        <f>26.1978* CHOOSE(CONTROL!$C$21, $C$12, 100%, $E$12)</f>
        <v>26.197800000000001</v>
      </c>
      <c r="I782" s="61">
        <f>26.198 * CHOOSE(CONTROL!$C$21, $C$12, 100%, $E$12)</f>
        <v>26.198</v>
      </c>
      <c r="J782" s="61">
        <f>16.0376 * CHOOSE(CONTROL!$C$21, $C$12, 100%, $E$12)</f>
        <v>16.037600000000001</v>
      </c>
      <c r="K782" s="61">
        <f>16.0378 * CHOOSE(CONTROL!$C$21, $C$12, 100%, $E$12)</f>
        <v>16.037800000000001</v>
      </c>
    </row>
    <row r="783" spans="1:11" ht="15">
      <c r="A783" s="13">
        <v>65715</v>
      </c>
      <c r="B783" s="60">
        <f>13.6305 * CHOOSE(CONTROL!$C$21, $C$12, 100%, $E$12)</f>
        <v>13.6305</v>
      </c>
      <c r="C783" s="60">
        <f>13.6305 * CHOOSE(CONTROL!$C$21, $C$12, 100%, $E$12)</f>
        <v>13.6305</v>
      </c>
      <c r="D783" s="60">
        <f>13.641 * CHOOSE(CONTROL!$C$21, $C$12, 100%, $E$12)</f>
        <v>13.641</v>
      </c>
      <c r="E783" s="61">
        <f>15.9467 * CHOOSE(CONTROL!$C$21, $C$12, 100%, $E$12)</f>
        <v>15.9467</v>
      </c>
      <c r="F783" s="61">
        <f>15.9467 * CHOOSE(CONTROL!$C$21, $C$12, 100%, $E$12)</f>
        <v>15.9467</v>
      </c>
      <c r="G783" s="61">
        <f>15.9468 * CHOOSE(CONTROL!$C$21, $C$12, 100%, $E$12)</f>
        <v>15.9468</v>
      </c>
      <c r="H783" s="61">
        <f>26.2524* CHOOSE(CONTROL!$C$21, $C$12, 100%, $E$12)</f>
        <v>26.252400000000002</v>
      </c>
      <c r="I783" s="61">
        <f>26.2526 * CHOOSE(CONTROL!$C$21, $C$12, 100%, $E$12)</f>
        <v>26.252600000000001</v>
      </c>
      <c r="J783" s="61">
        <f>15.9467 * CHOOSE(CONTROL!$C$21, $C$12, 100%, $E$12)</f>
        <v>15.9467</v>
      </c>
      <c r="K783" s="61">
        <f>15.9468 * CHOOSE(CONTROL!$C$21, $C$12, 100%, $E$12)</f>
        <v>15.9468</v>
      </c>
    </row>
    <row r="784" spans="1:11" ht="15">
      <c r="A784" s="13">
        <v>65746</v>
      </c>
      <c r="B784" s="60">
        <f>13.6262 * CHOOSE(CONTROL!$C$21, $C$12, 100%, $E$12)</f>
        <v>13.626200000000001</v>
      </c>
      <c r="C784" s="60">
        <f>13.6262 * CHOOSE(CONTROL!$C$21, $C$12, 100%, $E$12)</f>
        <v>13.626200000000001</v>
      </c>
      <c r="D784" s="60">
        <f>13.6367 * CHOOSE(CONTROL!$C$21, $C$12, 100%, $E$12)</f>
        <v>13.636699999999999</v>
      </c>
      <c r="E784" s="61">
        <f>16.0048 * CHOOSE(CONTROL!$C$21, $C$12, 100%, $E$12)</f>
        <v>16.004799999999999</v>
      </c>
      <c r="F784" s="61">
        <f>16.0048 * CHOOSE(CONTROL!$C$21, $C$12, 100%, $E$12)</f>
        <v>16.004799999999999</v>
      </c>
      <c r="G784" s="61">
        <f>16.005 * CHOOSE(CONTROL!$C$21, $C$12, 100%, $E$12)</f>
        <v>16.004999999999999</v>
      </c>
      <c r="H784" s="61">
        <f>26.1041* CHOOSE(CONTROL!$C$21, $C$12, 100%, $E$12)</f>
        <v>26.104099999999999</v>
      </c>
      <c r="I784" s="61">
        <f>26.1043 * CHOOSE(CONTROL!$C$21, $C$12, 100%, $E$12)</f>
        <v>26.104299999999999</v>
      </c>
      <c r="J784" s="61">
        <f>16.0048 * CHOOSE(CONTROL!$C$21, $C$12, 100%, $E$12)</f>
        <v>16.004799999999999</v>
      </c>
      <c r="K784" s="61">
        <f>16.005 * CHOOSE(CONTROL!$C$21, $C$12, 100%, $E$12)</f>
        <v>16.004999999999999</v>
      </c>
    </row>
    <row r="785" spans="1:11" ht="15">
      <c r="A785" s="13">
        <v>65777</v>
      </c>
      <c r="B785" s="60">
        <f>13.6231 * CHOOSE(CONTROL!$C$21, $C$12, 100%, $E$12)</f>
        <v>13.623100000000001</v>
      </c>
      <c r="C785" s="60">
        <f>13.6231 * CHOOSE(CONTROL!$C$21, $C$12, 100%, $E$12)</f>
        <v>13.623100000000001</v>
      </c>
      <c r="D785" s="60">
        <f>13.6337 * CHOOSE(CONTROL!$C$21, $C$12, 100%, $E$12)</f>
        <v>13.633699999999999</v>
      </c>
      <c r="E785" s="61">
        <f>15.8276 * CHOOSE(CONTROL!$C$21, $C$12, 100%, $E$12)</f>
        <v>15.8276</v>
      </c>
      <c r="F785" s="61">
        <f>15.8276 * CHOOSE(CONTROL!$C$21, $C$12, 100%, $E$12)</f>
        <v>15.8276</v>
      </c>
      <c r="G785" s="61">
        <f>15.8278 * CHOOSE(CONTROL!$C$21, $C$12, 100%, $E$12)</f>
        <v>15.8278</v>
      </c>
      <c r="H785" s="61">
        <f>26.1585* CHOOSE(CONTROL!$C$21, $C$12, 100%, $E$12)</f>
        <v>26.1585</v>
      </c>
      <c r="I785" s="61">
        <f>26.1587 * CHOOSE(CONTROL!$C$21, $C$12, 100%, $E$12)</f>
        <v>26.1587</v>
      </c>
      <c r="J785" s="61">
        <f>15.8276 * CHOOSE(CONTROL!$C$21, $C$12, 100%, $E$12)</f>
        <v>15.8276</v>
      </c>
      <c r="K785" s="61">
        <f>15.8278 * CHOOSE(CONTROL!$C$21, $C$12, 100%, $E$12)</f>
        <v>15.8278</v>
      </c>
    </row>
    <row r="786" spans="1:11" ht="15">
      <c r="A786" s="13">
        <v>65806</v>
      </c>
      <c r="B786" s="60">
        <f>13.6201 * CHOOSE(CONTROL!$C$21, $C$12, 100%, $E$12)</f>
        <v>13.620100000000001</v>
      </c>
      <c r="C786" s="60">
        <f>13.6201 * CHOOSE(CONTROL!$C$21, $C$12, 100%, $E$12)</f>
        <v>13.620100000000001</v>
      </c>
      <c r="D786" s="60">
        <f>13.6307 * CHOOSE(CONTROL!$C$21, $C$12, 100%, $E$12)</f>
        <v>13.630699999999999</v>
      </c>
      <c r="E786" s="61">
        <f>15.9635 * CHOOSE(CONTROL!$C$21, $C$12, 100%, $E$12)</f>
        <v>15.9635</v>
      </c>
      <c r="F786" s="61">
        <f>15.9635 * CHOOSE(CONTROL!$C$21, $C$12, 100%, $E$12)</f>
        <v>15.9635</v>
      </c>
      <c r="G786" s="61">
        <f>15.9637 * CHOOSE(CONTROL!$C$21, $C$12, 100%, $E$12)</f>
        <v>15.963699999999999</v>
      </c>
      <c r="H786" s="61">
        <f>26.213* CHOOSE(CONTROL!$C$21, $C$12, 100%, $E$12)</f>
        <v>26.213000000000001</v>
      </c>
      <c r="I786" s="61">
        <f>26.2132 * CHOOSE(CONTROL!$C$21, $C$12, 100%, $E$12)</f>
        <v>26.213200000000001</v>
      </c>
      <c r="J786" s="61">
        <f>15.9635 * CHOOSE(CONTROL!$C$21, $C$12, 100%, $E$12)</f>
        <v>15.9635</v>
      </c>
      <c r="K786" s="61">
        <f>15.9637 * CHOOSE(CONTROL!$C$21, $C$12, 100%, $E$12)</f>
        <v>15.963699999999999</v>
      </c>
    </row>
    <row r="787" spans="1:11" ht="15">
      <c r="A787" s="13">
        <v>65837</v>
      </c>
      <c r="B787" s="60">
        <f>13.626 * CHOOSE(CONTROL!$C$21, $C$12, 100%, $E$12)</f>
        <v>13.625999999999999</v>
      </c>
      <c r="C787" s="60">
        <f>13.626 * CHOOSE(CONTROL!$C$21, $C$12, 100%, $E$12)</f>
        <v>13.625999999999999</v>
      </c>
      <c r="D787" s="60">
        <f>13.6365 * CHOOSE(CONTROL!$C$21, $C$12, 100%, $E$12)</f>
        <v>13.6365</v>
      </c>
      <c r="E787" s="61">
        <f>16.1076 * CHOOSE(CONTROL!$C$21, $C$12, 100%, $E$12)</f>
        <v>16.107600000000001</v>
      </c>
      <c r="F787" s="61">
        <f>16.1076 * CHOOSE(CONTROL!$C$21, $C$12, 100%, $E$12)</f>
        <v>16.107600000000001</v>
      </c>
      <c r="G787" s="61">
        <f>16.1077 * CHOOSE(CONTROL!$C$21, $C$12, 100%, $E$12)</f>
        <v>16.107700000000001</v>
      </c>
      <c r="H787" s="61">
        <f>26.2676* CHOOSE(CONTROL!$C$21, $C$12, 100%, $E$12)</f>
        <v>26.267600000000002</v>
      </c>
      <c r="I787" s="61">
        <f>26.2678 * CHOOSE(CONTROL!$C$21, $C$12, 100%, $E$12)</f>
        <v>26.267800000000001</v>
      </c>
      <c r="J787" s="61">
        <f>16.1076 * CHOOSE(CONTROL!$C$21, $C$12, 100%, $E$12)</f>
        <v>16.107600000000001</v>
      </c>
      <c r="K787" s="61">
        <f>16.1077 * CHOOSE(CONTROL!$C$21, $C$12, 100%, $E$12)</f>
        <v>16.107700000000001</v>
      </c>
    </row>
    <row r="788" spans="1:11" ht="15">
      <c r="A788" s="13">
        <v>65867</v>
      </c>
      <c r="B788" s="60">
        <f>13.626 * CHOOSE(CONTROL!$C$21, $C$12, 100%, $E$12)</f>
        <v>13.625999999999999</v>
      </c>
      <c r="C788" s="60">
        <f>13.626 * CHOOSE(CONTROL!$C$21, $C$12, 100%, $E$12)</f>
        <v>13.625999999999999</v>
      </c>
      <c r="D788" s="60">
        <f>13.6471 * CHOOSE(CONTROL!$C$21, $C$12, 100%, $E$12)</f>
        <v>13.6471</v>
      </c>
      <c r="E788" s="61">
        <f>16.1632 * CHOOSE(CONTROL!$C$21, $C$12, 100%, $E$12)</f>
        <v>16.1632</v>
      </c>
      <c r="F788" s="61">
        <f>16.1632 * CHOOSE(CONTROL!$C$21, $C$12, 100%, $E$12)</f>
        <v>16.1632</v>
      </c>
      <c r="G788" s="61">
        <f>16.1645 * CHOOSE(CONTROL!$C$21, $C$12, 100%, $E$12)</f>
        <v>16.1645</v>
      </c>
      <c r="H788" s="61">
        <f>26.3223* CHOOSE(CONTROL!$C$21, $C$12, 100%, $E$12)</f>
        <v>26.322299999999998</v>
      </c>
      <c r="I788" s="61">
        <f>26.3237 * CHOOSE(CONTROL!$C$21, $C$12, 100%, $E$12)</f>
        <v>26.323699999999999</v>
      </c>
      <c r="J788" s="61">
        <f>16.1632 * CHOOSE(CONTROL!$C$21, $C$12, 100%, $E$12)</f>
        <v>16.1632</v>
      </c>
      <c r="K788" s="61">
        <f>16.1645 * CHOOSE(CONTROL!$C$21, $C$12, 100%, $E$12)</f>
        <v>16.1645</v>
      </c>
    </row>
    <row r="789" spans="1:11" ht="15">
      <c r="A789" s="13">
        <v>65898</v>
      </c>
      <c r="B789" s="60">
        <f>13.6321 * CHOOSE(CONTROL!$C$21, $C$12, 100%, $E$12)</f>
        <v>13.632099999999999</v>
      </c>
      <c r="C789" s="60">
        <f>13.6321 * CHOOSE(CONTROL!$C$21, $C$12, 100%, $E$12)</f>
        <v>13.632099999999999</v>
      </c>
      <c r="D789" s="60">
        <f>13.6532 * CHOOSE(CONTROL!$C$21, $C$12, 100%, $E$12)</f>
        <v>13.6532</v>
      </c>
      <c r="E789" s="61">
        <f>16.1118 * CHOOSE(CONTROL!$C$21, $C$12, 100%, $E$12)</f>
        <v>16.111799999999999</v>
      </c>
      <c r="F789" s="61">
        <f>16.1118 * CHOOSE(CONTROL!$C$21, $C$12, 100%, $E$12)</f>
        <v>16.111799999999999</v>
      </c>
      <c r="G789" s="61">
        <f>16.1132 * CHOOSE(CONTROL!$C$21, $C$12, 100%, $E$12)</f>
        <v>16.113199999999999</v>
      </c>
      <c r="H789" s="61">
        <f>26.3772* CHOOSE(CONTROL!$C$21, $C$12, 100%, $E$12)</f>
        <v>26.377199999999998</v>
      </c>
      <c r="I789" s="61">
        <f>26.3786 * CHOOSE(CONTROL!$C$21, $C$12, 100%, $E$12)</f>
        <v>26.378599999999999</v>
      </c>
      <c r="J789" s="61">
        <f>16.1118 * CHOOSE(CONTROL!$C$21, $C$12, 100%, $E$12)</f>
        <v>16.111799999999999</v>
      </c>
      <c r="K789" s="61">
        <f>16.1132 * CHOOSE(CONTROL!$C$21, $C$12, 100%, $E$12)</f>
        <v>16.113199999999999</v>
      </c>
    </row>
    <row r="790" spans="1:11" ht="15">
      <c r="A790" s="13">
        <v>65928</v>
      </c>
      <c r="B790" s="60">
        <f>13.8464 * CHOOSE(CONTROL!$C$21, $C$12, 100%, $E$12)</f>
        <v>13.846399999999999</v>
      </c>
      <c r="C790" s="60">
        <f>13.8464 * CHOOSE(CONTROL!$C$21, $C$12, 100%, $E$12)</f>
        <v>13.846399999999999</v>
      </c>
      <c r="D790" s="60">
        <f>13.8675 * CHOOSE(CONTROL!$C$21, $C$12, 100%, $E$12)</f>
        <v>13.8675</v>
      </c>
      <c r="E790" s="61">
        <f>16.4191 * CHOOSE(CONTROL!$C$21, $C$12, 100%, $E$12)</f>
        <v>16.4191</v>
      </c>
      <c r="F790" s="61">
        <f>16.4191 * CHOOSE(CONTROL!$C$21, $C$12, 100%, $E$12)</f>
        <v>16.4191</v>
      </c>
      <c r="G790" s="61">
        <f>16.4204 * CHOOSE(CONTROL!$C$21, $C$12, 100%, $E$12)</f>
        <v>16.420400000000001</v>
      </c>
      <c r="H790" s="61">
        <f>26.4321* CHOOSE(CONTROL!$C$21, $C$12, 100%, $E$12)</f>
        <v>26.432099999999998</v>
      </c>
      <c r="I790" s="61">
        <f>26.4335 * CHOOSE(CONTROL!$C$21, $C$12, 100%, $E$12)</f>
        <v>26.433499999999999</v>
      </c>
      <c r="J790" s="61">
        <f>16.4191 * CHOOSE(CONTROL!$C$21, $C$12, 100%, $E$12)</f>
        <v>16.4191</v>
      </c>
      <c r="K790" s="61">
        <f>16.4204 * CHOOSE(CONTROL!$C$21, $C$12, 100%, $E$12)</f>
        <v>16.420400000000001</v>
      </c>
    </row>
    <row r="791" spans="1:11" ht="15">
      <c r="A791" s="13">
        <v>65959</v>
      </c>
      <c r="B791" s="60">
        <f>13.8531 * CHOOSE(CONTROL!$C$21, $C$12, 100%, $E$12)</f>
        <v>13.8531</v>
      </c>
      <c r="C791" s="60">
        <f>13.8531 * CHOOSE(CONTROL!$C$21, $C$12, 100%, $E$12)</f>
        <v>13.8531</v>
      </c>
      <c r="D791" s="60">
        <f>13.8742 * CHOOSE(CONTROL!$C$21, $C$12, 100%, $E$12)</f>
        <v>13.8742</v>
      </c>
      <c r="E791" s="61">
        <f>16.2569 * CHOOSE(CONTROL!$C$21, $C$12, 100%, $E$12)</f>
        <v>16.256900000000002</v>
      </c>
      <c r="F791" s="61">
        <f>16.2569 * CHOOSE(CONTROL!$C$21, $C$12, 100%, $E$12)</f>
        <v>16.256900000000002</v>
      </c>
      <c r="G791" s="61">
        <f>16.2583 * CHOOSE(CONTROL!$C$21, $C$12, 100%, $E$12)</f>
        <v>16.258299999999998</v>
      </c>
      <c r="H791" s="61">
        <f>26.4872* CHOOSE(CONTROL!$C$21, $C$12, 100%, $E$12)</f>
        <v>26.487200000000001</v>
      </c>
      <c r="I791" s="61">
        <f>26.4886 * CHOOSE(CONTROL!$C$21, $C$12, 100%, $E$12)</f>
        <v>26.488600000000002</v>
      </c>
      <c r="J791" s="61">
        <f>16.2569 * CHOOSE(CONTROL!$C$21, $C$12, 100%, $E$12)</f>
        <v>16.256900000000002</v>
      </c>
      <c r="K791" s="61">
        <f>16.2583 * CHOOSE(CONTROL!$C$21, $C$12, 100%, $E$12)</f>
        <v>16.258299999999998</v>
      </c>
    </row>
    <row r="792" spans="1:11" ht="15">
      <c r="A792" s="13">
        <v>65990</v>
      </c>
      <c r="B792" s="60">
        <f>13.85 * CHOOSE(CONTROL!$C$21, $C$12, 100%, $E$12)</f>
        <v>13.85</v>
      </c>
      <c r="C792" s="60">
        <f>13.85 * CHOOSE(CONTROL!$C$21, $C$12, 100%, $E$12)</f>
        <v>13.85</v>
      </c>
      <c r="D792" s="60">
        <f>13.8711 * CHOOSE(CONTROL!$C$21, $C$12, 100%, $E$12)</f>
        <v>13.8711</v>
      </c>
      <c r="E792" s="61">
        <f>16.2362 * CHOOSE(CONTROL!$C$21, $C$12, 100%, $E$12)</f>
        <v>16.2362</v>
      </c>
      <c r="F792" s="61">
        <f>16.2362 * CHOOSE(CONTROL!$C$21, $C$12, 100%, $E$12)</f>
        <v>16.2362</v>
      </c>
      <c r="G792" s="61">
        <f>16.2376 * CHOOSE(CONTROL!$C$21, $C$12, 100%, $E$12)</f>
        <v>16.2376</v>
      </c>
      <c r="H792" s="61">
        <f>26.5424* CHOOSE(CONTROL!$C$21, $C$12, 100%, $E$12)</f>
        <v>26.542400000000001</v>
      </c>
      <c r="I792" s="61">
        <f>26.5438 * CHOOSE(CONTROL!$C$21, $C$12, 100%, $E$12)</f>
        <v>26.543800000000001</v>
      </c>
      <c r="J792" s="61">
        <f>16.2362 * CHOOSE(CONTROL!$C$21, $C$12, 100%, $E$12)</f>
        <v>16.2362</v>
      </c>
      <c r="K792" s="61">
        <f>16.2376 * CHOOSE(CONTROL!$C$21, $C$12, 100%, $E$12)</f>
        <v>16.2376</v>
      </c>
    </row>
    <row r="793" spans="1:11" ht="15">
      <c r="A793" s="13">
        <v>66020</v>
      </c>
      <c r="B793" s="60">
        <f>13.8774 * CHOOSE(CONTROL!$C$21, $C$12, 100%, $E$12)</f>
        <v>13.8774</v>
      </c>
      <c r="C793" s="60">
        <f>13.8774 * CHOOSE(CONTROL!$C$21, $C$12, 100%, $E$12)</f>
        <v>13.8774</v>
      </c>
      <c r="D793" s="60">
        <f>13.888 * CHOOSE(CONTROL!$C$21, $C$12, 100%, $E$12)</f>
        <v>13.888</v>
      </c>
      <c r="E793" s="61">
        <f>16.297 * CHOOSE(CONTROL!$C$21, $C$12, 100%, $E$12)</f>
        <v>16.297000000000001</v>
      </c>
      <c r="F793" s="61">
        <f>16.297 * CHOOSE(CONTROL!$C$21, $C$12, 100%, $E$12)</f>
        <v>16.297000000000001</v>
      </c>
      <c r="G793" s="61">
        <f>16.2971 * CHOOSE(CONTROL!$C$21, $C$12, 100%, $E$12)</f>
        <v>16.2971</v>
      </c>
      <c r="H793" s="61">
        <f>26.5977* CHOOSE(CONTROL!$C$21, $C$12, 100%, $E$12)</f>
        <v>26.5977</v>
      </c>
      <c r="I793" s="61">
        <f>26.5979 * CHOOSE(CONTROL!$C$21, $C$12, 100%, $E$12)</f>
        <v>26.597899999999999</v>
      </c>
      <c r="J793" s="61">
        <f>16.297 * CHOOSE(CONTROL!$C$21, $C$12, 100%, $E$12)</f>
        <v>16.297000000000001</v>
      </c>
      <c r="K793" s="61">
        <f>16.2971 * CHOOSE(CONTROL!$C$21, $C$12, 100%, $E$12)</f>
        <v>16.2971</v>
      </c>
    </row>
    <row r="794" spans="1:11" ht="15">
      <c r="A794" s="13">
        <v>66051</v>
      </c>
      <c r="B794" s="60">
        <f>13.8805 * CHOOSE(CONTROL!$C$21, $C$12, 100%, $E$12)</f>
        <v>13.8805</v>
      </c>
      <c r="C794" s="60">
        <f>13.8805 * CHOOSE(CONTROL!$C$21, $C$12, 100%, $E$12)</f>
        <v>13.8805</v>
      </c>
      <c r="D794" s="60">
        <f>13.891 * CHOOSE(CONTROL!$C$21, $C$12, 100%, $E$12)</f>
        <v>13.891</v>
      </c>
      <c r="E794" s="61">
        <f>16.3362 * CHOOSE(CONTROL!$C$21, $C$12, 100%, $E$12)</f>
        <v>16.336200000000002</v>
      </c>
      <c r="F794" s="61">
        <f>16.3362 * CHOOSE(CONTROL!$C$21, $C$12, 100%, $E$12)</f>
        <v>16.336200000000002</v>
      </c>
      <c r="G794" s="61">
        <f>16.3363 * CHOOSE(CONTROL!$C$21, $C$12, 100%, $E$12)</f>
        <v>16.336300000000001</v>
      </c>
      <c r="H794" s="61">
        <f>26.6531* CHOOSE(CONTROL!$C$21, $C$12, 100%, $E$12)</f>
        <v>26.653099999999998</v>
      </c>
      <c r="I794" s="61">
        <f>26.6533 * CHOOSE(CONTROL!$C$21, $C$12, 100%, $E$12)</f>
        <v>26.653300000000002</v>
      </c>
      <c r="J794" s="61">
        <f>16.3362 * CHOOSE(CONTROL!$C$21, $C$12, 100%, $E$12)</f>
        <v>16.336200000000002</v>
      </c>
      <c r="K794" s="61">
        <f>16.3363 * CHOOSE(CONTROL!$C$21, $C$12, 100%, $E$12)</f>
        <v>16.336300000000001</v>
      </c>
    </row>
    <row r="795" spans="1:11" ht="15">
      <c r="A795" s="13">
        <v>66081</v>
      </c>
      <c r="B795" s="60">
        <f>13.8805 * CHOOSE(CONTROL!$C$21, $C$12, 100%, $E$12)</f>
        <v>13.8805</v>
      </c>
      <c r="C795" s="60">
        <f>13.8805 * CHOOSE(CONTROL!$C$21, $C$12, 100%, $E$12)</f>
        <v>13.8805</v>
      </c>
      <c r="D795" s="60">
        <f>13.891 * CHOOSE(CONTROL!$C$21, $C$12, 100%, $E$12)</f>
        <v>13.891</v>
      </c>
      <c r="E795" s="61">
        <f>16.2435 * CHOOSE(CONTROL!$C$21, $C$12, 100%, $E$12)</f>
        <v>16.243500000000001</v>
      </c>
      <c r="F795" s="61">
        <f>16.2435 * CHOOSE(CONTROL!$C$21, $C$12, 100%, $E$12)</f>
        <v>16.243500000000001</v>
      </c>
      <c r="G795" s="61">
        <f>16.2437 * CHOOSE(CONTROL!$C$21, $C$12, 100%, $E$12)</f>
        <v>16.2437</v>
      </c>
      <c r="H795" s="61">
        <f>26.7086* CHOOSE(CONTROL!$C$21, $C$12, 100%, $E$12)</f>
        <v>26.708600000000001</v>
      </c>
      <c r="I795" s="61">
        <f>26.7088 * CHOOSE(CONTROL!$C$21, $C$12, 100%, $E$12)</f>
        <v>26.7088</v>
      </c>
      <c r="J795" s="61">
        <f>16.2435 * CHOOSE(CONTROL!$C$21, $C$12, 100%, $E$12)</f>
        <v>16.243500000000001</v>
      </c>
      <c r="K795" s="61">
        <f>16.2437 * CHOOSE(CONTROL!$C$21, $C$12, 100%, $E$12)</f>
        <v>16.2437</v>
      </c>
    </row>
    <row r="796" spans="1:11" ht="15">
      <c r="A796" s="13">
        <v>66112</v>
      </c>
      <c r="B796" s="60">
        <f>13.8715 * CHOOSE(CONTROL!$C$21, $C$12, 100%, $E$12)</f>
        <v>13.871499999999999</v>
      </c>
      <c r="C796" s="60">
        <f>13.8715 * CHOOSE(CONTROL!$C$21, $C$12, 100%, $E$12)</f>
        <v>13.871499999999999</v>
      </c>
      <c r="D796" s="60">
        <f>13.8821 * CHOOSE(CONTROL!$C$21, $C$12, 100%, $E$12)</f>
        <v>13.882099999999999</v>
      </c>
      <c r="E796" s="61">
        <f>16.2972 * CHOOSE(CONTROL!$C$21, $C$12, 100%, $E$12)</f>
        <v>16.2972</v>
      </c>
      <c r="F796" s="61">
        <f>16.2972 * CHOOSE(CONTROL!$C$21, $C$12, 100%, $E$12)</f>
        <v>16.2972</v>
      </c>
      <c r="G796" s="61">
        <f>16.2974 * CHOOSE(CONTROL!$C$21, $C$12, 100%, $E$12)</f>
        <v>16.2974</v>
      </c>
      <c r="H796" s="61">
        <f>26.55* CHOOSE(CONTROL!$C$21, $C$12, 100%, $E$12)</f>
        <v>26.55</v>
      </c>
      <c r="I796" s="61">
        <f>26.5502 * CHOOSE(CONTROL!$C$21, $C$12, 100%, $E$12)</f>
        <v>26.5502</v>
      </c>
      <c r="J796" s="61">
        <f>16.2972 * CHOOSE(CONTROL!$C$21, $C$12, 100%, $E$12)</f>
        <v>16.2972</v>
      </c>
      <c r="K796" s="61">
        <f>16.2974 * CHOOSE(CONTROL!$C$21, $C$12, 100%, $E$12)</f>
        <v>16.2974</v>
      </c>
    </row>
    <row r="797" spans="1:11" ht="15">
      <c r="A797" s="13">
        <v>66143</v>
      </c>
      <c r="B797" s="60">
        <f>13.8685 * CHOOSE(CONTROL!$C$21, $C$12, 100%, $E$12)</f>
        <v>13.868499999999999</v>
      </c>
      <c r="C797" s="60">
        <f>13.8685 * CHOOSE(CONTROL!$C$21, $C$12, 100%, $E$12)</f>
        <v>13.868499999999999</v>
      </c>
      <c r="D797" s="60">
        <f>13.879 * CHOOSE(CONTROL!$C$21, $C$12, 100%, $E$12)</f>
        <v>13.879</v>
      </c>
      <c r="E797" s="61">
        <f>16.1168 * CHOOSE(CONTROL!$C$21, $C$12, 100%, $E$12)</f>
        <v>16.116800000000001</v>
      </c>
      <c r="F797" s="61">
        <f>16.1168 * CHOOSE(CONTROL!$C$21, $C$12, 100%, $E$12)</f>
        <v>16.116800000000001</v>
      </c>
      <c r="G797" s="61">
        <f>16.117 * CHOOSE(CONTROL!$C$21, $C$12, 100%, $E$12)</f>
        <v>16.117000000000001</v>
      </c>
      <c r="H797" s="61">
        <f>26.6053* CHOOSE(CONTROL!$C$21, $C$12, 100%, $E$12)</f>
        <v>26.6053</v>
      </c>
      <c r="I797" s="61">
        <f>26.6055 * CHOOSE(CONTROL!$C$21, $C$12, 100%, $E$12)</f>
        <v>26.605499999999999</v>
      </c>
      <c r="J797" s="61">
        <f>16.1168 * CHOOSE(CONTROL!$C$21, $C$12, 100%, $E$12)</f>
        <v>16.116800000000001</v>
      </c>
      <c r="K797" s="61">
        <f>16.117 * CHOOSE(CONTROL!$C$21, $C$12, 100%, $E$12)</f>
        <v>16.117000000000001</v>
      </c>
    </row>
    <row r="798" spans="1:11" ht="15">
      <c r="A798" s="13">
        <v>66171</v>
      </c>
      <c r="B798" s="60">
        <f>13.8654 * CHOOSE(CONTROL!$C$21, $C$12, 100%, $E$12)</f>
        <v>13.865399999999999</v>
      </c>
      <c r="C798" s="60">
        <f>13.8654 * CHOOSE(CONTROL!$C$21, $C$12, 100%, $E$12)</f>
        <v>13.865399999999999</v>
      </c>
      <c r="D798" s="60">
        <f>13.876 * CHOOSE(CONTROL!$C$21, $C$12, 100%, $E$12)</f>
        <v>13.875999999999999</v>
      </c>
      <c r="E798" s="61">
        <f>16.2553 * CHOOSE(CONTROL!$C$21, $C$12, 100%, $E$12)</f>
        <v>16.255299999999998</v>
      </c>
      <c r="F798" s="61">
        <f>16.2553 * CHOOSE(CONTROL!$C$21, $C$12, 100%, $E$12)</f>
        <v>16.255299999999998</v>
      </c>
      <c r="G798" s="61">
        <f>16.2554 * CHOOSE(CONTROL!$C$21, $C$12, 100%, $E$12)</f>
        <v>16.255400000000002</v>
      </c>
      <c r="H798" s="61">
        <f>26.6608* CHOOSE(CONTROL!$C$21, $C$12, 100%, $E$12)</f>
        <v>26.660799999999998</v>
      </c>
      <c r="I798" s="61">
        <f>26.6609 * CHOOSE(CONTROL!$C$21, $C$12, 100%, $E$12)</f>
        <v>26.660900000000002</v>
      </c>
      <c r="J798" s="61">
        <f>16.2553 * CHOOSE(CONTROL!$C$21, $C$12, 100%, $E$12)</f>
        <v>16.255299999999998</v>
      </c>
      <c r="K798" s="61">
        <f>16.2554 * CHOOSE(CONTROL!$C$21, $C$12, 100%, $E$12)</f>
        <v>16.255400000000002</v>
      </c>
    </row>
    <row r="799" spans="1:11" ht="15">
      <c r="A799" s="13">
        <v>66202</v>
      </c>
      <c r="B799" s="60">
        <f>13.8715 * CHOOSE(CONTROL!$C$21, $C$12, 100%, $E$12)</f>
        <v>13.871499999999999</v>
      </c>
      <c r="C799" s="60">
        <f>13.8715 * CHOOSE(CONTROL!$C$21, $C$12, 100%, $E$12)</f>
        <v>13.871499999999999</v>
      </c>
      <c r="D799" s="60">
        <f>13.8821 * CHOOSE(CONTROL!$C$21, $C$12, 100%, $E$12)</f>
        <v>13.882099999999999</v>
      </c>
      <c r="E799" s="61">
        <f>16.402 * CHOOSE(CONTROL!$C$21, $C$12, 100%, $E$12)</f>
        <v>16.402000000000001</v>
      </c>
      <c r="F799" s="61">
        <f>16.402 * CHOOSE(CONTROL!$C$21, $C$12, 100%, $E$12)</f>
        <v>16.402000000000001</v>
      </c>
      <c r="G799" s="61">
        <f>16.4022 * CHOOSE(CONTROL!$C$21, $C$12, 100%, $E$12)</f>
        <v>16.402200000000001</v>
      </c>
      <c r="H799" s="61">
        <f>26.7163* CHOOSE(CONTROL!$C$21, $C$12, 100%, $E$12)</f>
        <v>26.7163</v>
      </c>
      <c r="I799" s="61">
        <f>26.7165 * CHOOSE(CONTROL!$C$21, $C$12, 100%, $E$12)</f>
        <v>26.7165</v>
      </c>
      <c r="J799" s="61">
        <f>16.402 * CHOOSE(CONTROL!$C$21, $C$12, 100%, $E$12)</f>
        <v>16.402000000000001</v>
      </c>
      <c r="K799" s="61">
        <f>16.4022 * CHOOSE(CONTROL!$C$21, $C$12, 100%, $E$12)</f>
        <v>16.402200000000001</v>
      </c>
    </row>
    <row r="800" spans="1:11" ht="15">
      <c r="A800" s="13">
        <v>66232</v>
      </c>
      <c r="B800" s="60">
        <f>13.8715 * CHOOSE(CONTROL!$C$21, $C$12, 100%, $E$12)</f>
        <v>13.871499999999999</v>
      </c>
      <c r="C800" s="60">
        <f>13.8715 * CHOOSE(CONTROL!$C$21, $C$12, 100%, $E$12)</f>
        <v>13.871499999999999</v>
      </c>
      <c r="D800" s="60">
        <f>13.8926 * CHOOSE(CONTROL!$C$21, $C$12, 100%, $E$12)</f>
        <v>13.8926</v>
      </c>
      <c r="E800" s="61">
        <f>16.4586 * CHOOSE(CONTROL!$C$21, $C$12, 100%, $E$12)</f>
        <v>16.458600000000001</v>
      </c>
      <c r="F800" s="61">
        <f>16.4586 * CHOOSE(CONTROL!$C$21, $C$12, 100%, $E$12)</f>
        <v>16.458600000000001</v>
      </c>
      <c r="G800" s="61">
        <f>16.46 * CHOOSE(CONTROL!$C$21, $C$12, 100%, $E$12)</f>
        <v>16.46</v>
      </c>
      <c r="H800" s="61">
        <f>26.772* CHOOSE(CONTROL!$C$21, $C$12, 100%, $E$12)</f>
        <v>26.771999999999998</v>
      </c>
      <c r="I800" s="61">
        <f>26.7733 * CHOOSE(CONTROL!$C$21, $C$12, 100%, $E$12)</f>
        <v>26.773299999999999</v>
      </c>
      <c r="J800" s="61">
        <f>16.4586 * CHOOSE(CONTROL!$C$21, $C$12, 100%, $E$12)</f>
        <v>16.458600000000001</v>
      </c>
      <c r="K800" s="61">
        <f>16.46 * CHOOSE(CONTROL!$C$21, $C$12, 100%, $E$12)</f>
        <v>16.46</v>
      </c>
    </row>
    <row r="801" spans="1:11" ht="15">
      <c r="A801" s="13">
        <v>66263</v>
      </c>
      <c r="B801" s="60">
        <f>13.8776 * CHOOSE(CONTROL!$C$21, $C$12, 100%, $E$12)</f>
        <v>13.877599999999999</v>
      </c>
      <c r="C801" s="60">
        <f>13.8776 * CHOOSE(CONTROL!$C$21, $C$12, 100%, $E$12)</f>
        <v>13.877599999999999</v>
      </c>
      <c r="D801" s="60">
        <f>13.8987 * CHOOSE(CONTROL!$C$21, $C$12, 100%, $E$12)</f>
        <v>13.8987</v>
      </c>
      <c r="E801" s="61">
        <f>16.4063 * CHOOSE(CONTROL!$C$21, $C$12, 100%, $E$12)</f>
        <v>16.406300000000002</v>
      </c>
      <c r="F801" s="61">
        <f>16.4063 * CHOOSE(CONTROL!$C$21, $C$12, 100%, $E$12)</f>
        <v>16.406300000000002</v>
      </c>
      <c r="G801" s="61">
        <f>16.4076 * CHOOSE(CONTROL!$C$21, $C$12, 100%, $E$12)</f>
        <v>16.407599999999999</v>
      </c>
      <c r="H801" s="61">
        <f>26.8277* CHOOSE(CONTROL!$C$21, $C$12, 100%, $E$12)</f>
        <v>26.8277</v>
      </c>
      <c r="I801" s="61">
        <f>26.8291 * CHOOSE(CONTROL!$C$21, $C$12, 100%, $E$12)</f>
        <v>26.8291</v>
      </c>
      <c r="J801" s="61">
        <f>16.4063 * CHOOSE(CONTROL!$C$21, $C$12, 100%, $E$12)</f>
        <v>16.406300000000002</v>
      </c>
      <c r="K801" s="61">
        <f>16.4076 * CHOOSE(CONTROL!$C$21, $C$12, 100%, $E$12)</f>
        <v>16.407599999999999</v>
      </c>
    </row>
    <row r="802" spans="1:11" ht="15">
      <c r="A802" s="13">
        <v>66293</v>
      </c>
      <c r="B802" s="60">
        <f>14.0956 * CHOOSE(CONTROL!$C$21, $C$12, 100%, $E$12)</f>
        <v>14.095599999999999</v>
      </c>
      <c r="C802" s="60">
        <f>14.0956 * CHOOSE(CONTROL!$C$21, $C$12, 100%, $E$12)</f>
        <v>14.095599999999999</v>
      </c>
      <c r="D802" s="60">
        <f>14.1167 * CHOOSE(CONTROL!$C$21, $C$12, 100%, $E$12)</f>
        <v>14.1167</v>
      </c>
      <c r="E802" s="61">
        <f>16.7189 * CHOOSE(CONTROL!$C$21, $C$12, 100%, $E$12)</f>
        <v>16.718900000000001</v>
      </c>
      <c r="F802" s="61">
        <f>16.7189 * CHOOSE(CONTROL!$C$21, $C$12, 100%, $E$12)</f>
        <v>16.718900000000001</v>
      </c>
      <c r="G802" s="61">
        <f>16.7203 * CHOOSE(CONTROL!$C$21, $C$12, 100%, $E$12)</f>
        <v>16.720300000000002</v>
      </c>
      <c r="H802" s="61">
        <f>26.8836* CHOOSE(CONTROL!$C$21, $C$12, 100%, $E$12)</f>
        <v>26.883600000000001</v>
      </c>
      <c r="I802" s="61">
        <f>26.885 * CHOOSE(CONTROL!$C$21, $C$12, 100%, $E$12)</f>
        <v>26.885000000000002</v>
      </c>
      <c r="J802" s="61">
        <f>16.7189 * CHOOSE(CONTROL!$C$21, $C$12, 100%, $E$12)</f>
        <v>16.718900000000001</v>
      </c>
      <c r="K802" s="61">
        <f>16.7203 * CHOOSE(CONTROL!$C$21, $C$12, 100%, $E$12)</f>
        <v>16.720300000000002</v>
      </c>
    </row>
    <row r="803" spans="1:11" ht="15">
      <c r="A803" s="13">
        <v>66324</v>
      </c>
      <c r="B803" s="60">
        <f>14.1023 * CHOOSE(CONTROL!$C$21, $C$12, 100%, $E$12)</f>
        <v>14.1023</v>
      </c>
      <c r="C803" s="60">
        <f>14.1023 * CHOOSE(CONTROL!$C$21, $C$12, 100%, $E$12)</f>
        <v>14.1023</v>
      </c>
      <c r="D803" s="60">
        <f>14.1234 * CHOOSE(CONTROL!$C$21, $C$12, 100%, $E$12)</f>
        <v>14.1234</v>
      </c>
      <c r="E803" s="61">
        <f>16.5537 * CHOOSE(CONTROL!$C$21, $C$12, 100%, $E$12)</f>
        <v>16.553699999999999</v>
      </c>
      <c r="F803" s="61">
        <f>16.5537 * CHOOSE(CONTROL!$C$21, $C$12, 100%, $E$12)</f>
        <v>16.553699999999999</v>
      </c>
      <c r="G803" s="61">
        <f>16.5551 * CHOOSE(CONTROL!$C$21, $C$12, 100%, $E$12)</f>
        <v>16.555099999999999</v>
      </c>
      <c r="H803" s="61">
        <f>26.9396* CHOOSE(CONTROL!$C$21, $C$12, 100%, $E$12)</f>
        <v>26.939599999999999</v>
      </c>
      <c r="I803" s="61">
        <f>26.941 * CHOOSE(CONTROL!$C$21, $C$12, 100%, $E$12)</f>
        <v>26.940999999999999</v>
      </c>
      <c r="J803" s="61">
        <f>16.5537 * CHOOSE(CONTROL!$C$21, $C$12, 100%, $E$12)</f>
        <v>16.553699999999999</v>
      </c>
      <c r="K803" s="61">
        <f>16.5551 * CHOOSE(CONTROL!$C$21, $C$12, 100%, $E$12)</f>
        <v>16.555099999999999</v>
      </c>
    </row>
    <row r="804" spans="1:11" ht="15">
      <c r="A804" s="13">
        <v>66355</v>
      </c>
      <c r="B804" s="60">
        <f>14.0992 * CHOOSE(CONTROL!$C$21, $C$12, 100%, $E$12)</f>
        <v>14.0992</v>
      </c>
      <c r="C804" s="60">
        <f>14.0992 * CHOOSE(CONTROL!$C$21, $C$12, 100%, $E$12)</f>
        <v>14.0992</v>
      </c>
      <c r="D804" s="60">
        <f>14.1204 * CHOOSE(CONTROL!$C$21, $C$12, 100%, $E$12)</f>
        <v>14.1204</v>
      </c>
      <c r="E804" s="61">
        <f>16.5327 * CHOOSE(CONTROL!$C$21, $C$12, 100%, $E$12)</f>
        <v>16.532699999999998</v>
      </c>
      <c r="F804" s="61">
        <f>16.5327 * CHOOSE(CONTROL!$C$21, $C$12, 100%, $E$12)</f>
        <v>16.532699999999998</v>
      </c>
      <c r="G804" s="61">
        <f>16.5341 * CHOOSE(CONTROL!$C$21, $C$12, 100%, $E$12)</f>
        <v>16.534099999999999</v>
      </c>
      <c r="H804" s="61">
        <f>26.9958* CHOOSE(CONTROL!$C$21, $C$12, 100%, $E$12)</f>
        <v>26.995799999999999</v>
      </c>
      <c r="I804" s="61">
        <f>26.9971 * CHOOSE(CONTROL!$C$21, $C$12, 100%, $E$12)</f>
        <v>26.9971</v>
      </c>
      <c r="J804" s="61">
        <f>16.5327 * CHOOSE(CONTROL!$C$21, $C$12, 100%, $E$12)</f>
        <v>16.532699999999998</v>
      </c>
      <c r="K804" s="61">
        <f>16.5341 * CHOOSE(CONTROL!$C$21, $C$12, 100%, $E$12)</f>
        <v>16.534099999999999</v>
      </c>
    </row>
    <row r="805" spans="1:11" ht="15">
      <c r="A805" s="13">
        <v>66385</v>
      </c>
      <c r="B805" s="60">
        <f>14.1275 * CHOOSE(CONTROL!$C$21, $C$12, 100%, $E$12)</f>
        <v>14.1275</v>
      </c>
      <c r="C805" s="60">
        <f>14.1275 * CHOOSE(CONTROL!$C$21, $C$12, 100%, $E$12)</f>
        <v>14.1275</v>
      </c>
      <c r="D805" s="60">
        <f>14.138 * CHOOSE(CONTROL!$C$21, $C$12, 100%, $E$12)</f>
        <v>14.138</v>
      </c>
      <c r="E805" s="61">
        <f>16.5948 * CHOOSE(CONTROL!$C$21, $C$12, 100%, $E$12)</f>
        <v>16.594799999999999</v>
      </c>
      <c r="F805" s="61">
        <f>16.5948 * CHOOSE(CONTROL!$C$21, $C$12, 100%, $E$12)</f>
        <v>16.594799999999999</v>
      </c>
      <c r="G805" s="61">
        <f>16.595 * CHOOSE(CONTROL!$C$21, $C$12, 100%, $E$12)</f>
        <v>16.594999999999999</v>
      </c>
      <c r="H805" s="61">
        <f>27.052* CHOOSE(CONTROL!$C$21, $C$12, 100%, $E$12)</f>
        <v>27.052</v>
      </c>
      <c r="I805" s="61">
        <f>27.0522 * CHOOSE(CONTROL!$C$21, $C$12, 100%, $E$12)</f>
        <v>27.052199999999999</v>
      </c>
      <c r="J805" s="61">
        <f>16.5948 * CHOOSE(CONTROL!$C$21, $C$12, 100%, $E$12)</f>
        <v>16.594799999999999</v>
      </c>
      <c r="K805" s="61">
        <f>16.595 * CHOOSE(CONTROL!$C$21, $C$12, 100%, $E$12)</f>
        <v>16.594999999999999</v>
      </c>
    </row>
    <row r="806" spans="1:11" ht="15">
      <c r="A806" s="13">
        <v>66416</v>
      </c>
      <c r="B806" s="60">
        <f>14.1305 * CHOOSE(CONTROL!$C$21, $C$12, 100%, $E$12)</f>
        <v>14.1305</v>
      </c>
      <c r="C806" s="60">
        <f>14.1305 * CHOOSE(CONTROL!$C$21, $C$12, 100%, $E$12)</f>
        <v>14.1305</v>
      </c>
      <c r="D806" s="60">
        <f>14.1411 * CHOOSE(CONTROL!$C$21, $C$12, 100%, $E$12)</f>
        <v>14.1411</v>
      </c>
      <c r="E806" s="61">
        <f>16.6347 * CHOOSE(CONTROL!$C$21, $C$12, 100%, $E$12)</f>
        <v>16.634699999999999</v>
      </c>
      <c r="F806" s="61">
        <f>16.6347 * CHOOSE(CONTROL!$C$21, $C$12, 100%, $E$12)</f>
        <v>16.634699999999999</v>
      </c>
      <c r="G806" s="61">
        <f>16.6349 * CHOOSE(CONTROL!$C$21, $C$12, 100%, $E$12)</f>
        <v>16.634899999999998</v>
      </c>
      <c r="H806" s="61">
        <f>27.1084* CHOOSE(CONTROL!$C$21, $C$12, 100%, $E$12)</f>
        <v>27.1084</v>
      </c>
      <c r="I806" s="61">
        <f>27.1085 * CHOOSE(CONTROL!$C$21, $C$12, 100%, $E$12)</f>
        <v>27.108499999999999</v>
      </c>
      <c r="J806" s="61">
        <f>16.6347 * CHOOSE(CONTROL!$C$21, $C$12, 100%, $E$12)</f>
        <v>16.634699999999999</v>
      </c>
      <c r="K806" s="61">
        <f>16.6349 * CHOOSE(CONTROL!$C$21, $C$12, 100%, $E$12)</f>
        <v>16.634899999999998</v>
      </c>
    </row>
    <row r="807" spans="1:11" ht="15">
      <c r="A807" s="13">
        <v>66446</v>
      </c>
      <c r="B807" s="60">
        <f>14.1305 * CHOOSE(CONTROL!$C$21, $C$12, 100%, $E$12)</f>
        <v>14.1305</v>
      </c>
      <c r="C807" s="60">
        <f>14.1305 * CHOOSE(CONTROL!$C$21, $C$12, 100%, $E$12)</f>
        <v>14.1305</v>
      </c>
      <c r="D807" s="60">
        <f>14.1411 * CHOOSE(CONTROL!$C$21, $C$12, 100%, $E$12)</f>
        <v>14.1411</v>
      </c>
      <c r="E807" s="61">
        <f>16.5403 * CHOOSE(CONTROL!$C$21, $C$12, 100%, $E$12)</f>
        <v>16.540299999999998</v>
      </c>
      <c r="F807" s="61">
        <f>16.5403 * CHOOSE(CONTROL!$C$21, $C$12, 100%, $E$12)</f>
        <v>16.540299999999998</v>
      </c>
      <c r="G807" s="61">
        <f>16.5405 * CHOOSE(CONTROL!$C$21, $C$12, 100%, $E$12)</f>
        <v>16.540500000000002</v>
      </c>
      <c r="H807" s="61">
        <f>27.1648* CHOOSE(CONTROL!$C$21, $C$12, 100%, $E$12)</f>
        <v>27.1648</v>
      </c>
      <c r="I807" s="61">
        <f>27.165 * CHOOSE(CONTROL!$C$21, $C$12, 100%, $E$12)</f>
        <v>27.164999999999999</v>
      </c>
      <c r="J807" s="61">
        <f>16.5403 * CHOOSE(CONTROL!$C$21, $C$12, 100%, $E$12)</f>
        <v>16.540299999999998</v>
      </c>
      <c r="K807" s="61">
        <f>16.5405 * CHOOSE(CONTROL!$C$21, $C$12, 100%, $E$12)</f>
        <v>16.540500000000002</v>
      </c>
    </row>
    <row r="808" spans="1:11" ht="15">
      <c r="A808" s="13">
        <v>66477</v>
      </c>
      <c r="B808" s="60">
        <f>14.1168 * CHOOSE(CONTROL!$C$21, $C$12, 100%, $E$12)</f>
        <v>14.1168</v>
      </c>
      <c r="C808" s="60">
        <f>14.1168 * CHOOSE(CONTROL!$C$21, $C$12, 100%, $E$12)</f>
        <v>14.1168</v>
      </c>
      <c r="D808" s="60">
        <f>14.1274 * CHOOSE(CONTROL!$C$21, $C$12, 100%, $E$12)</f>
        <v>14.1274</v>
      </c>
      <c r="E808" s="61">
        <f>16.5897 * CHOOSE(CONTROL!$C$21, $C$12, 100%, $E$12)</f>
        <v>16.589700000000001</v>
      </c>
      <c r="F808" s="61">
        <f>16.5897 * CHOOSE(CONTROL!$C$21, $C$12, 100%, $E$12)</f>
        <v>16.589700000000001</v>
      </c>
      <c r="G808" s="61">
        <f>16.5898 * CHOOSE(CONTROL!$C$21, $C$12, 100%, $E$12)</f>
        <v>16.5898</v>
      </c>
      <c r="H808" s="61">
        <f>26.9959* CHOOSE(CONTROL!$C$21, $C$12, 100%, $E$12)</f>
        <v>26.995899999999999</v>
      </c>
      <c r="I808" s="61">
        <f>26.9961 * CHOOSE(CONTROL!$C$21, $C$12, 100%, $E$12)</f>
        <v>26.996099999999998</v>
      </c>
      <c r="J808" s="61">
        <f>16.5897 * CHOOSE(CONTROL!$C$21, $C$12, 100%, $E$12)</f>
        <v>16.589700000000001</v>
      </c>
      <c r="K808" s="61">
        <f>16.5898 * CHOOSE(CONTROL!$C$21, $C$12, 100%, $E$12)</f>
        <v>16.5898</v>
      </c>
    </row>
    <row r="809" spans="1:11" ht="15">
      <c r="A809" s="13">
        <v>66508</v>
      </c>
      <c r="B809" s="60">
        <f>14.1138 * CHOOSE(CONTROL!$C$21, $C$12, 100%, $E$12)</f>
        <v>14.113799999999999</v>
      </c>
      <c r="C809" s="60">
        <f>14.1138 * CHOOSE(CONTROL!$C$21, $C$12, 100%, $E$12)</f>
        <v>14.113799999999999</v>
      </c>
      <c r="D809" s="60">
        <f>14.1243 * CHOOSE(CONTROL!$C$21, $C$12, 100%, $E$12)</f>
        <v>14.1243</v>
      </c>
      <c r="E809" s="61">
        <f>16.406 * CHOOSE(CONTROL!$C$21, $C$12, 100%, $E$12)</f>
        <v>16.405999999999999</v>
      </c>
      <c r="F809" s="61">
        <f>16.406 * CHOOSE(CONTROL!$C$21, $C$12, 100%, $E$12)</f>
        <v>16.405999999999999</v>
      </c>
      <c r="G809" s="61">
        <f>16.4062 * CHOOSE(CONTROL!$C$21, $C$12, 100%, $E$12)</f>
        <v>16.406199999999998</v>
      </c>
      <c r="H809" s="61">
        <f>27.0522* CHOOSE(CONTROL!$C$21, $C$12, 100%, $E$12)</f>
        <v>27.052199999999999</v>
      </c>
      <c r="I809" s="61">
        <f>27.0523 * CHOOSE(CONTROL!$C$21, $C$12, 100%, $E$12)</f>
        <v>27.052299999999999</v>
      </c>
      <c r="J809" s="61">
        <f>16.406 * CHOOSE(CONTROL!$C$21, $C$12, 100%, $E$12)</f>
        <v>16.405999999999999</v>
      </c>
      <c r="K809" s="61">
        <f>16.4062 * CHOOSE(CONTROL!$C$21, $C$12, 100%, $E$12)</f>
        <v>16.406199999999998</v>
      </c>
    </row>
    <row r="810" spans="1:11" ht="15">
      <c r="A810" s="13">
        <v>66536</v>
      </c>
      <c r="B810" s="60">
        <f>14.1107 * CHOOSE(CONTROL!$C$21, $C$12, 100%, $E$12)</f>
        <v>14.1107</v>
      </c>
      <c r="C810" s="60">
        <f>14.1107 * CHOOSE(CONTROL!$C$21, $C$12, 100%, $E$12)</f>
        <v>14.1107</v>
      </c>
      <c r="D810" s="60">
        <f>14.1213 * CHOOSE(CONTROL!$C$21, $C$12, 100%, $E$12)</f>
        <v>14.1213</v>
      </c>
      <c r="E810" s="61">
        <f>16.547 * CHOOSE(CONTROL!$C$21, $C$12, 100%, $E$12)</f>
        <v>16.547000000000001</v>
      </c>
      <c r="F810" s="61">
        <f>16.547 * CHOOSE(CONTROL!$C$21, $C$12, 100%, $E$12)</f>
        <v>16.547000000000001</v>
      </c>
      <c r="G810" s="61">
        <f>16.5472 * CHOOSE(CONTROL!$C$21, $C$12, 100%, $E$12)</f>
        <v>16.5472</v>
      </c>
      <c r="H810" s="61">
        <f>27.1085* CHOOSE(CONTROL!$C$21, $C$12, 100%, $E$12)</f>
        <v>27.108499999999999</v>
      </c>
      <c r="I810" s="61">
        <f>27.1087 * CHOOSE(CONTROL!$C$21, $C$12, 100%, $E$12)</f>
        <v>27.108699999999999</v>
      </c>
      <c r="J810" s="61">
        <f>16.547 * CHOOSE(CONTROL!$C$21, $C$12, 100%, $E$12)</f>
        <v>16.547000000000001</v>
      </c>
      <c r="K810" s="61">
        <f>16.5472 * CHOOSE(CONTROL!$C$21, $C$12, 100%, $E$12)</f>
        <v>16.5472</v>
      </c>
    </row>
    <row r="811" spans="1:11" ht="15">
      <c r="A811" s="13">
        <v>66567</v>
      </c>
      <c r="B811" s="60">
        <f>14.117 * CHOOSE(CONTROL!$C$21, $C$12, 100%, $E$12)</f>
        <v>14.117000000000001</v>
      </c>
      <c r="C811" s="60">
        <f>14.117 * CHOOSE(CONTROL!$C$21, $C$12, 100%, $E$12)</f>
        <v>14.117000000000001</v>
      </c>
      <c r="D811" s="60">
        <f>14.1276 * CHOOSE(CONTROL!$C$21, $C$12, 100%, $E$12)</f>
        <v>14.127599999999999</v>
      </c>
      <c r="E811" s="61">
        <f>16.6965 * CHOOSE(CONTROL!$C$21, $C$12, 100%, $E$12)</f>
        <v>16.6965</v>
      </c>
      <c r="F811" s="61">
        <f>16.6965 * CHOOSE(CONTROL!$C$21, $C$12, 100%, $E$12)</f>
        <v>16.6965</v>
      </c>
      <c r="G811" s="61">
        <f>16.6966 * CHOOSE(CONTROL!$C$21, $C$12, 100%, $E$12)</f>
        <v>16.6966</v>
      </c>
      <c r="H811" s="61">
        <f>27.165* CHOOSE(CONTROL!$C$21, $C$12, 100%, $E$12)</f>
        <v>27.164999999999999</v>
      </c>
      <c r="I811" s="61">
        <f>27.1652 * CHOOSE(CONTROL!$C$21, $C$12, 100%, $E$12)</f>
        <v>27.165199999999999</v>
      </c>
      <c r="J811" s="61">
        <f>16.6965 * CHOOSE(CONTROL!$C$21, $C$12, 100%, $E$12)</f>
        <v>16.6965</v>
      </c>
      <c r="K811" s="61">
        <f>16.6966 * CHOOSE(CONTROL!$C$21, $C$12, 100%, $E$12)</f>
        <v>16.6966</v>
      </c>
    </row>
    <row r="812" spans="1:11" ht="15">
      <c r="A812" s="13">
        <v>66597</v>
      </c>
      <c r="B812" s="60">
        <f>14.117 * CHOOSE(CONTROL!$C$21, $C$12, 100%, $E$12)</f>
        <v>14.117000000000001</v>
      </c>
      <c r="C812" s="60">
        <f>14.117 * CHOOSE(CONTROL!$C$21, $C$12, 100%, $E$12)</f>
        <v>14.117000000000001</v>
      </c>
      <c r="D812" s="60">
        <f>14.1381 * CHOOSE(CONTROL!$C$21, $C$12, 100%, $E$12)</f>
        <v>14.1381</v>
      </c>
      <c r="E812" s="61">
        <f>16.7541 * CHOOSE(CONTROL!$C$21, $C$12, 100%, $E$12)</f>
        <v>16.754100000000001</v>
      </c>
      <c r="F812" s="61">
        <f>16.7541 * CHOOSE(CONTROL!$C$21, $C$12, 100%, $E$12)</f>
        <v>16.754100000000001</v>
      </c>
      <c r="G812" s="61">
        <f>16.7555 * CHOOSE(CONTROL!$C$21, $C$12, 100%, $E$12)</f>
        <v>16.755500000000001</v>
      </c>
      <c r="H812" s="61">
        <f>27.2216* CHOOSE(CONTROL!$C$21, $C$12, 100%, $E$12)</f>
        <v>27.221599999999999</v>
      </c>
      <c r="I812" s="61">
        <f>27.223 * CHOOSE(CONTROL!$C$21, $C$12, 100%, $E$12)</f>
        <v>27.222999999999999</v>
      </c>
      <c r="J812" s="61">
        <f>16.7541 * CHOOSE(CONTROL!$C$21, $C$12, 100%, $E$12)</f>
        <v>16.754100000000001</v>
      </c>
      <c r="K812" s="61">
        <f>16.7555 * CHOOSE(CONTROL!$C$21, $C$12, 100%, $E$12)</f>
        <v>16.755500000000001</v>
      </c>
    </row>
    <row r="813" spans="1:11" ht="15">
      <c r="A813" s="13">
        <v>66628</v>
      </c>
      <c r="B813" s="60">
        <f>14.1231 * CHOOSE(CONTROL!$C$21, $C$12, 100%, $E$12)</f>
        <v>14.123100000000001</v>
      </c>
      <c r="C813" s="60">
        <f>14.1231 * CHOOSE(CONTROL!$C$21, $C$12, 100%, $E$12)</f>
        <v>14.123100000000001</v>
      </c>
      <c r="D813" s="60">
        <f>14.1442 * CHOOSE(CONTROL!$C$21, $C$12, 100%, $E$12)</f>
        <v>14.1442</v>
      </c>
      <c r="E813" s="61">
        <f>16.7007 * CHOOSE(CONTROL!$C$21, $C$12, 100%, $E$12)</f>
        <v>16.700700000000001</v>
      </c>
      <c r="F813" s="61">
        <f>16.7007 * CHOOSE(CONTROL!$C$21, $C$12, 100%, $E$12)</f>
        <v>16.700700000000001</v>
      </c>
      <c r="G813" s="61">
        <f>16.7021 * CHOOSE(CONTROL!$C$21, $C$12, 100%, $E$12)</f>
        <v>16.702100000000002</v>
      </c>
      <c r="H813" s="61">
        <f>27.2783* CHOOSE(CONTROL!$C$21, $C$12, 100%, $E$12)</f>
        <v>27.278300000000002</v>
      </c>
      <c r="I813" s="61">
        <f>27.2797 * CHOOSE(CONTROL!$C$21, $C$12, 100%, $E$12)</f>
        <v>27.279699999999998</v>
      </c>
      <c r="J813" s="61">
        <f>16.7007 * CHOOSE(CONTROL!$C$21, $C$12, 100%, $E$12)</f>
        <v>16.700700000000001</v>
      </c>
      <c r="K813" s="61">
        <f>16.7021 * CHOOSE(CONTROL!$C$21, $C$12, 100%, $E$12)</f>
        <v>16.702100000000002</v>
      </c>
    </row>
    <row r="814" spans="1:11" ht="15">
      <c r="A814" s="13">
        <v>66658</v>
      </c>
      <c r="B814" s="60">
        <f>14.3448 * CHOOSE(CONTROL!$C$21, $C$12, 100%, $E$12)</f>
        <v>14.344799999999999</v>
      </c>
      <c r="C814" s="60">
        <f>14.3448 * CHOOSE(CONTROL!$C$21, $C$12, 100%, $E$12)</f>
        <v>14.344799999999999</v>
      </c>
      <c r="D814" s="60">
        <f>14.3659 * CHOOSE(CONTROL!$C$21, $C$12, 100%, $E$12)</f>
        <v>14.3659</v>
      </c>
      <c r="E814" s="61">
        <f>17.0188 * CHOOSE(CONTROL!$C$21, $C$12, 100%, $E$12)</f>
        <v>17.018799999999999</v>
      </c>
      <c r="F814" s="61">
        <f>17.0188 * CHOOSE(CONTROL!$C$21, $C$12, 100%, $E$12)</f>
        <v>17.018799999999999</v>
      </c>
      <c r="G814" s="61">
        <f>17.0202 * CHOOSE(CONTROL!$C$21, $C$12, 100%, $E$12)</f>
        <v>17.020199999999999</v>
      </c>
      <c r="H814" s="61">
        <f>27.3351* CHOOSE(CONTROL!$C$21, $C$12, 100%, $E$12)</f>
        <v>27.335100000000001</v>
      </c>
      <c r="I814" s="61">
        <f>27.3365 * CHOOSE(CONTROL!$C$21, $C$12, 100%, $E$12)</f>
        <v>27.336500000000001</v>
      </c>
      <c r="J814" s="61">
        <f>17.0188 * CHOOSE(CONTROL!$C$21, $C$12, 100%, $E$12)</f>
        <v>17.018799999999999</v>
      </c>
      <c r="K814" s="61">
        <f>17.0202 * CHOOSE(CONTROL!$C$21, $C$12, 100%, $E$12)</f>
        <v>17.020199999999999</v>
      </c>
    </row>
    <row r="815" spans="1:11" ht="15">
      <c r="A815" s="13">
        <v>66689</v>
      </c>
      <c r="B815" s="60">
        <f>14.3515 * CHOOSE(CONTROL!$C$21, $C$12, 100%, $E$12)</f>
        <v>14.3515</v>
      </c>
      <c r="C815" s="60">
        <f>14.3515 * CHOOSE(CONTROL!$C$21, $C$12, 100%, $E$12)</f>
        <v>14.3515</v>
      </c>
      <c r="D815" s="60">
        <f>14.3726 * CHOOSE(CONTROL!$C$21, $C$12, 100%, $E$12)</f>
        <v>14.3726</v>
      </c>
      <c r="E815" s="61">
        <f>16.8506 * CHOOSE(CONTROL!$C$21, $C$12, 100%, $E$12)</f>
        <v>16.8506</v>
      </c>
      <c r="F815" s="61">
        <f>16.8506 * CHOOSE(CONTROL!$C$21, $C$12, 100%, $E$12)</f>
        <v>16.8506</v>
      </c>
      <c r="G815" s="61">
        <f>16.8519 * CHOOSE(CONTROL!$C$21, $C$12, 100%, $E$12)</f>
        <v>16.851900000000001</v>
      </c>
      <c r="H815" s="61">
        <f>27.3921* CHOOSE(CONTROL!$C$21, $C$12, 100%, $E$12)</f>
        <v>27.392099999999999</v>
      </c>
      <c r="I815" s="61">
        <f>27.3934 * CHOOSE(CONTROL!$C$21, $C$12, 100%, $E$12)</f>
        <v>27.3934</v>
      </c>
      <c r="J815" s="61">
        <f>16.8506 * CHOOSE(CONTROL!$C$21, $C$12, 100%, $E$12)</f>
        <v>16.8506</v>
      </c>
      <c r="K815" s="61">
        <f>16.8519 * CHOOSE(CONTROL!$C$21, $C$12, 100%, $E$12)</f>
        <v>16.851900000000001</v>
      </c>
    </row>
    <row r="816" spans="1:11" ht="15">
      <c r="A816" s="13">
        <v>66720</v>
      </c>
      <c r="B816" s="60">
        <f>14.3484 * CHOOSE(CONTROL!$C$21, $C$12, 100%, $E$12)</f>
        <v>14.3484</v>
      </c>
      <c r="C816" s="60">
        <f>14.3484 * CHOOSE(CONTROL!$C$21, $C$12, 100%, $E$12)</f>
        <v>14.3484</v>
      </c>
      <c r="D816" s="60">
        <f>14.3696 * CHOOSE(CONTROL!$C$21, $C$12, 100%, $E$12)</f>
        <v>14.3696</v>
      </c>
      <c r="E816" s="61">
        <f>16.8292 * CHOOSE(CONTROL!$C$21, $C$12, 100%, $E$12)</f>
        <v>16.8292</v>
      </c>
      <c r="F816" s="61">
        <f>16.8292 * CHOOSE(CONTROL!$C$21, $C$12, 100%, $E$12)</f>
        <v>16.8292</v>
      </c>
      <c r="G816" s="61">
        <f>16.8306 * CHOOSE(CONTROL!$C$21, $C$12, 100%, $E$12)</f>
        <v>16.8306</v>
      </c>
      <c r="H816" s="61">
        <f>27.4491* CHOOSE(CONTROL!$C$21, $C$12, 100%, $E$12)</f>
        <v>27.449100000000001</v>
      </c>
      <c r="I816" s="61">
        <f>27.4505 * CHOOSE(CONTROL!$C$21, $C$12, 100%, $E$12)</f>
        <v>27.450500000000002</v>
      </c>
      <c r="J816" s="61">
        <f>16.8292 * CHOOSE(CONTROL!$C$21, $C$12, 100%, $E$12)</f>
        <v>16.8292</v>
      </c>
      <c r="K816" s="61">
        <f>16.8306 * CHOOSE(CONTROL!$C$21, $C$12, 100%, $E$12)</f>
        <v>16.8306</v>
      </c>
    </row>
    <row r="817" spans="1:11" ht="15">
      <c r="A817" s="13">
        <v>66750</v>
      </c>
      <c r="B817" s="60">
        <f>14.3775 * CHOOSE(CONTROL!$C$21, $C$12, 100%, $E$12)</f>
        <v>14.3775</v>
      </c>
      <c r="C817" s="60">
        <f>14.3775 * CHOOSE(CONTROL!$C$21, $C$12, 100%, $E$12)</f>
        <v>14.3775</v>
      </c>
      <c r="D817" s="60">
        <f>14.388 * CHOOSE(CONTROL!$C$21, $C$12, 100%, $E$12)</f>
        <v>14.388</v>
      </c>
      <c r="E817" s="61">
        <f>16.8927 * CHOOSE(CONTROL!$C$21, $C$12, 100%, $E$12)</f>
        <v>16.892700000000001</v>
      </c>
      <c r="F817" s="61">
        <f>16.8927 * CHOOSE(CONTROL!$C$21, $C$12, 100%, $E$12)</f>
        <v>16.892700000000001</v>
      </c>
      <c r="G817" s="61">
        <f>16.8928 * CHOOSE(CONTROL!$C$21, $C$12, 100%, $E$12)</f>
        <v>16.892800000000001</v>
      </c>
      <c r="H817" s="61">
        <f>27.5063* CHOOSE(CONTROL!$C$21, $C$12, 100%, $E$12)</f>
        <v>27.5063</v>
      </c>
      <c r="I817" s="61">
        <f>27.5065 * CHOOSE(CONTROL!$C$21, $C$12, 100%, $E$12)</f>
        <v>27.506499999999999</v>
      </c>
      <c r="J817" s="61">
        <f>16.8927 * CHOOSE(CONTROL!$C$21, $C$12, 100%, $E$12)</f>
        <v>16.892700000000001</v>
      </c>
      <c r="K817" s="61">
        <f>16.8928 * CHOOSE(CONTROL!$C$21, $C$12, 100%, $E$12)</f>
        <v>16.892800000000001</v>
      </c>
    </row>
    <row r="818" spans="1:11" ht="15">
      <c r="A818" s="13">
        <v>66781</v>
      </c>
      <c r="B818" s="60">
        <f>14.3805 * CHOOSE(CONTROL!$C$21, $C$12, 100%, $E$12)</f>
        <v>14.3805</v>
      </c>
      <c r="C818" s="60">
        <f>14.3805 * CHOOSE(CONTROL!$C$21, $C$12, 100%, $E$12)</f>
        <v>14.3805</v>
      </c>
      <c r="D818" s="60">
        <f>14.3911 * CHOOSE(CONTROL!$C$21, $C$12, 100%, $E$12)</f>
        <v>14.3911</v>
      </c>
      <c r="E818" s="61">
        <f>16.9332 * CHOOSE(CONTROL!$C$21, $C$12, 100%, $E$12)</f>
        <v>16.933199999999999</v>
      </c>
      <c r="F818" s="61">
        <f>16.9332 * CHOOSE(CONTROL!$C$21, $C$12, 100%, $E$12)</f>
        <v>16.933199999999999</v>
      </c>
      <c r="G818" s="61">
        <f>16.9334 * CHOOSE(CONTROL!$C$21, $C$12, 100%, $E$12)</f>
        <v>16.933399999999999</v>
      </c>
      <c r="H818" s="61">
        <f>27.5636* CHOOSE(CONTROL!$C$21, $C$12, 100%, $E$12)</f>
        <v>27.563600000000001</v>
      </c>
      <c r="I818" s="61">
        <f>27.5638 * CHOOSE(CONTROL!$C$21, $C$12, 100%, $E$12)</f>
        <v>27.563800000000001</v>
      </c>
      <c r="J818" s="61">
        <f>16.9332 * CHOOSE(CONTROL!$C$21, $C$12, 100%, $E$12)</f>
        <v>16.933199999999999</v>
      </c>
      <c r="K818" s="61">
        <f>16.9334 * CHOOSE(CONTROL!$C$21, $C$12, 100%, $E$12)</f>
        <v>16.933399999999999</v>
      </c>
    </row>
    <row r="819" spans="1:11" ht="15">
      <c r="A819" s="13">
        <v>66811</v>
      </c>
      <c r="B819" s="60">
        <f>14.3805 * CHOOSE(CONTROL!$C$21, $C$12, 100%, $E$12)</f>
        <v>14.3805</v>
      </c>
      <c r="C819" s="60">
        <f>14.3805 * CHOOSE(CONTROL!$C$21, $C$12, 100%, $E$12)</f>
        <v>14.3805</v>
      </c>
      <c r="D819" s="60">
        <f>14.3911 * CHOOSE(CONTROL!$C$21, $C$12, 100%, $E$12)</f>
        <v>14.3911</v>
      </c>
      <c r="E819" s="61">
        <f>16.8371 * CHOOSE(CONTROL!$C$21, $C$12, 100%, $E$12)</f>
        <v>16.8371</v>
      </c>
      <c r="F819" s="61">
        <f>16.8371 * CHOOSE(CONTROL!$C$21, $C$12, 100%, $E$12)</f>
        <v>16.8371</v>
      </c>
      <c r="G819" s="61">
        <f>16.8373 * CHOOSE(CONTROL!$C$21, $C$12, 100%, $E$12)</f>
        <v>16.837299999999999</v>
      </c>
      <c r="H819" s="61">
        <f>27.6211* CHOOSE(CONTROL!$C$21, $C$12, 100%, $E$12)</f>
        <v>27.621099999999998</v>
      </c>
      <c r="I819" s="61">
        <f>27.6212 * CHOOSE(CONTROL!$C$21, $C$12, 100%, $E$12)</f>
        <v>27.621200000000002</v>
      </c>
      <c r="J819" s="61">
        <f>16.8371 * CHOOSE(CONTROL!$C$21, $C$12, 100%, $E$12)</f>
        <v>16.8371</v>
      </c>
      <c r="K819" s="61">
        <f>16.8373 * CHOOSE(CONTROL!$C$21, $C$12, 100%, $E$12)</f>
        <v>16.837299999999999</v>
      </c>
    </row>
    <row r="820" spans="1:11" ht="15">
      <c r="A820" s="13">
        <v>66842</v>
      </c>
      <c r="B820" s="60">
        <f>14.3621 * CHOOSE(CONTROL!$C$21, $C$12, 100%, $E$12)</f>
        <v>14.3621</v>
      </c>
      <c r="C820" s="60">
        <f>14.3621 * CHOOSE(CONTROL!$C$21, $C$12, 100%, $E$12)</f>
        <v>14.3621</v>
      </c>
      <c r="D820" s="60">
        <f>14.3727 * CHOOSE(CONTROL!$C$21, $C$12, 100%, $E$12)</f>
        <v>14.3727</v>
      </c>
      <c r="E820" s="61">
        <f>16.8821 * CHOOSE(CONTROL!$C$21, $C$12, 100%, $E$12)</f>
        <v>16.882100000000001</v>
      </c>
      <c r="F820" s="61">
        <f>16.8821 * CHOOSE(CONTROL!$C$21, $C$12, 100%, $E$12)</f>
        <v>16.882100000000001</v>
      </c>
      <c r="G820" s="61">
        <f>16.8822 * CHOOSE(CONTROL!$C$21, $C$12, 100%, $E$12)</f>
        <v>16.882200000000001</v>
      </c>
      <c r="H820" s="61">
        <f>27.4418* CHOOSE(CONTROL!$C$21, $C$12, 100%, $E$12)</f>
        <v>27.441800000000001</v>
      </c>
      <c r="I820" s="61">
        <f>27.442 * CHOOSE(CONTROL!$C$21, $C$12, 100%, $E$12)</f>
        <v>27.442</v>
      </c>
      <c r="J820" s="61">
        <f>16.8821 * CHOOSE(CONTROL!$C$21, $C$12, 100%, $E$12)</f>
        <v>16.882100000000001</v>
      </c>
      <c r="K820" s="61">
        <f>16.8822 * CHOOSE(CONTROL!$C$21, $C$12, 100%, $E$12)</f>
        <v>16.882200000000001</v>
      </c>
    </row>
    <row r="821" spans="1:11" ht="15">
      <c r="A821" s="13">
        <v>66873</v>
      </c>
      <c r="B821" s="60">
        <f>14.3591 * CHOOSE(CONTROL!$C$21, $C$12, 100%, $E$12)</f>
        <v>14.3591</v>
      </c>
      <c r="C821" s="60">
        <f>14.3591 * CHOOSE(CONTROL!$C$21, $C$12, 100%, $E$12)</f>
        <v>14.3591</v>
      </c>
      <c r="D821" s="60">
        <f>14.3697 * CHOOSE(CONTROL!$C$21, $C$12, 100%, $E$12)</f>
        <v>14.3697</v>
      </c>
      <c r="E821" s="61">
        <f>16.6952 * CHOOSE(CONTROL!$C$21, $C$12, 100%, $E$12)</f>
        <v>16.6952</v>
      </c>
      <c r="F821" s="61">
        <f>16.6952 * CHOOSE(CONTROL!$C$21, $C$12, 100%, $E$12)</f>
        <v>16.6952</v>
      </c>
      <c r="G821" s="61">
        <f>16.6954 * CHOOSE(CONTROL!$C$21, $C$12, 100%, $E$12)</f>
        <v>16.695399999999999</v>
      </c>
      <c r="H821" s="61">
        <f>27.499* CHOOSE(CONTROL!$C$21, $C$12, 100%, $E$12)</f>
        <v>27.498999999999999</v>
      </c>
      <c r="I821" s="61">
        <f>27.4992 * CHOOSE(CONTROL!$C$21, $C$12, 100%, $E$12)</f>
        <v>27.499199999999998</v>
      </c>
      <c r="J821" s="61">
        <f>16.6952 * CHOOSE(CONTROL!$C$21, $C$12, 100%, $E$12)</f>
        <v>16.6952</v>
      </c>
      <c r="K821" s="61">
        <f>16.6954 * CHOOSE(CONTROL!$C$21, $C$12, 100%, $E$12)</f>
        <v>16.695399999999999</v>
      </c>
    </row>
    <row r="822" spans="1:11" ht="15">
      <c r="A822" s="13">
        <v>66901</v>
      </c>
      <c r="B822" s="60">
        <f>14.3561 * CHOOSE(CONTROL!$C$21, $C$12, 100%, $E$12)</f>
        <v>14.3561</v>
      </c>
      <c r="C822" s="60">
        <f>14.3561 * CHOOSE(CONTROL!$C$21, $C$12, 100%, $E$12)</f>
        <v>14.3561</v>
      </c>
      <c r="D822" s="60">
        <f>14.3666 * CHOOSE(CONTROL!$C$21, $C$12, 100%, $E$12)</f>
        <v>14.3666</v>
      </c>
      <c r="E822" s="61">
        <f>16.8387 * CHOOSE(CONTROL!$C$21, $C$12, 100%, $E$12)</f>
        <v>16.838699999999999</v>
      </c>
      <c r="F822" s="61">
        <f>16.8387 * CHOOSE(CONTROL!$C$21, $C$12, 100%, $E$12)</f>
        <v>16.838699999999999</v>
      </c>
      <c r="G822" s="61">
        <f>16.8389 * CHOOSE(CONTROL!$C$21, $C$12, 100%, $E$12)</f>
        <v>16.838899999999999</v>
      </c>
      <c r="H822" s="61">
        <f>27.5563* CHOOSE(CONTROL!$C$21, $C$12, 100%, $E$12)</f>
        <v>27.5563</v>
      </c>
      <c r="I822" s="61">
        <f>27.5564 * CHOOSE(CONTROL!$C$21, $C$12, 100%, $E$12)</f>
        <v>27.5564</v>
      </c>
      <c r="J822" s="61">
        <f>16.8387 * CHOOSE(CONTROL!$C$21, $C$12, 100%, $E$12)</f>
        <v>16.838699999999999</v>
      </c>
      <c r="K822" s="61">
        <f>16.8389 * CHOOSE(CONTROL!$C$21, $C$12, 100%, $E$12)</f>
        <v>16.838899999999999</v>
      </c>
    </row>
    <row r="823" spans="1:11" ht="15">
      <c r="A823" s="13">
        <v>66932</v>
      </c>
      <c r="B823" s="60">
        <f>14.3625 * CHOOSE(CONTROL!$C$21, $C$12, 100%, $E$12)</f>
        <v>14.362500000000001</v>
      </c>
      <c r="C823" s="60">
        <f>14.3625 * CHOOSE(CONTROL!$C$21, $C$12, 100%, $E$12)</f>
        <v>14.362500000000001</v>
      </c>
      <c r="D823" s="60">
        <f>14.3731 * CHOOSE(CONTROL!$C$21, $C$12, 100%, $E$12)</f>
        <v>14.373100000000001</v>
      </c>
      <c r="E823" s="61">
        <f>16.9909 * CHOOSE(CONTROL!$C$21, $C$12, 100%, $E$12)</f>
        <v>16.9909</v>
      </c>
      <c r="F823" s="61">
        <f>16.9909 * CHOOSE(CONTROL!$C$21, $C$12, 100%, $E$12)</f>
        <v>16.9909</v>
      </c>
      <c r="G823" s="61">
        <f>16.9911 * CHOOSE(CONTROL!$C$21, $C$12, 100%, $E$12)</f>
        <v>16.991099999999999</v>
      </c>
      <c r="H823" s="61">
        <f>27.6137* CHOOSE(CONTROL!$C$21, $C$12, 100%, $E$12)</f>
        <v>27.613700000000001</v>
      </c>
      <c r="I823" s="61">
        <f>27.6138 * CHOOSE(CONTROL!$C$21, $C$12, 100%, $E$12)</f>
        <v>27.613800000000001</v>
      </c>
      <c r="J823" s="61">
        <f>16.9909 * CHOOSE(CONTROL!$C$21, $C$12, 100%, $E$12)</f>
        <v>16.9909</v>
      </c>
      <c r="K823" s="61">
        <f>16.9911 * CHOOSE(CONTROL!$C$21, $C$12, 100%, $E$12)</f>
        <v>16.991099999999999</v>
      </c>
    </row>
    <row r="824" spans="1:11" ht="15">
      <c r="A824" s="13">
        <v>66962</v>
      </c>
      <c r="B824" s="60">
        <f>14.3625 * CHOOSE(CONTROL!$C$21, $C$12, 100%, $E$12)</f>
        <v>14.362500000000001</v>
      </c>
      <c r="C824" s="60">
        <f>14.3625 * CHOOSE(CONTROL!$C$21, $C$12, 100%, $E$12)</f>
        <v>14.362500000000001</v>
      </c>
      <c r="D824" s="60">
        <f>14.3837 * CHOOSE(CONTROL!$C$21, $C$12, 100%, $E$12)</f>
        <v>14.383699999999999</v>
      </c>
      <c r="E824" s="61">
        <f>17.0496 * CHOOSE(CONTROL!$C$21, $C$12, 100%, $E$12)</f>
        <v>17.049600000000002</v>
      </c>
      <c r="F824" s="61">
        <f>17.0496 * CHOOSE(CONTROL!$C$21, $C$12, 100%, $E$12)</f>
        <v>17.049600000000002</v>
      </c>
      <c r="G824" s="61">
        <f>17.0509 * CHOOSE(CONTROL!$C$21, $C$12, 100%, $E$12)</f>
        <v>17.050899999999999</v>
      </c>
      <c r="H824" s="61">
        <f>27.6712* CHOOSE(CONTROL!$C$21, $C$12, 100%, $E$12)</f>
        <v>27.671199999999999</v>
      </c>
      <c r="I824" s="61">
        <f>27.6726 * CHOOSE(CONTROL!$C$21, $C$12, 100%, $E$12)</f>
        <v>27.672599999999999</v>
      </c>
      <c r="J824" s="61">
        <f>17.0496 * CHOOSE(CONTROL!$C$21, $C$12, 100%, $E$12)</f>
        <v>17.049600000000002</v>
      </c>
      <c r="K824" s="61">
        <f>17.0509 * CHOOSE(CONTROL!$C$21, $C$12, 100%, $E$12)</f>
        <v>17.050899999999999</v>
      </c>
    </row>
    <row r="825" spans="1:11" ht="15">
      <c r="A825" s="13">
        <v>66993</v>
      </c>
      <c r="B825" s="60">
        <f>14.3686 * CHOOSE(CONTROL!$C$21, $C$12, 100%, $E$12)</f>
        <v>14.368600000000001</v>
      </c>
      <c r="C825" s="60">
        <f>14.3686 * CHOOSE(CONTROL!$C$21, $C$12, 100%, $E$12)</f>
        <v>14.368600000000001</v>
      </c>
      <c r="D825" s="60">
        <f>14.3897 * CHOOSE(CONTROL!$C$21, $C$12, 100%, $E$12)</f>
        <v>14.389699999999999</v>
      </c>
      <c r="E825" s="61">
        <f>16.9951 * CHOOSE(CONTROL!$C$21, $C$12, 100%, $E$12)</f>
        <v>16.995100000000001</v>
      </c>
      <c r="F825" s="61">
        <f>16.9951 * CHOOSE(CONTROL!$C$21, $C$12, 100%, $E$12)</f>
        <v>16.995100000000001</v>
      </c>
      <c r="G825" s="61">
        <f>16.9965 * CHOOSE(CONTROL!$C$21, $C$12, 100%, $E$12)</f>
        <v>16.996500000000001</v>
      </c>
      <c r="H825" s="61">
        <f>27.7288* CHOOSE(CONTROL!$C$21, $C$12, 100%, $E$12)</f>
        <v>27.7288</v>
      </c>
      <c r="I825" s="61">
        <f>27.7302 * CHOOSE(CONTROL!$C$21, $C$12, 100%, $E$12)</f>
        <v>27.7302</v>
      </c>
      <c r="J825" s="61">
        <f>16.9951 * CHOOSE(CONTROL!$C$21, $C$12, 100%, $E$12)</f>
        <v>16.995100000000001</v>
      </c>
      <c r="K825" s="61">
        <f>16.9965 * CHOOSE(CONTROL!$C$21, $C$12, 100%, $E$12)</f>
        <v>16.996500000000001</v>
      </c>
    </row>
    <row r="826" spans="1:11" ht="15">
      <c r="A826" s="13">
        <v>67023</v>
      </c>
      <c r="B826" s="60">
        <f>14.594 * CHOOSE(CONTROL!$C$21, $C$12, 100%, $E$12)</f>
        <v>14.593999999999999</v>
      </c>
      <c r="C826" s="60">
        <f>14.594 * CHOOSE(CONTROL!$C$21, $C$12, 100%, $E$12)</f>
        <v>14.593999999999999</v>
      </c>
      <c r="D826" s="60">
        <f>14.6151 * CHOOSE(CONTROL!$C$21, $C$12, 100%, $E$12)</f>
        <v>14.6151</v>
      </c>
      <c r="E826" s="61">
        <f>17.3187 * CHOOSE(CONTROL!$C$21, $C$12, 100%, $E$12)</f>
        <v>17.3187</v>
      </c>
      <c r="F826" s="61">
        <f>17.3187 * CHOOSE(CONTROL!$C$21, $C$12, 100%, $E$12)</f>
        <v>17.3187</v>
      </c>
      <c r="G826" s="61">
        <f>17.3201 * CHOOSE(CONTROL!$C$21, $C$12, 100%, $E$12)</f>
        <v>17.3201</v>
      </c>
      <c r="H826" s="61">
        <f>27.7866* CHOOSE(CONTROL!$C$21, $C$12, 100%, $E$12)</f>
        <v>27.7866</v>
      </c>
      <c r="I826" s="61">
        <f>27.788 * CHOOSE(CONTROL!$C$21, $C$12, 100%, $E$12)</f>
        <v>27.788</v>
      </c>
      <c r="J826" s="61">
        <f>17.3187 * CHOOSE(CONTROL!$C$21, $C$12, 100%, $E$12)</f>
        <v>17.3187</v>
      </c>
      <c r="K826" s="61">
        <f>17.3201 * CHOOSE(CONTROL!$C$21, $C$12, 100%, $E$12)</f>
        <v>17.3201</v>
      </c>
    </row>
    <row r="827" spans="1:11" ht="15">
      <c r="A827" s="13">
        <v>67054</v>
      </c>
      <c r="B827" s="60">
        <f>14.6007 * CHOOSE(CONTROL!$C$21, $C$12, 100%, $E$12)</f>
        <v>14.6007</v>
      </c>
      <c r="C827" s="60">
        <f>14.6007 * CHOOSE(CONTROL!$C$21, $C$12, 100%, $E$12)</f>
        <v>14.6007</v>
      </c>
      <c r="D827" s="60">
        <f>14.6218 * CHOOSE(CONTROL!$C$21, $C$12, 100%, $E$12)</f>
        <v>14.6218</v>
      </c>
      <c r="E827" s="61">
        <f>17.1474 * CHOOSE(CONTROL!$C$21, $C$12, 100%, $E$12)</f>
        <v>17.147400000000001</v>
      </c>
      <c r="F827" s="61">
        <f>17.1474 * CHOOSE(CONTROL!$C$21, $C$12, 100%, $E$12)</f>
        <v>17.147400000000001</v>
      </c>
      <c r="G827" s="61">
        <f>17.1488 * CHOOSE(CONTROL!$C$21, $C$12, 100%, $E$12)</f>
        <v>17.148800000000001</v>
      </c>
      <c r="H827" s="61">
        <f>27.8445* CHOOSE(CONTROL!$C$21, $C$12, 100%, $E$12)</f>
        <v>27.8445</v>
      </c>
      <c r="I827" s="61">
        <f>27.8459 * CHOOSE(CONTROL!$C$21, $C$12, 100%, $E$12)</f>
        <v>27.8459</v>
      </c>
      <c r="J827" s="61">
        <f>17.1474 * CHOOSE(CONTROL!$C$21, $C$12, 100%, $E$12)</f>
        <v>17.147400000000001</v>
      </c>
      <c r="K827" s="61">
        <f>17.1488 * CHOOSE(CONTROL!$C$21, $C$12, 100%, $E$12)</f>
        <v>17.148800000000001</v>
      </c>
    </row>
    <row r="828" spans="1:11" ht="15">
      <c r="A828" s="13">
        <v>67085</v>
      </c>
      <c r="B828" s="60">
        <f>14.5977 * CHOOSE(CONTROL!$C$21, $C$12, 100%, $E$12)</f>
        <v>14.5977</v>
      </c>
      <c r="C828" s="60">
        <f>14.5977 * CHOOSE(CONTROL!$C$21, $C$12, 100%, $E$12)</f>
        <v>14.5977</v>
      </c>
      <c r="D828" s="60">
        <f>14.6188 * CHOOSE(CONTROL!$C$21, $C$12, 100%, $E$12)</f>
        <v>14.6188</v>
      </c>
      <c r="E828" s="61">
        <f>17.1257 * CHOOSE(CONTROL!$C$21, $C$12, 100%, $E$12)</f>
        <v>17.125699999999998</v>
      </c>
      <c r="F828" s="61">
        <f>17.1257 * CHOOSE(CONTROL!$C$21, $C$12, 100%, $E$12)</f>
        <v>17.125699999999998</v>
      </c>
      <c r="G828" s="61">
        <f>17.1271 * CHOOSE(CONTROL!$C$21, $C$12, 100%, $E$12)</f>
        <v>17.127099999999999</v>
      </c>
      <c r="H828" s="61">
        <f>27.9025* CHOOSE(CONTROL!$C$21, $C$12, 100%, $E$12)</f>
        <v>27.9025</v>
      </c>
      <c r="I828" s="61">
        <f>27.9039 * CHOOSE(CONTROL!$C$21, $C$12, 100%, $E$12)</f>
        <v>27.9039</v>
      </c>
      <c r="J828" s="61">
        <f>17.1257 * CHOOSE(CONTROL!$C$21, $C$12, 100%, $E$12)</f>
        <v>17.125699999999998</v>
      </c>
      <c r="K828" s="61">
        <f>17.1271 * CHOOSE(CONTROL!$C$21, $C$12, 100%, $E$12)</f>
        <v>17.127099999999999</v>
      </c>
    </row>
    <row r="829" spans="1:11" ht="15">
      <c r="A829" s="13">
        <v>67115</v>
      </c>
      <c r="B829" s="60">
        <f>14.6275 * CHOOSE(CONTROL!$C$21, $C$12, 100%, $E$12)</f>
        <v>14.6275</v>
      </c>
      <c r="C829" s="60">
        <f>14.6275 * CHOOSE(CONTROL!$C$21, $C$12, 100%, $E$12)</f>
        <v>14.6275</v>
      </c>
      <c r="D829" s="60">
        <f>14.6381 * CHOOSE(CONTROL!$C$21, $C$12, 100%, $E$12)</f>
        <v>14.6381</v>
      </c>
      <c r="E829" s="61">
        <f>17.1905 * CHOOSE(CONTROL!$C$21, $C$12, 100%, $E$12)</f>
        <v>17.1905</v>
      </c>
      <c r="F829" s="61">
        <f>17.1905 * CHOOSE(CONTROL!$C$21, $C$12, 100%, $E$12)</f>
        <v>17.1905</v>
      </c>
      <c r="G829" s="61">
        <f>17.1907 * CHOOSE(CONTROL!$C$21, $C$12, 100%, $E$12)</f>
        <v>17.1907</v>
      </c>
      <c r="H829" s="61">
        <f>27.9606* CHOOSE(CONTROL!$C$21, $C$12, 100%, $E$12)</f>
        <v>27.960599999999999</v>
      </c>
      <c r="I829" s="61">
        <f>27.9608 * CHOOSE(CONTROL!$C$21, $C$12, 100%, $E$12)</f>
        <v>27.960799999999999</v>
      </c>
      <c r="J829" s="61">
        <f>17.1905 * CHOOSE(CONTROL!$C$21, $C$12, 100%, $E$12)</f>
        <v>17.1905</v>
      </c>
      <c r="K829" s="61">
        <f>17.1907 * CHOOSE(CONTROL!$C$21, $C$12, 100%, $E$12)</f>
        <v>17.1907</v>
      </c>
    </row>
    <row r="830" spans="1:11" ht="15">
      <c r="A830" s="13">
        <v>67146</v>
      </c>
      <c r="B830" s="60">
        <f>14.6305 * CHOOSE(CONTROL!$C$21, $C$12, 100%, $E$12)</f>
        <v>14.6305</v>
      </c>
      <c r="C830" s="60">
        <f>14.6305 * CHOOSE(CONTROL!$C$21, $C$12, 100%, $E$12)</f>
        <v>14.6305</v>
      </c>
      <c r="D830" s="60">
        <f>14.6411 * CHOOSE(CONTROL!$C$21, $C$12, 100%, $E$12)</f>
        <v>14.6411</v>
      </c>
      <c r="E830" s="61">
        <f>17.2317 * CHOOSE(CONTROL!$C$21, $C$12, 100%, $E$12)</f>
        <v>17.2317</v>
      </c>
      <c r="F830" s="61">
        <f>17.2317 * CHOOSE(CONTROL!$C$21, $C$12, 100%, $E$12)</f>
        <v>17.2317</v>
      </c>
      <c r="G830" s="61">
        <f>17.2319 * CHOOSE(CONTROL!$C$21, $C$12, 100%, $E$12)</f>
        <v>17.2319</v>
      </c>
      <c r="H830" s="61">
        <f>28.0189* CHOOSE(CONTROL!$C$21, $C$12, 100%, $E$12)</f>
        <v>28.018899999999999</v>
      </c>
      <c r="I830" s="61">
        <f>28.0191 * CHOOSE(CONTROL!$C$21, $C$12, 100%, $E$12)</f>
        <v>28.019100000000002</v>
      </c>
      <c r="J830" s="61">
        <f>17.2317 * CHOOSE(CONTROL!$C$21, $C$12, 100%, $E$12)</f>
        <v>17.2317</v>
      </c>
      <c r="K830" s="61">
        <f>17.2319 * CHOOSE(CONTROL!$C$21, $C$12, 100%, $E$12)</f>
        <v>17.2319</v>
      </c>
    </row>
    <row r="831" spans="1:11" ht="15">
      <c r="A831" s="13">
        <v>67176</v>
      </c>
      <c r="B831" s="60">
        <f>14.6305 * CHOOSE(CONTROL!$C$21, $C$12, 100%, $E$12)</f>
        <v>14.6305</v>
      </c>
      <c r="C831" s="60">
        <f>14.6305 * CHOOSE(CONTROL!$C$21, $C$12, 100%, $E$12)</f>
        <v>14.6305</v>
      </c>
      <c r="D831" s="60">
        <f>14.6411 * CHOOSE(CONTROL!$C$21, $C$12, 100%, $E$12)</f>
        <v>14.6411</v>
      </c>
      <c r="E831" s="61">
        <f>17.134 * CHOOSE(CONTROL!$C$21, $C$12, 100%, $E$12)</f>
        <v>17.134</v>
      </c>
      <c r="F831" s="61">
        <f>17.134 * CHOOSE(CONTROL!$C$21, $C$12, 100%, $E$12)</f>
        <v>17.134</v>
      </c>
      <c r="G831" s="61">
        <f>17.1342 * CHOOSE(CONTROL!$C$21, $C$12, 100%, $E$12)</f>
        <v>17.1342</v>
      </c>
      <c r="H831" s="61">
        <f>28.0773* CHOOSE(CONTROL!$C$21, $C$12, 100%, $E$12)</f>
        <v>28.077300000000001</v>
      </c>
      <c r="I831" s="61">
        <f>28.0774 * CHOOSE(CONTROL!$C$21, $C$12, 100%, $E$12)</f>
        <v>28.077400000000001</v>
      </c>
      <c r="J831" s="61">
        <f>17.134 * CHOOSE(CONTROL!$C$21, $C$12, 100%, $E$12)</f>
        <v>17.134</v>
      </c>
      <c r="K831" s="61">
        <f>17.1342 * CHOOSE(CONTROL!$C$21, $C$12, 100%, $E$12)</f>
        <v>17.1342</v>
      </c>
    </row>
    <row r="832" spans="1:11" ht="15">
      <c r="A832" s="13">
        <v>67207</v>
      </c>
      <c r="B832" s="60">
        <f>14.6075 * CHOOSE(CONTROL!$C$21, $C$12, 100%, $E$12)</f>
        <v>14.6075</v>
      </c>
      <c r="C832" s="60">
        <f>14.6075 * CHOOSE(CONTROL!$C$21, $C$12, 100%, $E$12)</f>
        <v>14.6075</v>
      </c>
      <c r="D832" s="60">
        <f>14.618 * CHOOSE(CONTROL!$C$21, $C$12, 100%, $E$12)</f>
        <v>14.618</v>
      </c>
      <c r="E832" s="61">
        <f>17.1745 * CHOOSE(CONTROL!$C$21, $C$12, 100%, $E$12)</f>
        <v>17.174499999999998</v>
      </c>
      <c r="F832" s="61">
        <f>17.1745 * CHOOSE(CONTROL!$C$21, $C$12, 100%, $E$12)</f>
        <v>17.174499999999998</v>
      </c>
      <c r="G832" s="61">
        <f>17.1747 * CHOOSE(CONTROL!$C$21, $C$12, 100%, $E$12)</f>
        <v>17.174700000000001</v>
      </c>
      <c r="H832" s="61">
        <f>27.8877* CHOOSE(CONTROL!$C$21, $C$12, 100%, $E$12)</f>
        <v>27.887699999999999</v>
      </c>
      <c r="I832" s="61">
        <f>27.8879 * CHOOSE(CONTROL!$C$21, $C$12, 100%, $E$12)</f>
        <v>27.887899999999998</v>
      </c>
      <c r="J832" s="61">
        <f>17.1745 * CHOOSE(CONTROL!$C$21, $C$12, 100%, $E$12)</f>
        <v>17.174499999999998</v>
      </c>
      <c r="K832" s="61">
        <f>17.1747 * CHOOSE(CONTROL!$C$21, $C$12, 100%, $E$12)</f>
        <v>17.174700000000001</v>
      </c>
    </row>
    <row r="833" spans="1:11" ht="15">
      <c r="A833" s="13">
        <v>67238</v>
      </c>
      <c r="B833" s="60">
        <f>14.6044 * CHOOSE(CONTROL!$C$21, $C$12, 100%, $E$12)</f>
        <v>14.6044</v>
      </c>
      <c r="C833" s="60">
        <f>14.6044 * CHOOSE(CONTROL!$C$21, $C$12, 100%, $E$12)</f>
        <v>14.6044</v>
      </c>
      <c r="D833" s="60">
        <f>14.615 * CHOOSE(CONTROL!$C$21, $C$12, 100%, $E$12)</f>
        <v>14.615</v>
      </c>
      <c r="E833" s="61">
        <f>16.9844 * CHOOSE(CONTROL!$C$21, $C$12, 100%, $E$12)</f>
        <v>16.984400000000001</v>
      </c>
      <c r="F833" s="61">
        <f>16.9844 * CHOOSE(CONTROL!$C$21, $C$12, 100%, $E$12)</f>
        <v>16.984400000000001</v>
      </c>
      <c r="G833" s="61">
        <f>16.9846 * CHOOSE(CONTROL!$C$21, $C$12, 100%, $E$12)</f>
        <v>16.9846</v>
      </c>
      <c r="H833" s="61">
        <f>27.9458* CHOOSE(CONTROL!$C$21, $C$12, 100%, $E$12)</f>
        <v>27.945799999999998</v>
      </c>
      <c r="I833" s="61">
        <f>27.946 * CHOOSE(CONTROL!$C$21, $C$12, 100%, $E$12)</f>
        <v>27.946000000000002</v>
      </c>
      <c r="J833" s="61">
        <f>16.9844 * CHOOSE(CONTROL!$C$21, $C$12, 100%, $E$12)</f>
        <v>16.984400000000001</v>
      </c>
      <c r="K833" s="61">
        <f>16.9846 * CHOOSE(CONTROL!$C$21, $C$12, 100%, $E$12)</f>
        <v>16.9846</v>
      </c>
    </row>
    <row r="834" spans="1:11" ht="15">
      <c r="A834" s="13">
        <v>67267</v>
      </c>
      <c r="B834" s="60">
        <f>14.6014 * CHOOSE(CONTROL!$C$21, $C$12, 100%, $E$12)</f>
        <v>14.6014</v>
      </c>
      <c r="C834" s="60">
        <f>14.6014 * CHOOSE(CONTROL!$C$21, $C$12, 100%, $E$12)</f>
        <v>14.6014</v>
      </c>
      <c r="D834" s="60">
        <f>14.6119 * CHOOSE(CONTROL!$C$21, $C$12, 100%, $E$12)</f>
        <v>14.6119</v>
      </c>
      <c r="E834" s="61">
        <f>17.1305 * CHOOSE(CONTROL!$C$21, $C$12, 100%, $E$12)</f>
        <v>17.130500000000001</v>
      </c>
      <c r="F834" s="61">
        <f>17.1305 * CHOOSE(CONTROL!$C$21, $C$12, 100%, $E$12)</f>
        <v>17.130500000000001</v>
      </c>
      <c r="G834" s="61">
        <f>17.1306 * CHOOSE(CONTROL!$C$21, $C$12, 100%, $E$12)</f>
        <v>17.130600000000001</v>
      </c>
      <c r="H834" s="61">
        <f>28.004* CHOOSE(CONTROL!$C$21, $C$12, 100%, $E$12)</f>
        <v>28.004000000000001</v>
      </c>
      <c r="I834" s="61">
        <f>28.0042 * CHOOSE(CONTROL!$C$21, $C$12, 100%, $E$12)</f>
        <v>28.004200000000001</v>
      </c>
      <c r="J834" s="61">
        <f>17.1305 * CHOOSE(CONTROL!$C$21, $C$12, 100%, $E$12)</f>
        <v>17.130500000000001</v>
      </c>
      <c r="K834" s="61">
        <f>17.1306 * CHOOSE(CONTROL!$C$21, $C$12, 100%, $E$12)</f>
        <v>17.130600000000001</v>
      </c>
    </row>
    <row r="835" spans="1:11" ht="15">
      <c r="A835" s="13">
        <v>67298</v>
      </c>
      <c r="B835" s="60">
        <f>14.6081 * CHOOSE(CONTROL!$C$21, $C$12, 100%, $E$12)</f>
        <v>14.6081</v>
      </c>
      <c r="C835" s="60">
        <f>14.6081 * CHOOSE(CONTROL!$C$21, $C$12, 100%, $E$12)</f>
        <v>14.6081</v>
      </c>
      <c r="D835" s="60">
        <f>14.6186 * CHOOSE(CONTROL!$C$21, $C$12, 100%, $E$12)</f>
        <v>14.618600000000001</v>
      </c>
      <c r="E835" s="61">
        <f>17.2854 * CHOOSE(CONTROL!$C$21, $C$12, 100%, $E$12)</f>
        <v>17.285399999999999</v>
      </c>
      <c r="F835" s="61">
        <f>17.2854 * CHOOSE(CONTROL!$C$21, $C$12, 100%, $E$12)</f>
        <v>17.285399999999999</v>
      </c>
      <c r="G835" s="61">
        <f>17.2855 * CHOOSE(CONTROL!$C$21, $C$12, 100%, $E$12)</f>
        <v>17.285499999999999</v>
      </c>
      <c r="H835" s="61">
        <f>28.0624* CHOOSE(CONTROL!$C$21, $C$12, 100%, $E$12)</f>
        <v>28.0624</v>
      </c>
      <c r="I835" s="61">
        <f>28.0625 * CHOOSE(CONTROL!$C$21, $C$12, 100%, $E$12)</f>
        <v>28.0625</v>
      </c>
      <c r="J835" s="61">
        <f>17.2854 * CHOOSE(CONTROL!$C$21, $C$12, 100%, $E$12)</f>
        <v>17.285399999999999</v>
      </c>
      <c r="K835" s="61">
        <f>17.2855 * CHOOSE(CONTROL!$C$21, $C$12, 100%, $E$12)</f>
        <v>17.285499999999999</v>
      </c>
    </row>
    <row r="836" spans="1:11" ht="15">
      <c r="A836" s="13">
        <v>67328</v>
      </c>
      <c r="B836" s="60">
        <f>14.6081 * CHOOSE(CONTROL!$C$21, $C$12, 100%, $E$12)</f>
        <v>14.6081</v>
      </c>
      <c r="C836" s="60">
        <f>14.6081 * CHOOSE(CONTROL!$C$21, $C$12, 100%, $E$12)</f>
        <v>14.6081</v>
      </c>
      <c r="D836" s="60">
        <f>14.6292 * CHOOSE(CONTROL!$C$21, $C$12, 100%, $E$12)</f>
        <v>14.629200000000001</v>
      </c>
      <c r="E836" s="61">
        <f>17.345 * CHOOSE(CONTROL!$C$21, $C$12, 100%, $E$12)</f>
        <v>17.344999999999999</v>
      </c>
      <c r="F836" s="61">
        <f>17.345 * CHOOSE(CONTROL!$C$21, $C$12, 100%, $E$12)</f>
        <v>17.344999999999999</v>
      </c>
      <c r="G836" s="61">
        <f>17.3464 * CHOOSE(CONTROL!$C$21, $C$12, 100%, $E$12)</f>
        <v>17.346399999999999</v>
      </c>
      <c r="H836" s="61">
        <f>28.1208* CHOOSE(CONTROL!$C$21, $C$12, 100%, $E$12)</f>
        <v>28.120799999999999</v>
      </c>
      <c r="I836" s="61">
        <f>28.1222 * CHOOSE(CONTROL!$C$21, $C$12, 100%, $E$12)</f>
        <v>28.122199999999999</v>
      </c>
      <c r="J836" s="61">
        <f>17.345 * CHOOSE(CONTROL!$C$21, $C$12, 100%, $E$12)</f>
        <v>17.344999999999999</v>
      </c>
      <c r="K836" s="61">
        <f>17.3464 * CHOOSE(CONTROL!$C$21, $C$12, 100%, $E$12)</f>
        <v>17.346399999999999</v>
      </c>
    </row>
    <row r="837" spans="1:11" ht="15">
      <c r="A837" s="13">
        <v>67359</v>
      </c>
      <c r="B837" s="60">
        <f>14.6142 * CHOOSE(CONTROL!$C$21, $C$12, 100%, $E$12)</f>
        <v>14.6142</v>
      </c>
      <c r="C837" s="60">
        <f>14.6142 * CHOOSE(CONTROL!$C$21, $C$12, 100%, $E$12)</f>
        <v>14.6142</v>
      </c>
      <c r="D837" s="60">
        <f>14.6353 * CHOOSE(CONTROL!$C$21, $C$12, 100%, $E$12)</f>
        <v>14.635300000000001</v>
      </c>
      <c r="E837" s="61">
        <f>17.2896 * CHOOSE(CONTROL!$C$21, $C$12, 100%, $E$12)</f>
        <v>17.2896</v>
      </c>
      <c r="F837" s="61">
        <f>17.2896 * CHOOSE(CONTROL!$C$21, $C$12, 100%, $E$12)</f>
        <v>17.2896</v>
      </c>
      <c r="G837" s="61">
        <f>17.291 * CHOOSE(CONTROL!$C$21, $C$12, 100%, $E$12)</f>
        <v>17.291</v>
      </c>
      <c r="H837" s="61">
        <f>28.1794* CHOOSE(CONTROL!$C$21, $C$12, 100%, $E$12)</f>
        <v>28.179400000000001</v>
      </c>
      <c r="I837" s="61">
        <f>28.1808 * CHOOSE(CONTROL!$C$21, $C$12, 100%, $E$12)</f>
        <v>28.180800000000001</v>
      </c>
      <c r="J837" s="61">
        <f>17.2896 * CHOOSE(CONTROL!$C$21, $C$12, 100%, $E$12)</f>
        <v>17.2896</v>
      </c>
      <c r="K837" s="61">
        <f>17.291 * CHOOSE(CONTROL!$C$21, $C$12, 100%, $E$12)</f>
        <v>17.291</v>
      </c>
    </row>
    <row r="838" spans="1:11" ht="15">
      <c r="A838" s="13">
        <v>67389</v>
      </c>
      <c r="B838" s="60">
        <f>14.8432 * CHOOSE(CONTROL!$C$21, $C$12, 100%, $E$12)</f>
        <v>14.8432</v>
      </c>
      <c r="C838" s="60">
        <f>14.8432 * CHOOSE(CONTROL!$C$21, $C$12, 100%, $E$12)</f>
        <v>14.8432</v>
      </c>
      <c r="D838" s="60">
        <f>14.8644 * CHOOSE(CONTROL!$C$21, $C$12, 100%, $E$12)</f>
        <v>14.8644</v>
      </c>
      <c r="E838" s="61">
        <f>17.6186 * CHOOSE(CONTROL!$C$21, $C$12, 100%, $E$12)</f>
        <v>17.618600000000001</v>
      </c>
      <c r="F838" s="61">
        <f>17.6186 * CHOOSE(CONTROL!$C$21, $C$12, 100%, $E$12)</f>
        <v>17.618600000000001</v>
      </c>
      <c r="G838" s="61">
        <f>17.62 * CHOOSE(CONTROL!$C$21, $C$12, 100%, $E$12)</f>
        <v>17.62</v>
      </c>
      <c r="H838" s="61">
        <f>28.2381* CHOOSE(CONTROL!$C$21, $C$12, 100%, $E$12)</f>
        <v>28.238099999999999</v>
      </c>
      <c r="I838" s="61">
        <f>28.2395 * CHOOSE(CONTROL!$C$21, $C$12, 100%, $E$12)</f>
        <v>28.2395</v>
      </c>
      <c r="J838" s="61">
        <f>17.6186 * CHOOSE(CONTROL!$C$21, $C$12, 100%, $E$12)</f>
        <v>17.618600000000001</v>
      </c>
      <c r="K838" s="61">
        <f>17.62 * CHOOSE(CONTROL!$C$21, $C$12, 100%, $E$12)</f>
        <v>17.62</v>
      </c>
    </row>
    <row r="839" spans="1:11" ht="15">
      <c r="A839" s="13">
        <v>67420</v>
      </c>
      <c r="B839" s="60">
        <f>14.8499 * CHOOSE(CONTROL!$C$21, $C$12, 100%, $E$12)</f>
        <v>14.8499</v>
      </c>
      <c r="C839" s="60">
        <f>14.8499 * CHOOSE(CONTROL!$C$21, $C$12, 100%, $E$12)</f>
        <v>14.8499</v>
      </c>
      <c r="D839" s="60">
        <f>14.871 * CHOOSE(CONTROL!$C$21, $C$12, 100%, $E$12)</f>
        <v>14.871</v>
      </c>
      <c r="E839" s="61">
        <f>17.4442 * CHOOSE(CONTROL!$C$21, $C$12, 100%, $E$12)</f>
        <v>17.444199999999999</v>
      </c>
      <c r="F839" s="61">
        <f>17.4442 * CHOOSE(CONTROL!$C$21, $C$12, 100%, $E$12)</f>
        <v>17.444199999999999</v>
      </c>
      <c r="G839" s="61">
        <f>17.4456 * CHOOSE(CONTROL!$C$21, $C$12, 100%, $E$12)</f>
        <v>17.445599999999999</v>
      </c>
      <c r="H839" s="61">
        <f>28.2969* CHOOSE(CONTROL!$C$21, $C$12, 100%, $E$12)</f>
        <v>28.296900000000001</v>
      </c>
      <c r="I839" s="61">
        <f>28.2983 * CHOOSE(CONTROL!$C$21, $C$12, 100%, $E$12)</f>
        <v>28.298300000000001</v>
      </c>
      <c r="J839" s="61">
        <f>17.4442 * CHOOSE(CONTROL!$C$21, $C$12, 100%, $E$12)</f>
        <v>17.444199999999999</v>
      </c>
      <c r="K839" s="61">
        <f>17.4456 * CHOOSE(CONTROL!$C$21, $C$12, 100%, $E$12)</f>
        <v>17.445599999999999</v>
      </c>
    </row>
    <row r="840" spans="1:11" ht="15">
      <c r="A840" s="13">
        <v>67451</v>
      </c>
      <c r="B840" s="60">
        <f>14.8469 * CHOOSE(CONTROL!$C$21, $C$12, 100%, $E$12)</f>
        <v>14.8469</v>
      </c>
      <c r="C840" s="60">
        <f>14.8469 * CHOOSE(CONTROL!$C$21, $C$12, 100%, $E$12)</f>
        <v>14.8469</v>
      </c>
      <c r="D840" s="60">
        <f>14.868 * CHOOSE(CONTROL!$C$21, $C$12, 100%, $E$12)</f>
        <v>14.868</v>
      </c>
      <c r="E840" s="61">
        <f>17.4222 * CHOOSE(CONTROL!$C$21, $C$12, 100%, $E$12)</f>
        <v>17.4222</v>
      </c>
      <c r="F840" s="61">
        <f>17.4222 * CHOOSE(CONTROL!$C$21, $C$12, 100%, $E$12)</f>
        <v>17.4222</v>
      </c>
      <c r="G840" s="61">
        <f>17.4236 * CHOOSE(CONTROL!$C$21, $C$12, 100%, $E$12)</f>
        <v>17.4236</v>
      </c>
      <c r="H840" s="61">
        <f>28.3559* CHOOSE(CONTROL!$C$21, $C$12, 100%, $E$12)</f>
        <v>28.355899999999998</v>
      </c>
      <c r="I840" s="61">
        <f>28.3573 * CHOOSE(CONTROL!$C$21, $C$12, 100%, $E$12)</f>
        <v>28.357299999999999</v>
      </c>
      <c r="J840" s="61">
        <f>17.4222 * CHOOSE(CONTROL!$C$21, $C$12, 100%, $E$12)</f>
        <v>17.4222</v>
      </c>
      <c r="K840" s="61">
        <f>17.4236 * CHOOSE(CONTROL!$C$21, $C$12, 100%, $E$12)</f>
        <v>17.4236</v>
      </c>
    </row>
    <row r="841" spans="1:11" ht="15">
      <c r="A841" s="13">
        <v>67481</v>
      </c>
      <c r="B841" s="60">
        <f>14.8775 * CHOOSE(CONTROL!$C$21, $C$12, 100%, $E$12)</f>
        <v>14.8775</v>
      </c>
      <c r="C841" s="60">
        <f>14.8775 * CHOOSE(CONTROL!$C$21, $C$12, 100%, $E$12)</f>
        <v>14.8775</v>
      </c>
      <c r="D841" s="60">
        <f>14.8881 * CHOOSE(CONTROL!$C$21, $C$12, 100%, $E$12)</f>
        <v>14.8881</v>
      </c>
      <c r="E841" s="61">
        <f>17.4884 * CHOOSE(CONTROL!$C$21, $C$12, 100%, $E$12)</f>
        <v>17.488399999999999</v>
      </c>
      <c r="F841" s="61">
        <f>17.4884 * CHOOSE(CONTROL!$C$21, $C$12, 100%, $E$12)</f>
        <v>17.488399999999999</v>
      </c>
      <c r="G841" s="61">
        <f>17.4885 * CHOOSE(CONTROL!$C$21, $C$12, 100%, $E$12)</f>
        <v>17.488499999999998</v>
      </c>
      <c r="H841" s="61">
        <f>28.415* CHOOSE(CONTROL!$C$21, $C$12, 100%, $E$12)</f>
        <v>28.414999999999999</v>
      </c>
      <c r="I841" s="61">
        <f>28.4151 * CHOOSE(CONTROL!$C$21, $C$12, 100%, $E$12)</f>
        <v>28.415099999999999</v>
      </c>
      <c r="J841" s="61">
        <f>17.4884 * CHOOSE(CONTROL!$C$21, $C$12, 100%, $E$12)</f>
        <v>17.488399999999999</v>
      </c>
      <c r="K841" s="61">
        <f>17.4885 * CHOOSE(CONTROL!$C$21, $C$12, 100%, $E$12)</f>
        <v>17.488499999999998</v>
      </c>
    </row>
    <row r="842" spans="1:11" ht="15">
      <c r="A842" s="13">
        <v>67512</v>
      </c>
      <c r="B842" s="60">
        <f>14.8806 * CHOOSE(CONTROL!$C$21, $C$12, 100%, $E$12)</f>
        <v>14.880599999999999</v>
      </c>
      <c r="C842" s="60">
        <f>14.8806 * CHOOSE(CONTROL!$C$21, $C$12, 100%, $E$12)</f>
        <v>14.880599999999999</v>
      </c>
      <c r="D842" s="60">
        <f>14.8911 * CHOOSE(CONTROL!$C$21, $C$12, 100%, $E$12)</f>
        <v>14.8911</v>
      </c>
      <c r="E842" s="61">
        <f>17.5303 * CHOOSE(CONTROL!$C$21, $C$12, 100%, $E$12)</f>
        <v>17.5303</v>
      </c>
      <c r="F842" s="61">
        <f>17.5303 * CHOOSE(CONTROL!$C$21, $C$12, 100%, $E$12)</f>
        <v>17.5303</v>
      </c>
      <c r="G842" s="61">
        <f>17.5304 * CHOOSE(CONTROL!$C$21, $C$12, 100%, $E$12)</f>
        <v>17.5304</v>
      </c>
      <c r="H842" s="61">
        <f>28.4742* CHOOSE(CONTROL!$C$21, $C$12, 100%, $E$12)</f>
        <v>28.4742</v>
      </c>
      <c r="I842" s="61">
        <f>28.4743 * CHOOSE(CONTROL!$C$21, $C$12, 100%, $E$12)</f>
        <v>28.474299999999999</v>
      </c>
      <c r="J842" s="61">
        <f>17.5303 * CHOOSE(CONTROL!$C$21, $C$12, 100%, $E$12)</f>
        <v>17.5303</v>
      </c>
      <c r="K842" s="61">
        <f>17.5304 * CHOOSE(CONTROL!$C$21, $C$12, 100%, $E$12)</f>
        <v>17.5304</v>
      </c>
    </row>
    <row r="843" spans="1:11" ht="15">
      <c r="A843" s="13">
        <v>67542</v>
      </c>
      <c r="B843" s="60">
        <f>14.8806 * CHOOSE(CONTROL!$C$21, $C$12, 100%, $E$12)</f>
        <v>14.880599999999999</v>
      </c>
      <c r="C843" s="60">
        <f>14.8806 * CHOOSE(CONTROL!$C$21, $C$12, 100%, $E$12)</f>
        <v>14.880599999999999</v>
      </c>
      <c r="D843" s="60">
        <f>14.8911 * CHOOSE(CONTROL!$C$21, $C$12, 100%, $E$12)</f>
        <v>14.8911</v>
      </c>
      <c r="E843" s="61">
        <f>17.4308 * CHOOSE(CONTROL!$C$21, $C$12, 100%, $E$12)</f>
        <v>17.430800000000001</v>
      </c>
      <c r="F843" s="61">
        <f>17.4308 * CHOOSE(CONTROL!$C$21, $C$12, 100%, $E$12)</f>
        <v>17.430800000000001</v>
      </c>
      <c r="G843" s="61">
        <f>17.431 * CHOOSE(CONTROL!$C$21, $C$12, 100%, $E$12)</f>
        <v>17.431000000000001</v>
      </c>
      <c r="H843" s="61">
        <f>28.5335* CHOOSE(CONTROL!$C$21, $C$12, 100%, $E$12)</f>
        <v>28.5335</v>
      </c>
      <c r="I843" s="61">
        <f>28.5337 * CHOOSE(CONTROL!$C$21, $C$12, 100%, $E$12)</f>
        <v>28.5337</v>
      </c>
      <c r="J843" s="61">
        <f>17.4308 * CHOOSE(CONTROL!$C$21, $C$12, 100%, $E$12)</f>
        <v>17.430800000000001</v>
      </c>
      <c r="K843" s="61">
        <f>17.431 * CHOOSE(CONTROL!$C$21, $C$12, 100%, $E$12)</f>
        <v>17.431000000000001</v>
      </c>
    </row>
    <row r="844" spans="1:11" ht="15">
      <c r="A844" s="13">
        <v>67573</v>
      </c>
      <c r="B844" s="60">
        <f>14.8528 * CHOOSE(CONTROL!$C$21, $C$12, 100%, $E$12)</f>
        <v>14.8528</v>
      </c>
      <c r="C844" s="60">
        <f>14.8528 * CHOOSE(CONTROL!$C$21, $C$12, 100%, $E$12)</f>
        <v>14.8528</v>
      </c>
      <c r="D844" s="60">
        <f>14.8633 * CHOOSE(CONTROL!$C$21, $C$12, 100%, $E$12)</f>
        <v>14.863300000000001</v>
      </c>
      <c r="E844" s="61">
        <f>17.4669 * CHOOSE(CONTROL!$C$21, $C$12, 100%, $E$12)</f>
        <v>17.466899999999999</v>
      </c>
      <c r="F844" s="61">
        <f>17.4669 * CHOOSE(CONTROL!$C$21, $C$12, 100%, $E$12)</f>
        <v>17.466899999999999</v>
      </c>
      <c r="G844" s="61">
        <f>17.4671 * CHOOSE(CONTROL!$C$21, $C$12, 100%, $E$12)</f>
        <v>17.467099999999999</v>
      </c>
      <c r="H844" s="61">
        <f>28.3336* CHOOSE(CONTROL!$C$21, $C$12, 100%, $E$12)</f>
        <v>28.333600000000001</v>
      </c>
      <c r="I844" s="61">
        <f>28.3338 * CHOOSE(CONTROL!$C$21, $C$12, 100%, $E$12)</f>
        <v>28.3338</v>
      </c>
      <c r="J844" s="61">
        <f>17.4669 * CHOOSE(CONTROL!$C$21, $C$12, 100%, $E$12)</f>
        <v>17.466899999999999</v>
      </c>
      <c r="K844" s="61">
        <f>17.4671 * CHOOSE(CONTROL!$C$21, $C$12, 100%, $E$12)</f>
        <v>17.467099999999999</v>
      </c>
    </row>
    <row r="845" spans="1:11" ht="15">
      <c r="A845" s="13">
        <v>67604</v>
      </c>
      <c r="B845" s="60">
        <f>14.8497 * CHOOSE(CONTROL!$C$21, $C$12, 100%, $E$12)</f>
        <v>14.8497</v>
      </c>
      <c r="C845" s="60">
        <f>14.8497 * CHOOSE(CONTROL!$C$21, $C$12, 100%, $E$12)</f>
        <v>14.8497</v>
      </c>
      <c r="D845" s="60">
        <f>14.8603 * CHOOSE(CONTROL!$C$21, $C$12, 100%, $E$12)</f>
        <v>14.860300000000001</v>
      </c>
      <c r="E845" s="61">
        <f>17.2736 * CHOOSE(CONTROL!$C$21, $C$12, 100%, $E$12)</f>
        <v>17.273599999999998</v>
      </c>
      <c r="F845" s="61">
        <f>17.2736 * CHOOSE(CONTROL!$C$21, $C$12, 100%, $E$12)</f>
        <v>17.273599999999998</v>
      </c>
      <c r="G845" s="61">
        <f>17.2738 * CHOOSE(CONTROL!$C$21, $C$12, 100%, $E$12)</f>
        <v>17.273800000000001</v>
      </c>
      <c r="H845" s="61">
        <f>28.3926* CHOOSE(CONTROL!$C$21, $C$12, 100%, $E$12)</f>
        <v>28.392600000000002</v>
      </c>
      <c r="I845" s="61">
        <f>28.3928 * CHOOSE(CONTROL!$C$21, $C$12, 100%, $E$12)</f>
        <v>28.392800000000001</v>
      </c>
      <c r="J845" s="61">
        <f>17.2736 * CHOOSE(CONTROL!$C$21, $C$12, 100%, $E$12)</f>
        <v>17.273599999999998</v>
      </c>
      <c r="K845" s="61">
        <f>17.2738 * CHOOSE(CONTROL!$C$21, $C$12, 100%, $E$12)</f>
        <v>17.273800000000001</v>
      </c>
    </row>
    <row r="846" spans="1:11" ht="15">
      <c r="A846" s="13">
        <v>67632</v>
      </c>
      <c r="B846" s="60">
        <f>14.8467 * CHOOSE(CONTROL!$C$21, $C$12, 100%, $E$12)</f>
        <v>14.8467</v>
      </c>
      <c r="C846" s="60">
        <f>14.8467 * CHOOSE(CONTROL!$C$21, $C$12, 100%, $E$12)</f>
        <v>14.8467</v>
      </c>
      <c r="D846" s="60">
        <f>14.8573 * CHOOSE(CONTROL!$C$21, $C$12, 100%, $E$12)</f>
        <v>14.8573</v>
      </c>
      <c r="E846" s="61">
        <f>17.4222 * CHOOSE(CONTROL!$C$21, $C$12, 100%, $E$12)</f>
        <v>17.4222</v>
      </c>
      <c r="F846" s="61">
        <f>17.4222 * CHOOSE(CONTROL!$C$21, $C$12, 100%, $E$12)</f>
        <v>17.4222</v>
      </c>
      <c r="G846" s="61">
        <f>17.4224 * CHOOSE(CONTROL!$C$21, $C$12, 100%, $E$12)</f>
        <v>17.4224</v>
      </c>
      <c r="H846" s="61">
        <f>28.4518* CHOOSE(CONTROL!$C$21, $C$12, 100%, $E$12)</f>
        <v>28.451799999999999</v>
      </c>
      <c r="I846" s="61">
        <f>28.4519 * CHOOSE(CONTROL!$C$21, $C$12, 100%, $E$12)</f>
        <v>28.451899999999998</v>
      </c>
      <c r="J846" s="61">
        <f>17.4222 * CHOOSE(CONTROL!$C$21, $C$12, 100%, $E$12)</f>
        <v>17.4222</v>
      </c>
      <c r="K846" s="61">
        <f>17.4224 * CHOOSE(CONTROL!$C$21, $C$12, 100%, $E$12)</f>
        <v>17.4224</v>
      </c>
    </row>
    <row r="847" spans="1:11" ht="15">
      <c r="A847" s="13">
        <v>67663</v>
      </c>
      <c r="B847" s="60">
        <f>14.8536 * CHOOSE(CONTROL!$C$21, $C$12, 100%, $E$12)</f>
        <v>14.8536</v>
      </c>
      <c r="C847" s="60">
        <f>14.8536 * CHOOSE(CONTROL!$C$21, $C$12, 100%, $E$12)</f>
        <v>14.8536</v>
      </c>
      <c r="D847" s="60">
        <f>14.8642 * CHOOSE(CONTROL!$C$21, $C$12, 100%, $E$12)</f>
        <v>14.8642</v>
      </c>
      <c r="E847" s="61">
        <f>17.5798 * CHOOSE(CONTROL!$C$21, $C$12, 100%, $E$12)</f>
        <v>17.579799999999999</v>
      </c>
      <c r="F847" s="61">
        <f>17.5798 * CHOOSE(CONTROL!$C$21, $C$12, 100%, $E$12)</f>
        <v>17.579799999999999</v>
      </c>
      <c r="G847" s="61">
        <f>17.58 * CHOOSE(CONTROL!$C$21, $C$12, 100%, $E$12)</f>
        <v>17.579999999999998</v>
      </c>
      <c r="H847" s="61">
        <f>28.511* CHOOSE(CONTROL!$C$21, $C$12, 100%, $E$12)</f>
        <v>28.510999999999999</v>
      </c>
      <c r="I847" s="61">
        <f>28.5112 * CHOOSE(CONTROL!$C$21, $C$12, 100%, $E$12)</f>
        <v>28.511199999999999</v>
      </c>
      <c r="J847" s="61">
        <f>17.5798 * CHOOSE(CONTROL!$C$21, $C$12, 100%, $E$12)</f>
        <v>17.579799999999999</v>
      </c>
      <c r="K847" s="61">
        <f>17.58 * CHOOSE(CONTROL!$C$21, $C$12, 100%, $E$12)</f>
        <v>17.579999999999998</v>
      </c>
    </row>
    <row r="848" spans="1:11" ht="15">
      <c r="A848" s="13">
        <v>67693</v>
      </c>
      <c r="B848" s="60">
        <f>14.8536 * CHOOSE(CONTROL!$C$21, $C$12, 100%, $E$12)</f>
        <v>14.8536</v>
      </c>
      <c r="C848" s="60">
        <f>14.8536 * CHOOSE(CONTROL!$C$21, $C$12, 100%, $E$12)</f>
        <v>14.8536</v>
      </c>
      <c r="D848" s="60">
        <f>14.8747 * CHOOSE(CONTROL!$C$21, $C$12, 100%, $E$12)</f>
        <v>14.874700000000001</v>
      </c>
      <c r="E848" s="61">
        <f>17.6405 * CHOOSE(CONTROL!$C$21, $C$12, 100%, $E$12)</f>
        <v>17.640499999999999</v>
      </c>
      <c r="F848" s="61">
        <f>17.6405 * CHOOSE(CONTROL!$C$21, $C$12, 100%, $E$12)</f>
        <v>17.640499999999999</v>
      </c>
      <c r="G848" s="61">
        <f>17.6419 * CHOOSE(CONTROL!$C$21, $C$12, 100%, $E$12)</f>
        <v>17.6419</v>
      </c>
      <c r="H848" s="61">
        <f>28.5704* CHOOSE(CONTROL!$C$21, $C$12, 100%, $E$12)</f>
        <v>28.570399999999999</v>
      </c>
      <c r="I848" s="61">
        <f>28.5718 * CHOOSE(CONTROL!$C$21, $C$12, 100%, $E$12)</f>
        <v>28.5718</v>
      </c>
      <c r="J848" s="61">
        <f>17.6405 * CHOOSE(CONTROL!$C$21, $C$12, 100%, $E$12)</f>
        <v>17.640499999999999</v>
      </c>
      <c r="K848" s="61">
        <f>17.6419 * CHOOSE(CONTROL!$C$21, $C$12, 100%, $E$12)</f>
        <v>17.6419</v>
      </c>
    </row>
    <row r="849" spans="1:11" ht="15">
      <c r="A849" s="13">
        <v>67724</v>
      </c>
      <c r="B849" s="60">
        <f>14.8597 * CHOOSE(CONTROL!$C$21, $C$12, 100%, $E$12)</f>
        <v>14.8597</v>
      </c>
      <c r="C849" s="60">
        <f>14.8597 * CHOOSE(CONTROL!$C$21, $C$12, 100%, $E$12)</f>
        <v>14.8597</v>
      </c>
      <c r="D849" s="60">
        <f>14.8808 * CHOOSE(CONTROL!$C$21, $C$12, 100%, $E$12)</f>
        <v>14.880800000000001</v>
      </c>
      <c r="E849" s="61">
        <f>17.584 * CHOOSE(CONTROL!$C$21, $C$12, 100%, $E$12)</f>
        <v>17.584</v>
      </c>
      <c r="F849" s="61">
        <f>17.584 * CHOOSE(CONTROL!$C$21, $C$12, 100%, $E$12)</f>
        <v>17.584</v>
      </c>
      <c r="G849" s="61">
        <f>17.5854 * CHOOSE(CONTROL!$C$21, $C$12, 100%, $E$12)</f>
        <v>17.5854</v>
      </c>
      <c r="H849" s="61">
        <f>28.63* CHOOSE(CONTROL!$C$21, $C$12, 100%, $E$12)</f>
        <v>28.63</v>
      </c>
      <c r="I849" s="61">
        <f>28.6313 * CHOOSE(CONTROL!$C$21, $C$12, 100%, $E$12)</f>
        <v>28.6313</v>
      </c>
      <c r="J849" s="61">
        <f>17.584 * CHOOSE(CONTROL!$C$21, $C$12, 100%, $E$12)</f>
        <v>17.584</v>
      </c>
      <c r="K849" s="61">
        <f>17.5854 * CHOOSE(CONTROL!$C$21, $C$12, 100%, $E$12)</f>
        <v>17.5854</v>
      </c>
    </row>
    <row r="850" spans="1:11" ht="15">
      <c r="A850" s="13">
        <v>67754</v>
      </c>
      <c r="B850" s="60">
        <f>15.0924 * CHOOSE(CONTROL!$C$21, $C$12, 100%, $E$12)</f>
        <v>15.0924</v>
      </c>
      <c r="C850" s="60">
        <f>15.0924 * CHOOSE(CONTROL!$C$21, $C$12, 100%, $E$12)</f>
        <v>15.0924</v>
      </c>
      <c r="D850" s="60">
        <f>15.1136 * CHOOSE(CONTROL!$C$21, $C$12, 100%, $E$12)</f>
        <v>15.1136</v>
      </c>
      <c r="E850" s="61">
        <f>17.9185 * CHOOSE(CONTROL!$C$21, $C$12, 100%, $E$12)</f>
        <v>17.918500000000002</v>
      </c>
      <c r="F850" s="61">
        <f>17.9185 * CHOOSE(CONTROL!$C$21, $C$12, 100%, $E$12)</f>
        <v>17.918500000000002</v>
      </c>
      <c r="G850" s="61">
        <f>17.9198 * CHOOSE(CONTROL!$C$21, $C$12, 100%, $E$12)</f>
        <v>17.919799999999999</v>
      </c>
      <c r="H850" s="61">
        <f>28.6896* CHOOSE(CONTROL!$C$21, $C$12, 100%, $E$12)</f>
        <v>28.689599999999999</v>
      </c>
      <c r="I850" s="61">
        <f>28.691 * CHOOSE(CONTROL!$C$21, $C$12, 100%, $E$12)</f>
        <v>28.690999999999999</v>
      </c>
      <c r="J850" s="61">
        <f>17.9185 * CHOOSE(CONTROL!$C$21, $C$12, 100%, $E$12)</f>
        <v>17.918500000000002</v>
      </c>
      <c r="K850" s="61">
        <f>17.9198 * CHOOSE(CONTROL!$C$21, $C$12, 100%, $E$12)</f>
        <v>17.919799999999999</v>
      </c>
    </row>
    <row r="851" spans="1:11" ht="15">
      <c r="A851" s="13">
        <v>67785</v>
      </c>
      <c r="B851" s="60">
        <f>15.0991 * CHOOSE(CONTROL!$C$21, $C$12, 100%, $E$12)</f>
        <v>15.0991</v>
      </c>
      <c r="C851" s="60">
        <f>15.0991 * CHOOSE(CONTROL!$C$21, $C$12, 100%, $E$12)</f>
        <v>15.0991</v>
      </c>
      <c r="D851" s="60">
        <f>15.1203 * CHOOSE(CONTROL!$C$21, $C$12, 100%, $E$12)</f>
        <v>15.1203</v>
      </c>
      <c r="E851" s="61">
        <f>17.7411 * CHOOSE(CONTROL!$C$21, $C$12, 100%, $E$12)</f>
        <v>17.741099999999999</v>
      </c>
      <c r="F851" s="61">
        <f>17.7411 * CHOOSE(CONTROL!$C$21, $C$12, 100%, $E$12)</f>
        <v>17.741099999999999</v>
      </c>
      <c r="G851" s="61">
        <f>17.7424 * CHOOSE(CONTROL!$C$21, $C$12, 100%, $E$12)</f>
        <v>17.7424</v>
      </c>
      <c r="H851" s="61">
        <f>28.7494* CHOOSE(CONTROL!$C$21, $C$12, 100%, $E$12)</f>
        <v>28.749400000000001</v>
      </c>
      <c r="I851" s="61">
        <f>28.7508 * CHOOSE(CONTROL!$C$21, $C$12, 100%, $E$12)</f>
        <v>28.750800000000002</v>
      </c>
      <c r="J851" s="61">
        <f>17.7411 * CHOOSE(CONTROL!$C$21, $C$12, 100%, $E$12)</f>
        <v>17.741099999999999</v>
      </c>
      <c r="K851" s="61">
        <f>17.7424 * CHOOSE(CONTROL!$C$21, $C$12, 100%, $E$12)</f>
        <v>17.7424</v>
      </c>
    </row>
    <row r="852" spans="1:11" ht="15">
      <c r="A852" s="13">
        <v>67816</v>
      </c>
      <c r="B852" s="60">
        <f>15.0961 * CHOOSE(CONTROL!$C$21, $C$12, 100%, $E$12)</f>
        <v>15.0961</v>
      </c>
      <c r="C852" s="60">
        <f>15.0961 * CHOOSE(CONTROL!$C$21, $C$12, 100%, $E$12)</f>
        <v>15.0961</v>
      </c>
      <c r="D852" s="60">
        <f>15.1172 * CHOOSE(CONTROL!$C$21, $C$12, 100%, $E$12)</f>
        <v>15.1172</v>
      </c>
      <c r="E852" s="61">
        <f>17.7187 * CHOOSE(CONTROL!$C$21, $C$12, 100%, $E$12)</f>
        <v>17.718699999999998</v>
      </c>
      <c r="F852" s="61">
        <f>17.7187 * CHOOSE(CONTROL!$C$21, $C$12, 100%, $E$12)</f>
        <v>17.718699999999998</v>
      </c>
      <c r="G852" s="61">
        <f>17.7201 * CHOOSE(CONTROL!$C$21, $C$12, 100%, $E$12)</f>
        <v>17.720099999999999</v>
      </c>
      <c r="H852" s="61">
        <f>28.8093* CHOOSE(CONTROL!$C$21, $C$12, 100%, $E$12)</f>
        <v>28.8093</v>
      </c>
      <c r="I852" s="61">
        <f>28.8106 * CHOOSE(CONTROL!$C$21, $C$12, 100%, $E$12)</f>
        <v>28.810600000000001</v>
      </c>
      <c r="J852" s="61">
        <f>17.7187 * CHOOSE(CONTROL!$C$21, $C$12, 100%, $E$12)</f>
        <v>17.718699999999998</v>
      </c>
      <c r="K852" s="61">
        <f>17.7201 * CHOOSE(CONTROL!$C$21, $C$12, 100%, $E$12)</f>
        <v>17.720099999999999</v>
      </c>
    </row>
    <row r="853" spans="1:11" ht="15">
      <c r="A853" s="13">
        <v>67846</v>
      </c>
      <c r="B853" s="60">
        <f>15.1275 * CHOOSE(CONTROL!$C$21, $C$12, 100%, $E$12)</f>
        <v>15.1275</v>
      </c>
      <c r="C853" s="60">
        <f>15.1275 * CHOOSE(CONTROL!$C$21, $C$12, 100%, $E$12)</f>
        <v>15.1275</v>
      </c>
      <c r="D853" s="60">
        <f>15.1381 * CHOOSE(CONTROL!$C$21, $C$12, 100%, $E$12)</f>
        <v>15.1381</v>
      </c>
      <c r="E853" s="61">
        <f>17.7862 * CHOOSE(CONTROL!$C$21, $C$12, 100%, $E$12)</f>
        <v>17.786200000000001</v>
      </c>
      <c r="F853" s="61">
        <f>17.7862 * CHOOSE(CONTROL!$C$21, $C$12, 100%, $E$12)</f>
        <v>17.786200000000001</v>
      </c>
      <c r="G853" s="61">
        <f>17.7864 * CHOOSE(CONTROL!$C$21, $C$12, 100%, $E$12)</f>
        <v>17.7864</v>
      </c>
      <c r="H853" s="61">
        <f>28.8693* CHOOSE(CONTROL!$C$21, $C$12, 100%, $E$12)</f>
        <v>28.869299999999999</v>
      </c>
      <c r="I853" s="61">
        <f>28.8695 * CHOOSE(CONTROL!$C$21, $C$12, 100%, $E$12)</f>
        <v>28.869499999999999</v>
      </c>
      <c r="J853" s="61">
        <f>17.7862 * CHOOSE(CONTROL!$C$21, $C$12, 100%, $E$12)</f>
        <v>17.786200000000001</v>
      </c>
      <c r="K853" s="61">
        <f>17.7864 * CHOOSE(CONTROL!$C$21, $C$12, 100%, $E$12)</f>
        <v>17.7864</v>
      </c>
    </row>
    <row r="854" spans="1:11" ht="15">
      <c r="A854" s="13">
        <v>67877</v>
      </c>
      <c r="B854" s="60">
        <f>15.1306 * CHOOSE(CONTROL!$C$21, $C$12, 100%, $E$12)</f>
        <v>15.130599999999999</v>
      </c>
      <c r="C854" s="60">
        <f>15.1306 * CHOOSE(CONTROL!$C$21, $C$12, 100%, $E$12)</f>
        <v>15.130599999999999</v>
      </c>
      <c r="D854" s="60">
        <f>15.1411 * CHOOSE(CONTROL!$C$21, $C$12, 100%, $E$12)</f>
        <v>15.1411</v>
      </c>
      <c r="E854" s="61">
        <f>17.8288 * CHOOSE(CONTROL!$C$21, $C$12, 100%, $E$12)</f>
        <v>17.828800000000001</v>
      </c>
      <c r="F854" s="61">
        <f>17.8288 * CHOOSE(CONTROL!$C$21, $C$12, 100%, $E$12)</f>
        <v>17.828800000000001</v>
      </c>
      <c r="G854" s="61">
        <f>17.829 * CHOOSE(CONTROL!$C$21, $C$12, 100%, $E$12)</f>
        <v>17.829000000000001</v>
      </c>
      <c r="H854" s="61">
        <f>28.9294* CHOOSE(CONTROL!$C$21, $C$12, 100%, $E$12)</f>
        <v>28.929400000000001</v>
      </c>
      <c r="I854" s="61">
        <f>28.9296 * CHOOSE(CONTROL!$C$21, $C$12, 100%, $E$12)</f>
        <v>28.929600000000001</v>
      </c>
      <c r="J854" s="61">
        <f>17.8288 * CHOOSE(CONTROL!$C$21, $C$12, 100%, $E$12)</f>
        <v>17.828800000000001</v>
      </c>
      <c r="K854" s="61">
        <f>17.829 * CHOOSE(CONTROL!$C$21, $C$12, 100%, $E$12)</f>
        <v>17.829000000000001</v>
      </c>
    </row>
    <row r="855" spans="1:11" ht="15">
      <c r="A855" s="13">
        <v>67907</v>
      </c>
      <c r="B855" s="60">
        <f>15.1306 * CHOOSE(CONTROL!$C$21, $C$12, 100%, $E$12)</f>
        <v>15.130599999999999</v>
      </c>
      <c r="C855" s="60">
        <f>15.1306 * CHOOSE(CONTROL!$C$21, $C$12, 100%, $E$12)</f>
        <v>15.130599999999999</v>
      </c>
      <c r="D855" s="60">
        <f>15.1411 * CHOOSE(CONTROL!$C$21, $C$12, 100%, $E$12)</f>
        <v>15.1411</v>
      </c>
      <c r="E855" s="61">
        <f>17.7276 * CHOOSE(CONTROL!$C$21, $C$12, 100%, $E$12)</f>
        <v>17.727599999999999</v>
      </c>
      <c r="F855" s="61">
        <f>17.7276 * CHOOSE(CONTROL!$C$21, $C$12, 100%, $E$12)</f>
        <v>17.727599999999999</v>
      </c>
      <c r="G855" s="61">
        <f>17.7278 * CHOOSE(CONTROL!$C$21, $C$12, 100%, $E$12)</f>
        <v>17.727799999999998</v>
      </c>
      <c r="H855" s="61">
        <f>28.9897* CHOOSE(CONTROL!$C$21, $C$12, 100%, $E$12)</f>
        <v>28.989699999999999</v>
      </c>
      <c r="I855" s="61">
        <f>28.9899 * CHOOSE(CONTROL!$C$21, $C$12, 100%, $E$12)</f>
        <v>28.989899999999999</v>
      </c>
      <c r="J855" s="61">
        <f>17.7276 * CHOOSE(CONTROL!$C$21, $C$12, 100%, $E$12)</f>
        <v>17.727599999999999</v>
      </c>
      <c r="K855" s="61">
        <f>17.7278 * CHOOSE(CONTROL!$C$21, $C$12, 100%, $E$12)</f>
        <v>17.727799999999998</v>
      </c>
    </row>
    <row r="856" spans="1:11" ht="15">
      <c r="A856" s="13">
        <v>67938</v>
      </c>
      <c r="B856" s="60">
        <f>15.0981 * CHOOSE(CONTROL!$C$21, $C$12, 100%, $E$12)</f>
        <v>15.098100000000001</v>
      </c>
      <c r="C856" s="60">
        <f>15.0981 * CHOOSE(CONTROL!$C$21, $C$12, 100%, $E$12)</f>
        <v>15.098100000000001</v>
      </c>
      <c r="D856" s="60">
        <f>15.1087 * CHOOSE(CONTROL!$C$21, $C$12, 100%, $E$12)</f>
        <v>15.108700000000001</v>
      </c>
      <c r="E856" s="61">
        <f>17.7593 * CHOOSE(CONTROL!$C$21, $C$12, 100%, $E$12)</f>
        <v>17.7593</v>
      </c>
      <c r="F856" s="61">
        <f>17.7593 * CHOOSE(CONTROL!$C$21, $C$12, 100%, $E$12)</f>
        <v>17.7593</v>
      </c>
      <c r="G856" s="61">
        <f>17.7595 * CHOOSE(CONTROL!$C$21, $C$12, 100%, $E$12)</f>
        <v>17.759499999999999</v>
      </c>
      <c r="H856" s="61">
        <f>28.7795* CHOOSE(CONTROL!$C$21, $C$12, 100%, $E$12)</f>
        <v>28.779499999999999</v>
      </c>
      <c r="I856" s="61">
        <f>28.7797 * CHOOSE(CONTROL!$C$21, $C$12, 100%, $E$12)</f>
        <v>28.779699999999998</v>
      </c>
      <c r="J856" s="61">
        <f>17.7593 * CHOOSE(CONTROL!$C$21, $C$12, 100%, $E$12)</f>
        <v>17.7593</v>
      </c>
      <c r="K856" s="61">
        <f>17.7595 * CHOOSE(CONTROL!$C$21, $C$12, 100%, $E$12)</f>
        <v>17.759499999999999</v>
      </c>
    </row>
    <row r="857" spans="1:11" ht="15">
      <c r="A857" s="13">
        <v>67969</v>
      </c>
      <c r="B857" s="60">
        <f>15.0951 * CHOOSE(CONTROL!$C$21, $C$12, 100%, $E$12)</f>
        <v>15.0951</v>
      </c>
      <c r="C857" s="60">
        <f>15.0951 * CHOOSE(CONTROL!$C$21, $C$12, 100%, $E$12)</f>
        <v>15.0951</v>
      </c>
      <c r="D857" s="60">
        <f>15.1056 * CHOOSE(CONTROL!$C$21, $C$12, 100%, $E$12)</f>
        <v>15.105600000000001</v>
      </c>
      <c r="E857" s="61">
        <f>17.5628 * CHOOSE(CONTROL!$C$21, $C$12, 100%, $E$12)</f>
        <v>17.562799999999999</v>
      </c>
      <c r="F857" s="61">
        <f>17.5628 * CHOOSE(CONTROL!$C$21, $C$12, 100%, $E$12)</f>
        <v>17.562799999999999</v>
      </c>
      <c r="G857" s="61">
        <f>17.563 * CHOOSE(CONTROL!$C$21, $C$12, 100%, $E$12)</f>
        <v>17.562999999999999</v>
      </c>
      <c r="H857" s="61">
        <f>28.8394* CHOOSE(CONTROL!$C$21, $C$12, 100%, $E$12)</f>
        <v>28.839400000000001</v>
      </c>
      <c r="I857" s="61">
        <f>28.8396 * CHOOSE(CONTROL!$C$21, $C$12, 100%, $E$12)</f>
        <v>28.839600000000001</v>
      </c>
      <c r="J857" s="61">
        <f>17.5628 * CHOOSE(CONTROL!$C$21, $C$12, 100%, $E$12)</f>
        <v>17.562799999999999</v>
      </c>
      <c r="K857" s="61">
        <f>17.563 * CHOOSE(CONTROL!$C$21, $C$12, 100%, $E$12)</f>
        <v>17.562999999999999</v>
      </c>
    </row>
    <row r="858" spans="1:11" ht="15">
      <c r="A858" s="13">
        <v>67997</v>
      </c>
      <c r="B858" s="60">
        <f>15.092 * CHOOSE(CONTROL!$C$21, $C$12, 100%, $E$12)</f>
        <v>15.092000000000001</v>
      </c>
      <c r="C858" s="60">
        <f>15.092 * CHOOSE(CONTROL!$C$21, $C$12, 100%, $E$12)</f>
        <v>15.092000000000001</v>
      </c>
      <c r="D858" s="60">
        <f>15.1026 * CHOOSE(CONTROL!$C$21, $C$12, 100%, $E$12)</f>
        <v>15.102600000000001</v>
      </c>
      <c r="E858" s="61">
        <f>17.7139 * CHOOSE(CONTROL!$C$21, $C$12, 100%, $E$12)</f>
        <v>17.713899999999999</v>
      </c>
      <c r="F858" s="61">
        <f>17.7139 * CHOOSE(CONTROL!$C$21, $C$12, 100%, $E$12)</f>
        <v>17.713899999999999</v>
      </c>
      <c r="G858" s="61">
        <f>17.7141 * CHOOSE(CONTROL!$C$21, $C$12, 100%, $E$12)</f>
        <v>17.714099999999998</v>
      </c>
      <c r="H858" s="61">
        <f>28.8995* CHOOSE(CONTROL!$C$21, $C$12, 100%, $E$12)</f>
        <v>28.8995</v>
      </c>
      <c r="I858" s="61">
        <f>28.8997 * CHOOSE(CONTROL!$C$21, $C$12, 100%, $E$12)</f>
        <v>28.899699999999999</v>
      </c>
      <c r="J858" s="61">
        <f>17.7139 * CHOOSE(CONTROL!$C$21, $C$12, 100%, $E$12)</f>
        <v>17.713899999999999</v>
      </c>
      <c r="K858" s="61">
        <f>17.7141 * CHOOSE(CONTROL!$C$21, $C$12, 100%, $E$12)</f>
        <v>17.714099999999998</v>
      </c>
    </row>
    <row r="859" spans="1:11" ht="15">
      <c r="A859" s="13">
        <v>68028</v>
      </c>
      <c r="B859" s="60">
        <f>15.0991 * CHOOSE(CONTROL!$C$21, $C$12, 100%, $E$12)</f>
        <v>15.0991</v>
      </c>
      <c r="C859" s="60">
        <f>15.0991 * CHOOSE(CONTROL!$C$21, $C$12, 100%, $E$12)</f>
        <v>15.0991</v>
      </c>
      <c r="D859" s="60">
        <f>15.1097 * CHOOSE(CONTROL!$C$21, $C$12, 100%, $E$12)</f>
        <v>15.1097</v>
      </c>
      <c r="E859" s="61">
        <f>17.8742 * CHOOSE(CONTROL!$C$21, $C$12, 100%, $E$12)</f>
        <v>17.874199999999998</v>
      </c>
      <c r="F859" s="61">
        <f>17.8742 * CHOOSE(CONTROL!$C$21, $C$12, 100%, $E$12)</f>
        <v>17.874199999999998</v>
      </c>
      <c r="G859" s="61">
        <f>17.8744 * CHOOSE(CONTROL!$C$21, $C$12, 100%, $E$12)</f>
        <v>17.874400000000001</v>
      </c>
      <c r="H859" s="61">
        <f>28.9597* CHOOSE(CONTROL!$C$21, $C$12, 100%, $E$12)</f>
        <v>28.959700000000002</v>
      </c>
      <c r="I859" s="61">
        <f>28.9599 * CHOOSE(CONTROL!$C$21, $C$12, 100%, $E$12)</f>
        <v>28.959900000000001</v>
      </c>
      <c r="J859" s="61">
        <f>17.8742 * CHOOSE(CONTROL!$C$21, $C$12, 100%, $E$12)</f>
        <v>17.874199999999998</v>
      </c>
      <c r="K859" s="61">
        <f>17.8744 * CHOOSE(CONTROL!$C$21, $C$12, 100%, $E$12)</f>
        <v>17.874400000000001</v>
      </c>
    </row>
    <row r="860" spans="1:11" ht="15">
      <c r="A860" s="13">
        <v>68058</v>
      </c>
      <c r="B860" s="60">
        <f>15.0991 * CHOOSE(CONTROL!$C$21, $C$12, 100%, $E$12)</f>
        <v>15.0991</v>
      </c>
      <c r="C860" s="60">
        <f>15.0991 * CHOOSE(CONTROL!$C$21, $C$12, 100%, $E$12)</f>
        <v>15.0991</v>
      </c>
      <c r="D860" s="60">
        <f>15.1202 * CHOOSE(CONTROL!$C$21, $C$12, 100%, $E$12)</f>
        <v>15.120200000000001</v>
      </c>
      <c r="E860" s="61">
        <f>17.936 * CHOOSE(CONTROL!$C$21, $C$12, 100%, $E$12)</f>
        <v>17.936</v>
      </c>
      <c r="F860" s="61">
        <f>17.936 * CHOOSE(CONTROL!$C$21, $C$12, 100%, $E$12)</f>
        <v>17.936</v>
      </c>
      <c r="G860" s="61">
        <f>17.9373 * CHOOSE(CONTROL!$C$21, $C$12, 100%, $E$12)</f>
        <v>17.9373</v>
      </c>
      <c r="H860" s="61">
        <f>29.0201* CHOOSE(CONTROL!$C$21, $C$12, 100%, $E$12)</f>
        <v>29.020099999999999</v>
      </c>
      <c r="I860" s="61">
        <f>29.0214 * CHOOSE(CONTROL!$C$21, $C$12, 100%, $E$12)</f>
        <v>29.0214</v>
      </c>
      <c r="J860" s="61">
        <f>17.936 * CHOOSE(CONTROL!$C$21, $C$12, 100%, $E$12)</f>
        <v>17.936</v>
      </c>
      <c r="K860" s="61">
        <f>17.9373 * CHOOSE(CONTROL!$C$21, $C$12, 100%, $E$12)</f>
        <v>17.9373</v>
      </c>
    </row>
    <row r="861" spans="1:11" ht="15">
      <c r="A861" s="13">
        <v>68089</v>
      </c>
      <c r="B861" s="60">
        <f>15.1052 * CHOOSE(CONTROL!$C$21, $C$12, 100%, $E$12)</f>
        <v>15.1052</v>
      </c>
      <c r="C861" s="60">
        <f>15.1052 * CHOOSE(CONTROL!$C$21, $C$12, 100%, $E$12)</f>
        <v>15.1052</v>
      </c>
      <c r="D861" s="60">
        <f>15.1263 * CHOOSE(CONTROL!$C$21, $C$12, 100%, $E$12)</f>
        <v>15.126300000000001</v>
      </c>
      <c r="E861" s="61">
        <f>17.8785 * CHOOSE(CONTROL!$C$21, $C$12, 100%, $E$12)</f>
        <v>17.878499999999999</v>
      </c>
      <c r="F861" s="61">
        <f>17.8785 * CHOOSE(CONTROL!$C$21, $C$12, 100%, $E$12)</f>
        <v>17.878499999999999</v>
      </c>
      <c r="G861" s="61">
        <f>17.8799 * CHOOSE(CONTROL!$C$21, $C$12, 100%, $E$12)</f>
        <v>17.879899999999999</v>
      </c>
      <c r="H861" s="61">
        <f>29.0805* CHOOSE(CONTROL!$C$21, $C$12, 100%, $E$12)</f>
        <v>29.080500000000001</v>
      </c>
      <c r="I861" s="61">
        <f>29.0819 * CHOOSE(CONTROL!$C$21, $C$12, 100%, $E$12)</f>
        <v>29.081900000000001</v>
      </c>
      <c r="J861" s="61">
        <f>17.8785 * CHOOSE(CONTROL!$C$21, $C$12, 100%, $E$12)</f>
        <v>17.878499999999999</v>
      </c>
      <c r="K861" s="61">
        <f>17.8799 * CHOOSE(CONTROL!$C$21, $C$12, 100%, $E$12)</f>
        <v>17.879899999999999</v>
      </c>
    </row>
    <row r="862" spans="1:11" ht="15">
      <c r="A862" s="13">
        <v>68119</v>
      </c>
      <c r="B862" s="60">
        <f>15.3417 * CHOOSE(CONTROL!$C$21, $C$12, 100%, $E$12)</f>
        <v>15.341699999999999</v>
      </c>
      <c r="C862" s="60">
        <f>15.3417 * CHOOSE(CONTROL!$C$21, $C$12, 100%, $E$12)</f>
        <v>15.341699999999999</v>
      </c>
      <c r="D862" s="60">
        <f>15.3628 * CHOOSE(CONTROL!$C$21, $C$12, 100%, $E$12)</f>
        <v>15.3628</v>
      </c>
      <c r="E862" s="61">
        <f>18.2184 * CHOOSE(CONTROL!$C$21, $C$12, 100%, $E$12)</f>
        <v>18.218399999999999</v>
      </c>
      <c r="F862" s="61">
        <f>18.2184 * CHOOSE(CONTROL!$C$21, $C$12, 100%, $E$12)</f>
        <v>18.218399999999999</v>
      </c>
      <c r="G862" s="61">
        <f>18.2197 * CHOOSE(CONTROL!$C$21, $C$12, 100%, $E$12)</f>
        <v>18.2197</v>
      </c>
      <c r="H862" s="61">
        <f>29.1411* CHOOSE(CONTROL!$C$21, $C$12, 100%, $E$12)</f>
        <v>29.141100000000002</v>
      </c>
      <c r="I862" s="61">
        <f>29.1425 * CHOOSE(CONTROL!$C$21, $C$12, 100%, $E$12)</f>
        <v>29.142499999999998</v>
      </c>
      <c r="J862" s="61">
        <f>18.2184 * CHOOSE(CONTROL!$C$21, $C$12, 100%, $E$12)</f>
        <v>18.218399999999999</v>
      </c>
      <c r="K862" s="61">
        <f>18.2197 * CHOOSE(CONTROL!$C$21, $C$12, 100%, $E$12)</f>
        <v>18.2197</v>
      </c>
    </row>
    <row r="863" spans="1:11" ht="15">
      <c r="A863" s="13">
        <v>68150</v>
      </c>
      <c r="B863" s="60">
        <f>15.3483 * CHOOSE(CONTROL!$C$21, $C$12, 100%, $E$12)</f>
        <v>15.3483</v>
      </c>
      <c r="C863" s="60">
        <f>15.3483 * CHOOSE(CONTROL!$C$21, $C$12, 100%, $E$12)</f>
        <v>15.3483</v>
      </c>
      <c r="D863" s="60">
        <f>15.3695 * CHOOSE(CONTROL!$C$21, $C$12, 100%, $E$12)</f>
        <v>15.3695</v>
      </c>
      <c r="E863" s="61">
        <f>18.0379 * CHOOSE(CONTROL!$C$21, $C$12, 100%, $E$12)</f>
        <v>18.0379</v>
      </c>
      <c r="F863" s="61">
        <f>18.0379 * CHOOSE(CONTROL!$C$21, $C$12, 100%, $E$12)</f>
        <v>18.0379</v>
      </c>
      <c r="G863" s="61">
        <f>18.0393 * CHOOSE(CONTROL!$C$21, $C$12, 100%, $E$12)</f>
        <v>18.039300000000001</v>
      </c>
      <c r="H863" s="61">
        <f>29.2018* CHOOSE(CONTROL!$C$21, $C$12, 100%, $E$12)</f>
        <v>29.201799999999999</v>
      </c>
      <c r="I863" s="61">
        <f>29.2032 * CHOOSE(CONTROL!$C$21, $C$12, 100%, $E$12)</f>
        <v>29.203199999999999</v>
      </c>
      <c r="J863" s="61">
        <f>18.0379 * CHOOSE(CONTROL!$C$21, $C$12, 100%, $E$12)</f>
        <v>18.0379</v>
      </c>
      <c r="K863" s="61">
        <f>18.0393 * CHOOSE(CONTROL!$C$21, $C$12, 100%, $E$12)</f>
        <v>18.039300000000001</v>
      </c>
    </row>
    <row r="864" spans="1:11" ht="15">
      <c r="A864" s="13">
        <v>68181</v>
      </c>
      <c r="B864" s="60">
        <f>15.3453 * CHOOSE(CONTROL!$C$21, $C$12, 100%, $E$12)</f>
        <v>15.3453</v>
      </c>
      <c r="C864" s="60">
        <f>15.3453 * CHOOSE(CONTROL!$C$21, $C$12, 100%, $E$12)</f>
        <v>15.3453</v>
      </c>
      <c r="D864" s="60">
        <f>15.3664 * CHOOSE(CONTROL!$C$21, $C$12, 100%, $E$12)</f>
        <v>15.366400000000001</v>
      </c>
      <c r="E864" s="61">
        <f>18.0152 * CHOOSE(CONTROL!$C$21, $C$12, 100%, $E$12)</f>
        <v>18.0152</v>
      </c>
      <c r="F864" s="61">
        <f>18.0152 * CHOOSE(CONTROL!$C$21, $C$12, 100%, $E$12)</f>
        <v>18.0152</v>
      </c>
      <c r="G864" s="61">
        <f>18.0166 * CHOOSE(CONTROL!$C$21, $C$12, 100%, $E$12)</f>
        <v>18.0166</v>
      </c>
      <c r="H864" s="61">
        <f>29.2626* CHOOSE(CONTROL!$C$21, $C$12, 100%, $E$12)</f>
        <v>29.262599999999999</v>
      </c>
      <c r="I864" s="61">
        <f>29.264 * CHOOSE(CONTROL!$C$21, $C$12, 100%, $E$12)</f>
        <v>29.263999999999999</v>
      </c>
      <c r="J864" s="61">
        <f>18.0152 * CHOOSE(CONTROL!$C$21, $C$12, 100%, $E$12)</f>
        <v>18.0152</v>
      </c>
      <c r="K864" s="61">
        <f>18.0166 * CHOOSE(CONTROL!$C$21, $C$12, 100%, $E$12)</f>
        <v>18.0166</v>
      </c>
    </row>
    <row r="865" spans="1:11" ht="15">
      <c r="A865" s="13">
        <v>68211</v>
      </c>
      <c r="B865" s="60">
        <f>15.3775 * CHOOSE(CONTROL!$C$21, $C$12, 100%, $E$12)</f>
        <v>15.3775</v>
      </c>
      <c r="C865" s="60">
        <f>15.3775 * CHOOSE(CONTROL!$C$21, $C$12, 100%, $E$12)</f>
        <v>15.3775</v>
      </c>
      <c r="D865" s="60">
        <f>15.3881 * CHOOSE(CONTROL!$C$21, $C$12, 100%, $E$12)</f>
        <v>15.3881</v>
      </c>
      <c r="E865" s="61">
        <f>18.0841 * CHOOSE(CONTROL!$C$21, $C$12, 100%, $E$12)</f>
        <v>18.084099999999999</v>
      </c>
      <c r="F865" s="61">
        <f>18.0841 * CHOOSE(CONTROL!$C$21, $C$12, 100%, $E$12)</f>
        <v>18.084099999999999</v>
      </c>
      <c r="G865" s="61">
        <f>18.0842 * CHOOSE(CONTROL!$C$21, $C$12, 100%, $E$12)</f>
        <v>18.084199999999999</v>
      </c>
      <c r="H865" s="61">
        <f>29.3236* CHOOSE(CONTROL!$C$21, $C$12, 100%, $E$12)</f>
        <v>29.323599999999999</v>
      </c>
      <c r="I865" s="61">
        <f>29.3238 * CHOOSE(CONTROL!$C$21, $C$12, 100%, $E$12)</f>
        <v>29.323799999999999</v>
      </c>
      <c r="J865" s="61">
        <f>18.0841 * CHOOSE(CONTROL!$C$21, $C$12, 100%, $E$12)</f>
        <v>18.084099999999999</v>
      </c>
      <c r="K865" s="61">
        <f>18.0842 * CHOOSE(CONTROL!$C$21, $C$12, 100%, $E$12)</f>
        <v>18.084199999999999</v>
      </c>
    </row>
    <row r="866" spans="1:11" ht="15">
      <c r="A866" s="13">
        <v>68242</v>
      </c>
      <c r="B866" s="60">
        <f>15.3806 * CHOOSE(CONTROL!$C$21, $C$12, 100%, $E$12)</f>
        <v>15.380599999999999</v>
      </c>
      <c r="C866" s="60">
        <f>15.3806 * CHOOSE(CONTROL!$C$21, $C$12, 100%, $E$12)</f>
        <v>15.380599999999999</v>
      </c>
      <c r="D866" s="60">
        <f>15.3912 * CHOOSE(CONTROL!$C$21, $C$12, 100%, $E$12)</f>
        <v>15.3912</v>
      </c>
      <c r="E866" s="61">
        <f>18.1273 * CHOOSE(CONTROL!$C$21, $C$12, 100%, $E$12)</f>
        <v>18.127300000000002</v>
      </c>
      <c r="F866" s="61">
        <f>18.1273 * CHOOSE(CONTROL!$C$21, $C$12, 100%, $E$12)</f>
        <v>18.127300000000002</v>
      </c>
      <c r="G866" s="61">
        <f>18.1275 * CHOOSE(CONTROL!$C$21, $C$12, 100%, $E$12)</f>
        <v>18.127500000000001</v>
      </c>
      <c r="H866" s="61">
        <f>29.3847* CHOOSE(CONTROL!$C$21, $C$12, 100%, $E$12)</f>
        <v>29.384699999999999</v>
      </c>
      <c r="I866" s="61">
        <f>29.3849 * CHOOSE(CONTROL!$C$21, $C$12, 100%, $E$12)</f>
        <v>29.384899999999998</v>
      </c>
      <c r="J866" s="61">
        <f>18.1273 * CHOOSE(CONTROL!$C$21, $C$12, 100%, $E$12)</f>
        <v>18.127300000000002</v>
      </c>
      <c r="K866" s="61">
        <f>18.1275 * CHOOSE(CONTROL!$C$21, $C$12, 100%, $E$12)</f>
        <v>18.127500000000001</v>
      </c>
    </row>
    <row r="867" spans="1:11" ht="15">
      <c r="A867" s="13">
        <v>68272</v>
      </c>
      <c r="B867" s="60">
        <f>15.3806 * CHOOSE(CONTROL!$C$21, $C$12, 100%, $E$12)</f>
        <v>15.380599999999999</v>
      </c>
      <c r="C867" s="60">
        <f>15.3806 * CHOOSE(CONTROL!$C$21, $C$12, 100%, $E$12)</f>
        <v>15.380599999999999</v>
      </c>
      <c r="D867" s="60">
        <f>15.3912 * CHOOSE(CONTROL!$C$21, $C$12, 100%, $E$12)</f>
        <v>15.3912</v>
      </c>
      <c r="E867" s="61">
        <f>18.0245 * CHOOSE(CONTROL!$C$21, $C$12, 100%, $E$12)</f>
        <v>18.0245</v>
      </c>
      <c r="F867" s="61">
        <f>18.0245 * CHOOSE(CONTROL!$C$21, $C$12, 100%, $E$12)</f>
        <v>18.0245</v>
      </c>
      <c r="G867" s="61">
        <f>18.0246 * CHOOSE(CONTROL!$C$21, $C$12, 100%, $E$12)</f>
        <v>18.0246</v>
      </c>
      <c r="H867" s="61">
        <f>29.4459* CHOOSE(CONTROL!$C$21, $C$12, 100%, $E$12)</f>
        <v>29.445900000000002</v>
      </c>
      <c r="I867" s="61">
        <f>29.4461 * CHOOSE(CONTROL!$C$21, $C$12, 100%, $E$12)</f>
        <v>29.446100000000001</v>
      </c>
      <c r="J867" s="61">
        <f>18.0245 * CHOOSE(CONTROL!$C$21, $C$12, 100%, $E$12)</f>
        <v>18.0245</v>
      </c>
      <c r="K867" s="61">
        <f>18.0246 * CHOOSE(CONTROL!$C$21, $C$12, 100%, $E$12)</f>
        <v>18.0246</v>
      </c>
    </row>
    <row r="868" spans="1:11" ht="15">
      <c r="A868" s="13">
        <v>68303</v>
      </c>
      <c r="B868" s="60">
        <f>15.3434 * CHOOSE(CONTROL!$C$21, $C$12, 100%, $E$12)</f>
        <v>15.343400000000001</v>
      </c>
      <c r="C868" s="60">
        <f>15.3434 * CHOOSE(CONTROL!$C$21, $C$12, 100%, $E$12)</f>
        <v>15.343400000000001</v>
      </c>
      <c r="D868" s="60">
        <f>15.354 * CHOOSE(CONTROL!$C$21, $C$12, 100%, $E$12)</f>
        <v>15.353999999999999</v>
      </c>
      <c r="E868" s="61">
        <f>18.0517 * CHOOSE(CONTROL!$C$21, $C$12, 100%, $E$12)</f>
        <v>18.0517</v>
      </c>
      <c r="F868" s="61">
        <f>18.0517 * CHOOSE(CONTROL!$C$21, $C$12, 100%, $E$12)</f>
        <v>18.0517</v>
      </c>
      <c r="G868" s="61">
        <f>18.0519 * CHOOSE(CONTROL!$C$21, $C$12, 100%, $E$12)</f>
        <v>18.0519</v>
      </c>
      <c r="H868" s="61">
        <f>29.2254* CHOOSE(CONTROL!$C$21, $C$12, 100%, $E$12)</f>
        <v>29.2254</v>
      </c>
      <c r="I868" s="61">
        <f>29.2255 * CHOOSE(CONTROL!$C$21, $C$12, 100%, $E$12)</f>
        <v>29.2255</v>
      </c>
      <c r="J868" s="61">
        <f>18.0517 * CHOOSE(CONTROL!$C$21, $C$12, 100%, $E$12)</f>
        <v>18.0517</v>
      </c>
      <c r="K868" s="61">
        <f>18.0519 * CHOOSE(CONTROL!$C$21, $C$12, 100%, $E$12)</f>
        <v>18.0519</v>
      </c>
    </row>
    <row r="869" spans="1:11" ht="15">
      <c r="A869" s="13">
        <v>68334</v>
      </c>
      <c r="B869" s="60">
        <f>15.3404 * CHOOSE(CONTROL!$C$21, $C$12, 100%, $E$12)</f>
        <v>15.340400000000001</v>
      </c>
      <c r="C869" s="60">
        <f>15.3404 * CHOOSE(CONTROL!$C$21, $C$12, 100%, $E$12)</f>
        <v>15.340400000000001</v>
      </c>
      <c r="D869" s="60">
        <f>15.3509 * CHOOSE(CONTROL!$C$21, $C$12, 100%, $E$12)</f>
        <v>15.350899999999999</v>
      </c>
      <c r="E869" s="61">
        <f>17.852 * CHOOSE(CONTROL!$C$21, $C$12, 100%, $E$12)</f>
        <v>17.852</v>
      </c>
      <c r="F869" s="61">
        <f>17.852 * CHOOSE(CONTROL!$C$21, $C$12, 100%, $E$12)</f>
        <v>17.852</v>
      </c>
      <c r="G869" s="61">
        <f>17.8522 * CHOOSE(CONTROL!$C$21, $C$12, 100%, $E$12)</f>
        <v>17.8522</v>
      </c>
      <c r="H869" s="61">
        <f>29.2863* CHOOSE(CONTROL!$C$21, $C$12, 100%, $E$12)</f>
        <v>29.286300000000001</v>
      </c>
      <c r="I869" s="61">
        <f>29.2864 * CHOOSE(CONTROL!$C$21, $C$12, 100%, $E$12)</f>
        <v>29.2864</v>
      </c>
      <c r="J869" s="61">
        <f>17.852 * CHOOSE(CONTROL!$C$21, $C$12, 100%, $E$12)</f>
        <v>17.852</v>
      </c>
      <c r="K869" s="61">
        <f>17.8522 * CHOOSE(CONTROL!$C$21, $C$12, 100%, $E$12)</f>
        <v>17.8522</v>
      </c>
    </row>
    <row r="870" spans="1:11" ht="15">
      <c r="A870" s="13">
        <v>68362</v>
      </c>
      <c r="B870" s="60">
        <f>15.3373 * CHOOSE(CONTROL!$C$21, $C$12, 100%, $E$12)</f>
        <v>15.337300000000001</v>
      </c>
      <c r="C870" s="60">
        <f>15.3373 * CHOOSE(CONTROL!$C$21, $C$12, 100%, $E$12)</f>
        <v>15.337300000000001</v>
      </c>
      <c r="D870" s="60">
        <f>15.3479 * CHOOSE(CONTROL!$C$21, $C$12, 100%, $E$12)</f>
        <v>15.347899999999999</v>
      </c>
      <c r="E870" s="61">
        <f>18.0057 * CHOOSE(CONTROL!$C$21, $C$12, 100%, $E$12)</f>
        <v>18.005700000000001</v>
      </c>
      <c r="F870" s="61">
        <f>18.0057 * CHOOSE(CONTROL!$C$21, $C$12, 100%, $E$12)</f>
        <v>18.005700000000001</v>
      </c>
      <c r="G870" s="61">
        <f>18.0058 * CHOOSE(CONTROL!$C$21, $C$12, 100%, $E$12)</f>
        <v>18.005800000000001</v>
      </c>
      <c r="H870" s="61">
        <f>29.3473* CHOOSE(CONTROL!$C$21, $C$12, 100%, $E$12)</f>
        <v>29.347300000000001</v>
      </c>
      <c r="I870" s="61">
        <f>29.3474 * CHOOSE(CONTROL!$C$21, $C$12, 100%, $E$12)</f>
        <v>29.3474</v>
      </c>
      <c r="J870" s="61">
        <f>18.0057 * CHOOSE(CONTROL!$C$21, $C$12, 100%, $E$12)</f>
        <v>18.005700000000001</v>
      </c>
      <c r="K870" s="61">
        <f>18.0058 * CHOOSE(CONTROL!$C$21, $C$12, 100%, $E$12)</f>
        <v>18.005800000000001</v>
      </c>
    </row>
    <row r="871" spans="1:11" ht="15">
      <c r="A871" s="13">
        <v>68393</v>
      </c>
      <c r="B871" s="60">
        <f>15.3446 * CHOOSE(CONTROL!$C$21, $C$12, 100%, $E$12)</f>
        <v>15.3446</v>
      </c>
      <c r="C871" s="60">
        <f>15.3446 * CHOOSE(CONTROL!$C$21, $C$12, 100%, $E$12)</f>
        <v>15.3446</v>
      </c>
      <c r="D871" s="60">
        <f>15.3552 * CHOOSE(CONTROL!$C$21, $C$12, 100%, $E$12)</f>
        <v>15.3552</v>
      </c>
      <c r="E871" s="61">
        <f>18.1687 * CHOOSE(CONTROL!$C$21, $C$12, 100%, $E$12)</f>
        <v>18.168700000000001</v>
      </c>
      <c r="F871" s="61">
        <f>18.1687 * CHOOSE(CONTROL!$C$21, $C$12, 100%, $E$12)</f>
        <v>18.168700000000001</v>
      </c>
      <c r="G871" s="61">
        <f>18.1689 * CHOOSE(CONTROL!$C$21, $C$12, 100%, $E$12)</f>
        <v>18.168900000000001</v>
      </c>
      <c r="H871" s="61">
        <f>29.4084* CHOOSE(CONTROL!$C$21, $C$12, 100%, $E$12)</f>
        <v>29.4084</v>
      </c>
      <c r="I871" s="61">
        <f>29.4086 * CHOOSE(CONTROL!$C$21, $C$12, 100%, $E$12)</f>
        <v>29.4086</v>
      </c>
      <c r="J871" s="61">
        <f>18.1687 * CHOOSE(CONTROL!$C$21, $C$12, 100%, $E$12)</f>
        <v>18.168700000000001</v>
      </c>
      <c r="K871" s="61">
        <f>18.1689 * CHOOSE(CONTROL!$C$21, $C$12, 100%, $E$12)</f>
        <v>18.168900000000001</v>
      </c>
    </row>
    <row r="872" spans="1:11" ht="15">
      <c r="A872" s="13">
        <v>68423</v>
      </c>
      <c r="B872" s="60">
        <f>15.3446 * CHOOSE(CONTROL!$C$21, $C$12, 100%, $E$12)</f>
        <v>15.3446</v>
      </c>
      <c r="C872" s="60">
        <f>15.3446 * CHOOSE(CONTROL!$C$21, $C$12, 100%, $E$12)</f>
        <v>15.3446</v>
      </c>
      <c r="D872" s="60">
        <f>15.3658 * CHOOSE(CONTROL!$C$21, $C$12, 100%, $E$12)</f>
        <v>15.3658</v>
      </c>
      <c r="E872" s="61">
        <f>18.2314 * CHOOSE(CONTROL!$C$21, $C$12, 100%, $E$12)</f>
        <v>18.231400000000001</v>
      </c>
      <c r="F872" s="61">
        <f>18.2314 * CHOOSE(CONTROL!$C$21, $C$12, 100%, $E$12)</f>
        <v>18.231400000000001</v>
      </c>
      <c r="G872" s="61">
        <f>18.2328 * CHOOSE(CONTROL!$C$21, $C$12, 100%, $E$12)</f>
        <v>18.232800000000001</v>
      </c>
      <c r="H872" s="61">
        <f>29.4697* CHOOSE(CONTROL!$C$21, $C$12, 100%, $E$12)</f>
        <v>29.4697</v>
      </c>
      <c r="I872" s="61">
        <f>29.4711 * CHOOSE(CONTROL!$C$21, $C$12, 100%, $E$12)</f>
        <v>29.4711</v>
      </c>
      <c r="J872" s="61">
        <f>18.2314 * CHOOSE(CONTROL!$C$21, $C$12, 100%, $E$12)</f>
        <v>18.231400000000001</v>
      </c>
      <c r="K872" s="61">
        <f>18.2328 * CHOOSE(CONTROL!$C$21, $C$12, 100%, $E$12)</f>
        <v>18.232800000000001</v>
      </c>
    </row>
    <row r="873" spans="1:11" ht="15">
      <c r="A873" s="13">
        <v>68454</v>
      </c>
      <c r="B873" s="60">
        <f>15.3507 * CHOOSE(CONTROL!$C$21, $C$12, 100%, $E$12)</f>
        <v>15.3507</v>
      </c>
      <c r="C873" s="60">
        <f>15.3507 * CHOOSE(CONTROL!$C$21, $C$12, 100%, $E$12)</f>
        <v>15.3507</v>
      </c>
      <c r="D873" s="60">
        <f>15.3718 * CHOOSE(CONTROL!$C$21, $C$12, 100%, $E$12)</f>
        <v>15.3718</v>
      </c>
      <c r="E873" s="61">
        <f>18.1729 * CHOOSE(CONTROL!$C$21, $C$12, 100%, $E$12)</f>
        <v>18.172899999999998</v>
      </c>
      <c r="F873" s="61">
        <f>18.1729 * CHOOSE(CONTROL!$C$21, $C$12, 100%, $E$12)</f>
        <v>18.172899999999998</v>
      </c>
      <c r="G873" s="61">
        <f>18.1743 * CHOOSE(CONTROL!$C$21, $C$12, 100%, $E$12)</f>
        <v>18.174299999999999</v>
      </c>
      <c r="H873" s="61">
        <f>29.5311* CHOOSE(CONTROL!$C$21, $C$12, 100%, $E$12)</f>
        <v>29.531099999999999</v>
      </c>
      <c r="I873" s="61">
        <f>29.5324 * CHOOSE(CONTROL!$C$21, $C$12, 100%, $E$12)</f>
        <v>29.532399999999999</v>
      </c>
      <c r="J873" s="61">
        <f>18.1729 * CHOOSE(CONTROL!$C$21, $C$12, 100%, $E$12)</f>
        <v>18.172899999999998</v>
      </c>
      <c r="K873" s="61">
        <f>18.1743 * CHOOSE(CONTROL!$C$21, $C$12, 100%, $E$12)</f>
        <v>18.174299999999999</v>
      </c>
    </row>
    <row r="874" spans="1:11" ht="15">
      <c r="A874" s="13">
        <v>68484</v>
      </c>
      <c r="B874" s="60">
        <f>15.5909 * CHOOSE(CONTROL!$C$21, $C$12, 100%, $E$12)</f>
        <v>15.5909</v>
      </c>
      <c r="C874" s="60">
        <f>15.5909 * CHOOSE(CONTROL!$C$21, $C$12, 100%, $E$12)</f>
        <v>15.5909</v>
      </c>
      <c r="D874" s="60">
        <f>15.612 * CHOOSE(CONTROL!$C$21, $C$12, 100%, $E$12)</f>
        <v>15.612</v>
      </c>
      <c r="E874" s="61">
        <f>18.5182 * CHOOSE(CONTROL!$C$21, $C$12, 100%, $E$12)</f>
        <v>18.5182</v>
      </c>
      <c r="F874" s="61">
        <f>18.5182 * CHOOSE(CONTROL!$C$21, $C$12, 100%, $E$12)</f>
        <v>18.5182</v>
      </c>
      <c r="G874" s="61">
        <f>18.5196 * CHOOSE(CONTROL!$C$21, $C$12, 100%, $E$12)</f>
        <v>18.519600000000001</v>
      </c>
      <c r="H874" s="61">
        <f>29.5926* CHOOSE(CONTROL!$C$21, $C$12, 100%, $E$12)</f>
        <v>29.592600000000001</v>
      </c>
      <c r="I874" s="61">
        <f>29.594 * CHOOSE(CONTROL!$C$21, $C$12, 100%, $E$12)</f>
        <v>29.594000000000001</v>
      </c>
      <c r="J874" s="61">
        <f>18.5182 * CHOOSE(CONTROL!$C$21, $C$12, 100%, $E$12)</f>
        <v>18.5182</v>
      </c>
      <c r="K874" s="61">
        <f>18.5196 * CHOOSE(CONTROL!$C$21, $C$12, 100%, $E$12)</f>
        <v>18.519600000000001</v>
      </c>
    </row>
    <row r="875" spans="1:11" ht="15">
      <c r="A875" s="13">
        <v>68515</v>
      </c>
      <c r="B875" s="60">
        <f>15.5976 * CHOOSE(CONTROL!$C$21, $C$12, 100%, $E$12)</f>
        <v>15.5976</v>
      </c>
      <c r="C875" s="60">
        <f>15.5976 * CHOOSE(CONTROL!$C$21, $C$12, 100%, $E$12)</f>
        <v>15.5976</v>
      </c>
      <c r="D875" s="60">
        <f>15.6187 * CHOOSE(CONTROL!$C$21, $C$12, 100%, $E$12)</f>
        <v>15.6187</v>
      </c>
      <c r="E875" s="61">
        <f>18.3347 * CHOOSE(CONTROL!$C$21, $C$12, 100%, $E$12)</f>
        <v>18.334700000000002</v>
      </c>
      <c r="F875" s="61">
        <f>18.3347 * CHOOSE(CONTROL!$C$21, $C$12, 100%, $E$12)</f>
        <v>18.334700000000002</v>
      </c>
      <c r="G875" s="61">
        <f>18.3361 * CHOOSE(CONTROL!$C$21, $C$12, 100%, $E$12)</f>
        <v>18.336099999999998</v>
      </c>
      <c r="H875" s="61">
        <f>29.6542* CHOOSE(CONTROL!$C$21, $C$12, 100%, $E$12)</f>
        <v>29.654199999999999</v>
      </c>
      <c r="I875" s="61">
        <f>29.6556 * CHOOSE(CONTROL!$C$21, $C$12, 100%, $E$12)</f>
        <v>29.6556</v>
      </c>
      <c r="J875" s="61">
        <f>18.3347 * CHOOSE(CONTROL!$C$21, $C$12, 100%, $E$12)</f>
        <v>18.334700000000002</v>
      </c>
      <c r="K875" s="61">
        <f>18.3361 * CHOOSE(CONTROL!$C$21, $C$12, 100%, $E$12)</f>
        <v>18.336099999999998</v>
      </c>
    </row>
    <row r="876" spans="1:11" ht="15">
      <c r="A876" s="13">
        <v>68546</v>
      </c>
      <c r="B876" s="60">
        <f>15.5945 * CHOOSE(CONTROL!$C$21, $C$12, 100%, $E$12)</f>
        <v>15.5945</v>
      </c>
      <c r="C876" s="60">
        <f>15.5945 * CHOOSE(CONTROL!$C$21, $C$12, 100%, $E$12)</f>
        <v>15.5945</v>
      </c>
      <c r="D876" s="60">
        <f>15.6156 * CHOOSE(CONTROL!$C$21, $C$12, 100%, $E$12)</f>
        <v>15.615600000000001</v>
      </c>
      <c r="E876" s="61">
        <f>18.3117 * CHOOSE(CONTROL!$C$21, $C$12, 100%, $E$12)</f>
        <v>18.311699999999998</v>
      </c>
      <c r="F876" s="61">
        <f>18.3117 * CHOOSE(CONTROL!$C$21, $C$12, 100%, $E$12)</f>
        <v>18.311699999999998</v>
      </c>
      <c r="G876" s="61">
        <f>18.3131 * CHOOSE(CONTROL!$C$21, $C$12, 100%, $E$12)</f>
        <v>18.313099999999999</v>
      </c>
      <c r="H876" s="61">
        <f>29.716* CHOOSE(CONTROL!$C$21, $C$12, 100%, $E$12)</f>
        <v>29.716000000000001</v>
      </c>
      <c r="I876" s="61">
        <f>29.7174 * CHOOSE(CONTROL!$C$21, $C$12, 100%, $E$12)</f>
        <v>29.717400000000001</v>
      </c>
      <c r="J876" s="61">
        <f>18.3117 * CHOOSE(CONTROL!$C$21, $C$12, 100%, $E$12)</f>
        <v>18.311699999999998</v>
      </c>
      <c r="K876" s="61">
        <f>18.3131 * CHOOSE(CONTROL!$C$21, $C$12, 100%, $E$12)</f>
        <v>18.313099999999999</v>
      </c>
    </row>
    <row r="877" spans="1:11" ht="15">
      <c r="A877" s="13">
        <v>68576</v>
      </c>
      <c r="B877" s="60">
        <f>15.6276 * CHOOSE(CONTROL!$C$21, $C$12, 100%, $E$12)</f>
        <v>15.627599999999999</v>
      </c>
      <c r="C877" s="60">
        <f>15.6276 * CHOOSE(CONTROL!$C$21, $C$12, 100%, $E$12)</f>
        <v>15.627599999999999</v>
      </c>
      <c r="D877" s="60">
        <f>15.6381 * CHOOSE(CONTROL!$C$21, $C$12, 100%, $E$12)</f>
        <v>15.6381</v>
      </c>
      <c r="E877" s="61">
        <f>18.3819 * CHOOSE(CONTROL!$C$21, $C$12, 100%, $E$12)</f>
        <v>18.381900000000002</v>
      </c>
      <c r="F877" s="61">
        <f>18.3819 * CHOOSE(CONTROL!$C$21, $C$12, 100%, $E$12)</f>
        <v>18.381900000000002</v>
      </c>
      <c r="G877" s="61">
        <f>18.3821 * CHOOSE(CONTROL!$C$21, $C$12, 100%, $E$12)</f>
        <v>18.382100000000001</v>
      </c>
      <c r="H877" s="61">
        <f>29.7779* CHOOSE(CONTROL!$C$21, $C$12, 100%, $E$12)</f>
        <v>29.777899999999999</v>
      </c>
      <c r="I877" s="61">
        <f>29.7781 * CHOOSE(CONTROL!$C$21, $C$12, 100%, $E$12)</f>
        <v>29.778099999999998</v>
      </c>
      <c r="J877" s="61">
        <f>18.3819 * CHOOSE(CONTROL!$C$21, $C$12, 100%, $E$12)</f>
        <v>18.381900000000002</v>
      </c>
      <c r="K877" s="61">
        <f>18.3821 * CHOOSE(CONTROL!$C$21, $C$12, 100%, $E$12)</f>
        <v>18.382100000000001</v>
      </c>
    </row>
    <row r="878" spans="1:11" ht="15">
      <c r="A878" s="13">
        <v>68607</v>
      </c>
      <c r="B878" s="60">
        <f>15.6306 * CHOOSE(CONTROL!$C$21, $C$12, 100%, $E$12)</f>
        <v>15.630599999999999</v>
      </c>
      <c r="C878" s="60">
        <f>15.6306 * CHOOSE(CONTROL!$C$21, $C$12, 100%, $E$12)</f>
        <v>15.630599999999999</v>
      </c>
      <c r="D878" s="60">
        <f>15.6412 * CHOOSE(CONTROL!$C$21, $C$12, 100%, $E$12)</f>
        <v>15.6412</v>
      </c>
      <c r="E878" s="61">
        <f>18.4258 * CHOOSE(CONTROL!$C$21, $C$12, 100%, $E$12)</f>
        <v>18.425799999999999</v>
      </c>
      <c r="F878" s="61">
        <f>18.4258 * CHOOSE(CONTROL!$C$21, $C$12, 100%, $E$12)</f>
        <v>18.425799999999999</v>
      </c>
      <c r="G878" s="61">
        <f>18.426 * CHOOSE(CONTROL!$C$21, $C$12, 100%, $E$12)</f>
        <v>18.425999999999998</v>
      </c>
      <c r="H878" s="61">
        <f>29.84* CHOOSE(CONTROL!$C$21, $C$12, 100%, $E$12)</f>
        <v>29.84</v>
      </c>
      <c r="I878" s="61">
        <f>29.8401 * CHOOSE(CONTROL!$C$21, $C$12, 100%, $E$12)</f>
        <v>29.8401</v>
      </c>
      <c r="J878" s="61">
        <f>18.4258 * CHOOSE(CONTROL!$C$21, $C$12, 100%, $E$12)</f>
        <v>18.425799999999999</v>
      </c>
      <c r="K878" s="61">
        <f>18.426 * CHOOSE(CONTROL!$C$21, $C$12, 100%, $E$12)</f>
        <v>18.425999999999998</v>
      </c>
    </row>
    <row r="879" spans="1:11" ht="15">
      <c r="A879" s="13">
        <v>68637</v>
      </c>
      <c r="B879" s="60">
        <f>15.6306 * CHOOSE(CONTROL!$C$21, $C$12, 100%, $E$12)</f>
        <v>15.630599999999999</v>
      </c>
      <c r="C879" s="60">
        <f>15.6306 * CHOOSE(CONTROL!$C$21, $C$12, 100%, $E$12)</f>
        <v>15.630599999999999</v>
      </c>
      <c r="D879" s="60">
        <f>15.6412 * CHOOSE(CONTROL!$C$21, $C$12, 100%, $E$12)</f>
        <v>15.6412</v>
      </c>
      <c r="E879" s="61">
        <f>18.3213 * CHOOSE(CONTROL!$C$21, $C$12, 100%, $E$12)</f>
        <v>18.321300000000001</v>
      </c>
      <c r="F879" s="61">
        <f>18.3213 * CHOOSE(CONTROL!$C$21, $C$12, 100%, $E$12)</f>
        <v>18.321300000000001</v>
      </c>
      <c r="G879" s="61">
        <f>18.3215 * CHOOSE(CONTROL!$C$21, $C$12, 100%, $E$12)</f>
        <v>18.3215</v>
      </c>
      <c r="H879" s="61">
        <f>29.9021* CHOOSE(CONTROL!$C$21, $C$12, 100%, $E$12)</f>
        <v>29.902100000000001</v>
      </c>
      <c r="I879" s="61">
        <f>29.9023 * CHOOSE(CONTROL!$C$21, $C$12, 100%, $E$12)</f>
        <v>29.9023</v>
      </c>
      <c r="J879" s="61">
        <f>18.3213 * CHOOSE(CONTROL!$C$21, $C$12, 100%, $E$12)</f>
        <v>18.321300000000001</v>
      </c>
      <c r="K879" s="61">
        <f>18.3215 * CHOOSE(CONTROL!$C$21, $C$12, 100%, $E$12)</f>
        <v>18.3215</v>
      </c>
    </row>
    <row r="880" spans="1:11" ht="15">
      <c r="A880" s="13">
        <v>68668</v>
      </c>
      <c r="B880" s="60">
        <f>15.5887 * CHOOSE(CONTROL!$C$21, $C$12, 100%, $E$12)</f>
        <v>15.588699999999999</v>
      </c>
      <c r="C880" s="60">
        <f>15.5887 * CHOOSE(CONTROL!$C$21, $C$12, 100%, $E$12)</f>
        <v>15.588699999999999</v>
      </c>
      <c r="D880" s="60">
        <f>15.5993 * CHOOSE(CONTROL!$C$21, $C$12, 100%, $E$12)</f>
        <v>15.599299999999999</v>
      </c>
      <c r="E880" s="61">
        <f>18.3441 * CHOOSE(CONTROL!$C$21, $C$12, 100%, $E$12)</f>
        <v>18.344100000000001</v>
      </c>
      <c r="F880" s="61">
        <f>18.3441 * CHOOSE(CONTROL!$C$21, $C$12, 100%, $E$12)</f>
        <v>18.344100000000001</v>
      </c>
      <c r="G880" s="61">
        <f>18.3443 * CHOOSE(CONTROL!$C$21, $C$12, 100%, $E$12)</f>
        <v>18.3443</v>
      </c>
      <c r="H880" s="61">
        <f>29.6713* CHOOSE(CONTROL!$C$21, $C$12, 100%, $E$12)</f>
        <v>29.671299999999999</v>
      </c>
      <c r="I880" s="61">
        <f>29.6714 * CHOOSE(CONTROL!$C$21, $C$12, 100%, $E$12)</f>
        <v>29.671399999999998</v>
      </c>
      <c r="J880" s="61">
        <f>18.3441 * CHOOSE(CONTROL!$C$21, $C$12, 100%, $E$12)</f>
        <v>18.344100000000001</v>
      </c>
      <c r="K880" s="61">
        <f>18.3443 * CHOOSE(CONTROL!$C$21, $C$12, 100%, $E$12)</f>
        <v>18.3443</v>
      </c>
    </row>
    <row r="881" spans="1:11" ht="15">
      <c r="A881" s="13">
        <v>68699</v>
      </c>
      <c r="B881" s="60">
        <f>15.5857 * CHOOSE(CONTROL!$C$21, $C$12, 100%, $E$12)</f>
        <v>15.585699999999999</v>
      </c>
      <c r="C881" s="60">
        <f>15.5857 * CHOOSE(CONTROL!$C$21, $C$12, 100%, $E$12)</f>
        <v>15.585699999999999</v>
      </c>
      <c r="D881" s="60">
        <f>15.5963 * CHOOSE(CONTROL!$C$21, $C$12, 100%, $E$12)</f>
        <v>15.596299999999999</v>
      </c>
      <c r="E881" s="61">
        <f>18.1412 * CHOOSE(CONTROL!$C$21, $C$12, 100%, $E$12)</f>
        <v>18.141200000000001</v>
      </c>
      <c r="F881" s="61">
        <f>18.1412 * CHOOSE(CONTROL!$C$21, $C$12, 100%, $E$12)</f>
        <v>18.141200000000001</v>
      </c>
      <c r="G881" s="61">
        <f>18.1414 * CHOOSE(CONTROL!$C$21, $C$12, 100%, $E$12)</f>
        <v>18.141400000000001</v>
      </c>
      <c r="H881" s="61">
        <f>29.7331* CHOOSE(CONTROL!$C$21, $C$12, 100%, $E$12)</f>
        <v>29.7331</v>
      </c>
      <c r="I881" s="61">
        <f>29.7333 * CHOOSE(CONTROL!$C$21, $C$12, 100%, $E$12)</f>
        <v>29.7333</v>
      </c>
      <c r="J881" s="61">
        <f>18.1412 * CHOOSE(CONTROL!$C$21, $C$12, 100%, $E$12)</f>
        <v>18.141200000000001</v>
      </c>
      <c r="K881" s="61">
        <f>18.1414 * CHOOSE(CONTROL!$C$21, $C$12, 100%, $E$12)</f>
        <v>18.141400000000001</v>
      </c>
    </row>
    <row r="882" spans="1:11" ht="15">
      <c r="A882" s="13">
        <v>68728</v>
      </c>
      <c r="B882" s="60">
        <f>15.5826 * CHOOSE(CONTROL!$C$21, $C$12, 100%, $E$12)</f>
        <v>15.582599999999999</v>
      </c>
      <c r="C882" s="60">
        <f>15.5826 * CHOOSE(CONTROL!$C$21, $C$12, 100%, $E$12)</f>
        <v>15.582599999999999</v>
      </c>
      <c r="D882" s="60">
        <f>15.5932 * CHOOSE(CONTROL!$C$21, $C$12, 100%, $E$12)</f>
        <v>15.5932</v>
      </c>
      <c r="E882" s="61">
        <f>18.2974 * CHOOSE(CONTROL!$C$21, $C$12, 100%, $E$12)</f>
        <v>18.2974</v>
      </c>
      <c r="F882" s="61">
        <f>18.2974 * CHOOSE(CONTROL!$C$21, $C$12, 100%, $E$12)</f>
        <v>18.2974</v>
      </c>
      <c r="G882" s="61">
        <f>18.2976 * CHOOSE(CONTROL!$C$21, $C$12, 100%, $E$12)</f>
        <v>18.297599999999999</v>
      </c>
      <c r="H882" s="61">
        <f>29.795* CHOOSE(CONTROL!$C$21, $C$12, 100%, $E$12)</f>
        <v>29.795000000000002</v>
      </c>
      <c r="I882" s="61">
        <f>29.7952 * CHOOSE(CONTROL!$C$21, $C$12, 100%, $E$12)</f>
        <v>29.795200000000001</v>
      </c>
      <c r="J882" s="61">
        <f>18.2974 * CHOOSE(CONTROL!$C$21, $C$12, 100%, $E$12)</f>
        <v>18.2974</v>
      </c>
      <c r="K882" s="61">
        <f>18.2976 * CHOOSE(CONTROL!$C$21, $C$12, 100%, $E$12)</f>
        <v>18.297599999999999</v>
      </c>
    </row>
    <row r="883" spans="1:11" ht="15">
      <c r="A883" s="13">
        <v>68759</v>
      </c>
      <c r="B883" s="60">
        <f>15.5902 * CHOOSE(CONTROL!$C$21, $C$12, 100%, $E$12)</f>
        <v>15.590199999999999</v>
      </c>
      <c r="C883" s="60">
        <f>15.5902 * CHOOSE(CONTROL!$C$21, $C$12, 100%, $E$12)</f>
        <v>15.590199999999999</v>
      </c>
      <c r="D883" s="60">
        <f>15.6007 * CHOOSE(CONTROL!$C$21, $C$12, 100%, $E$12)</f>
        <v>15.6007</v>
      </c>
      <c r="E883" s="61">
        <f>18.4631 * CHOOSE(CONTROL!$C$21, $C$12, 100%, $E$12)</f>
        <v>18.463100000000001</v>
      </c>
      <c r="F883" s="61">
        <f>18.4631 * CHOOSE(CONTROL!$C$21, $C$12, 100%, $E$12)</f>
        <v>18.463100000000001</v>
      </c>
      <c r="G883" s="61">
        <f>18.4633 * CHOOSE(CONTROL!$C$21, $C$12, 100%, $E$12)</f>
        <v>18.4633</v>
      </c>
      <c r="H883" s="61">
        <f>29.8571* CHOOSE(CONTROL!$C$21, $C$12, 100%, $E$12)</f>
        <v>29.857099999999999</v>
      </c>
      <c r="I883" s="61">
        <f>29.8573 * CHOOSE(CONTROL!$C$21, $C$12, 100%, $E$12)</f>
        <v>29.857299999999999</v>
      </c>
      <c r="J883" s="61">
        <f>18.4631 * CHOOSE(CONTROL!$C$21, $C$12, 100%, $E$12)</f>
        <v>18.463100000000001</v>
      </c>
      <c r="K883" s="61">
        <f>18.4633 * CHOOSE(CONTROL!$C$21, $C$12, 100%, $E$12)</f>
        <v>18.4633</v>
      </c>
    </row>
    <row r="884" spans="1:11" ht="15">
      <c r="A884" s="13">
        <v>68789</v>
      </c>
      <c r="B884" s="60">
        <f>15.5902 * CHOOSE(CONTROL!$C$21, $C$12, 100%, $E$12)</f>
        <v>15.590199999999999</v>
      </c>
      <c r="C884" s="60">
        <f>15.5902 * CHOOSE(CONTROL!$C$21, $C$12, 100%, $E$12)</f>
        <v>15.590199999999999</v>
      </c>
      <c r="D884" s="60">
        <f>15.6113 * CHOOSE(CONTROL!$C$21, $C$12, 100%, $E$12)</f>
        <v>15.6113</v>
      </c>
      <c r="E884" s="61">
        <f>18.5269 * CHOOSE(CONTROL!$C$21, $C$12, 100%, $E$12)</f>
        <v>18.526900000000001</v>
      </c>
      <c r="F884" s="61">
        <f>18.5269 * CHOOSE(CONTROL!$C$21, $C$12, 100%, $E$12)</f>
        <v>18.526900000000001</v>
      </c>
      <c r="G884" s="61">
        <f>18.5283 * CHOOSE(CONTROL!$C$21, $C$12, 100%, $E$12)</f>
        <v>18.528300000000002</v>
      </c>
      <c r="H884" s="61">
        <f>29.9193* CHOOSE(CONTROL!$C$21, $C$12, 100%, $E$12)</f>
        <v>29.9193</v>
      </c>
      <c r="I884" s="61">
        <f>29.9207 * CHOOSE(CONTROL!$C$21, $C$12, 100%, $E$12)</f>
        <v>29.9207</v>
      </c>
      <c r="J884" s="61">
        <f>18.5269 * CHOOSE(CONTROL!$C$21, $C$12, 100%, $E$12)</f>
        <v>18.526900000000001</v>
      </c>
      <c r="K884" s="61">
        <f>18.5283 * CHOOSE(CONTROL!$C$21, $C$12, 100%, $E$12)</f>
        <v>18.528300000000002</v>
      </c>
    </row>
    <row r="885" spans="1:11" ht="15">
      <c r="A885" s="13">
        <v>68820</v>
      </c>
      <c r="B885" s="60">
        <f>15.5963 * CHOOSE(CONTROL!$C$21, $C$12, 100%, $E$12)</f>
        <v>15.596299999999999</v>
      </c>
      <c r="C885" s="60">
        <f>15.5963 * CHOOSE(CONTROL!$C$21, $C$12, 100%, $E$12)</f>
        <v>15.596299999999999</v>
      </c>
      <c r="D885" s="60">
        <f>15.6174 * CHOOSE(CONTROL!$C$21, $C$12, 100%, $E$12)</f>
        <v>15.6174</v>
      </c>
      <c r="E885" s="61">
        <f>18.4674 * CHOOSE(CONTROL!$C$21, $C$12, 100%, $E$12)</f>
        <v>18.467400000000001</v>
      </c>
      <c r="F885" s="61">
        <f>18.4674 * CHOOSE(CONTROL!$C$21, $C$12, 100%, $E$12)</f>
        <v>18.467400000000001</v>
      </c>
      <c r="G885" s="61">
        <f>18.4688 * CHOOSE(CONTROL!$C$21, $C$12, 100%, $E$12)</f>
        <v>18.468800000000002</v>
      </c>
      <c r="H885" s="61">
        <f>29.9816* CHOOSE(CONTROL!$C$21, $C$12, 100%, $E$12)</f>
        <v>29.9816</v>
      </c>
      <c r="I885" s="61">
        <f>29.983 * CHOOSE(CONTROL!$C$21, $C$12, 100%, $E$12)</f>
        <v>29.983000000000001</v>
      </c>
      <c r="J885" s="61">
        <f>18.4674 * CHOOSE(CONTROL!$C$21, $C$12, 100%, $E$12)</f>
        <v>18.467400000000001</v>
      </c>
      <c r="K885" s="61">
        <f>18.4688 * CHOOSE(CONTROL!$C$21, $C$12, 100%, $E$12)</f>
        <v>18.468800000000002</v>
      </c>
    </row>
    <row r="886" spans="1:11" ht="15">
      <c r="A886" s="13">
        <v>68850</v>
      </c>
      <c r="B886" s="60">
        <f>15.8401 * CHOOSE(CONTROL!$C$21, $C$12, 100%, $E$12)</f>
        <v>15.8401</v>
      </c>
      <c r="C886" s="60">
        <f>15.8401 * CHOOSE(CONTROL!$C$21, $C$12, 100%, $E$12)</f>
        <v>15.8401</v>
      </c>
      <c r="D886" s="60">
        <f>15.8612 * CHOOSE(CONTROL!$C$21, $C$12, 100%, $E$12)</f>
        <v>15.8612</v>
      </c>
      <c r="E886" s="61">
        <f>18.8181 * CHOOSE(CONTROL!$C$21, $C$12, 100%, $E$12)</f>
        <v>18.818100000000001</v>
      </c>
      <c r="F886" s="61">
        <f>18.8181 * CHOOSE(CONTROL!$C$21, $C$12, 100%, $E$12)</f>
        <v>18.818100000000001</v>
      </c>
      <c r="G886" s="61">
        <f>18.8195 * CHOOSE(CONTROL!$C$21, $C$12, 100%, $E$12)</f>
        <v>18.819500000000001</v>
      </c>
      <c r="H886" s="61">
        <f>30.0441* CHOOSE(CONTROL!$C$21, $C$12, 100%, $E$12)</f>
        <v>30.0441</v>
      </c>
      <c r="I886" s="61">
        <f>30.0455 * CHOOSE(CONTROL!$C$21, $C$12, 100%, $E$12)</f>
        <v>30.045500000000001</v>
      </c>
      <c r="J886" s="61">
        <f>18.8181 * CHOOSE(CONTROL!$C$21, $C$12, 100%, $E$12)</f>
        <v>18.818100000000001</v>
      </c>
      <c r="K886" s="61">
        <f>18.8195 * CHOOSE(CONTROL!$C$21, $C$12, 100%, $E$12)</f>
        <v>18.819500000000001</v>
      </c>
    </row>
    <row r="887" spans="1:11" ht="15">
      <c r="A887" s="13">
        <v>68881</v>
      </c>
      <c r="B887" s="60">
        <f>15.8468 * CHOOSE(CONTROL!$C$21, $C$12, 100%, $E$12)</f>
        <v>15.8468</v>
      </c>
      <c r="C887" s="60">
        <f>15.8468 * CHOOSE(CONTROL!$C$21, $C$12, 100%, $E$12)</f>
        <v>15.8468</v>
      </c>
      <c r="D887" s="60">
        <f>15.8679 * CHOOSE(CONTROL!$C$21, $C$12, 100%, $E$12)</f>
        <v>15.867900000000001</v>
      </c>
      <c r="E887" s="61">
        <f>18.6315 * CHOOSE(CONTROL!$C$21, $C$12, 100%, $E$12)</f>
        <v>18.631499999999999</v>
      </c>
      <c r="F887" s="61">
        <f>18.6315 * CHOOSE(CONTROL!$C$21, $C$12, 100%, $E$12)</f>
        <v>18.631499999999999</v>
      </c>
      <c r="G887" s="61">
        <f>18.6329 * CHOOSE(CONTROL!$C$21, $C$12, 100%, $E$12)</f>
        <v>18.632899999999999</v>
      </c>
      <c r="H887" s="61">
        <f>30.1067* CHOOSE(CONTROL!$C$21, $C$12, 100%, $E$12)</f>
        <v>30.1067</v>
      </c>
      <c r="I887" s="61">
        <f>30.1081 * CHOOSE(CONTROL!$C$21, $C$12, 100%, $E$12)</f>
        <v>30.1081</v>
      </c>
      <c r="J887" s="61">
        <f>18.6315 * CHOOSE(CONTROL!$C$21, $C$12, 100%, $E$12)</f>
        <v>18.631499999999999</v>
      </c>
      <c r="K887" s="61">
        <f>18.6329 * CHOOSE(CONTROL!$C$21, $C$12, 100%, $E$12)</f>
        <v>18.632899999999999</v>
      </c>
    </row>
    <row r="888" spans="1:11" ht="15">
      <c r="A888" s="13">
        <v>68912</v>
      </c>
      <c r="B888" s="60">
        <f>15.8437 * CHOOSE(CONTROL!$C$21, $C$12, 100%, $E$12)</f>
        <v>15.8437</v>
      </c>
      <c r="C888" s="60">
        <f>15.8437 * CHOOSE(CONTROL!$C$21, $C$12, 100%, $E$12)</f>
        <v>15.8437</v>
      </c>
      <c r="D888" s="60">
        <f>15.8649 * CHOOSE(CONTROL!$C$21, $C$12, 100%, $E$12)</f>
        <v>15.8649</v>
      </c>
      <c r="E888" s="61">
        <f>18.6082 * CHOOSE(CONTROL!$C$21, $C$12, 100%, $E$12)</f>
        <v>18.6082</v>
      </c>
      <c r="F888" s="61">
        <f>18.6082 * CHOOSE(CONTROL!$C$21, $C$12, 100%, $E$12)</f>
        <v>18.6082</v>
      </c>
      <c r="G888" s="61">
        <f>18.6095 * CHOOSE(CONTROL!$C$21, $C$12, 100%, $E$12)</f>
        <v>18.609500000000001</v>
      </c>
      <c r="H888" s="61">
        <f>30.1694* CHOOSE(CONTROL!$C$21, $C$12, 100%, $E$12)</f>
        <v>30.1694</v>
      </c>
      <c r="I888" s="61">
        <f>30.1708 * CHOOSE(CONTROL!$C$21, $C$12, 100%, $E$12)</f>
        <v>30.1708</v>
      </c>
      <c r="J888" s="61">
        <f>18.6082 * CHOOSE(CONTROL!$C$21, $C$12, 100%, $E$12)</f>
        <v>18.6082</v>
      </c>
      <c r="K888" s="61">
        <f>18.6095 * CHOOSE(CONTROL!$C$21, $C$12, 100%, $E$12)</f>
        <v>18.609500000000001</v>
      </c>
    </row>
    <row r="889" spans="1:11" ht="15">
      <c r="A889" s="13">
        <v>68942</v>
      </c>
      <c r="B889" s="60">
        <f>15.8776 * CHOOSE(CONTROL!$C$21, $C$12, 100%, $E$12)</f>
        <v>15.877599999999999</v>
      </c>
      <c r="C889" s="60">
        <f>15.8776 * CHOOSE(CONTROL!$C$21, $C$12, 100%, $E$12)</f>
        <v>15.877599999999999</v>
      </c>
      <c r="D889" s="60">
        <f>15.8881 * CHOOSE(CONTROL!$C$21, $C$12, 100%, $E$12)</f>
        <v>15.8881</v>
      </c>
      <c r="E889" s="61">
        <f>18.6798 * CHOOSE(CONTROL!$C$21, $C$12, 100%, $E$12)</f>
        <v>18.6798</v>
      </c>
      <c r="F889" s="61">
        <f>18.6798 * CHOOSE(CONTROL!$C$21, $C$12, 100%, $E$12)</f>
        <v>18.6798</v>
      </c>
      <c r="G889" s="61">
        <f>18.6799 * CHOOSE(CONTROL!$C$21, $C$12, 100%, $E$12)</f>
        <v>18.6799</v>
      </c>
      <c r="H889" s="61">
        <f>30.2323* CHOOSE(CONTROL!$C$21, $C$12, 100%, $E$12)</f>
        <v>30.232299999999999</v>
      </c>
      <c r="I889" s="61">
        <f>30.2324 * CHOOSE(CONTROL!$C$21, $C$12, 100%, $E$12)</f>
        <v>30.232399999999998</v>
      </c>
      <c r="J889" s="61">
        <f>18.6798 * CHOOSE(CONTROL!$C$21, $C$12, 100%, $E$12)</f>
        <v>18.6798</v>
      </c>
      <c r="K889" s="61">
        <f>18.6799 * CHOOSE(CONTROL!$C$21, $C$12, 100%, $E$12)</f>
        <v>18.6799</v>
      </c>
    </row>
    <row r="890" spans="1:11" ht="15">
      <c r="A890" s="13">
        <v>68973</v>
      </c>
      <c r="B890" s="60">
        <f>15.8806 * CHOOSE(CONTROL!$C$21, $C$12, 100%, $E$12)</f>
        <v>15.880599999999999</v>
      </c>
      <c r="C890" s="60">
        <f>15.8806 * CHOOSE(CONTROL!$C$21, $C$12, 100%, $E$12)</f>
        <v>15.880599999999999</v>
      </c>
      <c r="D890" s="60">
        <f>15.8912 * CHOOSE(CONTROL!$C$21, $C$12, 100%, $E$12)</f>
        <v>15.8912</v>
      </c>
      <c r="E890" s="61">
        <f>18.7244 * CHOOSE(CONTROL!$C$21, $C$12, 100%, $E$12)</f>
        <v>18.724399999999999</v>
      </c>
      <c r="F890" s="61">
        <f>18.7244 * CHOOSE(CONTROL!$C$21, $C$12, 100%, $E$12)</f>
        <v>18.724399999999999</v>
      </c>
      <c r="G890" s="61">
        <f>18.7245 * CHOOSE(CONTROL!$C$21, $C$12, 100%, $E$12)</f>
        <v>18.724499999999999</v>
      </c>
      <c r="H890" s="61">
        <f>30.2952* CHOOSE(CONTROL!$C$21, $C$12, 100%, $E$12)</f>
        <v>30.295200000000001</v>
      </c>
      <c r="I890" s="61">
        <f>30.2954 * CHOOSE(CONTROL!$C$21, $C$12, 100%, $E$12)</f>
        <v>30.295400000000001</v>
      </c>
      <c r="J890" s="61">
        <f>18.7244 * CHOOSE(CONTROL!$C$21, $C$12, 100%, $E$12)</f>
        <v>18.724399999999999</v>
      </c>
      <c r="K890" s="61">
        <f>18.7245 * CHOOSE(CONTROL!$C$21, $C$12, 100%, $E$12)</f>
        <v>18.724499999999999</v>
      </c>
    </row>
    <row r="891" spans="1:11" ht="15">
      <c r="A891" s="13">
        <v>69003</v>
      </c>
      <c r="B891" s="60">
        <f>15.8806 * CHOOSE(CONTROL!$C$21, $C$12, 100%, $E$12)</f>
        <v>15.880599999999999</v>
      </c>
      <c r="C891" s="60">
        <f>15.8806 * CHOOSE(CONTROL!$C$21, $C$12, 100%, $E$12)</f>
        <v>15.880599999999999</v>
      </c>
      <c r="D891" s="60">
        <f>15.8912 * CHOOSE(CONTROL!$C$21, $C$12, 100%, $E$12)</f>
        <v>15.8912</v>
      </c>
      <c r="E891" s="61">
        <f>18.6181 * CHOOSE(CONTROL!$C$21, $C$12, 100%, $E$12)</f>
        <v>18.618099999999998</v>
      </c>
      <c r="F891" s="61">
        <f>18.6181 * CHOOSE(CONTROL!$C$21, $C$12, 100%, $E$12)</f>
        <v>18.618099999999998</v>
      </c>
      <c r="G891" s="61">
        <f>18.6183 * CHOOSE(CONTROL!$C$21, $C$12, 100%, $E$12)</f>
        <v>18.618300000000001</v>
      </c>
      <c r="H891" s="61">
        <f>30.3584* CHOOSE(CONTROL!$C$21, $C$12, 100%, $E$12)</f>
        <v>30.3584</v>
      </c>
      <c r="I891" s="61">
        <f>30.3585 * CHOOSE(CONTROL!$C$21, $C$12, 100%, $E$12)</f>
        <v>30.358499999999999</v>
      </c>
      <c r="J891" s="61">
        <f>18.6181 * CHOOSE(CONTROL!$C$21, $C$12, 100%, $E$12)</f>
        <v>18.618099999999998</v>
      </c>
      <c r="K891" s="61">
        <f>18.6183 * CHOOSE(CONTROL!$C$21, $C$12, 100%, $E$12)</f>
        <v>18.618300000000001</v>
      </c>
    </row>
    <row r="892" spans="1:11" ht="15">
      <c r="A892" s="13">
        <v>69034</v>
      </c>
      <c r="B892" s="60">
        <f>15.834 * CHOOSE(CONTROL!$C$21, $C$12, 100%, $E$12)</f>
        <v>15.834</v>
      </c>
      <c r="C892" s="60">
        <f>15.834 * CHOOSE(CONTROL!$C$21, $C$12, 100%, $E$12)</f>
        <v>15.834</v>
      </c>
      <c r="D892" s="60">
        <f>15.8446 * CHOOSE(CONTROL!$C$21, $C$12, 100%, $E$12)</f>
        <v>15.8446</v>
      </c>
      <c r="E892" s="61">
        <f>18.6365 * CHOOSE(CONTROL!$C$21, $C$12, 100%, $E$12)</f>
        <v>18.636500000000002</v>
      </c>
      <c r="F892" s="61">
        <f>18.6365 * CHOOSE(CONTROL!$C$21, $C$12, 100%, $E$12)</f>
        <v>18.636500000000002</v>
      </c>
      <c r="G892" s="61">
        <f>18.6367 * CHOOSE(CONTROL!$C$21, $C$12, 100%, $E$12)</f>
        <v>18.636700000000001</v>
      </c>
      <c r="H892" s="61">
        <f>30.1172* CHOOSE(CONTROL!$C$21, $C$12, 100%, $E$12)</f>
        <v>30.1172</v>
      </c>
      <c r="I892" s="61">
        <f>30.1173 * CHOOSE(CONTROL!$C$21, $C$12, 100%, $E$12)</f>
        <v>30.1173</v>
      </c>
      <c r="J892" s="61">
        <f>18.6365 * CHOOSE(CONTROL!$C$21, $C$12, 100%, $E$12)</f>
        <v>18.636500000000002</v>
      </c>
      <c r="K892" s="61">
        <f>18.6367 * CHOOSE(CONTROL!$C$21, $C$12, 100%, $E$12)</f>
        <v>18.636700000000001</v>
      </c>
    </row>
    <row r="893" spans="1:11" ht="15">
      <c r="A893" s="13">
        <v>69065</v>
      </c>
      <c r="B893" s="60">
        <f>15.831 * CHOOSE(CONTROL!$C$21, $C$12, 100%, $E$12)</f>
        <v>15.831</v>
      </c>
      <c r="C893" s="60">
        <f>15.831 * CHOOSE(CONTROL!$C$21, $C$12, 100%, $E$12)</f>
        <v>15.831</v>
      </c>
      <c r="D893" s="60">
        <f>15.8416 * CHOOSE(CONTROL!$C$21, $C$12, 100%, $E$12)</f>
        <v>15.8416</v>
      </c>
      <c r="E893" s="61">
        <f>18.4304 * CHOOSE(CONTROL!$C$21, $C$12, 100%, $E$12)</f>
        <v>18.430399999999999</v>
      </c>
      <c r="F893" s="61">
        <f>18.4304 * CHOOSE(CONTROL!$C$21, $C$12, 100%, $E$12)</f>
        <v>18.430399999999999</v>
      </c>
      <c r="G893" s="61">
        <f>18.4306 * CHOOSE(CONTROL!$C$21, $C$12, 100%, $E$12)</f>
        <v>18.430599999999998</v>
      </c>
      <c r="H893" s="61">
        <f>30.1799* CHOOSE(CONTROL!$C$21, $C$12, 100%, $E$12)</f>
        <v>30.1799</v>
      </c>
      <c r="I893" s="61">
        <f>30.1801 * CHOOSE(CONTROL!$C$21, $C$12, 100%, $E$12)</f>
        <v>30.180099999999999</v>
      </c>
      <c r="J893" s="61">
        <f>18.4304 * CHOOSE(CONTROL!$C$21, $C$12, 100%, $E$12)</f>
        <v>18.430399999999999</v>
      </c>
      <c r="K893" s="61">
        <f>18.4306 * CHOOSE(CONTROL!$C$21, $C$12, 100%, $E$12)</f>
        <v>18.430599999999998</v>
      </c>
    </row>
    <row r="894" spans="1:11" ht="15">
      <c r="A894" s="13">
        <v>69093</v>
      </c>
      <c r="B894" s="60">
        <f>15.828 * CHOOSE(CONTROL!$C$21, $C$12, 100%, $E$12)</f>
        <v>15.827999999999999</v>
      </c>
      <c r="C894" s="60">
        <f>15.828 * CHOOSE(CONTROL!$C$21, $C$12, 100%, $E$12)</f>
        <v>15.827999999999999</v>
      </c>
      <c r="D894" s="60">
        <f>15.8385 * CHOOSE(CONTROL!$C$21, $C$12, 100%, $E$12)</f>
        <v>15.8385</v>
      </c>
      <c r="E894" s="61">
        <f>18.5891 * CHOOSE(CONTROL!$C$21, $C$12, 100%, $E$12)</f>
        <v>18.589099999999998</v>
      </c>
      <c r="F894" s="61">
        <f>18.5891 * CHOOSE(CONTROL!$C$21, $C$12, 100%, $E$12)</f>
        <v>18.589099999999998</v>
      </c>
      <c r="G894" s="61">
        <f>18.5893 * CHOOSE(CONTROL!$C$21, $C$12, 100%, $E$12)</f>
        <v>18.589300000000001</v>
      </c>
      <c r="H894" s="61">
        <f>30.2428* CHOOSE(CONTROL!$C$21, $C$12, 100%, $E$12)</f>
        <v>30.242799999999999</v>
      </c>
      <c r="I894" s="61">
        <f>30.2429 * CHOOSE(CONTROL!$C$21, $C$12, 100%, $E$12)</f>
        <v>30.242899999999999</v>
      </c>
      <c r="J894" s="61">
        <f>18.5891 * CHOOSE(CONTROL!$C$21, $C$12, 100%, $E$12)</f>
        <v>18.589099999999998</v>
      </c>
      <c r="K894" s="61">
        <f>18.5893 * CHOOSE(CONTROL!$C$21, $C$12, 100%, $E$12)</f>
        <v>18.589300000000001</v>
      </c>
    </row>
    <row r="895" spans="1:11" ht="15">
      <c r="A895" s="13">
        <v>69124</v>
      </c>
      <c r="B895" s="60">
        <f>15.8357 * CHOOSE(CONTROL!$C$21, $C$12, 100%, $E$12)</f>
        <v>15.835699999999999</v>
      </c>
      <c r="C895" s="60">
        <f>15.8357 * CHOOSE(CONTROL!$C$21, $C$12, 100%, $E$12)</f>
        <v>15.835699999999999</v>
      </c>
      <c r="D895" s="60">
        <f>15.8463 * CHOOSE(CONTROL!$C$21, $C$12, 100%, $E$12)</f>
        <v>15.846299999999999</v>
      </c>
      <c r="E895" s="61">
        <f>18.7576 * CHOOSE(CONTROL!$C$21, $C$12, 100%, $E$12)</f>
        <v>18.7576</v>
      </c>
      <c r="F895" s="61">
        <f>18.7576 * CHOOSE(CONTROL!$C$21, $C$12, 100%, $E$12)</f>
        <v>18.7576</v>
      </c>
      <c r="G895" s="61">
        <f>18.7578 * CHOOSE(CONTROL!$C$21, $C$12, 100%, $E$12)</f>
        <v>18.7578</v>
      </c>
      <c r="H895" s="61">
        <f>30.3058* CHOOSE(CONTROL!$C$21, $C$12, 100%, $E$12)</f>
        <v>30.305800000000001</v>
      </c>
      <c r="I895" s="61">
        <f>30.306 * CHOOSE(CONTROL!$C$21, $C$12, 100%, $E$12)</f>
        <v>30.306000000000001</v>
      </c>
      <c r="J895" s="61">
        <f>18.7576 * CHOOSE(CONTROL!$C$21, $C$12, 100%, $E$12)</f>
        <v>18.7576</v>
      </c>
      <c r="K895" s="61">
        <f>18.7578 * CHOOSE(CONTROL!$C$21, $C$12, 100%, $E$12)</f>
        <v>18.7578</v>
      </c>
    </row>
    <row r="896" spans="1:11" ht="15">
      <c r="A896" s="13">
        <v>69154</v>
      </c>
      <c r="B896" s="60">
        <f>15.8357 * CHOOSE(CONTROL!$C$21, $C$12, 100%, $E$12)</f>
        <v>15.835699999999999</v>
      </c>
      <c r="C896" s="60">
        <f>15.8357 * CHOOSE(CONTROL!$C$21, $C$12, 100%, $E$12)</f>
        <v>15.835699999999999</v>
      </c>
      <c r="D896" s="60">
        <f>15.8568 * CHOOSE(CONTROL!$C$21, $C$12, 100%, $E$12)</f>
        <v>15.8568</v>
      </c>
      <c r="E896" s="61">
        <f>18.8224 * CHOOSE(CONTROL!$C$21, $C$12, 100%, $E$12)</f>
        <v>18.822399999999998</v>
      </c>
      <c r="F896" s="61">
        <f>18.8224 * CHOOSE(CONTROL!$C$21, $C$12, 100%, $E$12)</f>
        <v>18.822399999999998</v>
      </c>
      <c r="G896" s="61">
        <f>18.8237 * CHOOSE(CONTROL!$C$21, $C$12, 100%, $E$12)</f>
        <v>18.823699999999999</v>
      </c>
      <c r="H896" s="61">
        <f>30.3689* CHOOSE(CONTROL!$C$21, $C$12, 100%, $E$12)</f>
        <v>30.3689</v>
      </c>
      <c r="I896" s="61">
        <f>30.3703 * CHOOSE(CONTROL!$C$21, $C$12, 100%, $E$12)</f>
        <v>30.3703</v>
      </c>
      <c r="J896" s="61">
        <f>18.8224 * CHOOSE(CONTROL!$C$21, $C$12, 100%, $E$12)</f>
        <v>18.822399999999998</v>
      </c>
      <c r="K896" s="61">
        <f>18.8237 * CHOOSE(CONTROL!$C$21, $C$12, 100%, $E$12)</f>
        <v>18.823699999999999</v>
      </c>
    </row>
    <row r="897" spans="1:11" ht="15">
      <c r="A897" s="13">
        <v>69185</v>
      </c>
      <c r="B897" s="60">
        <f>15.8418 * CHOOSE(CONTROL!$C$21, $C$12, 100%, $E$12)</f>
        <v>15.841799999999999</v>
      </c>
      <c r="C897" s="60">
        <f>15.8418 * CHOOSE(CONTROL!$C$21, $C$12, 100%, $E$12)</f>
        <v>15.841799999999999</v>
      </c>
      <c r="D897" s="60">
        <f>15.8629 * CHOOSE(CONTROL!$C$21, $C$12, 100%, $E$12)</f>
        <v>15.8629</v>
      </c>
      <c r="E897" s="61">
        <f>18.7618 * CHOOSE(CONTROL!$C$21, $C$12, 100%, $E$12)</f>
        <v>18.761800000000001</v>
      </c>
      <c r="F897" s="61">
        <f>18.7618 * CHOOSE(CONTROL!$C$21, $C$12, 100%, $E$12)</f>
        <v>18.761800000000001</v>
      </c>
      <c r="G897" s="61">
        <f>18.7632 * CHOOSE(CONTROL!$C$21, $C$12, 100%, $E$12)</f>
        <v>18.763200000000001</v>
      </c>
      <c r="H897" s="61">
        <f>30.4322* CHOOSE(CONTROL!$C$21, $C$12, 100%, $E$12)</f>
        <v>30.432200000000002</v>
      </c>
      <c r="I897" s="61">
        <f>30.4336 * CHOOSE(CONTROL!$C$21, $C$12, 100%, $E$12)</f>
        <v>30.433599999999998</v>
      </c>
      <c r="J897" s="61">
        <f>18.7618 * CHOOSE(CONTROL!$C$21, $C$12, 100%, $E$12)</f>
        <v>18.761800000000001</v>
      </c>
      <c r="K897" s="61">
        <f>18.7632 * CHOOSE(CONTROL!$C$21, $C$12, 100%, $E$12)</f>
        <v>18.763200000000001</v>
      </c>
    </row>
    <row r="898" spans="1:11" ht="15">
      <c r="A898" s="13">
        <v>69215</v>
      </c>
      <c r="B898" s="60">
        <f>16.0893 * CHOOSE(CONTROL!$C$21, $C$12, 100%, $E$12)</f>
        <v>16.089300000000001</v>
      </c>
      <c r="C898" s="60">
        <f>16.0893 * CHOOSE(CONTROL!$C$21, $C$12, 100%, $E$12)</f>
        <v>16.089300000000001</v>
      </c>
      <c r="D898" s="60">
        <f>16.1104 * CHOOSE(CONTROL!$C$21, $C$12, 100%, $E$12)</f>
        <v>16.110399999999998</v>
      </c>
      <c r="E898" s="61">
        <f>19.118 * CHOOSE(CONTROL!$C$21, $C$12, 100%, $E$12)</f>
        <v>19.117999999999999</v>
      </c>
      <c r="F898" s="61">
        <f>19.118 * CHOOSE(CONTROL!$C$21, $C$12, 100%, $E$12)</f>
        <v>19.117999999999999</v>
      </c>
      <c r="G898" s="61">
        <f>19.1194 * CHOOSE(CONTROL!$C$21, $C$12, 100%, $E$12)</f>
        <v>19.119399999999999</v>
      </c>
      <c r="H898" s="61">
        <f>30.4956* CHOOSE(CONTROL!$C$21, $C$12, 100%, $E$12)</f>
        <v>30.4956</v>
      </c>
      <c r="I898" s="61">
        <f>30.497 * CHOOSE(CONTROL!$C$21, $C$12, 100%, $E$12)</f>
        <v>30.497</v>
      </c>
      <c r="J898" s="61">
        <f>19.118 * CHOOSE(CONTROL!$C$21, $C$12, 100%, $E$12)</f>
        <v>19.117999999999999</v>
      </c>
      <c r="K898" s="61">
        <f>19.1194 * CHOOSE(CONTROL!$C$21, $C$12, 100%, $E$12)</f>
        <v>19.119399999999999</v>
      </c>
    </row>
    <row r="899" spans="1:11" ht="15">
      <c r="A899" s="13">
        <v>69246</v>
      </c>
      <c r="B899" s="60">
        <f>16.096 * CHOOSE(CONTROL!$C$21, $C$12, 100%, $E$12)</f>
        <v>16.096</v>
      </c>
      <c r="C899" s="60">
        <f>16.096 * CHOOSE(CONTROL!$C$21, $C$12, 100%, $E$12)</f>
        <v>16.096</v>
      </c>
      <c r="D899" s="60">
        <f>16.1171 * CHOOSE(CONTROL!$C$21, $C$12, 100%, $E$12)</f>
        <v>16.117100000000001</v>
      </c>
      <c r="E899" s="61">
        <f>18.9284 * CHOOSE(CONTROL!$C$21, $C$12, 100%, $E$12)</f>
        <v>18.9284</v>
      </c>
      <c r="F899" s="61">
        <f>18.9284 * CHOOSE(CONTROL!$C$21, $C$12, 100%, $E$12)</f>
        <v>18.9284</v>
      </c>
      <c r="G899" s="61">
        <f>18.9297 * CHOOSE(CONTROL!$C$21, $C$12, 100%, $E$12)</f>
        <v>18.9297</v>
      </c>
      <c r="H899" s="61">
        <f>30.5591* CHOOSE(CONTROL!$C$21, $C$12, 100%, $E$12)</f>
        <v>30.559100000000001</v>
      </c>
      <c r="I899" s="61">
        <f>30.5605 * CHOOSE(CONTROL!$C$21, $C$12, 100%, $E$12)</f>
        <v>30.560500000000001</v>
      </c>
      <c r="J899" s="61">
        <f>18.9284 * CHOOSE(CONTROL!$C$21, $C$12, 100%, $E$12)</f>
        <v>18.9284</v>
      </c>
      <c r="K899" s="61">
        <f>18.9297 * CHOOSE(CONTROL!$C$21, $C$12, 100%, $E$12)</f>
        <v>18.9297</v>
      </c>
    </row>
    <row r="900" spans="1:11" ht="15">
      <c r="A900" s="13">
        <v>69277</v>
      </c>
      <c r="B900" s="60">
        <f>16.093 * CHOOSE(CONTROL!$C$21, $C$12, 100%, $E$12)</f>
        <v>16.093</v>
      </c>
      <c r="C900" s="60">
        <f>16.093 * CHOOSE(CONTROL!$C$21, $C$12, 100%, $E$12)</f>
        <v>16.093</v>
      </c>
      <c r="D900" s="60">
        <f>16.1141 * CHOOSE(CONTROL!$C$21, $C$12, 100%, $E$12)</f>
        <v>16.114100000000001</v>
      </c>
      <c r="E900" s="61">
        <f>18.9047 * CHOOSE(CONTROL!$C$21, $C$12, 100%, $E$12)</f>
        <v>18.904699999999998</v>
      </c>
      <c r="F900" s="61">
        <f>18.9047 * CHOOSE(CONTROL!$C$21, $C$12, 100%, $E$12)</f>
        <v>18.904699999999998</v>
      </c>
      <c r="G900" s="61">
        <f>18.906 * CHOOSE(CONTROL!$C$21, $C$12, 100%, $E$12)</f>
        <v>18.905999999999999</v>
      </c>
      <c r="H900" s="61">
        <f>30.6228* CHOOSE(CONTROL!$C$21, $C$12, 100%, $E$12)</f>
        <v>30.622800000000002</v>
      </c>
      <c r="I900" s="61">
        <f>30.6242 * CHOOSE(CONTROL!$C$21, $C$12, 100%, $E$12)</f>
        <v>30.624199999999998</v>
      </c>
      <c r="J900" s="61">
        <f>18.9047 * CHOOSE(CONTROL!$C$21, $C$12, 100%, $E$12)</f>
        <v>18.904699999999998</v>
      </c>
      <c r="K900" s="61">
        <f>18.906 * CHOOSE(CONTROL!$C$21, $C$12, 100%, $E$12)</f>
        <v>18.905999999999999</v>
      </c>
    </row>
    <row r="901" spans="1:11" ht="15">
      <c r="A901" s="13">
        <v>69307</v>
      </c>
      <c r="B901" s="60">
        <f>16.1276 * CHOOSE(CONTROL!$C$21, $C$12, 100%, $E$12)</f>
        <v>16.127600000000001</v>
      </c>
      <c r="C901" s="60">
        <f>16.1276 * CHOOSE(CONTROL!$C$21, $C$12, 100%, $E$12)</f>
        <v>16.127600000000001</v>
      </c>
      <c r="D901" s="60">
        <f>16.1382 * CHOOSE(CONTROL!$C$21, $C$12, 100%, $E$12)</f>
        <v>16.138200000000001</v>
      </c>
      <c r="E901" s="61">
        <f>18.9776 * CHOOSE(CONTROL!$C$21, $C$12, 100%, $E$12)</f>
        <v>18.977599999999999</v>
      </c>
      <c r="F901" s="61">
        <f>18.9776 * CHOOSE(CONTROL!$C$21, $C$12, 100%, $E$12)</f>
        <v>18.977599999999999</v>
      </c>
      <c r="G901" s="61">
        <f>18.9778 * CHOOSE(CONTROL!$C$21, $C$12, 100%, $E$12)</f>
        <v>18.977799999999998</v>
      </c>
      <c r="H901" s="61">
        <f>30.6866* CHOOSE(CONTROL!$C$21, $C$12, 100%, $E$12)</f>
        <v>30.686599999999999</v>
      </c>
      <c r="I901" s="61">
        <f>30.6868 * CHOOSE(CONTROL!$C$21, $C$12, 100%, $E$12)</f>
        <v>30.686800000000002</v>
      </c>
      <c r="J901" s="61">
        <f>18.9776 * CHOOSE(CONTROL!$C$21, $C$12, 100%, $E$12)</f>
        <v>18.977599999999999</v>
      </c>
      <c r="K901" s="61">
        <f>18.9778 * CHOOSE(CONTROL!$C$21, $C$12, 100%, $E$12)</f>
        <v>18.977799999999998</v>
      </c>
    </row>
    <row r="902" spans="1:11" ht="15">
      <c r="A902" s="13">
        <v>69338</v>
      </c>
      <c r="B902" s="60">
        <f>16.1306 * CHOOSE(CONTROL!$C$21, $C$12, 100%, $E$12)</f>
        <v>16.130600000000001</v>
      </c>
      <c r="C902" s="60">
        <f>16.1306 * CHOOSE(CONTROL!$C$21, $C$12, 100%, $E$12)</f>
        <v>16.130600000000001</v>
      </c>
      <c r="D902" s="60">
        <f>16.1412 * CHOOSE(CONTROL!$C$21, $C$12, 100%, $E$12)</f>
        <v>16.141200000000001</v>
      </c>
      <c r="E902" s="61">
        <f>19.0229 * CHOOSE(CONTROL!$C$21, $C$12, 100%, $E$12)</f>
        <v>19.0229</v>
      </c>
      <c r="F902" s="61">
        <f>19.0229 * CHOOSE(CONTROL!$C$21, $C$12, 100%, $E$12)</f>
        <v>19.0229</v>
      </c>
      <c r="G902" s="61">
        <f>19.0231 * CHOOSE(CONTROL!$C$21, $C$12, 100%, $E$12)</f>
        <v>19.023099999999999</v>
      </c>
      <c r="H902" s="61">
        <f>30.7505* CHOOSE(CONTROL!$C$21, $C$12, 100%, $E$12)</f>
        <v>30.750499999999999</v>
      </c>
      <c r="I902" s="61">
        <f>30.7507 * CHOOSE(CONTROL!$C$21, $C$12, 100%, $E$12)</f>
        <v>30.750699999999998</v>
      </c>
      <c r="J902" s="61">
        <f>19.0229 * CHOOSE(CONTROL!$C$21, $C$12, 100%, $E$12)</f>
        <v>19.0229</v>
      </c>
      <c r="K902" s="61">
        <f>19.0231 * CHOOSE(CONTROL!$C$21, $C$12, 100%, $E$12)</f>
        <v>19.023099999999999</v>
      </c>
    </row>
    <row r="903" spans="1:11" ht="15">
      <c r="A903" s="13">
        <v>69368</v>
      </c>
      <c r="B903" s="60">
        <f>16.1306 * CHOOSE(CONTROL!$C$21, $C$12, 100%, $E$12)</f>
        <v>16.130600000000001</v>
      </c>
      <c r="C903" s="60">
        <f>16.1306 * CHOOSE(CONTROL!$C$21, $C$12, 100%, $E$12)</f>
        <v>16.130600000000001</v>
      </c>
      <c r="D903" s="60">
        <f>16.1412 * CHOOSE(CONTROL!$C$21, $C$12, 100%, $E$12)</f>
        <v>16.141200000000001</v>
      </c>
      <c r="E903" s="61">
        <f>18.915 * CHOOSE(CONTROL!$C$21, $C$12, 100%, $E$12)</f>
        <v>18.914999999999999</v>
      </c>
      <c r="F903" s="61">
        <f>18.915 * CHOOSE(CONTROL!$C$21, $C$12, 100%, $E$12)</f>
        <v>18.914999999999999</v>
      </c>
      <c r="G903" s="61">
        <f>18.9151 * CHOOSE(CONTROL!$C$21, $C$12, 100%, $E$12)</f>
        <v>18.915099999999999</v>
      </c>
      <c r="H903" s="61">
        <f>30.8146* CHOOSE(CONTROL!$C$21, $C$12, 100%, $E$12)</f>
        <v>30.814599999999999</v>
      </c>
      <c r="I903" s="61">
        <f>30.8147 * CHOOSE(CONTROL!$C$21, $C$12, 100%, $E$12)</f>
        <v>30.814699999999998</v>
      </c>
      <c r="J903" s="61">
        <f>18.915 * CHOOSE(CONTROL!$C$21, $C$12, 100%, $E$12)</f>
        <v>18.914999999999999</v>
      </c>
      <c r="K903" s="61">
        <f>18.9151 * CHOOSE(CONTROL!$C$21, $C$12, 100%, $E$12)</f>
        <v>18.915099999999999</v>
      </c>
    </row>
    <row r="904" spans="1:11" ht="15">
      <c r="A904" s="13">
        <v>69399</v>
      </c>
      <c r="B904" s="60">
        <f>16.0794 * CHOOSE(CONTROL!$C$21, $C$12, 100%, $E$12)</f>
        <v>16.0794</v>
      </c>
      <c r="C904" s="60">
        <f>16.0794 * CHOOSE(CONTROL!$C$21, $C$12, 100%, $E$12)</f>
        <v>16.0794</v>
      </c>
      <c r="D904" s="60">
        <f>16.0899 * CHOOSE(CONTROL!$C$21, $C$12, 100%, $E$12)</f>
        <v>16.0899</v>
      </c>
      <c r="E904" s="61">
        <f>18.9289 * CHOOSE(CONTROL!$C$21, $C$12, 100%, $E$12)</f>
        <v>18.928899999999999</v>
      </c>
      <c r="F904" s="61">
        <f>18.9289 * CHOOSE(CONTROL!$C$21, $C$12, 100%, $E$12)</f>
        <v>18.928899999999999</v>
      </c>
      <c r="G904" s="61">
        <f>18.9291 * CHOOSE(CONTROL!$C$21, $C$12, 100%, $E$12)</f>
        <v>18.929099999999998</v>
      </c>
      <c r="H904" s="61">
        <f>30.563* CHOOSE(CONTROL!$C$21, $C$12, 100%, $E$12)</f>
        <v>30.562999999999999</v>
      </c>
      <c r="I904" s="61">
        <f>30.5632 * CHOOSE(CONTROL!$C$21, $C$12, 100%, $E$12)</f>
        <v>30.563199999999998</v>
      </c>
      <c r="J904" s="61">
        <f>18.9289 * CHOOSE(CONTROL!$C$21, $C$12, 100%, $E$12)</f>
        <v>18.928899999999999</v>
      </c>
      <c r="K904" s="61">
        <f>18.9291 * CHOOSE(CONTROL!$C$21, $C$12, 100%, $E$12)</f>
        <v>18.929099999999998</v>
      </c>
    </row>
    <row r="905" spans="1:11" ht="15">
      <c r="A905" s="13">
        <v>69430</v>
      </c>
      <c r="B905" s="60">
        <f>16.0763 * CHOOSE(CONTROL!$C$21, $C$12, 100%, $E$12)</f>
        <v>16.0763</v>
      </c>
      <c r="C905" s="60">
        <f>16.0763 * CHOOSE(CONTROL!$C$21, $C$12, 100%, $E$12)</f>
        <v>16.0763</v>
      </c>
      <c r="D905" s="60">
        <f>16.0869 * CHOOSE(CONTROL!$C$21, $C$12, 100%, $E$12)</f>
        <v>16.0869</v>
      </c>
      <c r="E905" s="61">
        <f>18.7196 * CHOOSE(CONTROL!$C$21, $C$12, 100%, $E$12)</f>
        <v>18.7196</v>
      </c>
      <c r="F905" s="61">
        <f>18.7196 * CHOOSE(CONTROL!$C$21, $C$12, 100%, $E$12)</f>
        <v>18.7196</v>
      </c>
      <c r="G905" s="61">
        <f>18.7198 * CHOOSE(CONTROL!$C$21, $C$12, 100%, $E$12)</f>
        <v>18.719799999999999</v>
      </c>
      <c r="H905" s="61">
        <f>30.6267* CHOOSE(CONTROL!$C$21, $C$12, 100%, $E$12)</f>
        <v>30.6267</v>
      </c>
      <c r="I905" s="61">
        <f>30.6269 * CHOOSE(CONTROL!$C$21, $C$12, 100%, $E$12)</f>
        <v>30.626899999999999</v>
      </c>
      <c r="J905" s="61">
        <f>18.7196 * CHOOSE(CONTROL!$C$21, $C$12, 100%, $E$12)</f>
        <v>18.7196</v>
      </c>
      <c r="K905" s="61">
        <f>18.7198 * CHOOSE(CONTROL!$C$21, $C$12, 100%, $E$12)</f>
        <v>18.719799999999999</v>
      </c>
    </row>
    <row r="906" spans="1:11" ht="15">
      <c r="A906" s="13">
        <v>69458</v>
      </c>
      <c r="B906" s="60">
        <f>16.0733 * CHOOSE(CONTROL!$C$21, $C$12, 100%, $E$12)</f>
        <v>16.0733</v>
      </c>
      <c r="C906" s="60">
        <f>16.0733 * CHOOSE(CONTROL!$C$21, $C$12, 100%, $E$12)</f>
        <v>16.0733</v>
      </c>
      <c r="D906" s="60">
        <f>16.0839 * CHOOSE(CONTROL!$C$21, $C$12, 100%, $E$12)</f>
        <v>16.0839</v>
      </c>
      <c r="E906" s="61">
        <f>18.8809 * CHOOSE(CONTROL!$C$21, $C$12, 100%, $E$12)</f>
        <v>18.8809</v>
      </c>
      <c r="F906" s="61">
        <f>18.8809 * CHOOSE(CONTROL!$C$21, $C$12, 100%, $E$12)</f>
        <v>18.8809</v>
      </c>
      <c r="G906" s="61">
        <f>18.881 * CHOOSE(CONTROL!$C$21, $C$12, 100%, $E$12)</f>
        <v>18.881</v>
      </c>
      <c r="H906" s="61">
        <f>30.6905* CHOOSE(CONTROL!$C$21, $C$12, 100%, $E$12)</f>
        <v>30.6905</v>
      </c>
      <c r="I906" s="61">
        <f>30.6907 * CHOOSE(CONTROL!$C$21, $C$12, 100%, $E$12)</f>
        <v>30.6907</v>
      </c>
      <c r="J906" s="61">
        <f>18.8809 * CHOOSE(CONTROL!$C$21, $C$12, 100%, $E$12)</f>
        <v>18.8809</v>
      </c>
      <c r="K906" s="61">
        <f>18.881 * CHOOSE(CONTROL!$C$21, $C$12, 100%, $E$12)</f>
        <v>18.881</v>
      </c>
    </row>
    <row r="907" spans="1:11" ht="15">
      <c r="A907" s="13">
        <v>69489</v>
      </c>
      <c r="B907" s="60">
        <f>16.0812 * CHOOSE(CONTROL!$C$21, $C$12, 100%, $E$12)</f>
        <v>16.081199999999999</v>
      </c>
      <c r="C907" s="60">
        <f>16.0812 * CHOOSE(CONTROL!$C$21, $C$12, 100%, $E$12)</f>
        <v>16.081199999999999</v>
      </c>
      <c r="D907" s="60">
        <f>16.0918 * CHOOSE(CONTROL!$C$21, $C$12, 100%, $E$12)</f>
        <v>16.091799999999999</v>
      </c>
      <c r="E907" s="61">
        <f>19.052 * CHOOSE(CONTROL!$C$21, $C$12, 100%, $E$12)</f>
        <v>19.052</v>
      </c>
      <c r="F907" s="61">
        <f>19.052 * CHOOSE(CONTROL!$C$21, $C$12, 100%, $E$12)</f>
        <v>19.052</v>
      </c>
      <c r="G907" s="61">
        <f>19.0522 * CHOOSE(CONTROL!$C$21, $C$12, 100%, $E$12)</f>
        <v>19.052199999999999</v>
      </c>
      <c r="H907" s="61">
        <f>30.7545* CHOOSE(CONTROL!$C$21, $C$12, 100%, $E$12)</f>
        <v>30.7545</v>
      </c>
      <c r="I907" s="61">
        <f>30.7546 * CHOOSE(CONTROL!$C$21, $C$12, 100%, $E$12)</f>
        <v>30.7546</v>
      </c>
      <c r="J907" s="61">
        <f>19.052 * CHOOSE(CONTROL!$C$21, $C$12, 100%, $E$12)</f>
        <v>19.052</v>
      </c>
      <c r="K907" s="61">
        <f>19.0522 * CHOOSE(CONTROL!$C$21, $C$12, 100%, $E$12)</f>
        <v>19.052199999999999</v>
      </c>
    </row>
    <row r="908" spans="1:11" ht="15">
      <c r="A908" s="13">
        <v>69519</v>
      </c>
      <c r="B908" s="60">
        <f>16.0812 * CHOOSE(CONTROL!$C$21, $C$12, 100%, $E$12)</f>
        <v>16.081199999999999</v>
      </c>
      <c r="C908" s="60">
        <f>16.0812 * CHOOSE(CONTROL!$C$21, $C$12, 100%, $E$12)</f>
        <v>16.081199999999999</v>
      </c>
      <c r="D908" s="60">
        <f>16.1023 * CHOOSE(CONTROL!$C$21, $C$12, 100%, $E$12)</f>
        <v>16.1023</v>
      </c>
      <c r="E908" s="61">
        <f>19.1178 * CHOOSE(CONTROL!$C$21, $C$12, 100%, $E$12)</f>
        <v>19.117799999999999</v>
      </c>
      <c r="F908" s="61">
        <f>19.1178 * CHOOSE(CONTROL!$C$21, $C$12, 100%, $E$12)</f>
        <v>19.117799999999999</v>
      </c>
      <c r="G908" s="61">
        <f>19.1192 * CHOOSE(CONTROL!$C$21, $C$12, 100%, $E$12)</f>
        <v>19.119199999999999</v>
      </c>
      <c r="H908" s="61">
        <f>30.8185* CHOOSE(CONTROL!$C$21, $C$12, 100%, $E$12)</f>
        <v>30.8185</v>
      </c>
      <c r="I908" s="61">
        <f>30.8199 * CHOOSE(CONTROL!$C$21, $C$12, 100%, $E$12)</f>
        <v>30.819900000000001</v>
      </c>
      <c r="J908" s="61">
        <f>19.1178 * CHOOSE(CONTROL!$C$21, $C$12, 100%, $E$12)</f>
        <v>19.117799999999999</v>
      </c>
      <c r="K908" s="61">
        <f>19.1192 * CHOOSE(CONTROL!$C$21, $C$12, 100%, $E$12)</f>
        <v>19.119199999999999</v>
      </c>
    </row>
    <row r="909" spans="1:11" ht="15">
      <c r="A909" s="13">
        <v>69550</v>
      </c>
      <c r="B909" s="60">
        <f>16.0873 * CHOOSE(CONTROL!$C$21, $C$12, 100%, $E$12)</f>
        <v>16.087299999999999</v>
      </c>
      <c r="C909" s="60">
        <f>16.0873 * CHOOSE(CONTROL!$C$21, $C$12, 100%, $E$12)</f>
        <v>16.087299999999999</v>
      </c>
      <c r="D909" s="60">
        <f>16.1084 * CHOOSE(CONTROL!$C$21, $C$12, 100%, $E$12)</f>
        <v>16.1084</v>
      </c>
      <c r="E909" s="61">
        <f>19.0563 * CHOOSE(CONTROL!$C$21, $C$12, 100%, $E$12)</f>
        <v>19.0563</v>
      </c>
      <c r="F909" s="61">
        <f>19.0563 * CHOOSE(CONTROL!$C$21, $C$12, 100%, $E$12)</f>
        <v>19.0563</v>
      </c>
      <c r="G909" s="61">
        <f>19.0576 * CHOOSE(CONTROL!$C$21, $C$12, 100%, $E$12)</f>
        <v>19.057600000000001</v>
      </c>
      <c r="H909" s="61">
        <f>30.8827* CHOOSE(CONTROL!$C$21, $C$12, 100%, $E$12)</f>
        <v>30.8827</v>
      </c>
      <c r="I909" s="61">
        <f>30.8841 * CHOOSE(CONTROL!$C$21, $C$12, 100%, $E$12)</f>
        <v>30.8841</v>
      </c>
      <c r="J909" s="61">
        <f>19.0563 * CHOOSE(CONTROL!$C$21, $C$12, 100%, $E$12)</f>
        <v>19.0563</v>
      </c>
      <c r="K909" s="61">
        <f>19.0576 * CHOOSE(CONTROL!$C$21, $C$12, 100%, $E$12)</f>
        <v>19.057600000000001</v>
      </c>
    </row>
    <row r="910" spans="1:11" ht="15">
      <c r="A910" s="13">
        <v>69580</v>
      </c>
      <c r="B910" s="60">
        <f>16.3385 * CHOOSE(CONTROL!$C$21, $C$12, 100%, $E$12)</f>
        <v>16.3385</v>
      </c>
      <c r="C910" s="60">
        <f>16.3385 * CHOOSE(CONTROL!$C$21, $C$12, 100%, $E$12)</f>
        <v>16.3385</v>
      </c>
      <c r="D910" s="60">
        <f>16.3596 * CHOOSE(CONTROL!$C$21, $C$12, 100%, $E$12)</f>
        <v>16.3596</v>
      </c>
      <c r="E910" s="61">
        <f>19.4179 * CHOOSE(CONTROL!$C$21, $C$12, 100%, $E$12)</f>
        <v>19.417899999999999</v>
      </c>
      <c r="F910" s="61">
        <f>19.4179 * CHOOSE(CONTROL!$C$21, $C$12, 100%, $E$12)</f>
        <v>19.417899999999999</v>
      </c>
      <c r="G910" s="61">
        <f>19.4193 * CHOOSE(CONTROL!$C$21, $C$12, 100%, $E$12)</f>
        <v>19.4193</v>
      </c>
      <c r="H910" s="61">
        <f>30.9471* CHOOSE(CONTROL!$C$21, $C$12, 100%, $E$12)</f>
        <v>30.947099999999999</v>
      </c>
      <c r="I910" s="61">
        <f>30.9485 * CHOOSE(CONTROL!$C$21, $C$12, 100%, $E$12)</f>
        <v>30.948499999999999</v>
      </c>
      <c r="J910" s="61">
        <f>19.4179 * CHOOSE(CONTROL!$C$21, $C$12, 100%, $E$12)</f>
        <v>19.417899999999999</v>
      </c>
      <c r="K910" s="61">
        <f>19.4193 * CHOOSE(CONTROL!$C$21, $C$12, 100%, $E$12)</f>
        <v>19.4193</v>
      </c>
    </row>
    <row r="911" spans="1:11" ht="15">
      <c r="A911" s="13">
        <v>69611</v>
      </c>
      <c r="B911" s="60">
        <f>16.3452 * CHOOSE(CONTROL!$C$21, $C$12, 100%, $E$12)</f>
        <v>16.345199999999998</v>
      </c>
      <c r="C911" s="60">
        <f>16.3452 * CHOOSE(CONTROL!$C$21, $C$12, 100%, $E$12)</f>
        <v>16.345199999999998</v>
      </c>
      <c r="D911" s="60">
        <f>16.3663 * CHOOSE(CONTROL!$C$21, $C$12, 100%, $E$12)</f>
        <v>16.366299999999999</v>
      </c>
      <c r="E911" s="61">
        <f>19.2252 * CHOOSE(CONTROL!$C$21, $C$12, 100%, $E$12)</f>
        <v>19.225200000000001</v>
      </c>
      <c r="F911" s="61">
        <f>19.2252 * CHOOSE(CONTROL!$C$21, $C$12, 100%, $E$12)</f>
        <v>19.225200000000001</v>
      </c>
      <c r="G911" s="61">
        <f>19.2266 * CHOOSE(CONTROL!$C$21, $C$12, 100%, $E$12)</f>
        <v>19.226600000000001</v>
      </c>
      <c r="H911" s="61">
        <f>31.0115* CHOOSE(CONTROL!$C$21, $C$12, 100%, $E$12)</f>
        <v>31.011500000000002</v>
      </c>
      <c r="I911" s="61">
        <f>31.0129 * CHOOSE(CONTROL!$C$21, $C$12, 100%, $E$12)</f>
        <v>31.012899999999998</v>
      </c>
      <c r="J911" s="61">
        <f>19.2252 * CHOOSE(CONTROL!$C$21, $C$12, 100%, $E$12)</f>
        <v>19.225200000000001</v>
      </c>
      <c r="K911" s="61">
        <f>19.2266 * CHOOSE(CONTROL!$C$21, $C$12, 100%, $E$12)</f>
        <v>19.226600000000001</v>
      </c>
    </row>
    <row r="912" spans="1:11" ht="15">
      <c r="A912" s="13">
        <v>69642</v>
      </c>
      <c r="B912" s="60">
        <f>16.3422 * CHOOSE(CONTROL!$C$21, $C$12, 100%, $E$12)</f>
        <v>16.342199999999998</v>
      </c>
      <c r="C912" s="60">
        <f>16.3422 * CHOOSE(CONTROL!$C$21, $C$12, 100%, $E$12)</f>
        <v>16.342199999999998</v>
      </c>
      <c r="D912" s="60">
        <f>16.3633 * CHOOSE(CONTROL!$C$21, $C$12, 100%, $E$12)</f>
        <v>16.363299999999999</v>
      </c>
      <c r="E912" s="61">
        <f>19.2012 * CHOOSE(CONTROL!$C$21, $C$12, 100%, $E$12)</f>
        <v>19.2012</v>
      </c>
      <c r="F912" s="61">
        <f>19.2012 * CHOOSE(CONTROL!$C$21, $C$12, 100%, $E$12)</f>
        <v>19.2012</v>
      </c>
      <c r="G912" s="61">
        <f>19.2025 * CHOOSE(CONTROL!$C$21, $C$12, 100%, $E$12)</f>
        <v>19.202500000000001</v>
      </c>
      <c r="H912" s="61">
        <f>31.0762* CHOOSE(CONTROL!$C$21, $C$12, 100%, $E$12)</f>
        <v>31.0762</v>
      </c>
      <c r="I912" s="61">
        <f>31.0775 * CHOOSE(CONTROL!$C$21, $C$12, 100%, $E$12)</f>
        <v>31.077500000000001</v>
      </c>
      <c r="J912" s="61">
        <f>19.2012 * CHOOSE(CONTROL!$C$21, $C$12, 100%, $E$12)</f>
        <v>19.2012</v>
      </c>
      <c r="K912" s="61">
        <f>19.2025 * CHOOSE(CONTROL!$C$21, $C$12, 100%, $E$12)</f>
        <v>19.202500000000001</v>
      </c>
    </row>
    <row r="913" spans="1:11" ht="15">
      <c r="A913" s="13">
        <v>69672</v>
      </c>
      <c r="B913" s="60">
        <f>16.3776 * CHOOSE(CONTROL!$C$21, $C$12, 100%, $E$12)</f>
        <v>16.377600000000001</v>
      </c>
      <c r="C913" s="60">
        <f>16.3776 * CHOOSE(CONTROL!$C$21, $C$12, 100%, $E$12)</f>
        <v>16.377600000000001</v>
      </c>
      <c r="D913" s="60">
        <f>16.3882 * CHOOSE(CONTROL!$C$21, $C$12, 100%, $E$12)</f>
        <v>16.388200000000001</v>
      </c>
      <c r="E913" s="61">
        <f>19.2754 * CHOOSE(CONTROL!$C$21, $C$12, 100%, $E$12)</f>
        <v>19.275400000000001</v>
      </c>
      <c r="F913" s="61">
        <f>19.2754 * CHOOSE(CONTROL!$C$21, $C$12, 100%, $E$12)</f>
        <v>19.275400000000001</v>
      </c>
      <c r="G913" s="61">
        <f>19.2756 * CHOOSE(CONTROL!$C$21, $C$12, 100%, $E$12)</f>
        <v>19.275600000000001</v>
      </c>
      <c r="H913" s="61">
        <f>31.1409* CHOOSE(CONTROL!$C$21, $C$12, 100%, $E$12)</f>
        <v>31.140899999999998</v>
      </c>
      <c r="I913" s="61">
        <f>31.1411 * CHOOSE(CONTROL!$C$21, $C$12, 100%, $E$12)</f>
        <v>31.141100000000002</v>
      </c>
      <c r="J913" s="61">
        <f>19.2754 * CHOOSE(CONTROL!$C$21, $C$12, 100%, $E$12)</f>
        <v>19.275400000000001</v>
      </c>
      <c r="K913" s="61">
        <f>19.2756 * CHOOSE(CONTROL!$C$21, $C$12, 100%, $E$12)</f>
        <v>19.275600000000001</v>
      </c>
    </row>
    <row r="914" spans="1:11" ht="15">
      <c r="A914" s="13">
        <v>69703</v>
      </c>
      <c r="B914" s="60">
        <f>16.3807 * CHOOSE(CONTROL!$C$21, $C$12, 100%, $E$12)</f>
        <v>16.380700000000001</v>
      </c>
      <c r="C914" s="60">
        <f>16.3807 * CHOOSE(CONTROL!$C$21, $C$12, 100%, $E$12)</f>
        <v>16.380700000000001</v>
      </c>
      <c r="D914" s="60">
        <f>16.3912 * CHOOSE(CONTROL!$C$21, $C$12, 100%, $E$12)</f>
        <v>16.391200000000001</v>
      </c>
      <c r="E914" s="61">
        <f>19.3214 * CHOOSE(CONTROL!$C$21, $C$12, 100%, $E$12)</f>
        <v>19.321400000000001</v>
      </c>
      <c r="F914" s="61">
        <f>19.3214 * CHOOSE(CONTROL!$C$21, $C$12, 100%, $E$12)</f>
        <v>19.321400000000001</v>
      </c>
      <c r="G914" s="61">
        <f>19.3216 * CHOOSE(CONTROL!$C$21, $C$12, 100%, $E$12)</f>
        <v>19.3216</v>
      </c>
      <c r="H914" s="61">
        <f>31.2058* CHOOSE(CONTROL!$C$21, $C$12, 100%, $E$12)</f>
        <v>31.2058</v>
      </c>
      <c r="I914" s="61">
        <f>31.206 * CHOOSE(CONTROL!$C$21, $C$12, 100%, $E$12)</f>
        <v>31.206</v>
      </c>
      <c r="J914" s="61">
        <f>19.3214 * CHOOSE(CONTROL!$C$21, $C$12, 100%, $E$12)</f>
        <v>19.321400000000001</v>
      </c>
      <c r="K914" s="61">
        <f>19.3216 * CHOOSE(CONTROL!$C$21, $C$12, 100%, $E$12)</f>
        <v>19.3216</v>
      </c>
    </row>
    <row r="915" spans="1:11" ht="15">
      <c r="A915" s="13">
        <v>69733</v>
      </c>
      <c r="B915" s="60">
        <f>16.3807 * CHOOSE(CONTROL!$C$21, $C$12, 100%, $E$12)</f>
        <v>16.380700000000001</v>
      </c>
      <c r="C915" s="60">
        <f>16.3807 * CHOOSE(CONTROL!$C$21, $C$12, 100%, $E$12)</f>
        <v>16.380700000000001</v>
      </c>
      <c r="D915" s="60">
        <f>16.3912 * CHOOSE(CONTROL!$C$21, $C$12, 100%, $E$12)</f>
        <v>16.391200000000001</v>
      </c>
      <c r="E915" s="61">
        <f>19.2118 * CHOOSE(CONTROL!$C$21, $C$12, 100%, $E$12)</f>
        <v>19.2118</v>
      </c>
      <c r="F915" s="61">
        <f>19.2118 * CHOOSE(CONTROL!$C$21, $C$12, 100%, $E$12)</f>
        <v>19.2118</v>
      </c>
      <c r="G915" s="61">
        <f>19.212 * CHOOSE(CONTROL!$C$21, $C$12, 100%, $E$12)</f>
        <v>19.212</v>
      </c>
      <c r="H915" s="61">
        <f>31.2708* CHOOSE(CONTROL!$C$21, $C$12, 100%, $E$12)</f>
        <v>31.270800000000001</v>
      </c>
      <c r="I915" s="61">
        <f>31.271 * CHOOSE(CONTROL!$C$21, $C$12, 100%, $E$12)</f>
        <v>31.271000000000001</v>
      </c>
      <c r="J915" s="61">
        <f>19.2118 * CHOOSE(CONTROL!$C$21, $C$12, 100%, $E$12)</f>
        <v>19.2118</v>
      </c>
      <c r="K915" s="61">
        <f>19.212 * CHOOSE(CONTROL!$C$21, $C$12, 100%, $E$12)</f>
        <v>19.212</v>
      </c>
    </row>
    <row r="916" spans="1:11" ht="15">
      <c r="A916" s="13">
        <v>69764</v>
      </c>
      <c r="B916" s="60">
        <f>16.3247 * CHOOSE(CONTROL!$C$21, $C$12, 100%, $E$12)</f>
        <v>16.3247</v>
      </c>
      <c r="C916" s="60">
        <f>16.3247 * CHOOSE(CONTROL!$C$21, $C$12, 100%, $E$12)</f>
        <v>16.3247</v>
      </c>
      <c r="D916" s="60">
        <f>16.3353 * CHOOSE(CONTROL!$C$21, $C$12, 100%, $E$12)</f>
        <v>16.3353</v>
      </c>
      <c r="E916" s="61">
        <f>19.2214 * CHOOSE(CONTROL!$C$21, $C$12, 100%, $E$12)</f>
        <v>19.221399999999999</v>
      </c>
      <c r="F916" s="61">
        <f>19.2214 * CHOOSE(CONTROL!$C$21, $C$12, 100%, $E$12)</f>
        <v>19.221399999999999</v>
      </c>
      <c r="G916" s="61">
        <f>19.2215 * CHOOSE(CONTROL!$C$21, $C$12, 100%, $E$12)</f>
        <v>19.221499999999999</v>
      </c>
      <c r="H916" s="61">
        <f>31.0089* CHOOSE(CONTROL!$C$21, $C$12, 100%, $E$12)</f>
        <v>31.008900000000001</v>
      </c>
      <c r="I916" s="61">
        <f>31.0091 * CHOOSE(CONTROL!$C$21, $C$12, 100%, $E$12)</f>
        <v>31.0091</v>
      </c>
      <c r="J916" s="61">
        <f>19.2214 * CHOOSE(CONTROL!$C$21, $C$12, 100%, $E$12)</f>
        <v>19.221399999999999</v>
      </c>
      <c r="K916" s="61">
        <f>19.2215 * CHOOSE(CONTROL!$C$21, $C$12, 100%, $E$12)</f>
        <v>19.221499999999999</v>
      </c>
    </row>
    <row r="917" spans="1:11" ht="15">
      <c r="A917" s="13">
        <v>69795</v>
      </c>
      <c r="B917" s="60">
        <f>16.3216 * CHOOSE(CONTROL!$C$21, $C$12, 100%, $E$12)</f>
        <v>16.3216</v>
      </c>
      <c r="C917" s="60">
        <f>16.3216 * CHOOSE(CONTROL!$C$21, $C$12, 100%, $E$12)</f>
        <v>16.3216</v>
      </c>
      <c r="D917" s="60">
        <f>16.3322 * CHOOSE(CONTROL!$C$21, $C$12, 100%, $E$12)</f>
        <v>16.3322</v>
      </c>
      <c r="E917" s="61">
        <f>19.0088 * CHOOSE(CONTROL!$C$21, $C$12, 100%, $E$12)</f>
        <v>19.008800000000001</v>
      </c>
      <c r="F917" s="61">
        <f>19.0088 * CHOOSE(CONTROL!$C$21, $C$12, 100%, $E$12)</f>
        <v>19.008800000000001</v>
      </c>
      <c r="G917" s="61">
        <f>19.009 * CHOOSE(CONTROL!$C$21, $C$12, 100%, $E$12)</f>
        <v>19.009</v>
      </c>
      <c r="H917" s="61">
        <f>31.0735* CHOOSE(CONTROL!$C$21, $C$12, 100%, $E$12)</f>
        <v>31.073499999999999</v>
      </c>
      <c r="I917" s="61">
        <f>31.0737 * CHOOSE(CONTROL!$C$21, $C$12, 100%, $E$12)</f>
        <v>31.073699999999999</v>
      </c>
      <c r="J917" s="61">
        <f>19.0088 * CHOOSE(CONTROL!$C$21, $C$12, 100%, $E$12)</f>
        <v>19.008800000000001</v>
      </c>
      <c r="K917" s="61">
        <f>19.009 * CHOOSE(CONTROL!$C$21, $C$12, 100%, $E$12)</f>
        <v>19.009</v>
      </c>
    </row>
    <row r="918" spans="1:11" ht="15">
      <c r="A918" s="13">
        <v>69823</v>
      </c>
      <c r="B918" s="60">
        <f>16.3186 * CHOOSE(CONTROL!$C$21, $C$12, 100%, $E$12)</f>
        <v>16.3186</v>
      </c>
      <c r="C918" s="60">
        <f>16.3186 * CHOOSE(CONTROL!$C$21, $C$12, 100%, $E$12)</f>
        <v>16.3186</v>
      </c>
      <c r="D918" s="60">
        <f>16.3292 * CHOOSE(CONTROL!$C$21, $C$12, 100%, $E$12)</f>
        <v>16.3292</v>
      </c>
      <c r="E918" s="61">
        <f>19.1726 * CHOOSE(CONTROL!$C$21, $C$12, 100%, $E$12)</f>
        <v>19.172599999999999</v>
      </c>
      <c r="F918" s="61">
        <f>19.1726 * CHOOSE(CONTROL!$C$21, $C$12, 100%, $E$12)</f>
        <v>19.172599999999999</v>
      </c>
      <c r="G918" s="61">
        <f>19.1728 * CHOOSE(CONTROL!$C$21, $C$12, 100%, $E$12)</f>
        <v>19.172799999999999</v>
      </c>
      <c r="H918" s="61">
        <f>31.1383* CHOOSE(CONTROL!$C$21, $C$12, 100%, $E$12)</f>
        <v>31.138300000000001</v>
      </c>
      <c r="I918" s="61">
        <f>31.1384 * CHOOSE(CONTROL!$C$21, $C$12, 100%, $E$12)</f>
        <v>31.138400000000001</v>
      </c>
      <c r="J918" s="61">
        <f>19.1726 * CHOOSE(CONTROL!$C$21, $C$12, 100%, $E$12)</f>
        <v>19.172599999999999</v>
      </c>
      <c r="K918" s="61">
        <f>19.1728 * CHOOSE(CONTROL!$C$21, $C$12, 100%, $E$12)</f>
        <v>19.172799999999999</v>
      </c>
    </row>
    <row r="919" spans="1:11" ht="15">
      <c r="A919" s="13">
        <v>69854</v>
      </c>
      <c r="B919" s="60">
        <f>16.3267 * CHOOSE(CONTROL!$C$21, $C$12, 100%, $E$12)</f>
        <v>16.326699999999999</v>
      </c>
      <c r="C919" s="60">
        <f>16.3267 * CHOOSE(CONTROL!$C$21, $C$12, 100%, $E$12)</f>
        <v>16.326699999999999</v>
      </c>
      <c r="D919" s="60">
        <f>16.3373 * CHOOSE(CONTROL!$C$21, $C$12, 100%, $E$12)</f>
        <v>16.337299999999999</v>
      </c>
      <c r="E919" s="61">
        <f>19.3465 * CHOOSE(CONTROL!$C$21, $C$12, 100%, $E$12)</f>
        <v>19.346499999999999</v>
      </c>
      <c r="F919" s="61">
        <f>19.3465 * CHOOSE(CONTROL!$C$21, $C$12, 100%, $E$12)</f>
        <v>19.346499999999999</v>
      </c>
      <c r="G919" s="61">
        <f>19.3467 * CHOOSE(CONTROL!$C$21, $C$12, 100%, $E$12)</f>
        <v>19.346699999999998</v>
      </c>
      <c r="H919" s="61">
        <f>31.2031* CHOOSE(CONTROL!$C$21, $C$12, 100%, $E$12)</f>
        <v>31.203099999999999</v>
      </c>
      <c r="I919" s="61">
        <f>31.2033 * CHOOSE(CONTROL!$C$21, $C$12, 100%, $E$12)</f>
        <v>31.203299999999999</v>
      </c>
      <c r="J919" s="61">
        <f>19.3465 * CHOOSE(CONTROL!$C$21, $C$12, 100%, $E$12)</f>
        <v>19.346499999999999</v>
      </c>
      <c r="K919" s="61">
        <f>19.3467 * CHOOSE(CONTROL!$C$21, $C$12, 100%, $E$12)</f>
        <v>19.346699999999998</v>
      </c>
    </row>
    <row r="920" spans="1:11" ht="15">
      <c r="A920" s="13">
        <v>69884</v>
      </c>
      <c r="B920" s="60">
        <f>16.3267 * CHOOSE(CONTROL!$C$21, $C$12, 100%, $E$12)</f>
        <v>16.326699999999999</v>
      </c>
      <c r="C920" s="60">
        <f>16.3267 * CHOOSE(CONTROL!$C$21, $C$12, 100%, $E$12)</f>
        <v>16.326699999999999</v>
      </c>
      <c r="D920" s="60">
        <f>16.3479 * CHOOSE(CONTROL!$C$21, $C$12, 100%, $E$12)</f>
        <v>16.347899999999999</v>
      </c>
      <c r="E920" s="61">
        <f>19.4133 * CHOOSE(CONTROL!$C$21, $C$12, 100%, $E$12)</f>
        <v>19.4133</v>
      </c>
      <c r="F920" s="61">
        <f>19.4133 * CHOOSE(CONTROL!$C$21, $C$12, 100%, $E$12)</f>
        <v>19.4133</v>
      </c>
      <c r="G920" s="61">
        <f>19.4147 * CHOOSE(CONTROL!$C$21, $C$12, 100%, $E$12)</f>
        <v>19.4147</v>
      </c>
      <c r="H920" s="61">
        <f>31.2681* CHOOSE(CONTROL!$C$21, $C$12, 100%, $E$12)</f>
        <v>31.2681</v>
      </c>
      <c r="I920" s="61">
        <f>31.2695 * CHOOSE(CONTROL!$C$21, $C$12, 100%, $E$12)</f>
        <v>31.269500000000001</v>
      </c>
      <c r="J920" s="61">
        <f>19.4133 * CHOOSE(CONTROL!$C$21, $C$12, 100%, $E$12)</f>
        <v>19.4133</v>
      </c>
      <c r="K920" s="61">
        <f>19.4147 * CHOOSE(CONTROL!$C$21, $C$12, 100%, $E$12)</f>
        <v>19.4147</v>
      </c>
    </row>
    <row r="921" spans="1:11" ht="15">
      <c r="A921" s="13">
        <v>69915</v>
      </c>
      <c r="B921" s="60">
        <f>16.3328 * CHOOSE(CONTROL!$C$21, $C$12, 100%, $E$12)</f>
        <v>16.332799999999999</v>
      </c>
      <c r="C921" s="60">
        <f>16.3328 * CHOOSE(CONTROL!$C$21, $C$12, 100%, $E$12)</f>
        <v>16.332799999999999</v>
      </c>
      <c r="D921" s="60">
        <f>16.3539 * CHOOSE(CONTROL!$C$21, $C$12, 100%, $E$12)</f>
        <v>16.353899999999999</v>
      </c>
      <c r="E921" s="61">
        <f>19.3507 * CHOOSE(CONTROL!$C$21, $C$12, 100%, $E$12)</f>
        <v>19.3507</v>
      </c>
      <c r="F921" s="61">
        <f>19.3507 * CHOOSE(CONTROL!$C$21, $C$12, 100%, $E$12)</f>
        <v>19.3507</v>
      </c>
      <c r="G921" s="61">
        <f>19.3521 * CHOOSE(CONTROL!$C$21, $C$12, 100%, $E$12)</f>
        <v>19.3521</v>
      </c>
      <c r="H921" s="61">
        <f>31.3333* CHOOSE(CONTROL!$C$21, $C$12, 100%, $E$12)</f>
        <v>31.333300000000001</v>
      </c>
      <c r="I921" s="61">
        <f>31.3347 * CHOOSE(CONTROL!$C$21, $C$12, 100%, $E$12)</f>
        <v>31.334700000000002</v>
      </c>
      <c r="J921" s="61">
        <f>19.3507 * CHOOSE(CONTROL!$C$21, $C$12, 100%, $E$12)</f>
        <v>19.3507</v>
      </c>
      <c r="K921" s="61">
        <f>19.3521 * CHOOSE(CONTROL!$C$21, $C$12, 100%, $E$12)</f>
        <v>19.3521</v>
      </c>
    </row>
    <row r="922" spans="1:11" ht="15">
      <c r="A922" s="13">
        <v>69945</v>
      </c>
      <c r="B922" s="60">
        <f>16.5877 * CHOOSE(CONTROL!$C$21, $C$12, 100%, $E$12)</f>
        <v>16.587700000000002</v>
      </c>
      <c r="C922" s="60">
        <f>16.5877 * CHOOSE(CONTROL!$C$21, $C$12, 100%, $E$12)</f>
        <v>16.587700000000002</v>
      </c>
      <c r="D922" s="60">
        <f>16.6089 * CHOOSE(CONTROL!$C$21, $C$12, 100%, $E$12)</f>
        <v>16.608899999999998</v>
      </c>
      <c r="E922" s="61">
        <f>19.7178 * CHOOSE(CONTROL!$C$21, $C$12, 100%, $E$12)</f>
        <v>19.7178</v>
      </c>
      <c r="F922" s="61">
        <f>19.7178 * CHOOSE(CONTROL!$C$21, $C$12, 100%, $E$12)</f>
        <v>19.7178</v>
      </c>
      <c r="G922" s="61">
        <f>19.7191 * CHOOSE(CONTROL!$C$21, $C$12, 100%, $E$12)</f>
        <v>19.719100000000001</v>
      </c>
      <c r="H922" s="61">
        <f>31.3986* CHOOSE(CONTROL!$C$21, $C$12, 100%, $E$12)</f>
        <v>31.398599999999998</v>
      </c>
      <c r="I922" s="61">
        <f>31.3999 * CHOOSE(CONTROL!$C$21, $C$12, 100%, $E$12)</f>
        <v>31.399899999999999</v>
      </c>
      <c r="J922" s="61">
        <f>19.7178 * CHOOSE(CONTROL!$C$21, $C$12, 100%, $E$12)</f>
        <v>19.7178</v>
      </c>
      <c r="K922" s="61">
        <f>19.7191 * CHOOSE(CONTROL!$C$21, $C$12, 100%, $E$12)</f>
        <v>19.719100000000001</v>
      </c>
    </row>
    <row r="923" spans="1:11" ht="15">
      <c r="A923" s="13">
        <v>69976</v>
      </c>
      <c r="B923" s="60">
        <f>16.5944 * CHOOSE(CONTROL!$C$21, $C$12, 100%, $E$12)</f>
        <v>16.5944</v>
      </c>
      <c r="C923" s="60">
        <f>16.5944 * CHOOSE(CONTROL!$C$21, $C$12, 100%, $E$12)</f>
        <v>16.5944</v>
      </c>
      <c r="D923" s="60">
        <f>16.6155 * CHOOSE(CONTROL!$C$21, $C$12, 100%, $E$12)</f>
        <v>16.615500000000001</v>
      </c>
      <c r="E923" s="61">
        <f>19.522 * CHOOSE(CONTROL!$C$21, $C$12, 100%, $E$12)</f>
        <v>19.521999999999998</v>
      </c>
      <c r="F923" s="61">
        <f>19.522 * CHOOSE(CONTROL!$C$21, $C$12, 100%, $E$12)</f>
        <v>19.521999999999998</v>
      </c>
      <c r="G923" s="61">
        <f>19.5234 * CHOOSE(CONTROL!$C$21, $C$12, 100%, $E$12)</f>
        <v>19.523399999999999</v>
      </c>
      <c r="H923" s="61">
        <f>31.464* CHOOSE(CONTROL!$C$21, $C$12, 100%, $E$12)</f>
        <v>31.463999999999999</v>
      </c>
      <c r="I923" s="61">
        <f>31.4654 * CHOOSE(CONTROL!$C$21, $C$12, 100%, $E$12)</f>
        <v>31.465399999999999</v>
      </c>
      <c r="J923" s="61">
        <f>19.522 * CHOOSE(CONTROL!$C$21, $C$12, 100%, $E$12)</f>
        <v>19.521999999999998</v>
      </c>
      <c r="K923" s="61">
        <f>19.5234 * CHOOSE(CONTROL!$C$21, $C$12, 100%, $E$12)</f>
        <v>19.523399999999999</v>
      </c>
    </row>
    <row r="924" spans="1:11" ht="15">
      <c r="A924" s="13">
        <v>70007</v>
      </c>
      <c r="B924" s="60">
        <f>16.5914 * CHOOSE(CONTROL!$C$21, $C$12, 100%, $E$12)</f>
        <v>16.5914</v>
      </c>
      <c r="C924" s="60">
        <f>16.5914 * CHOOSE(CONTROL!$C$21, $C$12, 100%, $E$12)</f>
        <v>16.5914</v>
      </c>
      <c r="D924" s="60">
        <f>16.6125 * CHOOSE(CONTROL!$C$21, $C$12, 100%, $E$12)</f>
        <v>16.612500000000001</v>
      </c>
      <c r="E924" s="61">
        <f>19.4976 * CHOOSE(CONTROL!$C$21, $C$12, 100%, $E$12)</f>
        <v>19.497599999999998</v>
      </c>
      <c r="F924" s="61">
        <f>19.4976 * CHOOSE(CONTROL!$C$21, $C$12, 100%, $E$12)</f>
        <v>19.497599999999998</v>
      </c>
      <c r="G924" s="61">
        <f>19.499 * CHOOSE(CONTROL!$C$21, $C$12, 100%, $E$12)</f>
        <v>19.498999999999999</v>
      </c>
      <c r="H924" s="61">
        <f>31.5295* CHOOSE(CONTROL!$C$21, $C$12, 100%, $E$12)</f>
        <v>31.529499999999999</v>
      </c>
      <c r="I924" s="61">
        <f>31.5309 * CHOOSE(CONTROL!$C$21, $C$12, 100%, $E$12)</f>
        <v>31.530899999999999</v>
      </c>
      <c r="J924" s="61">
        <f>19.4976 * CHOOSE(CONTROL!$C$21, $C$12, 100%, $E$12)</f>
        <v>19.497599999999998</v>
      </c>
      <c r="K924" s="61">
        <f>19.499 * CHOOSE(CONTROL!$C$21, $C$12, 100%, $E$12)</f>
        <v>19.498999999999999</v>
      </c>
    </row>
    <row r="925" spans="1:11" ht="15">
      <c r="A925" s="13">
        <v>70037</v>
      </c>
      <c r="B925" s="60">
        <f>16.6276 * CHOOSE(CONTROL!$C$21, $C$12, 100%, $E$12)</f>
        <v>16.627600000000001</v>
      </c>
      <c r="C925" s="60">
        <f>16.6276 * CHOOSE(CONTROL!$C$21, $C$12, 100%, $E$12)</f>
        <v>16.627600000000001</v>
      </c>
      <c r="D925" s="60">
        <f>16.6382 * CHOOSE(CONTROL!$C$21, $C$12, 100%, $E$12)</f>
        <v>16.638200000000001</v>
      </c>
      <c r="E925" s="61">
        <f>19.5733 * CHOOSE(CONTROL!$C$21, $C$12, 100%, $E$12)</f>
        <v>19.5733</v>
      </c>
      <c r="F925" s="61">
        <f>19.5733 * CHOOSE(CONTROL!$C$21, $C$12, 100%, $E$12)</f>
        <v>19.5733</v>
      </c>
      <c r="G925" s="61">
        <f>19.5735 * CHOOSE(CONTROL!$C$21, $C$12, 100%, $E$12)</f>
        <v>19.573499999999999</v>
      </c>
      <c r="H925" s="61">
        <f>31.5952* CHOOSE(CONTROL!$C$21, $C$12, 100%, $E$12)</f>
        <v>31.595199999999998</v>
      </c>
      <c r="I925" s="61">
        <f>31.5954 * CHOOSE(CONTROL!$C$21, $C$12, 100%, $E$12)</f>
        <v>31.595400000000001</v>
      </c>
      <c r="J925" s="61">
        <f>19.5733 * CHOOSE(CONTROL!$C$21, $C$12, 100%, $E$12)</f>
        <v>19.5733</v>
      </c>
      <c r="K925" s="61">
        <f>19.5735 * CHOOSE(CONTROL!$C$21, $C$12, 100%, $E$12)</f>
        <v>19.573499999999999</v>
      </c>
    </row>
    <row r="926" spans="1:11" ht="15">
      <c r="A926" s="13">
        <v>70068</v>
      </c>
      <c r="B926" s="60">
        <f>16.6307 * CHOOSE(CONTROL!$C$21, $C$12, 100%, $E$12)</f>
        <v>16.630700000000001</v>
      </c>
      <c r="C926" s="60">
        <f>16.6307 * CHOOSE(CONTROL!$C$21, $C$12, 100%, $E$12)</f>
        <v>16.630700000000001</v>
      </c>
      <c r="D926" s="60">
        <f>16.6412 * CHOOSE(CONTROL!$C$21, $C$12, 100%, $E$12)</f>
        <v>16.641200000000001</v>
      </c>
      <c r="E926" s="61">
        <f>19.6199 * CHOOSE(CONTROL!$C$21, $C$12, 100%, $E$12)</f>
        <v>19.619900000000001</v>
      </c>
      <c r="F926" s="61">
        <f>19.6199 * CHOOSE(CONTROL!$C$21, $C$12, 100%, $E$12)</f>
        <v>19.619900000000001</v>
      </c>
      <c r="G926" s="61">
        <f>19.6201 * CHOOSE(CONTROL!$C$21, $C$12, 100%, $E$12)</f>
        <v>19.620100000000001</v>
      </c>
      <c r="H926" s="61">
        <f>31.661* CHOOSE(CONTROL!$C$21, $C$12, 100%, $E$12)</f>
        <v>31.661000000000001</v>
      </c>
      <c r="I926" s="61">
        <f>31.6612 * CHOOSE(CONTROL!$C$21, $C$12, 100%, $E$12)</f>
        <v>31.661200000000001</v>
      </c>
      <c r="J926" s="61">
        <f>19.6199 * CHOOSE(CONTROL!$C$21, $C$12, 100%, $E$12)</f>
        <v>19.619900000000001</v>
      </c>
      <c r="K926" s="61">
        <f>19.6201 * CHOOSE(CONTROL!$C$21, $C$12, 100%, $E$12)</f>
        <v>19.620100000000001</v>
      </c>
    </row>
    <row r="927" spans="1:11" ht="15">
      <c r="A927" s="13">
        <v>70098</v>
      </c>
      <c r="B927" s="60">
        <f>16.6307 * CHOOSE(CONTROL!$C$21, $C$12, 100%, $E$12)</f>
        <v>16.630700000000001</v>
      </c>
      <c r="C927" s="60">
        <f>16.6307 * CHOOSE(CONTROL!$C$21, $C$12, 100%, $E$12)</f>
        <v>16.630700000000001</v>
      </c>
      <c r="D927" s="60">
        <f>16.6412 * CHOOSE(CONTROL!$C$21, $C$12, 100%, $E$12)</f>
        <v>16.641200000000001</v>
      </c>
      <c r="E927" s="61">
        <f>19.5086 * CHOOSE(CONTROL!$C$21, $C$12, 100%, $E$12)</f>
        <v>19.508600000000001</v>
      </c>
      <c r="F927" s="61">
        <f>19.5086 * CHOOSE(CONTROL!$C$21, $C$12, 100%, $E$12)</f>
        <v>19.508600000000001</v>
      </c>
      <c r="G927" s="61">
        <f>19.5088 * CHOOSE(CONTROL!$C$21, $C$12, 100%, $E$12)</f>
        <v>19.508800000000001</v>
      </c>
      <c r="H927" s="61">
        <f>31.727* CHOOSE(CONTROL!$C$21, $C$12, 100%, $E$12)</f>
        <v>31.727</v>
      </c>
      <c r="I927" s="61">
        <f>31.7272 * CHOOSE(CONTROL!$C$21, $C$12, 100%, $E$12)</f>
        <v>31.7272</v>
      </c>
      <c r="J927" s="61">
        <f>19.5086 * CHOOSE(CONTROL!$C$21, $C$12, 100%, $E$12)</f>
        <v>19.508600000000001</v>
      </c>
      <c r="K927" s="61">
        <f>19.5088 * CHOOSE(CONTROL!$C$21, $C$12, 100%, $E$12)</f>
        <v>19.508800000000001</v>
      </c>
    </row>
    <row r="928" spans="1:11" ht="15">
      <c r="A928" s="13">
        <v>70129</v>
      </c>
      <c r="B928" s="60">
        <f>16.57 * CHOOSE(CONTROL!$C$21, $C$12, 100%, $E$12)</f>
        <v>16.57</v>
      </c>
      <c r="C928" s="60">
        <f>16.57 * CHOOSE(CONTROL!$C$21, $C$12, 100%, $E$12)</f>
        <v>16.57</v>
      </c>
      <c r="D928" s="60">
        <f>16.5806 * CHOOSE(CONTROL!$C$21, $C$12, 100%, $E$12)</f>
        <v>16.5806</v>
      </c>
      <c r="E928" s="61">
        <f>19.5138 * CHOOSE(CONTROL!$C$21, $C$12, 100%, $E$12)</f>
        <v>19.5138</v>
      </c>
      <c r="F928" s="61">
        <f>19.5138 * CHOOSE(CONTROL!$C$21, $C$12, 100%, $E$12)</f>
        <v>19.5138</v>
      </c>
      <c r="G928" s="61">
        <f>19.5139 * CHOOSE(CONTROL!$C$21, $C$12, 100%, $E$12)</f>
        <v>19.5139</v>
      </c>
      <c r="H928" s="61">
        <f>31.4548* CHOOSE(CONTROL!$C$21, $C$12, 100%, $E$12)</f>
        <v>31.454799999999999</v>
      </c>
      <c r="I928" s="61">
        <f>31.455 * CHOOSE(CONTROL!$C$21, $C$12, 100%, $E$12)</f>
        <v>31.454999999999998</v>
      </c>
      <c r="J928" s="61">
        <f>19.5138 * CHOOSE(CONTROL!$C$21, $C$12, 100%, $E$12)</f>
        <v>19.5138</v>
      </c>
      <c r="K928" s="61">
        <f>19.5139 * CHOOSE(CONTROL!$C$21, $C$12, 100%, $E$12)</f>
        <v>19.5139</v>
      </c>
    </row>
    <row r="929" spans="1:11" ht="15">
      <c r="A929" s="13">
        <v>70160</v>
      </c>
      <c r="B929" s="60">
        <f>16.567 * CHOOSE(CONTROL!$C$21, $C$12, 100%, $E$12)</f>
        <v>16.567</v>
      </c>
      <c r="C929" s="60">
        <f>16.567 * CHOOSE(CONTROL!$C$21, $C$12, 100%, $E$12)</f>
        <v>16.567</v>
      </c>
      <c r="D929" s="60">
        <f>16.5775 * CHOOSE(CONTROL!$C$21, $C$12, 100%, $E$12)</f>
        <v>16.577500000000001</v>
      </c>
      <c r="E929" s="61">
        <f>19.298 * CHOOSE(CONTROL!$C$21, $C$12, 100%, $E$12)</f>
        <v>19.297999999999998</v>
      </c>
      <c r="F929" s="61">
        <f>19.298 * CHOOSE(CONTROL!$C$21, $C$12, 100%, $E$12)</f>
        <v>19.297999999999998</v>
      </c>
      <c r="G929" s="61">
        <f>19.2982 * CHOOSE(CONTROL!$C$21, $C$12, 100%, $E$12)</f>
        <v>19.298200000000001</v>
      </c>
      <c r="H929" s="61">
        <f>31.5204* CHOOSE(CONTROL!$C$21, $C$12, 100%, $E$12)</f>
        <v>31.520399999999999</v>
      </c>
      <c r="I929" s="61">
        <f>31.5205 * CHOOSE(CONTROL!$C$21, $C$12, 100%, $E$12)</f>
        <v>31.520499999999998</v>
      </c>
      <c r="J929" s="61">
        <f>19.298 * CHOOSE(CONTROL!$C$21, $C$12, 100%, $E$12)</f>
        <v>19.297999999999998</v>
      </c>
      <c r="K929" s="61">
        <f>19.2982 * CHOOSE(CONTROL!$C$21, $C$12, 100%, $E$12)</f>
        <v>19.298200000000001</v>
      </c>
    </row>
    <row r="930" spans="1:11" ht="15">
      <c r="A930" s="13">
        <v>70189</v>
      </c>
      <c r="B930" s="60">
        <f>16.5639 * CHOOSE(CONTROL!$C$21, $C$12, 100%, $E$12)</f>
        <v>16.5639</v>
      </c>
      <c r="C930" s="60">
        <f>16.5639 * CHOOSE(CONTROL!$C$21, $C$12, 100%, $E$12)</f>
        <v>16.5639</v>
      </c>
      <c r="D930" s="60">
        <f>16.5745 * CHOOSE(CONTROL!$C$21, $C$12, 100%, $E$12)</f>
        <v>16.5745</v>
      </c>
      <c r="E930" s="61">
        <f>19.4643 * CHOOSE(CONTROL!$C$21, $C$12, 100%, $E$12)</f>
        <v>19.464300000000001</v>
      </c>
      <c r="F930" s="61">
        <f>19.4643 * CHOOSE(CONTROL!$C$21, $C$12, 100%, $E$12)</f>
        <v>19.464300000000001</v>
      </c>
      <c r="G930" s="61">
        <f>19.4645 * CHOOSE(CONTROL!$C$21, $C$12, 100%, $E$12)</f>
        <v>19.464500000000001</v>
      </c>
      <c r="H930" s="61">
        <f>31.586* CHOOSE(CONTROL!$C$21, $C$12, 100%, $E$12)</f>
        <v>31.585999999999999</v>
      </c>
      <c r="I930" s="61">
        <f>31.5862 * CHOOSE(CONTROL!$C$21, $C$12, 100%, $E$12)</f>
        <v>31.586200000000002</v>
      </c>
      <c r="J930" s="61">
        <f>19.4643 * CHOOSE(CONTROL!$C$21, $C$12, 100%, $E$12)</f>
        <v>19.464300000000001</v>
      </c>
      <c r="K930" s="61">
        <f>19.4645 * CHOOSE(CONTROL!$C$21, $C$12, 100%, $E$12)</f>
        <v>19.464500000000001</v>
      </c>
    </row>
    <row r="931" spans="1:11" ht="15">
      <c r="A931" s="13">
        <v>70220</v>
      </c>
      <c r="B931" s="60">
        <f>16.5723 * CHOOSE(CONTROL!$C$21, $C$12, 100%, $E$12)</f>
        <v>16.572299999999998</v>
      </c>
      <c r="C931" s="60">
        <f>16.5723 * CHOOSE(CONTROL!$C$21, $C$12, 100%, $E$12)</f>
        <v>16.572299999999998</v>
      </c>
      <c r="D931" s="60">
        <f>16.5828 * CHOOSE(CONTROL!$C$21, $C$12, 100%, $E$12)</f>
        <v>16.582799999999999</v>
      </c>
      <c r="E931" s="61">
        <f>19.6409 * CHOOSE(CONTROL!$C$21, $C$12, 100%, $E$12)</f>
        <v>19.640899999999998</v>
      </c>
      <c r="F931" s="61">
        <f>19.6409 * CHOOSE(CONTROL!$C$21, $C$12, 100%, $E$12)</f>
        <v>19.640899999999998</v>
      </c>
      <c r="G931" s="61">
        <f>19.6411 * CHOOSE(CONTROL!$C$21, $C$12, 100%, $E$12)</f>
        <v>19.641100000000002</v>
      </c>
      <c r="H931" s="61">
        <f>31.6518* CHOOSE(CONTROL!$C$21, $C$12, 100%, $E$12)</f>
        <v>31.651800000000001</v>
      </c>
      <c r="I931" s="61">
        <f>31.652 * CHOOSE(CONTROL!$C$21, $C$12, 100%, $E$12)</f>
        <v>31.652000000000001</v>
      </c>
      <c r="J931" s="61">
        <f>19.6409 * CHOOSE(CONTROL!$C$21, $C$12, 100%, $E$12)</f>
        <v>19.640899999999998</v>
      </c>
      <c r="K931" s="61">
        <f>19.6411 * CHOOSE(CONTROL!$C$21, $C$12, 100%, $E$12)</f>
        <v>19.641100000000002</v>
      </c>
    </row>
    <row r="932" spans="1:11" ht="15">
      <c r="A932" s="13">
        <v>70250</v>
      </c>
      <c r="B932" s="60">
        <f>16.5723 * CHOOSE(CONTROL!$C$21, $C$12, 100%, $E$12)</f>
        <v>16.572299999999998</v>
      </c>
      <c r="C932" s="60">
        <f>16.5723 * CHOOSE(CONTROL!$C$21, $C$12, 100%, $E$12)</f>
        <v>16.572299999999998</v>
      </c>
      <c r="D932" s="60">
        <f>16.5934 * CHOOSE(CONTROL!$C$21, $C$12, 100%, $E$12)</f>
        <v>16.593399999999999</v>
      </c>
      <c r="E932" s="61">
        <f>19.7087 * CHOOSE(CONTROL!$C$21, $C$12, 100%, $E$12)</f>
        <v>19.7087</v>
      </c>
      <c r="F932" s="61">
        <f>19.7087 * CHOOSE(CONTROL!$C$21, $C$12, 100%, $E$12)</f>
        <v>19.7087</v>
      </c>
      <c r="G932" s="61">
        <f>19.7101 * CHOOSE(CONTROL!$C$21, $C$12, 100%, $E$12)</f>
        <v>19.710100000000001</v>
      </c>
      <c r="H932" s="61">
        <f>31.7178* CHOOSE(CONTROL!$C$21, $C$12, 100%, $E$12)</f>
        <v>31.7178</v>
      </c>
      <c r="I932" s="61">
        <f>31.7191 * CHOOSE(CONTROL!$C$21, $C$12, 100%, $E$12)</f>
        <v>31.719100000000001</v>
      </c>
      <c r="J932" s="61">
        <f>19.7087 * CHOOSE(CONTROL!$C$21, $C$12, 100%, $E$12)</f>
        <v>19.7087</v>
      </c>
      <c r="K932" s="61">
        <f>19.7101 * CHOOSE(CONTROL!$C$21, $C$12, 100%, $E$12)</f>
        <v>19.710100000000001</v>
      </c>
    </row>
    <row r="933" spans="1:11" ht="15">
      <c r="A933" s="13">
        <v>70281</v>
      </c>
      <c r="B933" s="60">
        <f>16.5784 * CHOOSE(CONTROL!$C$21, $C$12, 100%, $E$12)</f>
        <v>16.578399999999998</v>
      </c>
      <c r="C933" s="60">
        <f>16.5784 * CHOOSE(CONTROL!$C$21, $C$12, 100%, $E$12)</f>
        <v>16.578399999999998</v>
      </c>
      <c r="D933" s="60">
        <f>16.5995 * CHOOSE(CONTROL!$C$21, $C$12, 100%, $E$12)</f>
        <v>16.599499999999999</v>
      </c>
      <c r="E933" s="61">
        <f>19.6452 * CHOOSE(CONTROL!$C$21, $C$12, 100%, $E$12)</f>
        <v>19.645199999999999</v>
      </c>
      <c r="F933" s="61">
        <f>19.6452 * CHOOSE(CONTROL!$C$21, $C$12, 100%, $E$12)</f>
        <v>19.645199999999999</v>
      </c>
      <c r="G933" s="61">
        <f>19.6465 * CHOOSE(CONTROL!$C$21, $C$12, 100%, $E$12)</f>
        <v>19.6465</v>
      </c>
      <c r="H933" s="61">
        <f>31.7838* CHOOSE(CONTROL!$C$21, $C$12, 100%, $E$12)</f>
        <v>31.783799999999999</v>
      </c>
      <c r="I933" s="61">
        <f>31.7852 * CHOOSE(CONTROL!$C$21, $C$12, 100%, $E$12)</f>
        <v>31.7852</v>
      </c>
      <c r="J933" s="61">
        <f>19.6452 * CHOOSE(CONTROL!$C$21, $C$12, 100%, $E$12)</f>
        <v>19.645199999999999</v>
      </c>
      <c r="K933" s="61">
        <f>19.6465 * CHOOSE(CONTROL!$C$21, $C$12, 100%, $E$12)</f>
        <v>19.6465</v>
      </c>
    </row>
    <row r="934" spans="1:11" ht="15">
      <c r="A934" s="13">
        <v>70311</v>
      </c>
      <c r="B934" s="60">
        <f>16.837 * CHOOSE(CONTROL!$C$21, $C$12, 100%, $E$12)</f>
        <v>16.837</v>
      </c>
      <c r="C934" s="60">
        <f>16.837 * CHOOSE(CONTROL!$C$21, $C$12, 100%, $E$12)</f>
        <v>16.837</v>
      </c>
      <c r="D934" s="60">
        <f>16.8581 * CHOOSE(CONTROL!$C$21, $C$12, 100%, $E$12)</f>
        <v>16.8581</v>
      </c>
      <c r="E934" s="61">
        <f>20.0177 * CHOOSE(CONTROL!$C$21, $C$12, 100%, $E$12)</f>
        <v>20.017700000000001</v>
      </c>
      <c r="F934" s="61">
        <f>20.0177 * CHOOSE(CONTROL!$C$21, $C$12, 100%, $E$12)</f>
        <v>20.017700000000001</v>
      </c>
      <c r="G934" s="61">
        <f>20.019 * CHOOSE(CONTROL!$C$21, $C$12, 100%, $E$12)</f>
        <v>20.018999999999998</v>
      </c>
      <c r="H934" s="61">
        <f>31.8501* CHOOSE(CONTROL!$C$21, $C$12, 100%, $E$12)</f>
        <v>31.850100000000001</v>
      </c>
      <c r="I934" s="61">
        <f>31.8514 * CHOOSE(CONTROL!$C$21, $C$12, 100%, $E$12)</f>
        <v>31.851400000000002</v>
      </c>
      <c r="J934" s="61">
        <f>20.0177 * CHOOSE(CONTROL!$C$21, $C$12, 100%, $E$12)</f>
        <v>20.017700000000001</v>
      </c>
      <c r="K934" s="61">
        <f>20.019 * CHOOSE(CONTROL!$C$21, $C$12, 100%, $E$12)</f>
        <v>20.018999999999998</v>
      </c>
    </row>
    <row r="935" spans="1:11" ht="15">
      <c r="A935" s="13">
        <v>70342</v>
      </c>
      <c r="B935" s="60">
        <f>16.8436 * CHOOSE(CONTROL!$C$21, $C$12, 100%, $E$12)</f>
        <v>16.843599999999999</v>
      </c>
      <c r="C935" s="60">
        <f>16.8436 * CHOOSE(CONTROL!$C$21, $C$12, 100%, $E$12)</f>
        <v>16.843599999999999</v>
      </c>
      <c r="D935" s="60">
        <f>16.8648 * CHOOSE(CONTROL!$C$21, $C$12, 100%, $E$12)</f>
        <v>16.864799999999999</v>
      </c>
      <c r="E935" s="61">
        <f>19.8189 * CHOOSE(CONTROL!$C$21, $C$12, 100%, $E$12)</f>
        <v>19.818899999999999</v>
      </c>
      <c r="F935" s="61">
        <f>19.8189 * CHOOSE(CONTROL!$C$21, $C$12, 100%, $E$12)</f>
        <v>19.818899999999999</v>
      </c>
      <c r="G935" s="61">
        <f>19.8202 * CHOOSE(CONTROL!$C$21, $C$12, 100%, $E$12)</f>
        <v>19.8202</v>
      </c>
      <c r="H935" s="61">
        <f>31.9164* CHOOSE(CONTROL!$C$21, $C$12, 100%, $E$12)</f>
        <v>31.916399999999999</v>
      </c>
      <c r="I935" s="61">
        <f>31.9178 * CHOOSE(CONTROL!$C$21, $C$12, 100%, $E$12)</f>
        <v>31.9178</v>
      </c>
      <c r="J935" s="61">
        <f>19.8189 * CHOOSE(CONTROL!$C$21, $C$12, 100%, $E$12)</f>
        <v>19.818899999999999</v>
      </c>
      <c r="K935" s="61">
        <f>19.8202 * CHOOSE(CONTROL!$C$21, $C$12, 100%, $E$12)</f>
        <v>19.8202</v>
      </c>
    </row>
    <row r="936" spans="1:11" ht="15">
      <c r="A936" s="13">
        <v>70373</v>
      </c>
      <c r="B936" s="60">
        <f>16.8406 * CHOOSE(CONTROL!$C$21, $C$12, 100%, $E$12)</f>
        <v>16.840599999999998</v>
      </c>
      <c r="C936" s="60">
        <f>16.8406 * CHOOSE(CONTROL!$C$21, $C$12, 100%, $E$12)</f>
        <v>16.840599999999998</v>
      </c>
      <c r="D936" s="60">
        <f>16.8617 * CHOOSE(CONTROL!$C$21, $C$12, 100%, $E$12)</f>
        <v>16.861699999999999</v>
      </c>
      <c r="E936" s="61">
        <f>19.7941 * CHOOSE(CONTROL!$C$21, $C$12, 100%, $E$12)</f>
        <v>19.7941</v>
      </c>
      <c r="F936" s="61">
        <f>19.7941 * CHOOSE(CONTROL!$C$21, $C$12, 100%, $E$12)</f>
        <v>19.7941</v>
      </c>
      <c r="G936" s="61">
        <f>19.7955 * CHOOSE(CONTROL!$C$21, $C$12, 100%, $E$12)</f>
        <v>19.795500000000001</v>
      </c>
      <c r="H936" s="61">
        <f>31.9829* CHOOSE(CONTROL!$C$21, $C$12, 100%, $E$12)</f>
        <v>31.982900000000001</v>
      </c>
      <c r="I936" s="61">
        <f>31.9843 * CHOOSE(CONTROL!$C$21, $C$12, 100%, $E$12)</f>
        <v>31.984300000000001</v>
      </c>
      <c r="J936" s="61">
        <f>19.7941 * CHOOSE(CONTROL!$C$21, $C$12, 100%, $E$12)</f>
        <v>19.7941</v>
      </c>
      <c r="K936" s="61">
        <f>19.7955 * CHOOSE(CONTROL!$C$21, $C$12, 100%, $E$12)</f>
        <v>19.795500000000001</v>
      </c>
    </row>
    <row r="937" spans="1:11" ht="15">
      <c r="A937" s="13">
        <v>70403</v>
      </c>
      <c r="B937" s="60">
        <f>16.8777 * CHOOSE(CONTROL!$C$21, $C$12, 100%, $E$12)</f>
        <v>16.877700000000001</v>
      </c>
      <c r="C937" s="60">
        <f>16.8777 * CHOOSE(CONTROL!$C$21, $C$12, 100%, $E$12)</f>
        <v>16.877700000000001</v>
      </c>
      <c r="D937" s="60">
        <f>16.8882 * CHOOSE(CONTROL!$C$21, $C$12, 100%, $E$12)</f>
        <v>16.888200000000001</v>
      </c>
      <c r="E937" s="61">
        <f>19.8711 * CHOOSE(CONTROL!$C$21, $C$12, 100%, $E$12)</f>
        <v>19.871099999999998</v>
      </c>
      <c r="F937" s="61">
        <f>19.8711 * CHOOSE(CONTROL!$C$21, $C$12, 100%, $E$12)</f>
        <v>19.871099999999998</v>
      </c>
      <c r="G937" s="61">
        <f>19.8713 * CHOOSE(CONTROL!$C$21, $C$12, 100%, $E$12)</f>
        <v>19.871300000000002</v>
      </c>
      <c r="H937" s="61">
        <f>32.0495* CHOOSE(CONTROL!$C$21, $C$12, 100%, $E$12)</f>
        <v>32.049500000000002</v>
      </c>
      <c r="I937" s="61">
        <f>32.0497 * CHOOSE(CONTROL!$C$21, $C$12, 100%, $E$12)</f>
        <v>32.049700000000001</v>
      </c>
      <c r="J937" s="61">
        <f>19.8711 * CHOOSE(CONTROL!$C$21, $C$12, 100%, $E$12)</f>
        <v>19.871099999999998</v>
      </c>
      <c r="K937" s="61">
        <f>19.8713 * CHOOSE(CONTROL!$C$21, $C$12, 100%, $E$12)</f>
        <v>19.871300000000002</v>
      </c>
    </row>
    <row r="938" spans="1:11" ht="15">
      <c r="A938" s="13">
        <v>70434</v>
      </c>
      <c r="B938" s="60">
        <f>16.8807 * CHOOSE(CONTROL!$C$21, $C$12, 100%, $E$12)</f>
        <v>16.880700000000001</v>
      </c>
      <c r="C938" s="60">
        <f>16.8807 * CHOOSE(CONTROL!$C$21, $C$12, 100%, $E$12)</f>
        <v>16.880700000000001</v>
      </c>
      <c r="D938" s="60">
        <f>16.8913 * CHOOSE(CONTROL!$C$21, $C$12, 100%, $E$12)</f>
        <v>16.891300000000001</v>
      </c>
      <c r="E938" s="61">
        <f>19.9185 * CHOOSE(CONTROL!$C$21, $C$12, 100%, $E$12)</f>
        <v>19.918500000000002</v>
      </c>
      <c r="F938" s="61">
        <f>19.9185 * CHOOSE(CONTROL!$C$21, $C$12, 100%, $E$12)</f>
        <v>19.918500000000002</v>
      </c>
      <c r="G938" s="61">
        <f>19.9187 * CHOOSE(CONTROL!$C$21, $C$12, 100%, $E$12)</f>
        <v>19.918700000000001</v>
      </c>
      <c r="H938" s="61">
        <f>32.1163* CHOOSE(CONTROL!$C$21, $C$12, 100%, $E$12)</f>
        <v>32.116300000000003</v>
      </c>
      <c r="I938" s="61">
        <f>32.1165 * CHOOSE(CONTROL!$C$21, $C$12, 100%, $E$12)</f>
        <v>32.116500000000002</v>
      </c>
      <c r="J938" s="61">
        <f>19.9185 * CHOOSE(CONTROL!$C$21, $C$12, 100%, $E$12)</f>
        <v>19.918500000000002</v>
      </c>
      <c r="K938" s="61">
        <f>19.9187 * CHOOSE(CONTROL!$C$21, $C$12, 100%, $E$12)</f>
        <v>19.918700000000001</v>
      </c>
    </row>
    <row r="939" spans="1:11" ht="15">
      <c r="A939" s="13">
        <v>70464</v>
      </c>
      <c r="B939" s="60">
        <f>16.8807 * CHOOSE(CONTROL!$C$21, $C$12, 100%, $E$12)</f>
        <v>16.880700000000001</v>
      </c>
      <c r="C939" s="60">
        <f>16.8807 * CHOOSE(CONTROL!$C$21, $C$12, 100%, $E$12)</f>
        <v>16.880700000000001</v>
      </c>
      <c r="D939" s="60">
        <f>16.8913 * CHOOSE(CONTROL!$C$21, $C$12, 100%, $E$12)</f>
        <v>16.891300000000001</v>
      </c>
      <c r="E939" s="61">
        <f>19.8054 * CHOOSE(CONTROL!$C$21, $C$12, 100%, $E$12)</f>
        <v>19.805399999999999</v>
      </c>
      <c r="F939" s="61">
        <f>19.8054 * CHOOSE(CONTROL!$C$21, $C$12, 100%, $E$12)</f>
        <v>19.805399999999999</v>
      </c>
      <c r="G939" s="61">
        <f>19.8056 * CHOOSE(CONTROL!$C$21, $C$12, 100%, $E$12)</f>
        <v>19.805599999999998</v>
      </c>
      <c r="H939" s="61">
        <f>32.1832* CHOOSE(CONTROL!$C$21, $C$12, 100%, $E$12)</f>
        <v>32.183199999999999</v>
      </c>
      <c r="I939" s="61">
        <f>32.1834 * CHOOSE(CONTROL!$C$21, $C$12, 100%, $E$12)</f>
        <v>32.183399999999999</v>
      </c>
      <c r="J939" s="61">
        <f>19.8054 * CHOOSE(CONTROL!$C$21, $C$12, 100%, $E$12)</f>
        <v>19.805399999999999</v>
      </c>
      <c r="K939" s="61">
        <f>19.8056 * CHOOSE(CONTROL!$C$21, $C$12, 100%, $E$12)</f>
        <v>19.805599999999998</v>
      </c>
    </row>
    <row r="940" spans="1:11" ht="15">
      <c r="A940" s="13">
        <v>70495</v>
      </c>
      <c r="B940" s="60">
        <f>16.8153 * CHOOSE(CONTROL!$C$21, $C$12, 100%, $E$12)</f>
        <v>16.815300000000001</v>
      </c>
      <c r="C940" s="60">
        <f>16.8153 * CHOOSE(CONTROL!$C$21, $C$12, 100%, $E$12)</f>
        <v>16.815300000000001</v>
      </c>
      <c r="D940" s="60">
        <f>16.8259 * CHOOSE(CONTROL!$C$21, $C$12, 100%, $E$12)</f>
        <v>16.825900000000001</v>
      </c>
      <c r="E940" s="61">
        <f>19.8062 * CHOOSE(CONTROL!$C$21, $C$12, 100%, $E$12)</f>
        <v>19.8062</v>
      </c>
      <c r="F940" s="61">
        <f>19.8062 * CHOOSE(CONTROL!$C$21, $C$12, 100%, $E$12)</f>
        <v>19.8062</v>
      </c>
      <c r="G940" s="61">
        <f>19.8064 * CHOOSE(CONTROL!$C$21, $C$12, 100%, $E$12)</f>
        <v>19.8064</v>
      </c>
      <c r="H940" s="61">
        <f>31.9007* CHOOSE(CONTROL!$C$21, $C$12, 100%, $E$12)</f>
        <v>31.900700000000001</v>
      </c>
      <c r="I940" s="61">
        <f>31.9009 * CHOOSE(CONTROL!$C$21, $C$12, 100%, $E$12)</f>
        <v>31.9009</v>
      </c>
      <c r="J940" s="61">
        <f>19.8062 * CHOOSE(CONTROL!$C$21, $C$12, 100%, $E$12)</f>
        <v>19.8062</v>
      </c>
      <c r="K940" s="61">
        <f>19.8064 * CHOOSE(CONTROL!$C$21, $C$12, 100%, $E$12)</f>
        <v>19.8064</v>
      </c>
    </row>
    <row r="941" spans="1:11" ht="15">
      <c r="A941" s="13">
        <v>70526</v>
      </c>
      <c r="B941" s="60">
        <f>16.8123 * CHOOSE(CONTROL!$C$21, $C$12, 100%, $E$12)</f>
        <v>16.8123</v>
      </c>
      <c r="C941" s="60">
        <f>16.8123 * CHOOSE(CONTROL!$C$21, $C$12, 100%, $E$12)</f>
        <v>16.8123</v>
      </c>
      <c r="D941" s="60">
        <f>16.8228 * CHOOSE(CONTROL!$C$21, $C$12, 100%, $E$12)</f>
        <v>16.822800000000001</v>
      </c>
      <c r="E941" s="61">
        <f>19.5872 * CHOOSE(CONTROL!$C$21, $C$12, 100%, $E$12)</f>
        <v>19.587199999999999</v>
      </c>
      <c r="F941" s="61">
        <f>19.5872 * CHOOSE(CONTROL!$C$21, $C$12, 100%, $E$12)</f>
        <v>19.587199999999999</v>
      </c>
      <c r="G941" s="61">
        <f>19.5874 * CHOOSE(CONTROL!$C$21, $C$12, 100%, $E$12)</f>
        <v>19.587399999999999</v>
      </c>
      <c r="H941" s="61">
        <f>31.9672* CHOOSE(CONTROL!$C$21, $C$12, 100%, $E$12)</f>
        <v>31.967199999999998</v>
      </c>
      <c r="I941" s="61">
        <f>31.9674 * CHOOSE(CONTROL!$C$21, $C$12, 100%, $E$12)</f>
        <v>31.967400000000001</v>
      </c>
      <c r="J941" s="61">
        <f>19.5872 * CHOOSE(CONTROL!$C$21, $C$12, 100%, $E$12)</f>
        <v>19.587199999999999</v>
      </c>
      <c r="K941" s="61">
        <f>19.5874 * CHOOSE(CONTROL!$C$21, $C$12, 100%, $E$12)</f>
        <v>19.587399999999999</v>
      </c>
    </row>
    <row r="942" spans="1:11" ht="15">
      <c r="A942" s="13">
        <v>70554</v>
      </c>
      <c r="B942" s="60">
        <f>16.8092 * CHOOSE(CONTROL!$C$21, $C$12, 100%, $E$12)</f>
        <v>16.809200000000001</v>
      </c>
      <c r="C942" s="60">
        <f>16.8092 * CHOOSE(CONTROL!$C$21, $C$12, 100%, $E$12)</f>
        <v>16.809200000000001</v>
      </c>
      <c r="D942" s="60">
        <f>16.8198 * CHOOSE(CONTROL!$C$21, $C$12, 100%, $E$12)</f>
        <v>16.819800000000001</v>
      </c>
      <c r="E942" s="61">
        <f>19.756 * CHOOSE(CONTROL!$C$21, $C$12, 100%, $E$12)</f>
        <v>19.756</v>
      </c>
      <c r="F942" s="61">
        <f>19.756 * CHOOSE(CONTROL!$C$21, $C$12, 100%, $E$12)</f>
        <v>19.756</v>
      </c>
      <c r="G942" s="61">
        <f>19.7562 * CHOOSE(CONTROL!$C$21, $C$12, 100%, $E$12)</f>
        <v>19.7562</v>
      </c>
      <c r="H942" s="61">
        <f>32.0338* CHOOSE(CONTROL!$C$21, $C$12, 100%, $E$12)</f>
        <v>32.033799999999999</v>
      </c>
      <c r="I942" s="61">
        <f>32.034 * CHOOSE(CONTROL!$C$21, $C$12, 100%, $E$12)</f>
        <v>32.033999999999999</v>
      </c>
      <c r="J942" s="61">
        <f>19.756 * CHOOSE(CONTROL!$C$21, $C$12, 100%, $E$12)</f>
        <v>19.756</v>
      </c>
      <c r="K942" s="61">
        <f>19.7562 * CHOOSE(CONTROL!$C$21, $C$12, 100%, $E$12)</f>
        <v>19.7562</v>
      </c>
    </row>
    <row r="943" spans="1:11" ht="15">
      <c r="A943" s="13">
        <v>70585</v>
      </c>
      <c r="B943" s="60">
        <f>16.8178 * CHOOSE(CONTROL!$C$21, $C$12, 100%, $E$12)</f>
        <v>16.817799999999998</v>
      </c>
      <c r="C943" s="60">
        <f>16.8178 * CHOOSE(CONTROL!$C$21, $C$12, 100%, $E$12)</f>
        <v>16.817799999999998</v>
      </c>
      <c r="D943" s="60">
        <f>16.8284 * CHOOSE(CONTROL!$C$21, $C$12, 100%, $E$12)</f>
        <v>16.828399999999998</v>
      </c>
      <c r="E943" s="61">
        <f>19.9354 * CHOOSE(CONTROL!$C$21, $C$12, 100%, $E$12)</f>
        <v>19.935400000000001</v>
      </c>
      <c r="F943" s="61">
        <f>19.9354 * CHOOSE(CONTROL!$C$21, $C$12, 100%, $E$12)</f>
        <v>19.935400000000001</v>
      </c>
      <c r="G943" s="61">
        <f>19.9356 * CHOOSE(CONTROL!$C$21, $C$12, 100%, $E$12)</f>
        <v>19.935600000000001</v>
      </c>
      <c r="H943" s="61">
        <f>32.1005* CHOOSE(CONTROL!$C$21, $C$12, 100%, $E$12)</f>
        <v>32.100499999999997</v>
      </c>
      <c r="I943" s="61">
        <f>32.1007 * CHOOSE(CONTROL!$C$21, $C$12, 100%, $E$12)</f>
        <v>32.100700000000003</v>
      </c>
      <c r="J943" s="61">
        <f>19.9354 * CHOOSE(CONTROL!$C$21, $C$12, 100%, $E$12)</f>
        <v>19.935400000000001</v>
      </c>
      <c r="K943" s="61">
        <f>19.9356 * CHOOSE(CONTROL!$C$21, $C$12, 100%, $E$12)</f>
        <v>19.935600000000001</v>
      </c>
    </row>
    <row r="944" spans="1:11" ht="15">
      <c r="A944" s="13">
        <v>70615</v>
      </c>
      <c r="B944" s="60">
        <f>16.8178 * CHOOSE(CONTROL!$C$21, $C$12, 100%, $E$12)</f>
        <v>16.817799999999998</v>
      </c>
      <c r="C944" s="60">
        <f>16.8178 * CHOOSE(CONTROL!$C$21, $C$12, 100%, $E$12)</f>
        <v>16.817799999999998</v>
      </c>
      <c r="D944" s="60">
        <f>16.8389 * CHOOSE(CONTROL!$C$21, $C$12, 100%, $E$12)</f>
        <v>16.838899999999999</v>
      </c>
      <c r="E944" s="61">
        <f>20.0042 * CHOOSE(CONTROL!$C$21, $C$12, 100%, $E$12)</f>
        <v>20.004200000000001</v>
      </c>
      <c r="F944" s="61">
        <f>20.0042 * CHOOSE(CONTROL!$C$21, $C$12, 100%, $E$12)</f>
        <v>20.004200000000001</v>
      </c>
      <c r="G944" s="61">
        <f>20.0056 * CHOOSE(CONTROL!$C$21, $C$12, 100%, $E$12)</f>
        <v>20.005600000000001</v>
      </c>
      <c r="H944" s="61">
        <f>32.1674* CHOOSE(CONTROL!$C$21, $C$12, 100%, $E$12)</f>
        <v>32.167400000000001</v>
      </c>
      <c r="I944" s="61">
        <f>32.1688 * CHOOSE(CONTROL!$C$21, $C$12, 100%, $E$12)</f>
        <v>32.168799999999997</v>
      </c>
      <c r="J944" s="61">
        <f>20.0042 * CHOOSE(CONTROL!$C$21, $C$12, 100%, $E$12)</f>
        <v>20.004200000000001</v>
      </c>
      <c r="K944" s="61">
        <f>20.0056 * CHOOSE(CONTROL!$C$21, $C$12, 100%, $E$12)</f>
        <v>20.005600000000001</v>
      </c>
    </row>
    <row r="945" spans="1:11" ht="15">
      <c r="A945" s="13">
        <v>70646</v>
      </c>
      <c r="B945" s="60">
        <f>16.8239 * CHOOSE(CONTROL!$C$21, $C$12, 100%, $E$12)</f>
        <v>16.823899999999998</v>
      </c>
      <c r="C945" s="60">
        <f>16.8239 * CHOOSE(CONTROL!$C$21, $C$12, 100%, $E$12)</f>
        <v>16.823899999999998</v>
      </c>
      <c r="D945" s="60">
        <f>16.845 * CHOOSE(CONTROL!$C$21, $C$12, 100%, $E$12)</f>
        <v>16.844999999999999</v>
      </c>
      <c r="E945" s="61">
        <f>19.9396 * CHOOSE(CONTROL!$C$21, $C$12, 100%, $E$12)</f>
        <v>19.939599999999999</v>
      </c>
      <c r="F945" s="61">
        <f>19.9396 * CHOOSE(CONTROL!$C$21, $C$12, 100%, $E$12)</f>
        <v>19.939599999999999</v>
      </c>
      <c r="G945" s="61">
        <f>19.941 * CHOOSE(CONTROL!$C$21, $C$12, 100%, $E$12)</f>
        <v>19.940999999999999</v>
      </c>
      <c r="H945" s="61">
        <f>32.2344* CHOOSE(CONTROL!$C$21, $C$12, 100%, $E$12)</f>
        <v>32.234400000000001</v>
      </c>
      <c r="I945" s="61">
        <f>32.2358 * CHOOSE(CONTROL!$C$21, $C$12, 100%, $E$12)</f>
        <v>32.235799999999998</v>
      </c>
      <c r="J945" s="61">
        <f>19.9396 * CHOOSE(CONTROL!$C$21, $C$12, 100%, $E$12)</f>
        <v>19.939599999999999</v>
      </c>
      <c r="K945" s="61">
        <f>19.941 * CHOOSE(CONTROL!$C$21, $C$12, 100%, $E$12)</f>
        <v>19.940999999999999</v>
      </c>
    </row>
    <row r="946" spans="1:11" ht="15">
      <c r="A946" s="13">
        <v>70676</v>
      </c>
      <c r="B946" s="60">
        <f>17.0862 * CHOOSE(CONTROL!$C$21, $C$12, 100%, $E$12)</f>
        <v>17.086200000000002</v>
      </c>
      <c r="C946" s="60">
        <f>17.0862 * CHOOSE(CONTROL!$C$21, $C$12, 100%, $E$12)</f>
        <v>17.086200000000002</v>
      </c>
      <c r="D946" s="60">
        <f>17.1073 * CHOOSE(CONTROL!$C$21, $C$12, 100%, $E$12)</f>
        <v>17.107299999999999</v>
      </c>
      <c r="E946" s="61">
        <f>20.3175 * CHOOSE(CONTROL!$C$21, $C$12, 100%, $E$12)</f>
        <v>20.317499999999999</v>
      </c>
      <c r="F946" s="61">
        <f>20.3175 * CHOOSE(CONTROL!$C$21, $C$12, 100%, $E$12)</f>
        <v>20.317499999999999</v>
      </c>
      <c r="G946" s="61">
        <f>20.3189 * CHOOSE(CONTROL!$C$21, $C$12, 100%, $E$12)</f>
        <v>20.318899999999999</v>
      </c>
      <c r="H946" s="61">
        <f>32.3016* CHOOSE(CONTROL!$C$21, $C$12, 100%, $E$12)</f>
        <v>32.301600000000001</v>
      </c>
      <c r="I946" s="61">
        <f>32.3029 * CHOOSE(CONTROL!$C$21, $C$12, 100%, $E$12)</f>
        <v>32.302900000000001</v>
      </c>
      <c r="J946" s="61">
        <f>20.3175 * CHOOSE(CONTROL!$C$21, $C$12, 100%, $E$12)</f>
        <v>20.317499999999999</v>
      </c>
      <c r="K946" s="61">
        <f>20.3189 * CHOOSE(CONTROL!$C$21, $C$12, 100%, $E$12)</f>
        <v>20.318899999999999</v>
      </c>
    </row>
    <row r="947" spans="1:11" ht="15">
      <c r="A947" s="13">
        <v>70707</v>
      </c>
      <c r="B947" s="60">
        <f>17.0929 * CHOOSE(CONTROL!$C$21, $C$12, 100%, $E$12)</f>
        <v>17.0929</v>
      </c>
      <c r="C947" s="60">
        <f>17.0929 * CHOOSE(CONTROL!$C$21, $C$12, 100%, $E$12)</f>
        <v>17.0929</v>
      </c>
      <c r="D947" s="60">
        <f>17.114 * CHOOSE(CONTROL!$C$21, $C$12, 100%, $E$12)</f>
        <v>17.114000000000001</v>
      </c>
      <c r="E947" s="61">
        <f>20.1157 * CHOOSE(CONTROL!$C$21, $C$12, 100%, $E$12)</f>
        <v>20.1157</v>
      </c>
      <c r="F947" s="61">
        <f>20.1157 * CHOOSE(CONTROL!$C$21, $C$12, 100%, $E$12)</f>
        <v>20.1157</v>
      </c>
      <c r="G947" s="61">
        <f>20.1171 * CHOOSE(CONTROL!$C$21, $C$12, 100%, $E$12)</f>
        <v>20.117100000000001</v>
      </c>
      <c r="H947" s="61">
        <f>32.3689* CHOOSE(CONTROL!$C$21, $C$12, 100%, $E$12)</f>
        <v>32.368899999999996</v>
      </c>
      <c r="I947" s="61">
        <f>32.3702 * CHOOSE(CONTROL!$C$21, $C$12, 100%, $E$12)</f>
        <v>32.370199999999997</v>
      </c>
      <c r="J947" s="61">
        <f>20.1157 * CHOOSE(CONTROL!$C$21, $C$12, 100%, $E$12)</f>
        <v>20.1157</v>
      </c>
      <c r="K947" s="61">
        <f>20.1171 * CHOOSE(CONTROL!$C$21, $C$12, 100%, $E$12)</f>
        <v>20.117100000000001</v>
      </c>
    </row>
    <row r="948" spans="1:11" ht="15">
      <c r="A948" s="13">
        <v>70738</v>
      </c>
      <c r="B948" s="60">
        <f>17.0898 * CHOOSE(CONTROL!$C$21, $C$12, 100%, $E$12)</f>
        <v>17.0898</v>
      </c>
      <c r="C948" s="60">
        <f>17.0898 * CHOOSE(CONTROL!$C$21, $C$12, 100%, $E$12)</f>
        <v>17.0898</v>
      </c>
      <c r="D948" s="60">
        <f>17.1109 * CHOOSE(CONTROL!$C$21, $C$12, 100%, $E$12)</f>
        <v>17.110900000000001</v>
      </c>
      <c r="E948" s="61">
        <f>20.0906 * CHOOSE(CONTROL!$C$21, $C$12, 100%, $E$12)</f>
        <v>20.090599999999998</v>
      </c>
      <c r="F948" s="61">
        <f>20.0906 * CHOOSE(CONTROL!$C$21, $C$12, 100%, $E$12)</f>
        <v>20.090599999999998</v>
      </c>
      <c r="G948" s="61">
        <f>20.092 * CHOOSE(CONTROL!$C$21, $C$12, 100%, $E$12)</f>
        <v>20.091999999999999</v>
      </c>
      <c r="H948" s="61">
        <f>32.4363* CHOOSE(CONTROL!$C$21, $C$12, 100%, $E$12)</f>
        <v>32.436300000000003</v>
      </c>
      <c r="I948" s="61">
        <f>32.4377 * CHOOSE(CONTROL!$C$21, $C$12, 100%, $E$12)</f>
        <v>32.4377</v>
      </c>
      <c r="J948" s="61">
        <f>20.0906 * CHOOSE(CONTROL!$C$21, $C$12, 100%, $E$12)</f>
        <v>20.090599999999998</v>
      </c>
      <c r="K948" s="61">
        <f>20.092 * CHOOSE(CONTROL!$C$21, $C$12, 100%, $E$12)</f>
        <v>20.091999999999999</v>
      </c>
    </row>
    <row r="949" spans="1:11" ht="15">
      <c r="A949" s="13">
        <v>70768</v>
      </c>
      <c r="B949" s="60">
        <f>17.1277 * CHOOSE(CONTROL!$C$21, $C$12, 100%, $E$12)</f>
        <v>17.127700000000001</v>
      </c>
      <c r="C949" s="60">
        <f>17.1277 * CHOOSE(CONTROL!$C$21, $C$12, 100%, $E$12)</f>
        <v>17.127700000000001</v>
      </c>
      <c r="D949" s="60">
        <f>17.1382 * CHOOSE(CONTROL!$C$21, $C$12, 100%, $E$12)</f>
        <v>17.138200000000001</v>
      </c>
      <c r="E949" s="61">
        <f>20.169 * CHOOSE(CONTROL!$C$21, $C$12, 100%, $E$12)</f>
        <v>20.169</v>
      </c>
      <c r="F949" s="61">
        <f>20.169 * CHOOSE(CONTROL!$C$21, $C$12, 100%, $E$12)</f>
        <v>20.169</v>
      </c>
      <c r="G949" s="61">
        <f>20.1692 * CHOOSE(CONTROL!$C$21, $C$12, 100%, $E$12)</f>
        <v>20.1692</v>
      </c>
      <c r="H949" s="61">
        <f>32.5039* CHOOSE(CONTROL!$C$21, $C$12, 100%, $E$12)</f>
        <v>32.503900000000002</v>
      </c>
      <c r="I949" s="61">
        <f>32.504 * CHOOSE(CONTROL!$C$21, $C$12, 100%, $E$12)</f>
        <v>32.503999999999998</v>
      </c>
      <c r="J949" s="61">
        <f>20.169 * CHOOSE(CONTROL!$C$21, $C$12, 100%, $E$12)</f>
        <v>20.169</v>
      </c>
      <c r="K949" s="61">
        <f>20.1692 * CHOOSE(CONTROL!$C$21, $C$12, 100%, $E$12)</f>
        <v>20.1692</v>
      </c>
    </row>
    <row r="950" spans="1:11" ht="15">
      <c r="A950" s="13">
        <v>70799</v>
      </c>
      <c r="B950" s="60">
        <f>17.1307 * CHOOSE(CONTROL!$C$21, $C$12, 100%, $E$12)</f>
        <v>17.130700000000001</v>
      </c>
      <c r="C950" s="60">
        <f>17.1307 * CHOOSE(CONTROL!$C$21, $C$12, 100%, $E$12)</f>
        <v>17.130700000000001</v>
      </c>
      <c r="D950" s="60">
        <f>17.1413 * CHOOSE(CONTROL!$C$21, $C$12, 100%, $E$12)</f>
        <v>17.141300000000001</v>
      </c>
      <c r="E950" s="61">
        <f>20.217 * CHOOSE(CONTROL!$C$21, $C$12, 100%, $E$12)</f>
        <v>20.216999999999999</v>
      </c>
      <c r="F950" s="61">
        <f>20.217 * CHOOSE(CONTROL!$C$21, $C$12, 100%, $E$12)</f>
        <v>20.216999999999999</v>
      </c>
      <c r="G950" s="61">
        <f>20.2172 * CHOOSE(CONTROL!$C$21, $C$12, 100%, $E$12)</f>
        <v>20.217199999999998</v>
      </c>
      <c r="H950" s="61">
        <f>32.5716* CHOOSE(CONTROL!$C$21, $C$12, 100%, $E$12)</f>
        <v>32.571599999999997</v>
      </c>
      <c r="I950" s="61">
        <f>32.5718 * CHOOSE(CONTROL!$C$21, $C$12, 100%, $E$12)</f>
        <v>32.571800000000003</v>
      </c>
      <c r="J950" s="61">
        <f>20.217 * CHOOSE(CONTROL!$C$21, $C$12, 100%, $E$12)</f>
        <v>20.216999999999999</v>
      </c>
      <c r="K950" s="61">
        <f>20.2172 * CHOOSE(CONTROL!$C$21, $C$12, 100%, $E$12)</f>
        <v>20.217199999999998</v>
      </c>
    </row>
    <row r="951" spans="1:11" ht="15">
      <c r="A951" s="13">
        <v>70829</v>
      </c>
      <c r="B951" s="60">
        <f>17.1307 * CHOOSE(CONTROL!$C$21, $C$12, 100%, $E$12)</f>
        <v>17.130700000000001</v>
      </c>
      <c r="C951" s="60">
        <f>17.1307 * CHOOSE(CONTROL!$C$21, $C$12, 100%, $E$12)</f>
        <v>17.130700000000001</v>
      </c>
      <c r="D951" s="60">
        <f>17.1413 * CHOOSE(CONTROL!$C$21, $C$12, 100%, $E$12)</f>
        <v>17.141300000000001</v>
      </c>
      <c r="E951" s="61">
        <f>20.1023 * CHOOSE(CONTROL!$C$21, $C$12, 100%, $E$12)</f>
        <v>20.1023</v>
      </c>
      <c r="F951" s="61">
        <f>20.1023 * CHOOSE(CONTROL!$C$21, $C$12, 100%, $E$12)</f>
        <v>20.1023</v>
      </c>
      <c r="G951" s="61">
        <f>20.1024 * CHOOSE(CONTROL!$C$21, $C$12, 100%, $E$12)</f>
        <v>20.102399999999999</v>
      </c>
      <c r="H951" s="61">
        <f>32.6394* CHOOSE(CONTROL!$C$21, $C$12, 100%, $E$12)</f>
        <v>32.639400000000002</v>
      </c>
      <c r="I951" s="61">
        <f>32.6396 * CHOOSE(CONTROL!$C$21, $C$12, 100%, $E$12)</f>
        <v>32.639600000000002</v>
      </c>
      <c r="J951" s="61">
        <f>20.1023 * CHOOSE(CONTROL!$C$21, $C$12, 100%, $E$12)</f>
        <v>20.1023</v>
      </c>
      <c r="K951" s="61">
        <f>20.1024 * CHOOSE(CONTROL!$C$21, $C$12, 100%, $E$12)</f>
        <v>20.102399999999999</v>
      </c>
    </row>
    <row r="952" spans="1:11" ht="15">
      <c r="A952" s="13">
        <v>70860</v>
      </c>
      <c r="B952" s="60">
        <f>17.0606 * CHOOSE(CONTROL!$C$21, $C$12, 100%, $E$12)</f>
        <v>17.060600000000001</v>
      </c>
      <c r="C952" s="60">
        <f>17.0606 * CHOOSE(CONTROL!$C$21, $C$12, 100%, $E$12)</f>
        <v>17.060600000000001</v>
      </c>
      <c r="D952" s="60">
        <f>17.0712 * CHOOSE(CONTROL!$C$21, $C$12, 100%, $E$12)</f>
        <v>17.071200000000001</v>
      </c>
      <c r="E952" s="61">
        <f>20.0986 * CHOOSE(CONTROL!$C$21, $C$12, 100%, $E$12)</f>
        <v>20.098600000000001</v>
      </c>
      <c r="F952" s="61">
        <f>20.0986 * CHOOSE(CONTROL!$C$21, $C$12, 100%, $E$12)</f>
        <v>20.098600000000001</v>
      </c>
      <c r="G952" s="61">
        <f>20.0988 * CHOOSE(CONTROL!$C$21, $C$12, 100%, $E$12)</f>
        <v>20.098800000000001</v>
      </c>
      <c r="H952" s="61">
        <f>32.3466* CHOOSE(CONTROL!$C$21, $C$12, 100%, $E$12)</f>
        <v>32.346600000000002</v>
      </c>
      <c r="I952" s="61">
        <f>32.3468 * CHOOSE(CONTROL!$C$21, $C$12, 100%, $E$12)</f>
        <v>32.346800000000002</v>
      </c>
      <c r="J952" s="61">
        <f>20.0986 * CHOOSE(CONTROL!$C$21, $C$12, 100%, $E$12)</f>
        <v>20.098600000000001</v>
      </c>
      <c r="K952" s="61">
        <f>20.0988 * CHOOSE(CONTROL!$C$21, $C$12, 100%, $E$12)</f>
        <v>20.098800000000001</v>
      </c>
    </row>
    <row r="953" spans="1:11" ht="15">
      <c r="A953" s="13">
        <v>70891</v>
      </c>
      <c r="B953" s="60">
        <f>17.0576 * CHOOSE(CONTROL!$C$21, $C$12, 100%, $E$12)</f>
        <v>17.057600000000001</v>
      </c>
      <c r="C953" s="60">
        <f>17.0576 * CHOOSE(CONTROL!$C$21, $C$12, 100%, $E$12)</f>
        <v>17.057600000000001</v>
      </c>
      <c r="D953" s="60">
        <f>17.0682 * CHOOSE(CONTROL!$C$21, $C$12, 100%, $E$12)</f>
        <v>17.068200000000001</v>
      </c>
      <c r="E953" s="61">
        <f>19.8764 * CHOOSE(CONTROL!$C$21, $C$12, 100%, $E$12)</f>
        <v>19.8764</v>
      </c>
      <c r="F953" s="61">
        <f>19.8764 * CHOOSE(CONTROL!$C$21, $C$12, 100%, $E$12)</f>
        <v>19.8764</v>
      </c>
      <c r="G953" s="61">
        <f>19.8766 * CHOOSE(CONTROL!$C$21, $C$12, 100%, $E$12)</f>
        <v>19.8766</v>
      </c>
      <c r="H953" s="61">
        <f>32.414* CHOOSE(CONTROL!$C$21, $C$12, 100%, $E$12)</f>
        <v>32.414000000000001</v>
      </c>
      <c r="I953" s="61">
        <f>32.4142 * CHOOSE(CONTROL!$C$21, $C$12, 100%, $E$12)</f>
        <v>32.414200000000001</v>
      </c>
      <c r="J953" s="61">
        <f>19.8764 * CHOOSE(CONTROL!$C$21, $C$12, 100%, $E$12)</f>
        <v>19.8764</v>
      </c>
      <c r="K953" s="61">
        <f>19.8766 * CHOOSE(CONTROL!$C$21, $C$12, 100%, $E$12)</f>
        <v>19.8766</v>
      </c>
    </row>
    <row r="954" spans="1:11" ht="15">
      <c r="A954" s="13">
        <v>70919</v>
      </c>
      <c r="B954" s="60">
        <f>17.0546 * CHOOSE(CONTROL!$C$21, $C$12, 100%, $E$12)</f>
        <v>17.054600000000001</v>
      </c>
      <c r="C954" s="60">
        <f>17.0546 * CHOOSE(CONTROL!$C$21, $C$12, 100%, $E$12)</f>
        <v>17.054600000000001</v>
      </c>
      <c r="D954" s="60">
        <f>17.0651 * CHOOSE(CONTROL!$C$21, $C$12, 100%, $E$12)</f>
        <v>17.065100000000001</v>
      </c>
      <c r="E954" s="61">
        <f>20.0478 * CHOOSE(CONTROL!$C$21, $C$12, 100%, $E$12)</f>
        <v>20.047799999999999</v>
      </c>
      <c r="F954" s="61">
        <f>20.0478 * CHOOSE(CONTROL!$C$21, $C$12, 100%, $E$12)</f>
        <v>20.047799999999999</v>
      </c>
      <c r="G954" s="61">
        <f>20.048 * CHOOSE(CONTROL!$C$21, $C$12, 100%, $E$12)</f>
        <v>20.047999999999998</v>
      </c>
      <c r="H954" s="61">
        <f>32.4815* CHOOSE(CONTROL!$C$21, $C$12, 100%, $E$12)</f>
        <v>32.481499999999997</v>
      </c>
      <c r="I954" s="61">
        <f>32.4817 * CHOOSE(CONTROL!$C$21, $C$12, 100%, $E$12)</f>
        <v>32.481699999999996</v>
      </c>
      <c r="J954" s="61">
        <f>20.0478 * CHOOSE(CONTROL!$C$21, $C$12, 100%, $E$12)</f>
        <v>20.047799999999999</v>
      </c>
      <c r="K954" s="61">
        <f>20.048 * CHOOSE(CONTROL!$C$21, $C$12, 100%, $E$12)</f>
        <v>20.047999999999998</v>
      </c>
    </row>
    <row r="955" spans="1:11" ht="15">
      <c r="A955" s="13">
        <v>70950</v>
      </c>
      <c r="B955" s="60">
        <f>17.0633 * CHOOSE(CONTROL!$C$21, $C$12, 100%, $E$12)</f>
        <v>17.063300000000002</v>
      </c>
      <c r="C955" s="60">
        <f>17.0633 * CHOOSE(CONTROL!$C$21, $C$12, 100%, $E$12)</f>
        <v>17.063300000000002</v>
      </c>
      <c r="D955" s="60">
        <f>17.0739 * CHOOSE(CONTROL!$C$21, $C$12, 100%, $E$12)</f>
        <v>17.073899999999998</v>
      </c>
      <c r="E955" s="61">
        <f>20.2298 * CHOOSE(CONTROL!$C$21, $C$12, 100%, $E$12)</f>
        <v>20.229800000000001</v>
      </c>
      <c r="F955" s="61">
        <f>20.2298 * CHOOSE(CONTROL!$C$21, $C$12, 100%, $E$12)</f>
        <v>20.229800000000001</v>
      </c>
      <c r="G955" s="61">
        <f>20.23 * CHOOSE(CONTROL!$C$21, $C$12, 100%, $E$12)</f>
        <v>20.23</v>
      </c>
      <c r="H955" s="61">
        <f>32.5492* CHOOSE(CONTROL!$C$21, $C$12, 100%, $E$12)</f>
        <v>32.549199999999999</v>
      </c>
      <c r="I955" s="61">
        <f>32.5494 * CHOOSE(CONTROL!$C$21, $C$12, 100%, $E$12)</f>
        <v>32.549399999999999</v>
      </c>
      <c r="J955" s="61">
        <f>20.2298 * CHOOSE(CONTROL!$C$21, $C$12, 100%, $E$12)</f>
        <v>20.229800000000001</v>
      </c>
      <c r="K955" s="61">
        <f>20.23 * CHOOSE(CONTROL!$C$21, $C$12, 100%, $E$12)</f>
        <v>20.23</v>
      </c>
    </row>
    <row r="956" spans="1:11" ht="15">
      <c r="A956" s="13">
        <v>70980</v>
      </c>
      <c r="B956" s="60">
        <f>17.0633 * CHOOSE(CONTROL!$C$21, $C$12, 100%, $E$12)</f>
        <v>17.063300000000002</v>
      </c>
      <c r="C956" s="60">
        <f>17.0633 * CHOOSE(CONTROL!$C$21, $C$12, 100%, $E$12)</f>
        <v>17.063300000000002</v>
      </c>
      <c r="D956" s="60">
        <f>17.0844 * CHOOSE(CONTROL!$C$21, $C$12, 100%, $E$12)</f>
        <v>17.084399999999999</v>
      </c>
      <c r="E956" s="61">
        <f>20.2997 * CHOOSE(CONTROL!$C$21, $C$12, 100%, $E$12)</f>
        <v>20.299700000000001</v>
      </c>
      <c r="F956" s="61">
        <f>20.2997 * CHOOSE(CONTROL!$C$21, $C$12, 100%, $E$12)</f>
        <v>20.299700000000001</v>
      </c>
      <c r="G956" s="61">
        <f>20.3011 * CHOOSE(CONTROL!$C$21, $C$12, 100%, $E$12)</f>
        <v>20.301100000000002</v>
      </c>
      <c r="H956" s="61">
        <f>32.617* CHOOSE(CONTROL!$C$21, $C$12, 100%, $E$12)</f>
        <v>32.616999999999997</v>
      </c>
      <c r="I956" s="61">
        <f>32.6184 * CHOOSE(CONTROL!$C$21, $C$12, 100%, $E$12)</f>
        <v>32.618400000000001</v>
      </c>
      <c r="J956" s="61">
        <f>20.2997 * CHOOSE(CONTROL!$C$21, $C$12, 100%, $E$12)</f>
        <v>20.299700000000001</v>
      </c>
      <c r="K956" s="61">
        <f>20.3011 * CHOOSE(CONTROL!$C$21, $C$12, 100%, $E$12)</f>
        <v>20.301100000000002</v>
      </c>
    </row>
    <row r="957" spans="1:11" ht="15">
      <c r="A957" s="13">
        <v>71011</v>
      </c>
      <c r="B957" s="60">
        <f>17.0694 * CHOOSE(CONTROL!$C$21, $C$12, 100%, $E$12)</f>
        <v>17.069400000000002</v>
      </c>
      <c r="C957" s="60">
        <f>17.0694 * CHOOSE(CONTROL!$C$21, $C$12, 100%, $E$12)</f>
        <v>17.069400000000002</v>
      </c>
      <c r="D957" s="60">
        <f>17.0905 * CHOOSE(CONTROL!$C$21, $C$12, 100%, $E$12)</f>
        <v>17.090499999999999</v>
      </c>
      <c r="E957" s="61">
        <f>20.2341 * CHOOSE(CONTROL!$C$21, $C$12, 100%, $E$12)</f>
        <v>20.234100000000002</v>
      </c>
      <c r="F957" s="61">
        <f>20.2341 * CHOOSE(CONTROL!$C$21, $C$12, 100%, $E$12)</f>
        <v>20.234100000000002</v>
      </c>
      <c r="G957" s="61">
        <f>20.2354 * CHOOSE(CONTROL!$C$21, $C$12, 100%, $E$12)</f>
        <v>20.235399999999998</v>
      </c>
      <c r="H957" s="61">
        <f>32.685* CHOOSE(CONTROL!$C$21, $C$12, 100%, $E$12)</f>
        <v>32.685000000000002</v>
      </c>
      <c r="I957" s="61">
        <f>32.6863 * CHOOSE(CONTROL!$C$21, $C$12, 100%, $E$12)</f>
        <v>32.686300000000003</v>
      </c>
      <c r="J957" s="61">
        <f>20.2341 * CHOOSE(CONTROL!$C$21, $C$12, 100%, $E$12)</f>
        <v>20.234100000000002</v>
      </c>
      <c r="K957" s="61">
        <f>20.2354 * CHOOSE(CONTROL!$C$21, $C$12, 100%, $E$12)</f>
        <v>20.235399999999998</v>
      </c>
    </row>
    <row r="958" spans="1:11" ht="15">
      <c r="A958" s="13">
        <v>71041</v>
      </c>
      <c r="B958" s="60">
        <f>17.3354 * CHOOSE(CONTROL!$C$21, $C$12, 100%, $E$12)</f>
        <v>17.3354</v>
      </c>
      <c r="C958" s="60">
        <f>17.3354 * CHOOSE(CONTROL!$C$21, $C$12, 100%, $E$12)</f>
        <v>17.3354</v>
      </c>
      <c r="D958" s="60">
        <f>17.3565 * CHOOSE(CONTROL!$C$21, $C$12, 100%, $E$12)</f>
        <v>17.3565</v>
      </c>
      <c r="E958" s="61">
        <f>20.6174 * CHOOSE(CONTROL!$C$21, $C$12, 100%, $E$12)</f>
        <v>20.6174</v>
      </c>
      <c r="F958" s="61">
        <f>20.6174 * CHOOSE(CONTROL!$C$21, $C$12, 100%, $E$12)</f>
        <v>20.6174</v>
      </c>
      <c r="G958" s="61">
        <f>20.6188 * CHOOSE(CONTROL!$C$21, $C$12, 100%, $E$12)</f>
        <v>20.6188</v>
      </c>
      <c r="H958" s="61">
        <f>32.7531* CHOOSE(CONTROL!$C$21, $C$12, 100%, $E$12)</f>
        <v>32.753100000000003</v>
      </c>
      <c r="I958" s="61">
        <f>32.7544 * CHOOSE(CONTROL!$C$21, $C$12, 100%, $E$12)</f>
        <v>32.754399999999997</v>
      </c>
      <c r="J958" s="61">
        <f>20.6174 * CHOOSE(CONTROL!$C$21, $C$12, 100%, $E$12)</f>
        <v>20.6174</v>
      </c>
      <c r="K958" s="61">
        <f>20.6188 * CHOOSE(CONTROL!$C$21, $C$12, 100%, $E$12)</f>
        <v>20.6188</v>
      </c>
    </row>
    <row r="959" spans="1:11" ht="15">
      <c r="A959" s="13">
        <v>71072</v>
      </c>
      <c r="B959" s="60">
        <f>17.3421 * CHOOSE(CONTROL!$C$21, $C$12, 100%, $E$12)</f>
        <v>17.342099999999999</v>
      </c>
      <c r="C959" s="60">
        <f>17.3421 * CHOOSE(CONTROL!$C$21, $C$12, 100%, $E$12)</f>
        <v>17.342099999999999</v>
      </c>
      <c r="D959" s="60">
        <f>17.3632 * CHOOSE(CONTROL!$C$21, $C$12, 100%, $E$12)</f>
        <v>17.363199999999999</v>
      </c>
      <c r="E959" s="61">
        <f>20.4125 * CHOOSE(CONTROL!$C$21, $C$12, 100%, $E$12)</f>
        <v>20.412500000000001</v>
      </c>
      <c r="F959" s="61">
        <f>20.4125 * CHOOSE(CONTROL!$C$21, $C$12, 100%, $E$12)</f>
        <v>20.412500000000001</v>
      </c>
      <c r="G959" s="61">
        <f>20.4139 * CHOOSE(CONTROL!$C$21, $C$12, 100%, $E$12)</f>
        <v>20.413900000000002</v>
      </c>
      <c r="H959" s="61">
        <f>32.8213* CHOOSE(CONTROL!$C$21, $C$12, 100%, $E$12)</f>
        <v>32.821300000000001</v>
      </c>
      <c r="I959" s="61">
        <f>32.8227 * CHOOSE(CONTROL!$C$21, $C$12, 100%, $E$12)</f>
        <v>32.822699999999998</v>
      </c>
      <c r="J959" s="61">
        <f>20.4125 * CHOOSE(CONTROL!$C$21, $C$12, 100%, $E$12)</f>
        <v>20.412500000000001</v>
      </c>
      <c r="K959" s="61">
        <f>20.4139 * CHOOSE(CONTROL!$C$21, $C$12, 100%, $E$12)</f>
        <v>20.413900000000002</v>
      </c>
    </row>
    <row r="960" spans="1:11" ht="15">
      <c r="A960" s="13">
        <v>71103</v>
      </c>
      <c r="B960" s="60">
        <f>17.339 * CHOOSE(CONTROL!$C$21, $C$12, 100%, $E$12)</f>
        <v>17.338999999999999</v>
      </c>
      <c r="C960" s="60">
        <f>17.339 * CHOOSE(CONTROL!$C$21, $C$12, 100%, $E$12)</f>
        <v>17.338999999999999</v>
      </c>
      <c r="D960" s="60">
        <f>17.3602 * CHOOSE(CONTROL!$C$21, $C$12, 100%, $E$12)</f>
        <v>17.360199999999999</v>
      </c>
      <c r="E960" s="61">
        <f>20.3871 * CHOOSE(CONTROL!$C$21, $C$12, 100%, $E$12)</f>
        <v>20.3871</v>
      </c>
      <c r="F960" s="61">
        <f>20.3871 * CHOOSE(CONTROL!$C$21, $C$12, 100%, $E$12)</f>
        <v>20.3871</v>
      </c>
      <c r="G960" s="61">
        <f>20.3885 * CHOOSE(CONTROL!$C$21, $C$12, 100%, $E$12)</f>
        <v>20.388500000000001</v>
      </c>
      <c r="H960" s="61">
        <f>32.8897* CHOOSE(CONTROL!$C$21, $C$12, 100%, $E$12)</f>
        <v>32.889699999999998</v>
      </c>
      <c r="I960" s="61">
        <f>32.891 * CHOOSE(CONTROL!$C$21, $C$12, 100%, $E$12)</f>
        <v>32.890999999999998</v>
      </c>
      <c r="J960" s="61">
        <f>20.3871 * CHOOSE(CONTROL!$C$21, $C$12, 100%, $E$12)</f>
        <v>20.3871</v>
      </c>
      <c r="K960" s="61">
        <f>20.3885 * CHOOSE(CONTROL!$C$21, $C$12, 100%, $E$12)</f>
        <v>20.388500000000001</v>
      </c>
    </row>
    <row r="961" spans="1:11" ht="15">
      <c r="A961" s="13">
        <v>71133</v>
      </c>
      <c r="B961" s="60">
        <f>17.3777 * CHOOSE(CONTROL!$C$21, $C$12, 100%, $E$12)</f>
        <v>17.377700000000001</v>
      </c>
      <c r="C961" s="60">
        <f>17.3777 * CHOOSE(CONTROL!$C$21, $C$12, 100%, $E$12)</f>
        <v>17.377700000000001</v>
      </c>
      <c r="D961" s="60">
        <f>17.3883 * CHOOSE(CONTROL!$C$21, $C$12, 100%, $E$12)</f>
        <v>17.388300000000001</v>
      </c>
      <c r="E961" s="61">
        <f>20.4668 * CHOOSE(CONTROL!$C$21, $C$12, 100%, $E$12)</f>
        <v>20.466799999999999</v>
      </c>
      <c r="F961" s="61">
        <f>20.4668 * CHOOSE(CONTROL!$C$21, $C$12, 100%, $E$12)</f>
        <v>20.466799999999999</v>
      </c>
      <c r="G961" s="61">
        <f>20.467 * CHOOSE(CONTROL!$C$21, $C$12, 100%, $E$12)</f>
        <v>20.466999999999999</v>
      </c>
      <c r="H961" s="61">
        <f>32.9582* CHOOSE(CONTROL!$C$21, $C$12, 100%, $E$12)</f>
        <v>32.958199999999998</v>
      </c>
      <c r="I961" s="61">
        <f>32.9584 * CHOOSE(CONTROL!$C$21, $C$12, 100%, $E$12)</f>
        <v>32.958399999999997</v>
      </c>
      <c r="J961" s="61">
        <f>20.4668 * CHOOSE(CONTROL!$C$21, $C$12, 100%, $E$12)</f>
        <v>20.466799999999999</v>
      </c>
      <c r="K961" s="61">
        <f>20.467 * CHOOSE(CONTROL!$C$21, $C$12, 100%, $E$12)</f>
        <v>20.466999999999999</v>
      </c>
    </row>
    <row r="962" spans="1:11" ht="15">
      <c r="A962" s="13">
        <v>71164</v>
      </c>
      <c r="B962" s="60">
        <f>17.3807 * CHOOSE(CONTROL!$C$21, $C$12, 100%, $E$12)</f>
        <v>17.380700000000001</v>
      </c>
      <c r="C962" s="60">
        <f>17.3807 * CHOOSE(CONTROL!$C$21, $C$12, 100%, $E$12)</f>
        <v>17.380700000000001</v>
      </c>
      <c r="D962" s="60">
        <f>17.3913 * CHOOSE(CONTROL!$C$21, $C$12, 100%, $E$12)</f>
        <v>17.391300000000001</v>
      </c>
      <c r="E962" s="61">
        <f>20.5155 * CHOOSE(CONTROL!$C$21, $C$12, 100%, $E$12)</f>
        <v>20.515499999999999</v>
      </c>
      <c r="F962" s="61">
        <f>20.5155 * CHOOSE(CONTROL!$C$21, $C$12, 100%, $E$12)</f>
        <v>20.515499999999999</v>
      </c>
      <c r="G962" s="61">
        <f>20.5157 * CHOOSE(CONTROL!$C$21, $C$12, 100%, $E$12)</f>
        <v>20.515699999999999</v>
      </c>
      <c r="H962" s="61">
        <f>33.0268* CHOOSE(CONTROL!$C$21, $C$12, 100%, $E$12)</f>
        <v>33.026800000000001</v>
      </c>
      <c r="I962" s="61">
        <f>33.027 * CHOOSE(CONTROL!$C$21, $C$12, 100%, $E$12)</f>
        <v>33.027000000000001</v>
      </c>
      <c r="J962" s="61">
        <f>20.5155 * CHOOSE(CONTROL!$C$21, $C$12, 100%, $E$12)</f>
        <v>20.515499999999999</v>
      </c>
      <c r="K962" s="61">
        <f>20.5157 * CHOOSE(CONTROL!$C$21, $C$12, 100%, $E$12)</f>
        <v>20.515699999999999</v>
      </c>
    </row>
    <row r="963" spans="1:11" ht="15">
      <c r="A963" s="13">
        <v>71194</v>
      </c>
      <c r="B963" s="60">
        <f>17.3807 * CHOOSE(CONTROL!$C$21, $C$12, 100%, $E$12)</f>
        <v>17.380700000000001</v>
      </c>
      <c r="C963" s="60">
        <f>17.3807 * CHOOSE(CONTROL!$C$21, $C$12, 100%, $E$12)</f>
        <v>17.380700000000001</v>
      </c>
      <c r="D963" s="60">
        <f>17.3913 * CHOOSE(CONTROL!$C$21, $C$12, 100%, $E$12)</f>
        <v>17.391300000000001</v>
      </c>
      <c r="E963" s="61">
        <f>20.3991 * CHOOSE(CONTROL!$C$21, $C$12, 100%, $E$12)</f>
        <v>20.399100000000001</v>
      </c>
      <c r="F963" s="61">
        <f>20.3991 * CHOOSE(CONTROL!$C$21, $C$12, 100%, $E$12)</f>
        <v>20.399100000000001</v>
      </c>
      <c r="G963" s="61">
        <f>20.3993 * CHOOSE(CONTROL!$C$21, $C$12, 100%, $E$12)</f>
        <v>20.3993</v>
      </c>
      <c r="H963" s="61">
        <f>33.0957* CHOOSE(CONTROL!$C$21, $C$12, 100%, $E$12)</f>
        <v>33.095700000000001</v>
      </c>
      <c r="I963" s="61">
        <f>33.0958 * CHOOSE(CONTROL!$C$21, $C$12, 100%, $E$12)</f>
        <v>33.095799999999997</v>
      </c>
      <c r="J963" s="61">
        <f>20.3991 * CHOOSE(CONTROL!$C$21, $C$12, 100%, $E$12)</f>
        <v>20.399100000000001</v>
      </c>
      <c r="K963" s="61">
        <f>20.3993 * CHOOSE(CONTROL!$C$21, $C$12, 100%, $E$12)</f>
        <v>20.3993</v>
      </c>
    </row>
    <row r="964" spans="1:11" ht="15">
      <c r="A964" s="13">
        <v>71225</v>
      </c>
      <c r="B964" s="60">
        <f>17.306 * CHOOSE(CONTROL!$C$21, $C$12, 100%, $E$12)</f>
        <v>17.306000000000001</v>
      </c>
      <c r="C964" s="60">
        <f>17.306 * CHOOSE(CONTROL!$C$21, $C$12, 100%, $E$12)</f>
        <v>17.306000000000001</v>
      </c>
      <c r="D964" s="60">
        <f>17.3165 * CHOOSE(CONTROL!$C$21, $C$12, 100%, $E$12)</f>
        <v>17.316500000000001</v>
      </c>
      <c r="E964" s="61">
        <f>20.391 * CHOOSE(CONTROL!$C$21, $C$12, 100%, $E$12)</f>
        <v>20.390999999999998</v>
      </c>
      <c r="F964" s="61">
        <f>20.391 * CHOOSE(CONTROL!$C$21, $C$12, 100%, $E$12)</f>
        <v>20.390999999999998</v>
      </c>
      <c r="G964" s="61">
        <f>20.3912 * CHOOSE(CONTROL!$C$21, $C$12, 100%, $E$12)</f>
        <v>20.391200000000001</v>
      </c>
      <c r="H964" s="61">
        <f>32.7925* CHOOSE(CONTROL!$C$21, $C$12, 100%, $E$12)</f>
        <v>32.792499999999997</v>
      </c>
      <c r="I964" s="61">
        <f>32.7927 * CHOOSE(CONTROL!$C$21, $C$12, 100%, $E$12)</f>
        <v>32.792700000000004</v>
      </c>
      <c r="J964" s="61">
        <f>20.391 * CHOOSE(CONTROL!$C$21, $C$12, 100%, $E$12)</f>
        <v>20.390999999999998</v>
      </c>
      <c r="K964" s="61">
        <f>20.3912 * CHOOSE(CONTROL!$C$21, $C$12, 100%, $E$12)</f>
        <v>20.391200000000001</v>
      </c>
    </row>
    <row r="965" spans="1:11" ht="15">
      <c r="A965" s="13">
        <v>71256</v>
      </c>
      <c r="B965" s="60">
        <f>17.3029 * CHOOSE(CONTROL!$C$21, $C$12, 100%, $E$12)</f>
        <v>17.302900000000001</v>
      </c>
      <c r="C965" s="60">
        <f>17.3029 * CHOOSE(CONTROL!$C$21, $C$12, 100%, $E$12)</f>
        <v>17.302900000000001</v>
      </c>
      <c r="D965" s="60">
        <f>17.3135 * CHOOSE(CONTROL!$C$21, $C$12, 100%, $E$12)</f>
        <v>17.313500000000001</v>
      </c>
      <c r="E965" s="61">
        <f>20.1657 * CHOOSE(CONTROL!$C$21, $C$12, 100%, $E$12)</f>
        <v>20.165700000000001</v>
      </c>
      <c r="F965" s="61">
        <f>20.1657 * CHOOSE(CONTROL!$C$21, $C$12, 100%, $E$12)</f>
        <v>20.165700000000001</v>
      </c>
      <c r="G965" s="61">
        <f>20.1658 * CHOOSE(CONTROL!$C$21, $C$12, 100%, $E$12)</f>
        <v>20.165800000000001</v>
      </c>
      <c r="H965" s="61">
        <f>32.8608* CHOOSE(CONTROL!$C$21, $C$12, 100%, $E$12)</f>
        <v>32.860799999999998</v>
      </c>
      <c r="I965" s="61">
        <f>32.861 * CHOOSE(CONTROL!$C$21, $C$12, 100%, $E$12)</f>
        <v>32.860999999999997</v>
      </c>
      <c r="J965" s="61">
        <f>20.1657 * CHOOSE(CONTROL!$C$21, $C$12, 100%, $E$12)</f>
        <v>20.165700000000001</v>
      </c>
      <c r="K965" s="61">
        <f>20.1658 * CHOOSE(CONTROL!$C$21, $C$12, 100%, $E$12)</f>
        <v>20.165800000000001</v>
      </c>
    </row>
    <row r="966" spans="1:11" ht="15">
      <c r="A966" s="13">
        <v>71284</v>
      </c>
      <c r="B966" s="60">
        <f>17.2999 * CHOOSE(CONTROL!$C$21, $C$12, 100%, $E$12)</f>
        <v>17.299900000000001</v>
      </c>
      <c r="C966" s="60">
        <f>17.2999 * CHOOSE(CONTROL!$C$21, $C$12, 100%, $E$12)</f>
        <v>17.299900000000001</v>
      </c>
      <c r="D966" s="60">
        <f>17.3104 * CHOOSE(CONTROL!$C$21, $C$12, 100%, $E$12)</f>
        <v>17.310400000000001</v>
      </c>
      <c r="E966" s="61">
        <f>20.3395 * CHOOSE(CONTROL!$C$21, $C$12, 100%, $E$12)</f>
        <v>20.339500000000001</v>
      </c>
      <c r="F966" s="61">
        <f>20.3395 * CHOOSE(CONTROL!$C$21, $C$12, 100%, $E$12)</f>
        <v>20.339500000000001</v>
      </c>
      <c r="G966" s="61">
        <f>20.3397 * CHOOSE(CONTROL!$C$21, $C$12, 100%, $E$12)</f>
        <v>20.339700000000001</v>
      </c>
      <c r="H966" s="61">
        <f>32.9293* CHOOSE(CONTROL!$C$21, $C$12, 100%, $E$12)</f>
        <v>32.929299999999998</v>
      </c>
      <c r="I966" s="61">
        <f>32.9295 * CHOOSE(CONTROL!$C$21, $C$12, 100%, $E$12)</f>
        <v>32.929499999999997</v>
      </c>
      <c r="J966" s="61">
        <f>20.3395 * CHOOSE(CONTROL!$C$21, $C$12, 100%, $E$12)</f>
        <v>20.339500000000001</v>
      </c>
      <c r="K966" s="61">
        <f>20.3397 * CHOOSE(CONTROL!$C$21, $C$12, 100%, $E$12)</f>
        <v>20.339700000000001</v>
      </c>
    </row>
    <row r="967" spans="1:11" ht="15">
      <c r="A967" s="13">
        <v>71315</v>
      </c>
      <c r="B967" s="60">
        <f>17.3088 * CHOOSE(CONTROL!$C$21, $C$12, 100%, $E$12)</f>
        <v>17.308800000000002</v>
      </c>
      <c r="C967" s="60">
        <f>17.3088 * CHOOSE(CONTROL!$C$21, $C$12, 100%, $E$12)</f>
        <v>17.308800000000002</v>
      </c>
      <c r="D967" s="60">
        <f>17.3194 * CHOOSE(CONTROL!$C$21, $C$12, 100%, $E$12)</f>
        <v>17.319400000000002</v>
      </c>
      <c r="E967" s="61">
        <f>20.5243 * CHOOSE(CONTROL!$C$21, $C$12, 100%, $E$12)</f>
        <v>20.5243</v>
      </c>
      <c r="F967" s="61">
        <f>20.5243 * CHOOSE(CONTROL!$C$21, $C$12, 100%, $E$12)</f>
        <v>20.5243</v>
      </c>
      <c r="G967" s="61">
        <f>20.5244 * CHOOSE(CONTROL!$C$21, $C$12, 100%, $E$12)</f>
        <v>20.5244</v>
      </c>
      <c r="H967" s="61">
        <f>32.9979* CHOOSE(CONTROL!$C$21, $C$12, 100%, $E$12)</f>
        <v>32.997900000000001</v>
      </c>
      <c r="I967" s="61">
        <f>32.9981 * CHOOSE(CONTROL!$C$21, $C$12, 100%, $E$12)</f>
        <v>32.998100000000001</v>
      </c>
      <c r="J967" s="61">
        <f>20.5243 * CHOOSE(CONTROL!$C$21, $C$12, 100%, $E$12)</f>
        <v>20.5243</v>
      </c>
      <c r="K967" s="61">
        <f>20.5244 * CHOOSE(CONTROL!$C$21, $C$12, 100%, $E$12)</f>
        <v>20.5244</v>
      </c>
    </row>
    <row r="968" spans="1:11" ht="15">
      <c r="A968" s="13">
        <v>71345</v>
      </c>
      <c r="B968" s="60">
        <f>17.3088 * CHOOSE(CONTROL!$C$21, $C$12, 100%, $E$12)</f>
        <v>17.308800000000002</v>
      </c>
      <c r="C968" s="60">
        <f>17.3088 * CHOOSE(CONTROL!$C$21, $C$12, 100%, $E$12)</f>
        <v>17.308800000000002</v>
      </c>
      <c r="D968" s="60">
        <f>17.33 * CHOOSE(CONTROL!$C$21, $C$12, 100%, $E$12)</f>
        <v>17.329999999999998</v>
      </c>
      <c r="E968" s="61">
        <f>20.5951 * CHOOSE(CONTROL!$C$21, $C$12, 100%, $E$12)</f>
        <v>20.595099999999999</v>
      </c>
      <c r="F968" s="61">
        <f>20.5951 * CHOOSE(CONTROL!$C$21, $C$12, 100%, $E$12)</f>
        <v>20.595099999999999</v>
      </c>
      <c r="G968" s="61">
        <f>20.5965 * CHOOSE(CONTROL!$C$21, $C$12, 100%, $E$12)</f>
        <v>20.596499999999999</v>
      </c>
      <c r="H968" s="61">
        <f>33.0666* CHOOSE(CONTROL!$C$21, $C$12, 100%, $E$12)</f>
        <v>33.066600000000001</v>
      </c>
      <c r="I968" s="61">
        <f>33.068 * CHOOSE(CONTROL!$C$21, $C$12, 100%, $E$12)</f>
        <v>33.067999999999998</v>
      </c>
      <c r="J968" s="61">
        <f>20.5951 * CHOOSE(CONTROL!$C$21, $C$12, 100%, $E$12)</f>
        <v>20.595099999999999</v>
      </c>
      <c r="K968" s="61">
        <f>20.5965 * CHOOSE(CONTROL!$C$21, $C$12, 100%, $E$12)</f>
        <v>20.596499999999999</v>
      </c>
    </row>
    <row r="969" spans="1:11" ht="15">
      <c r="A969" s="13">
        <v>71376</v>
      </c>
      <c r="B969" s="60">
        <f>17.3149 * CHOOSE(CONTROL!$C$21, $C$12, 100%, $E$12)</f>
        <v>17.314900000000002</v>
      </c>
      <c r="C969" s="60">
        <f>17.3149 * CHOOSE(CONTROL!$C$21, $C$12, 100%, $E$12)</f>
        <v>17.314900000000002</v>
      </c>
      <c r="D969" s="60">
        <f>17.336 * CHOOSE(CONTROL!$C$21, $C$12, 100%, $E$12)</f>
        <v>17.335999999999999</v>
      </c>
      <c r="E969" s="61">
        <f>20.5285 * CHOOSE(CONTROL!$C$21, $C$12, 100%, $E$12)</f>
        <v>20.528500000000001</v>
      </c>
      <c r="F969" s="61">
        <f>20.5285 * CHOOSE(CONTROL!$C$21, $C$12, 100%, $E$12)</f>
        <v>20.528500000000001</v>
      </c>
      <c r="G969" s="61">
        <f>20.5299 * CHOOSE(CONTROL!$C$21, $C$12, 100%, $E$12)</f>
        <v>20.529900000000001</v>
      </c>
      <c r="H969" s="61">
        <f>33.1355* CHOOSE(CONTROL!$C$21, $C$12, 100%, $E$12)</f>
        <v>33.1355</v>
      </c>
      <c r="I969" s="61">
        <f>33.1369 * CHOOSE(CONTROL!$C$21, $C$12, 100%, $E$12)</f>
        <v>33.136899999999997</v>
      </c>
      <c r="J969" s="61">
        <f>20.5285 * CHOOSE(CONTROL!$C$21, $C$12, 100%, $E$12)</f>
        <v>20.528500000000001</v>
      </c>
      <c r="K969" s="61">
        <f>20.5299 * CHOOSE(CONTROL!$C$21, $C$12, 100%, $E$12)</f>
        <v>20.529900000000001</v>
      </c>
    </row>
    <row r="970" spans="1:11" ht="15">
      <c r="A970" s="13">
        <v>71406</v>
      </c>
      <c r="B970" s="60">
        <f>17.5846 * CHOOSE(CONTROL!$C$21, $C$12, 100%, $E$12)</f>
        <v>17.584599999999998</v>
      </c>
      <c r="C970" s="60">
        <f>17.5846 * CHOOSE(CONTROL!$C$21, $C$12, 100%, $E$12)</f>
        <v>17.584599999999998</v>
      </c>
      <c r="D970" s="60">
        <f>17.6057 * CHOOSE(CONTROL!$C$21, $C$12, 100%, $E$12)</f>
        <v>17.605699999999999</v>
      </c>
      <c r="E970" s="61">
        <f>20.9173 * CHOOSE(CONTROL!$C$21, $C$12, 100%, $E$12)</f>
        <v>20.917300000000001</v>
      </c>
      <c r="F970" s="61">
        <f>20.9173 * CHOOSE(CONTROL!$C$21, $C$12, 100%, $E$12)</f>
        <v>20.917300000000001</v>
      </c>
      <c r="G970" s="61">
        <f>20.9187 * CHOOSE(CONTROL!$C$21, $C$12, 100%, $E$12)</f>
        <v>20.918700000000001</v>
      </c>
      <c r="H970" s="61">
        <f>33.2045* CHOOSE(CONTROL!$C$21, $C$12, 100%, $E$12)</f>
        <v>33.204500000000003</v>
      </c>
      <c r="I970" s="61">
        <f>33.2059 * CHOOSE(CONTROL!$C$21, $C$12, 100%, $E$12)</f>
        <v>33.2059</v>
      </c>
      <c r="J970" s="61">
        <f>20.9173 * CHOOSE(CONTROL!$C$21, $C$12, 100%, $E$12)</f>
        <v>20.917300000000001</v>
      </c>
      <c r="K970" s="61">
        <f>20.9187 * CHOOSE(CONTROL!$C$21, $C$12, 100%, $E$12)</f>
        <v>20.918700000000001</v>
      </c>
    </row>
    <row r="971" spans="1:11" ht="15">
      <c r="A971" s="13">
        <v>71437</v>
      </c>
      <c r="B971" s="60">
        <f>17.5913 * CHOOSE(CONTROL!$C$21, $C$12, 100%, $E$12)</f>
        <v>17.5913</v>
      </c>
      <c r="C971" s="60">
        <f>17.5913 * CHOOSE(CONTROL!$C$21, $C$12, 100%, $E$12)</f>
        <v>17.5913</v>
      </c>
      <c r="D971" s="60">
        <f>17.6124 * CHOOSE(CONTROL!$C$21, $C$12, 100%, $E$12)</f>
        <v>17.612400000000001</v>
      </c>
      <c r="E971" s="61">
        <f>20.7093 * CHOOSE(CONTROL!$C$21, $C$12, 100%, $E$12)</f>
        <v>20.709299999999999</v>
      </c>
      <c r="F971" s="61">
        <f>20.7093 * CHOOSE(CONTROL!$C$21, $C$12, 100%, $E$12)</f>
        <v>20.709299999999999</v>
      </c>
      <c r="G971" s="61">
        <f>20.7107 * CHOOSE(CONTROL!$C$21, $C$12, 100%, $E$12)</f>
        <v>20.710699999999999</v>
      </c>
      <c r="H971" s="61">
        <f>33.2737* CHOOSE(CONTROL!$C$21, $C$12, 100%, $E$12)</f>
        <v>33.273699999999998</v>
      </c>
      <c r="I971" s="61">
        <f>33.2751 * CHOOSE(CONTROL!$C$21, $C$12, 100%, $E$12)</f>
        <v>33.275100000000002</v>
      </c>
      <c r="J971" s="61">
        <f>20.7093 * CHOOSE(CONTROL!$C$21, $C$12, 100%, $E$12)</f>
        <v>20.709299999999999</v>
      </c>
      <c r="K971" s="61">
        <f>20.7107 * CHOOSE(CONTROL!$C$21, $C$12, 100%, $E$12)</f>
        <v>20.710699999999999</v>
      </c>
    </row>
    <row r="972" spans="1:11" ht="15">
      <c r="A972" s="13">
        <v>71468</v>
      </c>
      <c r="B972" s="60">
        <f>17.5882 * CHOOSE(CONTROL!$C$21, $C$12, 100%, $E$12)</f>
        <v>17.588200000000001</v>
      </c>
      <c r="C972" s="60">
        <f>17.5882 * CHOOSE(CONTROL!$C$21, $C$12, 100%, $E$12)</f>
        <v>17.588200000000001</v>
      </c>
      <c r="D972" s="60">
        <f>17.6094 * CHOOSE(CONTROL!$C$21, $C$12, 100%, $E$12)</f>
        <v>17.609400000000001</v>
      </c>
      <c r="E972" s="61">
        <f>20.6836 * CHOOSE(CONTROL!$C$21, $C$12, 100%, $E$12)</f>
        <v>20.683599999999998</v>
      </c>
      <c r="F972" s="61">
        <f>20.6836 * CHOOSE(CONTROL!$C$21, $C$12, 100%, $E$12)</f>
        <v>20.683599999999998</v>
      </c>
      <c r="G972" s="61">
        <f>20.685 * CHOOSE(CONTROL!$C$21, $C$12, 100%, $E$12)</f>
        <v>20.684999999999999</v>
      </c>
      <c r="H972" s="61">
        <f>33.343* CHOOSE(CONTROL!$C$21, $C$12, 100%, $E$12)</f>
        <v>33.343000000000004</v>
      </c>
      <c r="I972" s="61">
        <f>33.3444 * CHOOSE(CONTROL!$C$21, $C$12, 100%, $E$12)</f>
        <v>33.3444</v>
      </c>
      <c r="J972" s="61">
        <f>20.6836 * CHOOSE(CONTROL!$C$21, $C$12, 100%, $E$12)</f>
        <v>20.683599999999998</v>
      </c>
      <c r="K972" s="61">
        <f>20.685 * CHOOSE(CONTROL!$C$21, $C$12, 100%, $E$12)</f>
        <v>20.684999999999999</v>
      </c>
    </row>
    <row r="973" spans="1:11" ht="15">
      <c r="A973" s="13">
        <v>71498</v>
      </c>
      <c r="B973" s="60">
        <f>17.6277 * CHOOSE(CONTROL!$C$21, $C$12, 100%, $E$12)</f>
        <v>17.627700000000001</v>
      </c>
      <c r="C973" s="60">
        <f>17.6277 * CHOOSE(CONTROL!$C$21, $C$12, 100%, $E$12)</f>
        <v>17.627700000000001</v>
      </c>
      <c r="D973" s="60">
        <f>17.6383 * CHOOSE(CONTROL!$C$21, $C$12, 100%, $E$12)</f>
        <v>17.638300000000001</v>
      </c>
      <c r="E973" s="61">
        <f>20.7647 * CHOOSE(CONTROL!$C$21, $C$12, 100%, $E$12)</f>
        <v>20.764700000000001</v>
      </c>
      <c r="F973" s="61">
        <f>20.7647 * CHOOSE(CONTROL!$C$21, $C$12, 100%, $E$12)</f>
        <v>20.764700000000001</v>
      </c>
      <c r="G973" s="61">
        <f>20.7649 * CHOOSE(CONTROL!$C$21, $C$12, 100%, $E$12)</f>
        <v>20.764900000000001</v>
      </c>
      <c r="H973" s="61">
        <f>33.4125* CHOOSE(CONTROL!$C$21, $C$12, 100%, $E$12)</f>
        <v>33.412500000000001</v>
      </c>
      <c r="I973" s="61">
        <f>33.4127 * CHOOSE(CONTROL!$C$21, $C$12, 100%, $E$12)</f>
        <v>33.412700000000001</v>
      </c>
      <c r="J973" s="61">
        <f>20.7647 * CHOOSE(CONTROL!$C$21, $C$12, 100%, $E$12)</f>
        <v>20.764700000000001</v>
      </c>
      <c r="K973" s="61">
        <f>20.7649 * CHOOSE(CONTROL!$C$21, $C$12, 100%, $E$12)</f>
        <v>20.764900000000001</v>
      </c>
    </row>
    <row r="974" spans="1:11" ht="15">
      <c r="A974" s="13">
        <v>71529</v>
      </c>
      <c r="B974" s="60">
        <f>17.6307 * CHOOSE(CONTROL!$C$21, $C$12, 100%, $E$12)</f>
        <v>17.630700000000001</v>
      </c>
      <c r="C974" s="60">
        <f>17.6307 * CHOOSE(CONTROL!$C$21, $C$12, 100%, $E$12)</f>
        <v>17.630700000000001</v>
      </c>
      <c r="D974" s="60">
        <f>17.6413 * CHOOSE(CONTROL!$C$21, $C$12, 100%, $E$12)</f>
        <v>17.641300000000001</v>
      </c>
      <c r="E974" s="61">
        <f>20.8141 * CHOOSE(CONTROL!$C$21, $C$12, 100%, $E$12)</f>
        <v>20.8141</v>
      </c>
      <c r="F974" s="61">
        <f>20.8141 * CHOOSE(CONTROL!$C$21, $C$12, 100%, $E$12)</f>
        <v>20.8141</v>
      </c>
      <c r="G974" s="61">
        <f>20.8142 * CHOOSE(CONTROL!$C$21, $C$12, 100%, $E$12)</f>
        <v>20.8142</v>
      </c>
      <c r="H974" s="61">
        <f>33.4821* CHOOSE(CONTROL!$C$21, $C$12, 100%, $E$12)</f>
        <v>33.482100000000003</v>
      </c>
      <c r="I974" s="61">
        <f>33.4823 * CHOOSE(CONTROL!$C$21, $C$12, 100%, $E$12)</f>
        <v>33.482300000000002</v>
      </c>
      <c r="J974" s="61">
        <f>20.8141 * CHOOSE(CONTROL!$C$21, $C$12, 100%, $E$12)</f>
        <v>20.8141</v>
      </c>
      <c r="K974" s="61">
        <f>20.8142 * CHOOSE(CONTROL!$C$21, $C$12, 100%, $E$12)</f>
        <v>20.8142</v>
      </c>
    </row>
    <row r="975" spans="1:11" ht="15">
      <c r="A975" s="13">
        <v>71559</v>
      </c>
      <c r="B975" s="60">
        <f>17.6307 * CHOOSE(CONTROL!$C$21, $C$12, 100%, $E$12)</f>
        <v>17.630700000000001</v>
      </c>
      <c r="C975" s="60">
        <f>17.6307 * CHOOSE(CONTROL!$C$21, $C$12, 100%, $E$12)</f>
        <v>17.630700000000001</v>
      </c>
      <c r="D975" s="60">
        <f>17.6413 * CHOOSE(CONTROL!$C$21, $C$12, 100%, $E$12)</f>
        <v>17.641300000000001</v>
      </c>
      <c r="E975" s="61">
        <f>20.6959 * CHOOSE(CONTROL!$C$21, $C$12, 100%, $E$12)</f>
        <v>20.695900000000002</v>
      </c>
      <c r="F975" s="61">
        <f>20.6959 * CHOOSE(CONTROL!$C$21, $C$12, 100%, $E$12)</f>
        <v>20.695900000000002</v>
      </c>
      <c r="G975" s="61">
        <f>20.6961 * CHOOSE(CONTROL!$C$21, $C$12, 100%, $E$12)</f>
        <v>20.696100000000001</v>
      </c>
      <c r="H975" s="61">
        <f>33.5519* CHOOSE(CONTROL!$C$21, $C$12, 100%, $E$12)</f>
        <v>33.551900000000003</v>
      </c>
      <c r="I975" s="61">
        <f>33.552 * CHOOSE(CONTROL!$C$21, $C$12, 100%, $E$12)</f>
        <v>33.552</v>
      </c>
      <c r="J975" s="61">
        <f>20.6959 * CHOOSE(CONTROL!$C$21, $C$12, 100%, $E$12)</f>
        <v>20.695900000000002</v>
      </c>
      <c r="K975" s="61">
        <f>20.6961 * CHOOSE(CONTROL!$C$21, $C$12, 100%, $E$12)</f>
        <v>20.696100000000001</v>
      </c>
    </row>
    <row r="976" spans="1:11" ht="15">
      <c r="A976" s="13">
        <v>71590</v>
      </c>
      <c r="B976" s="60">
        <f>17.5513 * CHOOSE(CONTROL!$C$21, $C$12, 100%, $E$12)</f>
        <v>17.551300000000001</v>
      </c>
      <c r="C976" s="60">
        <f>17.5513 * CHOOSE(CONTROL!$C$21, $C$12, 100%, $E$12)</f>
        <v>17.551300000000001</v>
      </c>
      <c r="D976" s="60">
        <f>17.5618 * CHOOSE(CONTROL!$C$21, $C$12, 100%, $E$12)</f>
        <v>17.561800000000002</v>
      </c>
      <c r="E976" s="61">
        <f>20.6834 * CHOOSE(CONTROL!$C$21, $C$12, 100%, $E$12)</f>
        <v>20.683399999999999</v>
      </c>
      <c r="F976" s="61">
        <f>20.6834 * CHOOSE(CONTROL!$C$21, $C$12, 100%, $E$12)</f>
        <v>20.683399999999999</v>
      </c>
      <c r="G976" s="61">
        <f>20.6836 * CHOOSE(CONTROL!$C$21, $C$12, 100%, $E$12)</f>
        <v>20.683599999999998</v>
      </c>
      <c r="H976" s="61">
        <f>33.2384* CHOOSE(CONTROL!$C$21, $C$12, 100%, $E$12)</f>
        <v>33.238399999999999</v>
      </c>
      <c r="I976" s="61">
        <f>33.2386 * CHOOSE(CONTROL!$C$21, $C$12, 100%, $E$12)</f>
        <v>33.238599999999998</v>
      </c>
      <c r="J976" s="61">
        <f>20.6834 * CHOOSE(CONTROL!$C$21, $C$12, 100%, $E$12)</f>
        <v>20.683399999999999</v>
      </c>
      <c r="K976" s="61">
        <f>20.6836 * CHOOSE(CONTROL!$C$21, $C$12, 100%, $E$12)</f>
        <v>20.683599999999998</v>
      </c>
    </row>
    <row r="977" spans="1:11" ht="15">
      <c r="A977" s="13">
        <v>71621</v>
      </c>
      <c r="B977" s="60">
        <f>17.5482 * CHOOSE(CONTROL!$C$21, $C$12, 100%, $E$12)</f>
        <v>17.548200000000001</v>
      </c>
      <c r="C977" s="60">
        <f>17.5482 * CHOOSE(CONTROL!$C$21, $C$12, 100%, $E$12)</f>
        <v>17.548200000000001</v>
      </c>
      <c r="D977" s="60">
        <f>17.5588 * CHOOSE(CONTROL!$C$21, $C$12, 100%, $E$12)</f>
        <v>17.558800000000002</v>
      </c>
      <c r="E977" s="61">
        <f>20.4549 * CHOOSE(CONTROL!$C$21, $C$12, 100%, $E$12)</f>
        <v>20.454899999999999</v>
      </c>
      <c r="F977" s="61">
        <f>20.4549 * CHOOSE(CONTROL!$C$21, $C$12, 100%, $E$12)</f>
        <v>20.454899999999999</v>
      </c>
      <c r="G977" s="61">
        <f>20.455 * CHOOSE(CONTROL!$C$21, $C$12, 100%, $E$12)</f>
        <v>20.454999999999998</v>
      </c>
      <c r="H977" s="61">
        <f>33.3076* CHOOSE(CONTROL!$C$21, $C$12, 100%, $E$12)</f>
        <v>33.307600000000001</v>
      </c>
      <c r="I977" s="61">
        <f>33.3078 * CHOOSE(CONTROL!$C$21, $C$12, 100%, $E$12)</f>
        <v>33.3078</v>
      </c>
      <c r="J977" s="61">
        <f>20.4549 * CHOOSE(CONTROL!$C$21, $C$12, 100%, $E$12)</f>
        <v>20.454899999999999</v>
      </c>
      <c r="K977" s="61">
        <f>20.455 * CHOOSE(CONTROL!$C$21, $C$12, 100%, $E$12)</f>
        <v>20.454999999999998</v>
      </c>
    </row>
    <row r="978" spans="1:11" ht="15">
      <c r="A978" s="13">
        <v>71650</v>
      </c>
      <c r="B978" s="60">
        <f>17.5452 * CHOOSE(CONTROL!$C$21, $C$12, 100%, $E$12)</f>
        <v>17.545200000000001</v>
      </c>
      <c r="C978" s="60">
        <f>17.5452 * CHOOSE(CONTROL!$C$21, $C$12, 100%, $E$12)</f>
        <v>17.545200000000001</v>
      </c>
      <c r="D978" s="60">
        <f>17.5558 * CHOOSE(CONTROL!$C$21, $C$12, 100%, $E$12)</f>
        <v>17.555800000000001</v>
      </c>
      <c r="E978" s="61">
        <f>20.6312 * CHOOSE(CONTROL!$C$21, $C$12, 100%, $E$12)</f>
        <v>20.6312</v>
      </c>
      <c r="F978" s="61">
        <f>20.6312 * CHOOSE(CONTROL!$C$21, $C$12, 100%, $E$12)</f>
        <v>20.6312</v>
      </c>
      <c r="G978" s="61">
        <f>20.6314 * CHOOSE(CONTROL!$C$21, $C$12, 100%, $E$12)</f>
        <v>20.631399999999999</v>
      </c>
      <c r="H978" s="61">
        <f>33.377* CHOOSE(CONTROL!$C$21, $C$12, 100%, $E$12)</f>
        <v>33.377000000000002</v>
      </c>
      <c r="I978" s="61">
        <f>33.3772 * CHOOSE(CONTROL!$C$21, $C$12, 100%, $E$12)</f>
        <v>33.377200000000002</v>
      </c>
      <c r="J978" s="61">
        <f>20.6312 * CHOOSE(CONTROL!$C$21, $C$12, 100%, $E$12)</f>
        <v>20.6312</v>
      </c>
      <c r="K978" s="61">
        <f>20.6314 * CHOOSE(CONTROL!$C$21, $C$12, 100%, $E$12)</f>
        <v>20.631399999999999</v>
      </c>
    </row>
    <row r="979" spans="1:11" ht="15">
      <c r="A979" s="13">
        <v>71681</v>
      </c>
      <c r="B979" s="60">
        <f>17.5544 * CHOOSE(CONTROL!$C$21, $C$12, 100%, $E$12)</f>
        <v>17.554400000000001</v>
      </c>
      <c r="C979" s="60">
        <f>17.5544 * CHOOSE(CONTROL!$C$21, $C$12, 100%, $E$12)</f>
        <v>17.554400000000001</v>
      </c>
      <c r="D979" s="60">
        <f>17.5649 * CHOOSE(CONTROL!$C$21, $C$12, 100%, $E$12)</f>
        <v>17.564900000000002</v>
      </c>
      <c r="E979" s="61">
        <f>20.8187 * CHOOSE(CONTROL!$C$21, $C$12, 100%, $E$12)</f>
        <v>20.8187</v>
      </c>
      <c r="F979" s="61">
        <f>20.8187 * CHOOSE(CONTROL!$C$21, $C$12, 100%, $E$12)</f>
        <v>20.8187</v>
      </c>
      <c r="G979" s="61">
        <f>20.8189 * CHOOSE(CONTROL!$C$21, $C$12, 100%, $E$12)</f>
        <v>20.818899999999999</v>
      </c>
      <c r="H979" s="61">
        <f>33.4466* CHOOSE(CONTROL!$C$21, $C$12, 100%, $E$12)</f>
        <v>33.446599999999997</v>
      </c>
      <c r="I979" s="61">
        <f>33.4467 * CHOOSE(CONTROL!$C$21, $C$12, 100%, $E$12)</f>
        <v>33.4467</v>
      </c>
      <c r="J979" s="61">
        <f>20.8187 * CHOOSE(CONTROL!$C$21, $C$12, 100%, $E$12)</f>
        <v>20.8187</v>
      </c>
      <c r="K979" s="61">
        <f>20.8189 * CHOOSE(CONTROL!$C$21, $C$12, 100%, $E$12)</f>
        <v>20.818899999999999</v>
      </c>
    </row>
    <row r="980" spans="1:11" ht="15">
      <c r="A980" s="13">
        <v>71711</v>
      </c>
      <c r="B980" s="60">
        <f>17.5544 * CHOOSE(CONTROL!$C$21, $C$12, 100%, $E$12)</f>
        <v>17.554400000000001</v>
      </c>
      <c r="C980" s="60">
        <f>17.5544 * CHOOSE(CONTROL!$C$21, $C$12, 100%, $E$12)</f>
        <v>17.554400000000001</v>
      </c>
      <c r="D980" s="60">
        <f>17.5755 * CHOOSE(CONTROL!$C$21, $C$12, 100%, $E$12)</f>
        <v>17.575500000000002</v>
      </c>
      <c r="E980" s="61">
        <f>20.8906 * CHOOSE(CONTROL!$C$21, $C$12, 100%, $E$12)</f>
        <v>20.890599999999999</v>
      </c>
      <c r="F980" s="61">
        <f>20.8906 * CHOOSE(CONTROL!$C$21, $C$12, 100%, $E$12)</f>
        <v>20.890599999999999</v>
      </c>
      <c r="G980" s="61">
        <f>20.892 * CHOOSE(CONTROL!$C$21, $C$12, 100%, $E$12)</f>
        <v>20.891999999999999</v>
      </c>
      <c r="H980" s="61">
        <f>33.5162* CHOOSE(CONTROL!$C$21, $C$12, 100%, $E$12)</f>
        <v>33.516199999999998</v>
      </c>
      <c r="I980" s="61">
        <f>33.5176 * CHOOSE(CONTROL!$C$21, $C$12, 100%, $E$12)</f>
        <v>33.517600000000002</v>
      </c>
      <c r="J980" s="61">
        <f>20.8906 * CHOOSE(CONTROL!$C$21, $C$12, 100%, $E$12)</f>
        <v>20.890599999999999</v>
      </c>
      <c r="K980" s="61">
        <f>20.892 * CHOOSE(CONTROL!$C$21, $C$12, 100%, $E$12)</f>
        <v>20.891999999999999</v>
      </c>
    </row>
    <row r="981" spans="1:11" ht="15">
      <c r="A981" s="13">
        <v>71742</v>
      </c>
      <c r="B981" s="60">
        <f>17.5604 * CHOOSE(CONTROL!$C$21, $C$12, 100%, $E$12)</f>
        <v>17.560400000000001</v>
      </c>
      <c r="C981" s="60">
        <f>17.5604 * CHOOSE(CONTROL!$C$21, $C$12, 100%, $E$12)</f>
        <v>17.560400000000001</v>
      </c>
      <c r="D981" s="60">
        <f>17.5816 * CHOOSE(CONTROL!$C$21, $C$12, 100%, $E$12)</f>
        <v>17.581600000000002</v>
      </c>
      <c r="E981" s="61">
        <f>20.823 * CHOOSE(CONTROL!$C$21, $C$12, 100%, $E$12)</f>
        <v>20.823</v>
      </c>
      <c r="F981" s="61">
        <f>20.823 * CHOOSE(CONTROL!$C$21, $C$12, 100%, $E$12)</f>
        <v>20.823</v>
      </c>
      <c r="G981" s="61">
        <f>20.8243 * CHOOSE(CONTROL!$C$21, $C$12, 100%, $E$12)</f>
        <v>20.824300000000001</v>
      </c>
      <c r="H981" s="61">
        <f>33.5861* CHOOSE(CONTROL!$C$21, $C$12, 100%, $E$12)</f>
        <v>33.586100000000002</v>
      </c>
      <c r="I981" s="61">
        <f>33.5874 * CHOOSE(CONTROL!$C$21, $C$12, 100%, $E$12)</f>
        <v>33.587400000000002</v>
      </c>
      <c r="J981" s="61">
        <f>20.823 * CHOOSE(CONTROL!$C$21, $C$12, 100%, $E$12)</f>
        <v>20.823</v>
      </c>
      <c r="K981" s="61">
        <f>20.8243 * CHOOSE(CONTROL!$C$21, $C$12, 100%, $E$12)</f>
        <v>20.824300000000001</v>
      </c>
    </row>
    <row r="982" spans="1:11" ht="15">
      <c r="A982" s="13">
        <v>71772</v>
      </c>
      <c r="B982" s="60">
        <f>17.8338 * CHOOSE(CONTROL!$C$21, $C$12, 100%, $E$12)</f>
        <v>17.8338</v>
      </c>
      <c r="C982" s="60">
        <f>17.8338 * CHOOSE(CONTROL!$C$21, $C$12, 100%, $E$12)</f>
        <v>17.8338</v>
      </c>
      <c r="D982" s="60">
        <f>17.8549 * CHOOSE(CONTROL!$C$21, $C$12, 100%, $E$12)</f>
        <v>17.854900000000001</v>
      </c>
      <c r="E982" s="61">
        <f>21.2172 * CHOOSE(CONTROL!$C$21, $C$12, 100%, $E$12)</f>
        <v>21.217199999999998</v>
      </c>
      <c r="F982" s="61">
        <f>21.2172 * CHOOSE(CONTROL!$C$21, $C$12, 100%, $E$12)</f>
        <v>21.217199999999998</v>
      </c>
      <c r="G982" s="61">
        <f>21.2186 * CHOOSE(CONTROL!$C$21, $C$12, 100%, $E$12)</f>
        <v>21.218599999999999</v>
      </c>
      <c r="H982" s="61">
        <f>33.656* CHOOSE(CONTROL!$C$21, $C$12, 100%, $E$12)</f>
        <v>33.655999999999999</v>
      </c>
      <c r="I982" s="61">
        <f>33.6574 * CHOOSE(CONTROL!$C$21, $C$12, 100%, $E$12)</f>
        <v>33.657400000000003</v>
      </c>
      <c r="J982" s="61">
        <f>21.2172 * CHOOSE(CONTROL!$C$21, $C$12, 100%, $E$12)</f>
        <v>21.217199999999998</v>
      </c>
      <c r="K982" s="61">
        <f>21.2186 * CHOOSE(CONTROL!$C$21, $C$12, 100%, $E$12)</f>
        <v>21.218599999999999</v>
      </c>
    </row>
    <row r="983" spans="1:11" ht="15">
      <c r="A983" s="13">
        <v>71803</v>
      </c>
      <c r="B983" s="60">
        <f>17.8405 * CHOOSE(CONTROL!$C$21, $C$12, 100%, $E$12)</f>
        <v>17.840499999999999</v>
      </c>
      <c r="C983" s="60">
        <f>17.8405 * CHOOSE(CONTROL!$C$21, $C$12, 100%, $E$12)</f>
        <v>17.840499999999999</v>
      </c>
      <c r="D983" s="60">
        <f>17.8616 * CHOOSE(CONTROL!$C$21, $C$12, 100%, $E$12)</f>
        <v>17.861599999999999</v>
      </c>
      <c r="E983" s="61">
        <f>21.0062 * CHOOSE(CONTROL!$C$21, $C$12, 100%, $E$12)</f>
        <v>21.0062</v>
      </c>
      <c r="F983" s="61">
        <f>21.0062 * CHOOSE(CONTROL!$C$21, $C$12, 100%, $E$12)</f>
        <v>21.0062</v>
      </c>
      <c r="G983" s="61">
        <f>21.0076 * CHOOSE(CONTROL!$C$21, $C$12, 100%, $E$12)</f>
        <v>21.0076</v>
      </c>
      <c r="H983" s="61">
        <f>33.7262* CHOOSE(CONTROL!$C$21, $C$12, 100%, $E$12)</f>
        <v>33.726199999999999</v>
      </c>
      <c r="I983" s="61">
        <f>33.7275 * CHOOSE(CONTROL!$C$21, $C$12, 100%, $E$12)</f>
        <v>33.727499999999999</v>
      </c>
      <c r="J983" s="61">
        <f>21.0062 * CHOOSE(CONTROL!$C$21, $C$12, 100%, $E$12)</f>
        <v>21.0062</v>
      </c>
      <c r="K983" s="61">
        <f>21.0076 * CHOOSE(CONTROL!$C$21, $C$12, 100%, $E$12)</f>
        <v>21.0076</v>
      </c>
    </row>
    <row r="984" spans="1:11" ht="15">
      <c r="A984" s="13">
        <v>71834</v>
      </c>
      <c r="B984" s="60">
        <f>17.8375 * CHOOSE(CONTROL!$C$21, $C$12, 100%, $E$12)</f>
        <v>17.837499999999999</v>
      </c>
      <c r="C984" s="60">
        <f>17.8375 * CHOOSE(CONTROL!$C$21, $C$12, 100%, $E$12)</f>
        <v>17.837499999999999</v>
      </c>
      <c r="D984" s="60">
        <f>17.8586 * CHOOSE(CONTROL!$C$21, $C$12, 100%, $E$12)</f>
        <v>17.858599999999999</v>
      </c>
      <c r="E984" s="61">
        <f>20.9801 * CHOOSE(CONTROL!$C$21, $C$12, 100%, $E$12)</f>
        <v>20.9801</v>
      </c>
      <c r="F984" s="61">
        <f>20.9801 * CHOOSE(CONTROL!$C$21, $C$12, 100%, $E$12)</f>
        <v>20.9801</v>
      </c>
      <c r="G984" s="61">
        <f>20.9815 * CHOOSE(CONTROL!$C$21, $C$12, 100%, $E$12)</f>
        <v>20.9815</v>
      </c>
      <c r="H984" s="61">
        <f>33.7964* CHOOSE(CONTROL!$C$21, $C$12, 100%, $E$12)</f>
        <v>33.796399999999998</v>
      </c>
      <c r="I984" s="61">
        <f>33.7978 * CHOOSE(CONTROL!$C$21, $C$12, 100%, $E$12)</f>
        <v>33.797800000000002</v>
      </c>
      <c r="J984" s="61">
        <f>20.9801 * CHOOSE(CONTROL!$C$21, $C$12, 100%, $E$12)</f>
        <v>20.9801</v>
      </c>
      <c r="K984" s="61">
        <f>20.9815 * CHOOSE(CONTROL!$C$21, $C$12, 100%, $E$12)</f>
        <v>20.9815</v>
      </c>
    </row>
    <row r="985" spans="1:11" ht="15">
      <c r="A985" s="13">
        <v>71864</v>
      </c>
      <c r="B985" s="60">
        <f>17.8777 * CHOOSE(CONTROL!$C$21, $C$12, 100%, $E$12)</f>
        <v>17.877700000000001</v>
      </c>
      <c r="C985" s="60">
        <f>17.8777 * CHOOSE(CONTROL!$C$21, $C$12, 100%, $E$12)</f>
        <v>17.877700000000001</v>
      </c>
      <c r="D985" s="60">
        <f>17.8883 * CHOOSE(CONTROL!$C$21, $C$12, 100%, $E$12)</f>
        <v>17.888300000000001</v>
      </c>
      <c r="E985" s="61">
        <f>21.0625 * CHOOSE(CONTROL!$C$21, $C$12, 100%, $E$12)</f>
        <v>21.0625</v>
      </c>
      <c r="F985" s="61">
        <f>21.0625 * CHOOSE(CONTROL!$C$21, $C$12, 100%, $E$12)</f>
        <v>21.0625</v>
      </c>
      <c r="G985" s="61">
        <f>21.0627 * CHOOSE(CONTROL!$C$21, $C$12, 100%, $E$12)</f>
        <v>21.0627</v>
      </c>
      <c r="H985" s="61">
        <f>33.8668* CHOOSE(CONTROL!$C$21, $C$12, 100%, $E$12)</f>
        <v>33.866799999999998</v>
      </c>
      <c r="I985" s="61">
        <f>33.867 * CHOOSE(CONTROL!$C$21, $C$12, 100%, $E$12)</f>
        <v>33.866999999999997</v>
      </c>
      <c r="J985" s="61">
        <f>21.0625 * CHOOSE(CONTROL!$C$21, $C$12, 100%, $E$12)</f>
        <v>21.0625</v>
      </c>
      <c r="K985" s="61">
        <f>21.0627 * CHOOSE(CONTROL!$C$21, $C$12, 100%, $E$12)</f>
        <v>21.0627</v>
      </c>
    </row>
    <row r="986" spans="1:11" ht="15">
      <c r="A986" s="13">
        <v>71895</v>
      </c>
      <c r="B986" s="60">
        <f>17.8808 * CHOOSE(CONTROL!$C$21, $C$12, 100%, $E$12)</f>
        <v>17.880800000000001</v>
      </c>
      <c r="C986" s="60">
        <f>17.8808 * CHOOSE(CONTROL!$C$21, $C$12, 100%, $E$12)</f>
        <v>17.880800000000001</v>
      </c>
      <c r="D986" s="60">
        <f>17.8913 * CHOOSE(CONTROL!$C$21, $C$12, 100%, $E$12)</f>
        <v>17.891300000000001</v>
      </c>
      <c r="E986" s="61">
        <f>21.1126 * CHOOSE(CONTROL!$C$21, $C$12, 100%, $E$12)</f>
        <v>21.1126</v>
      </c>
      <c r="F986" s="61">
        <f>21.1126 * CHOOSE(CONTROL!$C$21, $C$12, 100%, $E$12)</f>
        <v>21.1126</v>
      </c>
      <c r="G986" s="61">
        <f>21.1128 * CHOOSE(CONTROL!$C$21, $C$12, 100%, $E$12)</f>
        <v>21.1128</v>
      </c>
      <c r="H986" s="61">
        <f>33.9374* CHOOSE(CONTROL!$C$21, $C$12, 100%, $E$12)</f>
        <v>33.937399999999997</v>
      </c>
      <c r="I986" s="61">
        <f>33.9376 * CHOOSE(CONTROL!$C$21, $C$12, 100%, $E$12)</f>
        <v>33.937600000000003</v>
      </c>
      <c r="J986" s="61">
        <f>21.1126 * CHOOSE(CONTROL!$C$21, $C$12, 100%, $E$12)</f>
        <v>21.1126</v>
      </c>
      <c r="K986" s="61">
        <f>21.1128 * CHOOSE(CONTROL!$C$21, $C$12, 100%, $E$12)</f>
        <v>21.1128</v>
      </c>
    </row>
    <row r="987" spans="1:11" ht="15">
      <c r="A987" s="13">
        <v>71925</v>
      </c>
      <c r="B987" s="60">
        <f>17.8808 * CHOOSE(CONTROL!$C$21, $C$12, 100%, $E$12)</f>
        <v>17.880800000000001</v>
      </c>
      <c r="C987" s="60">
        <f>17.8808 * CHOOSE(CONTROL!$C$21, $C$12, 100%, $E$12)</f>
        <v>17.880800000000001</v>
      </c>
      <c r="D987" s="60">
        <f>17.8913 * CHOOSE(CONTROL!$C$21, $C$12, 100%, $E$12)</f>
        <v>17.891300000000001</v>
      </c>
      <c r="E987" s="61">
        <f>20.9928 * CHOOSE(CONTROL!$C$21, $C$12, 100%, $E$12)</f>
        <v>20.992799999999999</v>
      </c>
      <c r="F987" s="61">
        <f>20.9928 * CHOOSE(CONTROL!$C$21, $C$12, 100%, $E$12)</f>
        <v>20.992799999999999</v>
      </c>
      <c r="G987" s="61">
        <f>20.9929 * CHOOSE(CONTROL!$C$21, $C$12, 100%, $E$12)</f>
        <v>20.992899999999999</v>
      </c>
      <c r="H987" s="61">
        <f>34.0081* CHOOSE(CONTROL!$C$21, $C$12, 100%, $E$12)</f>
        <v>34.008099999999999</v>
      </c>
      <c r="I987" s="61">
        <f>34.0083 * CHOOSE(CONTROL!$C$21, $C$12, 100%, $E$12)</f>
        <v>34.008299999999998</v>
      </c>
      <c r="J987" s="61">
        <f>20.9928 * CHOOSE(CONTROL!$C$21, $C$12, 100%, $E$12)</f>
        <v>20.992799999999999</v>
      </c>
      <c r="K987" s="61">
        <f>20.9929 * CHOOSE(CONTROL!$C$21, $C$12, 100%, $E$12)</f>
        <v>20.992899999999999</v>
      </c>
    </row>
    <row r="988" spans="1:11" ht="15">
      <c r="A988" s="13">
        <v>71956</v>
      </c>
      <c r="B988" s="60">
        <f>17.7966 * CHOOSE(CONTROL!$C$21, $C$12, 100%, $E$12)</f>
        <v>17.796600000000002</v>
      </c>
      <c r="C988" s="60">
        <f>17.7966 * CHOOSE(CONTROL!$C$21, $C$12, 100%, $E$12)</f>
        <v>17.796600000000002</v>
      </c>
      <c r="D988" s="60">
        <f>17.8072 * CHOOSE(CONTROL!$C$21, $C$12, 100%, $E$12)</f>
        <v>17.807200000000002</v>
      </c>
      <c r="E988" s="61">
        <f>20.9758 * CHOOSE(CONTROL!$C$21, $C$12, 100%, $E$12)</f>
        <v>20.9758</v>
      </c>
      <c r="F988" s="61">
        <f>20.9758 * CHOOSE(CONTROL!$C$21, $C$12, 100%, $E$12)</f>
        <v>20.9758</v>
      </c>
      <c r="G988" s="61">
        <f>20.976 * CHOOSE(CONTROL!$C$21, $C$12, 100%, $E$12)</f>
        <v>20.975999999999999</v>
      </c>
      <c r="H988" s="61">
        <f>33.6843* CHOOSE(CONTROL!$C$21, $C$12, 100%, $E$12)</f>
        <v>33.6843</v>
      </c>
      <c r="I988" s="61">
        <f>33.6845 * CHOOSE(CONTROL!$C$21, $C$12, 100%, $E$12)</f>
        <v>33.6845</v>
      </c>
      <c r="J988" s="61">
        <f>20.9758 * CHOOSE(CONTROL!$C$21, $C$12, 100%, $E$12)</f>
        <v>20.9758</v>
      </c>
      <c r="K988" s="61">
        <f>20.976 * CHOOSE(CONTROL!$C$21, $C$12, 100%, $E$12)</f>
        <v>20.975999999999999</v>
      </c>
    </row>
    <row r="989" spans="1:11" ht="15">
      <c r="A989" s="13">
        <v>71987</v>
      </c>
      <c r="B989" s="60">
        <f>17.7936 * CHOOSE(CONTROL!$C$21, $C$12, 100%, $E$12)</f>
        <v>17.793600000000001</v>
      </c>
      <c r="C989" s="60">
        <f>17.7936 * CHOOSE(CONTROL!$C$21, $C$12, 100%, $E$12)</f>
        <v>17.793600000000001</v>
      </c>
      <c r="D989" s="60">
        <f>17.8041 * CHOOSE(CONTROL!$C$21, $C$12, 100%, $E$12)</f>
        <v>17.804099999999998</v>
      </c>
      <c r="E989" s="61">
        <f>20.7441 * CHOOSE(CONTROL!$C$21, $C$12, 100%, $E$12)</f>
        <v>20.7441</v>
      </c>
      <c r="F989" s="61">
        <f>20.7441 * CHOOSE(CONTROL!$C$21, $C$12, 100%, $E$12)</f>
        <v>20.7441</v>
      </c>
      <c r="G989" s="61">
        <f>20.7442 * CHOOSE(CONTROL!$C$21, $C$12, 100%, $E$12)</f>
        <v>20.744199999999999</v>
      </c>
      <c r="H989" s="61">
        <f>33.7545* CHOOSE(CONTROL!$C$21, $C$12, 100%, $E$12)</f>
        <v>33.7545</v>
      </c>
      <c r="I989" s="61">
        <f>33.7546 * CHOOSE(CONTROL!$C$21, $C$12, 100%, $E$12)</f>
        <v>33.754600000000003</v>
      </c>
      <c r="J989" s="61">
        <f>20.7441 * CHOOSE(CONTROL!$C$21, $C$12, 100%, $E$12)</f>
        <v>20.7441</v>
      </c>
      <c r="K989" s="61">
        <f>20.7442 * CHOOSE(CONTROL!$C$21, $C$12, 100%, $E$12)</f>
        <v>20.744199999999999</v>
      </c>
    </row>
    <row r="990" spans="1:11" ht="15">
      <c r="A990" s="13">
        <v>72015</v>
      </c>
      <c r="B990" s="60">
        <f>17.7905 * CHOOSE(CONTROL!$C$21, $C$12, 100%, $E$12)</f>
        <v>17.790500000000002</v>
      </c>
      <c r="C990" s="60">
        <f>17.7905 * CHOOSE(CONTROL!$C$21, $C$12, 100%, $E$12)</f>
        <v>17.790500000000002</v>
      </c>
      <c r="D990" s="60">
        <f>17.8011 * CHOOSE(CONTROL!$C$21, $C$12, 100%, $E$12)</f>
        <v>17.801100000000002</v>
      </c>
      <c r="E990" s="61">
        <f>20.923 * CHOOSE(CONTROL!$C$21, $C$12, 100%, $E$12)</f>
        <v>20.922999999999998</v>
      </c>
      <c r="F990" s="61">
        <f>20.923 * CHOOSE(CONTROL!$C$21, $C$12, 100%, $E$12)</f>
        <v>20.922999999999998</v>
      </c>
      <c r="G990" s="61">
        <f>20.9232 * CHOOSE(CONTROL!$C$21, $C$12, 100%, $E$12)</f>
        <v>20.923200000000001</v>
      </c>
      <c r="H990" s="61">
        <f>33.8248* CHOOSE(CONTROL!$C$21, $C$12, 100%, $E$12)</f>
        <v>33.824800000000003</v>
      </c>
      <c r="I990" s="61">
        <f>33.825 * CHOOSE(CONTROL!$C$21, $C$12, 100%, $E$12)</f>
        <v>33.825000000000003</v>
      </c>
      <c r="J990" s="61">
        <f>20.923 * CHOOSE(CONTROL!$C$21, $C$12, 100%, $E$12)</f>
        <v>20.922999999999998</v>
      </c>
      <c r="K990" s="61">
        <f>20.9232 * CHOOSE(CONTROL!$C$21, $C$12, 100%, $E$12)</f>
        <v>20.923200000000001</v>
      </c>
    </row>
    <row r="991" spans="1:11" ht="15">
      <c r="A991" s="13">
        <v>72046</v>
      </c>
      <c r="B991" s="60">
        <f>17.7999 * CHOOSE(CONTROL!$C$21, $C$12, 100%, $E$12)</f>
        <v>17.799900000000001</v>
      </c>
      <c r="C991" s="60">
        <f>17.7999 * CHOOSE(CONTROL!$C$21, $C$12, 100%, $E$12)</f>
        <v>17.799900000000001</v>
      </c>
      <c r="D991" s="60">
        <f>17.8105 * CHOOSE(CONTROL!$C$21, $C$12, 100%, $E$12)</f>
        <v>17.810500000000001</v>
      </c>
      <c r="E991" s="61">
        <f>21.1132 * CHOOSE(CONTROL!$C$21, $C$12, 100%, $E$12)</f>
        <v>21.113199999999999</v>
      </c>
      <c r="F991" s="61">
        <f>21.1132 * CHOOSE(CONTROL!$C$21, $C$12, 100%, $E$12)</f>
        <v>21.113199999999999</v>
      </c>
      <c r="G991" s="61">
        <f>21.1133 * CHOOSE(CONTROL!$C$21, $C$12, 100%, $E$12)</f>
        <v>21.113299999999999</v>
      </c>
      <c r="H991" s="61">
        <f>33.8952* CHOOSE(CONTROL!$C$21, $C$12, 100%, $E$12)</f>
        <v>33.895200000000003</v>
      </c>
      <c r="I991" s="61">
        <f>33.8954 * CHOOSE(CONTROL!$C$21, $C$12, 100%, $E$12)</f>
        <v>33.895400000000002</v>
      </c>
      <c r="J991" s="61">
        <f>21.1132 * CHOOSE(CONTROL!$C$21, $C$12, 100%, $E$12)</f>
        <v>21.113199999999999</v>
      </c>
      <c r="K991" s="61">
        <f>21.1133 * CHOOSE(CONTROL!$C$21, $C$12, 100%, $E$12)</f>
        <v>21.113299999999999</v>
      </c>
    </row>
    <row r="992" spans="1:11" ht="15">
      <c r="A992" s="13">
        <v>72076</v>
      </c>
      <c r="B992" s="60">
        <f>17.7999 * CHOOSE(CONTROL!$C$21, $C$12, 100%, $E$12)</f>
        <v>17.799900000000001</v>
      </c>
      <c r="C992" s="60">
        <f>17.7999 * CHOOSE(CONTROL!$C$21, $C$12, 100%, $E$12)</f>
        <v>17.799900000000001</v>
      </c>
      <c r="D992" s="60">
        <f>17.821 * CHOOSE(CONTROL!$C$21, $C$12, 100%, $E$12)</f>
        <v>17.821000000000002</v>
      </c>
      <c r="E992" s="61">
        <f>21.1861 * CHOOSE(CONTROL!$C$21, $C$12, 100%, $E$12)</f>
        <v>21.1861</v>
      </c>
      <c r="F992" s="61">
        <f>21.1861 * CHOOSE(CONTROL!$C$21, $C$12, 100%, $E$12)</f>
        <v>21.1861</v>
      </c>
      <c r="G992" s="61">
        <f>21.1874 * CHOOSE(CONTROL!$C$21, $C$12, 100%, $E$12)</f>
        <v>21.1874</v>
      </c>
      <c r="H992" s="61">
        <f>33.9659* CHOOSE(CONTROL!$C$21, $C$12, 100%, $E$12)</f>
        <v>33.965899999999998</v>
      </c>
      <c r="I992" s="61">
        <f>33.9672 * CHOOSE(CONTROL!$C$21, $C$12, 100%, $E$12)</f>
        <v>33.967199999999998</v>
      </c>
      <c r="J992" s="61">
        <f>21.1861 * CHOOSE(CONTROL!$C$21, $C$12, 100%, $E$12)</f>
        <v>21.1861</v>
      </c>
      <c r="K992" s="61">
        <f>21.1874 * CHOOSE(CONTROL!$C$21, $C$12, 100%, $E$12)</f>
        <v>21.1874</v>
      </c>
    </row>
    <row r="993" spans="1:11" ht="15">
      <c r="A993" s="13">
        <v>72107</v>
      </c>
      <c r="B993" s="60">
        <f>17.806 * CHOOSE(CONTROL!$C$21, $C$12, 100%, $E$12)</f>
        <v>17.806000000000001</v>
      </c>
      <c r="C993" s="60">
        <f>17.806 * CHOOSE(CONTROL!$C$21, $C$12, 100%, $E$12)</f>
        <v>17.806000000000001</v>
      </c>
      <c r="D993" s="60">
        <f>17.8271 * CHOOSE(CONTROL!$C$21, $C$12, 100%, $E$12)</f>
        <v>17.827100000000002</v>
      </c>
      <c r="E993" s="61">
        <f>21.1174 * CHOOSE(CONTROL!$C$21, $C$12, 100%, $E$12)</f>
        <v>21.1174</v>
      </c>
      <c r="F993" s="61">
        <f>21.1174 * CHOOSE(CONTROL!$C$21, $C$12, 100%, $E$12)</f>
        <v>21.1174</v>
      </c>
      <c r="G993" s="61">
        <f>21.1188 * CHOOSE(CONTROL!$C$21, $C$12, 100%, $E$12)</f>
        <v>21.1188</v>
      </c>
      <c r="H993" s="61">
        <f>34.0366* CHOOSE(CONTROL!$C$21, $C$12, 100%, $E$12)</f>
        <v>34.0366</v>
      </c>
      <c r="I993" s="61">
        <f>34.038 * CHOOSE(CONTROL!$C$21, $C$12, 100%, $E$12)</f>
        <v>34.037999999999997</v>
      </c>
      <c r="J993" s="61">
        <f>21.1174 * CHOOSE(CONTROL!$C$21, $C$12, 100%, $E$12)</f>
        <v>21.1174</v>
      </c>
      <c r="K993" s="61">
        <f>21.1188 * CHOOSE(CONTROL!$C$21, $C$12, 100%, $E$12)</f>
        <v>21.1188</v>
      </c>
    </row>
    <row r="994" spans="1:11" ht="15">
      <c r="A994" s="13">
        <v>72137</v>
      </c>
      <c r="B994" s="60">
        <f>18.083 * CHOOSE(CONTROL!$C$21, $C$12, 100%, $E$12)</f>
        <v>18.082999999999998</v>
      </c>
      <c r="C994" s="60">
        <f>18.083 * CHOOSE(CONTROL!$C$21, $C$12, 100%, $E$12)</f>
        <v>18.082999999999998</v>
      </c>
      <c r="D994" s="60">
        <f>18.1042 * CHOOSE(CONTROL!$C$21, $C$12, 100%, $E$12)</f>
        <v>18.104199999999999</v>
      </c>
      <c r="E994" s="61">
        <f>21.5171 * CHOOSE(CONTROL!$C$21, $C$12, 100%, $E$12)</f>
        <v>21.517099999999999</v>
      </c>
      <c r="F994" s="61">
        <f>21.5171 * CHOOSE(CONTROL!$C$21, $C$12, 100%, $E$12)</f>
        <v>21.517099999999999</v>
      </c>
      <c r="G994" s="61">
        <f>21.5184 * CHOOSE(CONTROL!$C$21, $C$12, 100%, $E$12)</f>
        <v>21.5184</v>
      </c>
      <c r="H994" s="61">
        <f>34.1075* CHOOSE(CONTROL!$C$21, $C$12, 100%, $E$12)</f>
        <v>34.107500000000002</v>
      </c>
      <c r="I994" s="61">
        <f>34.1089 * CHOOSE(CONTROL!$C$21, $C$12, 100%, $E$12)</f>
        <v>34.108899999999998</v>
      </c>
      <c r="J994" s="61">
        <f>21.5171 * CHOOSE(CONTROL!$C$21, $C$12, 100%, $E$12)</f>
        <v>21.517099999999999</v>
      </c>
      <c r="K994" s="61">
        <f>21.5184 * CHOOSE(CONTROL!$C$21, $C$12, 100%, $E$12)</f>
        <v>21.5184</v>
      </c>
    </row>
    <row r="995" spans="1:11" ht="15">
      <c r="A995" s="13">
        <v>72168</v>
      </c>
      <c r="B995" s="60">
        <f>18.0897 * CHOOSE(CONTROL!$C$21, $C$12, 100%, $E$12)</f>
        <v>18.089700000000001</v>
      </c>
      <c r="C995" s="60">
        <f>18.0897 * CHOOSE(CONTROL!$C$21, $C$12, 100%, $E$12)</f>
        <v>18.089700000000001</v>
      </c>
      <c r="D995" s="60">
        <f>18.1108 * CHOOSE(CONTROL!$C$21, $C$12, 100%, $E$12)</f>
        <v>18.110800000000001</v>
      </c>
      <c r="E995" s="61">
        <f>21.303 * CHOOSE(CONTROL!$C$21, $C$12, 100%, $E$12)</f>
        <v>21.303000000000001</v>
      </c>
      <c r="F995" s="61">
        <f>21.303 * CHOOSE(CONTROL!$C$21, $C$12, 100%, $E$12)</f>
        <v>21.303000000000001</v>
      </c>
      <c r="G995" s="61">
        <f>21.3044 * CHOOSE(CONTROL!$C$21, $C$12, 100%, $E$12)</f>
        <v>21.304400000000001</v>
      </c>
      <c r="H995" s="61">
        <f>34.1786* CHOOSE(CONTROL!$C$21, $C$12, 100%, $E$12)</f>
        <v>34.178600000000003</v>
      </c>
      <c r="I995" s="61">
        <f>34.18 * CHOOSE(CONTROL!$C$21, $C$12, 100%, $E$12)</f>
        <v>34.18</v>
      </c>
      <c r="J995" s="61">
        <f>21.303 * CHOOSE(CONTROL!$C$21, $C$12, 100%, $E$12)</f>
        <v>21.303000000000001</v>
      </c>
      <c r="K995" s="61">
        <f>21.3044 * CHOOSE(CONTROL!$C$21, $C$12, 100%, $E$12)</f>
        <v>21.304400000000001</v>
      </c>
    </row>
    <row r="996" spans="1:11" ht="15">
      <c r="A996" s="13">
        <v>72199</v>
      </c>
      <c r="B996" s="60">
        <f>18.0867 * CHOOSE(CONTROL!$C$21, $C$12, 100%, $E$12)</f>
        <v>18.0867</v>
      </c>
      <c r="C996" s="60">
        <f>18.0867 * CHOOSE(CONTROL!$C$21, $C$12, 100%, $E$12)</f>
        <v>18.0867</v>
      </c>
      <c r="D996" s="60">
        <f>18.1078 * CHOOSE(CONTROL!$C$21, $C$12, 100%, $E$12)</f>
        <v>18.107800000000001</v>
      </c>
      <c r="E996" s="61">
        <f>21.2766 * CHOOSE(CONTROL!$C$21, $C$12, 100%, $E$12)</f>
        <v>21.276599999999998</v>
      </c>
      <c r="F996" s="61">
        <f>21.2766 * CHOOSE(CONTROL!$C$21, $C$12, 100%, $E$12)</f>
        <v>21.276599999999998</v>
      </c>
      <c r="G996" s="61">
        <f>21.278 * CHOOSE(CONTROL!$C$21, $C$12, 100%, $E$12)</f>
        <v>21.277999999999999</v>
      </c>
      <c r="H996" s="61">
        <f>34.2498* CHOOSE(CONTROL!$C$21, $C$12, 100%, $E$12)</f>
        <v>34.2498</v>
      </c>
      <c r="I996" s="61">
        <f>34.2512 * CHOOSE(CONTROL!$C$21, $C$12, 100%, $E$12)</f>
        <v>34.251199999999997</v>
      </c>
      <c r="J996" s="61">
        <f>21.2766 * CHOOSE(CONTROL!$C$21, $C$12, 100%, $E$12)</f>
        <v>21.276599999999998</v>
      </c>
      <c r="K996" s="61">
        <f>21.278 * CHOOSE(CONTROL!$C$21, $C$12, 100%, $E$12)</f>
        <v>21.277999999999999</v>
      </c>
    </row>
    <row r="997" spans="1:11" ht="15">
      <c r="A997" s="13">
        <v>72229</v>
      </c>
      <c r="B997" s="60">
        <f>18.1277 * CHOOSE(CONTROL!$C$21, $C$12, 100%, $E$12)</f>
        <v>18.127700000000001</v>
      </c>
      <c r="C997" s="60">
        <f>18.1277 * CHOOSE(CONTROL!$C$21, $C$12, 100%, $E$12)</f>
        <v>18.127700000000001</v>
      </c>
      <c r="D997" s="60">
        <f>18.1383 * CHOOSE(CONTROL!$C$21, $C$12, 100%, $E$12)</f>
        <v>18.138300000000001</v>
      </c>
      <c r="E997" s="61">
        <f>21.3604 * CHOOSE(CONTROL!$C$21, $C$12, 100%, $E$12)</f>
        <v>21.360399999999998</v>
      </c>
      <c r="F997" s="61">
        <f>21.3604 * CHOOSE(CONTROL!$C$21, $C$12, 100%, $E$12)</f>
        <v>21.360399999999998</v>
      </c>
      <c r="G997" s="61">
        <f>21.3606 * CHOOSE(CONTROL!$C$21, $C$12, 100%, $E$12)</f>
        <v>21.360600000000002</v>
      </c>
      <c r="H997" s="61">
        <f>34.3211* CHOOSE(CONTROL!$C$21, $C$12, 100%, $E$12)</f>
        <v>34.321100000000001</v>
      </c>
      <c r="I997" s="61">
        <f>34.3213 * CHOOSE(CONTROL!$C$21, $C$12, 100%, $E$12)</f>
        <v>34.321300000000001</v>
      </c>
      <c r="J997" s="61">
        <f>21.3604 * CHOOSE(CONTROL!$C$21, $C$12, 100%, $E$12)</f>
        <v>21.360399999999998</v>
      </c>
      <c r="K997" s="61">
        <f>21.3606 * CHOOSE(CONTROL!$C$21, $C$12, 100%, $E$12)</f>
        <v>21.360600000000002</v>
      </c>
    </row>
    <row r="998" spans="1:11" ht="15">
      <c r="A998" s="13">
        <v>72260</v>
      </c>
      <c r="B998" s="60">
        <f>18.1308 * CHOOSE(CONTROL!$C$21, $C$12, 100%, $E$12)</f>
        <v>18.130800000000001</v>
      </c>
      <c r="C998" s="60">
        <f>18.1308 * CHOOSE(CONTROL!$C$21, $C$12, 100%, $E$12)</f>
        <v>18.130800000000001</v>
      </c>
      <c r="D998" s="60">
        <f>18.1413 * CHOOSE(CONTROL!$C$21, $C$12, 100%, $E$12)</f>
        <v>18.141300000000001</v>
      </c>
      <c r="E998" s="61">
        <f>21.4111 * CHOOSE(CONTROL!$C$21, $C$12, 100%, $E$12)</f>
        <v>21.411100000000001</v>
      </c>
      <c r="F998" s="61">
        <f>21.4111 * CHOOSE(CONTROL!$C$21, $C$12, 100%, $E$12)</f>
        <v>21.411100000000001</v>
      </c>
      <c r="G998" s="61">
        <f>21.4113 * CHOOSE(CONTROL!$C$21, $C$12, 100%, $E$12)</f>
        <v>21.411300000000001</v>
      </c>
      <c r="H998" s="61">
        <f>34.3927* CHOOSE(CONTROL!$C$21, $C$12, 100%, $E$12)</f>
        <v>34.392699999999998</v>
      </c>
      <c r="I998" s="61">
        <f>34.3928 * CHOOSE(CONTROL!$C$21, $C$12, 100%, $E$12)</f>
        <v>34.392800000000001</v>
      </c>
      <c r="J998" s="61">
        <f>21.4111 * CHOOSE(CONTROL!$C$21, $C$12, 100%, $E$12)</f>
        <v>21.411100000000001</v>
      </c>
      <c r="K998" s="61">
        <f>21.4113 * CHOOSE(CONTROL!$C$21, $C$12, 100%, $E$12)</f>
        <v>21.411300000000001</v>
      </c>
    </row>
    <row r="999" spans="1:11" ht="15">
      <c r="A999" s="13">
        <v>72290</v>
      </c>
      <c r="B999" s="60">
        <f>18.1308 * CHOOSE(CONTROL!$C$21, $C$12, 100%, $E$12)</f>
        <v>18.130800000000001</v>
      </c>
      <c r="C999" s="60">
        <f>18.1308 * CHOOSE(CONTROL!$C$21, $C$12, 100%, $E$12)</f>
        <v>18.130800000000001</v>
      </c>
      <c r="D999" s="60">
        <f>18.1413 * CHOOSE(CONTROL!$C$21, $C$12, 100%, $E$12)</f>
        <v>18.141300000000001</v>
      </c>
      <c r="E999" s="61">
        <f>21.2896 * CHOOSE(CONTROL!$C$21, $C$12, 100%, $E$12)</f>
        <v>21.2896</v>
      </c>
      <c r="F999" s="61">
        <f>21.2896 * CHOOSE(CONTROL!$C$21, $C$12, 100%, $E$12)</f>
        <v>21.2896</v>
      </c>
      <c r="G999" s="61">
        <f>21.2898 * CHOOSE(CONTROL!$C$21, $C$12, 100%, $E$12)</f>
        <v>21.2898</v>
      </c>
      <c r="H999" s="61">
        <f>34.4643* CHOOSE(CONTROL!$C$21, $C$12, 100%, $E$12)</f>
        <v>34.464300000000001</v>
      </c>
      <c r="I999" s="61">
        <f>34.4645 * CHOOSE(CONTROL!$C$21, $C$12, 100%, $E$12)</f>
        <v>34.464500000000001</v>
      </c>
      <c r="J999" s="61">
        <f>21.2896 * CHOOSE(CONTROL!$C$21, $C$12, 100%, $E$12)</f>
        <v>21.2896</v>
      </c>
      <c r="K999" s="61">
        <f>21.2898 * CHOOSE(CONTROL!$C$21, $C$12, 100%, $E$12)</f>
        <v>21.2898</v>
      </c>
    </row>
    <row r="1000" spans="1:11" ht="15">
      <c r="A1000" s="13">
        <v>72321</v>
      </c>
      <c r="B1000" s="60">
        <f>18.0419 * CHOOSE(CONTROL!$C$21, $C$12, 100%, $E$12)</f>
        <v>18.041899999999998</v>
      </c>
      <c r="C1000" s="60">
        <f>18.0419 * CHOOSE(CONTROL!$C$21, $C$12, 100%, $E$12)</f>
        <v>18.041899999999998</v>
      </c>
      <c r="D1000" s="60">
        <f>18.0525 * CHOOSE(CONTROL!$C$21, $C$12, 100%, $E$12)</f>
        <v>18.052499999999998</v>
      </c>
      <c r="E1000" s="61">
        <f>21.2682 * CHOOSE(CONTROL!$C$21, $C$12, 100%, $E$12)</f>
        <v>21.2682</v>
      </c>
      <c r="F1000" s="61">
        <f>21.2682 * CHOOSE(CONTROL!$C$21, $C$12, 100%, $E$12)</f>
        <v>21.2682</v>
      </c>
      <c r="G1000" s="61">
        <f>21.2684 * CHOOSE(CONTROL!$C$21, $C$12, 100%, $E$12)</f>
        <v>21.2684</v>
      </c>
      <c r="H1000" s="61">
        <f>34.1302* CHOOSE(CONTROL!$C$21, $C$12, 100%, $E$12)</f>
        <v>34.130200000000002</v>
      </c>
      <c r="I1000" s="61">
        <f>34.1303 * CHOOSE(CONTROL!$C$21, $C$12, 100%, $E$12)</f>
        <v>34.130299999999998</v>
      </c>
      <c r="J1000" s="61">
        <f>21.2682 * CHOOSE(CONTROL!$C$21, $C$12, 100%, $E$12)</f>
        <v>21.2682</v>
      </c>
      <c r="K1000" s="61">
        <f>21.2684 * CHOOSE(CONTROL!$C$21, $C$12, 100%, $E$12)</f>
        <v>21.2684</v>
      </c>
    </row>
    <row r="1001" spans="1:11" ht="15">
      <c r="A1001" s="13">
        <v>72352</v>
      </c>
      <c r="B1001" s="60">
        <f>18.0389 * CHOOSE(CONTROL!$C$21, $C$12, 100%, $E$12)</f>
        <v>18.038900000000002</v>
      </c>
      <c r="C1001" s="60">
        <f>18.0389 * CHOOSE(CONTROL!$C$21, $C$12, 100%, $E$12)</f>
        <v>18.038900000000002</v>
      </c>
      <c r="D1001" s="60">
        <f>18.0494 * CHOOSE(CONTROL!$C$21, $C$12, 100%, $E$12)</f>
        <v>18.049399999999999</v>
      </c>
      <c r="E1001" s="61">
        <f>21.0333 * CHOOSE(CONTROL!$C$21, $C$12, 100%, $E$12)</f>
        <v>21.033300000000001</v>
      </c>
      <c r="F1001" s="61">
        <f>21.0333 * CHOOSE(CONTROL!$C$21, $C$12, 100%, $E$12)</f>
        <v>21.033300000000001</v>
      </c>
      <c r="G1001" s="61">
        <f>21.0334 * CHOOSE(CONTROL!$C$21, $C$12, 100%, $E$12)</f>
        <v>21.0334</v>
      </c>
      <c r="H1001" s="61">
        <f>34.2013* CHOOSE(CONTROL!$C$21, $C$12, 100%, $E$12)</f>
        <v>34.201300000000003</v>
      </c>
      <c r="I1001" s="61">
        <f>34.2015 * CHOOSE(CONTROL!$C$21, $C$12, 100%, $E$12)</f>
        <v>34.201500000000003</v>
      </c>
      <c r="J1001" s="61">
        <f>21.0333 * CHOOSE(CONTROL!$C$21, $C$12, 100%, $E$12)</f>
        <v>21.033300000000001</v>
      </c>
      <c r="K1001" s="61">
        <f>21.0334 * CHOOSE(CONTROL!$C$21, $C$12, 100%, $E$12)</f>
        <v>21.0334</v>
      </c>
    </row>
    <row r="1002" spans="1:11" ht="15">
      <c r="A1002" s="13">
        <v>72380</v>
      </c>
      <c r="B1002" s="60">
        <f>18.0358 * CHOOSE(CONTROL!$C$21, $C$12, 100%, $E$12)</f>
        <v>18.035799999999998</v>
      </c>
      <c r="C1002" s="60">
        <f>18.0358 * CHOOSE(CONTROL!$C$21, $C$12, 100%, $E$12)</f>
        <v>18.035799999999998</v>
      </c>
      <c r="D1002" s="60">
        <f>18.0464 * CHOOSE(CONTROL!$C$21, $C$12, 100%, $E$12)</f>
        <v>18.046399999999998</v>
      </c>
      <c r="E1002" s="61">
        <f>21.2147 * CHOOSE(CONTROL!$C$21, $C$12, 100%, $E$12)</f>
        <v>21.214700000000001</v>
      </c>
      <c r="F1002" s="61">
        <f>21.2147 * CHOOSE(CONTROL!$C$21, $C$12, 100%, $E$12)</f>
        <v>21.214700000000001</v>
      </c>
      <c r="G1002" s="61">
        <f>21.2149 * CHOOSE(CONTROL!$C$21, $C$12, 100%, $E$12)</f>
        <v>21.2149</v>
      </c>
      <c r="H1002" s="61">
        <f>34.2725* CHOOSE(CONTROL!$C$21, $C$12, 100%, $E$12)</f>
        <v>34.272500000000001</v>
      </c>
      <c r="I1002" s="61">
        <f>34.2727 * CHOOSE(CONTROL!$C$21, $C$12, 100%, $E$12)</f>
        <v>34.2727</v>
      </c>
      <c r="J1002" s="61">
        <f>21.2147 * CHOOSE(CONTROL!$C$21, $C$12, 100%, $E$12)</f>
        <v>21.214700000000001</v>
      </c>
      <c r="K1002" s="61">
        <f>21.2149 * CHOOSE(CONTROL!$C$21, $C$12, 100%, $E$12)</f>
        <v>21.2149</v>
      </c>
    </row>
    <row r="1003" spans="1:11" ht="15">
      <c r="A1003" s="13">
        <v>72411</v>
      </c>
      <c r="B1003" s="60">
        <f>18.0454 * CHOOSE(CONTROL!$C$21, $C$12, 100%, $E$12)</f>
        <v>18.045400000000001</v>
      </c>
      <c r="C1003" s="60">
        <f>18.0454 * CHOOSE(CONTROL!$C$21, $C$12, 100%, $E$12)</f>
        <v>18.045400000000001</v>
      </c>
      <c r="D1003" s="60">
        <f>18.056 * CHOOSE(CONTROL!$C$21, $C$12, 100%, $E$12)</f>
        <v>18.056000000000001</v>
      </c>
      <c r="E1003" s="61">
        <f>21.4076 * CHOOSE(CONTROL!$C$21, $C$12, 100%, $E$12)</f>
        <v>21.407599999999999</v>
      </c>
      <c r="F1003" s="61">
        <f>21.4076 * CHOOSE(CONTROL!$C$21, $C$12, 100%, $E$12)</f>
        <v>21.407599999999999</v>
      </c>
      <c r="G1003" s="61">
        <f>21.4078 * CHOOSE(CONTROL!$C$21, $C$12, 100%, $E$12)</f>
        <v>21.407800000000002</v>
      </c>
      <c r="H1003" s="61">
        <f>34.3439* CHOOSE(CONTROL!$C$21, $C$12, 100%, $E$12)</f>
        <v>34.343899999999998</v>
      </c>
      <c r="I1003" s="61">
        <f>34.3441 * CHOOSE(CONTROL!$C$21, $C$12, 100%, $E$12)</f>
        <v>34.344099999999997</v>
      </c>
      <c r="J1003" s="61">
        <f>21.4076 * CHOOSE(CONTROL!$C$21, $C$12, 100%, $E$12)</f>
        <v>21.407599999999999</v>
      </c>
      <c r="K1003" s="61">
        <f>21.4078 * CHOOSE(CONTROL!$C$21, $C$12, 100%, $E$12)</f>
        <v>21.407800000000002</v>
      </c>
    </row>
    <row r="1004" spans="1:11" ht="15">
      <c r="A1004" s="13">
        <v>72441</v>
      </c>
      <c r="B1004" s="60">
        <f>18.0454 * CHOOSE(CONTROL!$C$21, $C$12, 100%, $E$12)</f>
        <v>18.045400000000001</v>
      </c>
      <c r="C1004" s="60">
        <f>18.0454 * CHOOSE(CONTROL!$C$21, $C$12, 100%, $E$12)</f>
        <v>18.045400000000001</v>
      </c>
      <c r="D1004" s="60">
        <f>18.0665 * CHOOSE(CONTROL!$C$21, $C$12, 100%, $E$12)</f>
        <v>18.066500000000001</v>
      </c>
      <c r="E1004" s="61">
        <f>21.4815 * CHOOSE(CONTROL!$C$21, $C$12, 100%, $E$12)</f>
        <v>21.4815</v>
      </c>
      <c r="F1004" s="61">
        <f>21.4815 * CHOOSE(CONTROL!$C$21, $C$12, 100%, $E$12)</f>
        <v>21.4815</v>
      </c>
      <c r="G1004" s="61">
        <f>21.4829 * CHOOSE(CONTROL!$C$21, $C$12, 100%, $E$12)</f>
        <v>21.482900000000001</v>
      </c>
      <c r="H1004" s="61">
        <f>34.4155* CHOOSE(CONTROL!$C$21, $C$12, 100%, $E$12)</f>
        <v>34.415500000000002</v>
      </c>
      <c r="I1004" s="61">
        <f>34.4169 * CHOOSE(CONTROL!$C$21, $C$12, 100%, $E$12)</f>
        <v>34.416899999999998</v>
      </c>
      <c r="J1004" s="61">
        <f>21.4815 * CHOOSE(CONTROL!$C$21, $C$12, 100%, $E$12)</f>
        <v>21.4815</v>
      </c>
      <c r="K1004" s="61">
        <f>21.4829 * CHOOSE(CONTROL!$C$21, $C$12, 100%, $E$12)</f>
        <v>21.482900000000001</v>
      </c>
    </row>
    <row r="1005" spans="1:11" ht="15">
      <c r="A1005" s="13">
        <v>72472</v>
      </c>
      <c r="B1005" s="60">
        <f>18.0515 * CHOOSE(CONTROL!$C$21, $C$12, 100%, $E$12)</f>
        <v>18.051500000000001</v>
      </c>
      <c r="C1005" s="60">
        <f>18.0515 * CHOOSE(CONTROL!$C$21, $C$12, 100%, $E$12)</f>
        <v>18.051500000000001</v>
      </c>
      <c r="D1005" s="60">
        <f>18.0726 * CHOOSE(CONTROL!$C$21, $C$12, 100%, $E$12)</f>
        <v>18.072600000000001</v>
      </c>
      <c r="E1005" s="61">
        <f>21.4118 * CHOOSE(CONTROL!$C$21, $C$12, 100%, $E$12)</f>
        <v>21.411799999999999</v>
      </c>
      <c r="F1005" s="61">
        <f>21.4118 * CHOOSE(CONTROL!$C$21, $C$12, 100%, $E$12)</f>
        <v>21.411799999999999</v>
      </c>
      <c r="G1005" s="61">
        <f>21.4132 * CHOOSE(CONTROL!$C$21, $C$12, 100%, $E$12)</f>
        <v>21.4132</v>
      </c>
      <c r="H1005" s="61">
        <f>34.4872* CHOOSE(CONTROL!$C$21, $C$12, 100%, $E$12)</f>
        <v>34.487200000000001</v>
      </c>
      <c r="I1005" s="61">
        <f>34.4886 * CHOOSE(CONTROL!$C$21, $C$12, 100%, $E$12)</f>
        <v>34.488599999999998</v>
      </c>
      <c r="J1005" s="61">
        <f>21.4118 * CHOOSE(CONTROL!$C$21, $C$12, 100%, $E$12)</f>
        <v>21.411799999999999</v>
      </c>
      <c r="K1005" s="61">
        <f>21.4132 * CHOOSE(CONTROL!$C$21, $C$12, 100%, $E$12)</f>
        <v>21.4132</v>
      </c>
    </row>
    <row r="1006" spans="1:11" ht="15">
      <c r="A1006" s="13">
        <v>72502</v>
      </c>
      <c r="B1006" s="60">
        <f>18.3322 * CHOOSE(CONTROL!$C$21, $C$12, 100%, $E$12)</f>
        <v>18.3322</v>
      </c>
      <c r="C1006" s="60">
        <f>18.3322 * CHOOSE(CONTROL!$C$21, $C$12, 100%, $E$12)</f>
        <v>18.3322</v>
      </c>
      <c r="D1006" s="60">
        <f>18.3534 * CHOOSE(CONTROL!$C$21, $C$12, 100%, $E$12)</f>
        <v>18.353400000000001</v>
      </c>
      <c r="E1006" s="61">
        <f>21.817 * CHOOSE(CONTROL!$C$21, $C$12, 100%, $E$12)</f>
        <v>21.817</v>
      </c>
      <c r="F1006" s="61">
        <f>21.817 * CHOOSE(CONTROL!$C$21, $C$12, 100%, $E$12)</f>
        <v>21.817</v>
      </c>
      <c r="G1006" s="61">
        <f>21.8183 * CHOOSE(CONTROL!$C$21, $C$12, 100%, $E$12)</f>
        <v>21.818300000000001</v>
      </c>
      <c r="H1006" s="61">
        <f>34.559* CHOOSE(CONTROL!$C$21, $C$12, 100%, $E$12)</f>
        <v>34.558999999999997</v>
      </c>
      <c r="I1006" s="61">
        <f>34.5604 * CHOOSE(CONTROL!$C$21, $C$12, 100%, $E$12)</f>
        <v>34.560400000000001</v>
      </c>
      <c r="J1006" s="61">
        <f>21.817 * CHOOSE(CONTROL!$C$21, $C$12, 100%, $E$12)</f>
        <v>21.817</v>
      </c>
      <c r="K1006" s="61">
        <f>21.8183 * CHOOSE(CONTROL!$C$21, $C$12, 100%, $E$12)</f>
        <v>21.818300000000001</v>
      </c>
    </row>
    <row r="1007" spans="1:11" ht="15">
      <c r="A1007" s="13">
        <v>72533</v>
      </c>
      <c r="B1007" s="60">
        <f>18.3389 * CHOOSE(CONTROL!$C$21, $C$12, 100%, $E$12)</f>
        <v>18.338899999999999</v>
      </c>
      <c r="C1007" s="60">
        <f>18.3389 * CHOOSE(CONTROL!$C$21, $C$12, 100%, $E$12)</f>
        <v>18.338899999999999</v>
      </c>
      <c r="D1007" s="60">
        <f>18.3601 * CHOOSE(CONTROL!$C$21, $C$12, 100%, $E$12)</f>
        <v>18.360099999999999</v>
      </c>
      <c r="E1007" s="61">
        <f>21.5998 * CHOOSE(CONTROL!$C$21, $C$12, 100%, $E$12)</f>
        <v>21.599799999999998</v>
      </c>
      <c r="F1007" s="61">
        <f>21.5998 * CHOOSE(CONTROL!$C$21, $C$12, 100%, $E$12)</f>
        <v>21.599799999999998</v>
      </c>
      <c r="G1007" s="61">
        <f>21.6012 * CHOOSE(CONTROL!$C$21, $C$12, 100%, $E$12)</f>
        <v>21.601199999999999</v>
      </c>
      <c r="H1007" s="61">
        <f>34.631* CHOOSE(CONTROL!$C$21, $C$12, 100%, $E$12)</f>
        <v>34.631</v>
      </c>
      <c r="I1007" s="61">
        <f>34.6324 * CHOOSE(CONTROL!$C$21, $C$12, 100%, $E$12)</f>
        <v>34.632399999999997</v>
      </c>
      <c r="J1007" s="61">
        <f>21.5998 * CHOOSE(CONTROL!$C$21, $C$12, 100%, $E$12)</f>
        <v>21.599799999999998</v>
      </c>
      <c r="K1007" s="61">
        <f>21.6012 * CHOOSE(CONTROL!$C$21, $C$12, 100%, $E$12)</f>
        <v>21.601199999999999</v>
      </c>
    </row>
    <row r="1008" spans="1:11" ht="15">
      <c r="A1008" s="13">
        <v>72564</v>
      </c>
      <c r="B1008" s="60">
        <f>18.3359 * CHOOSE(CONTROL!$C$21, $C$12, 100%, $E$12)</f>
        <v>18.335899999999999</v>
      </c>
      <c r="C1008" s="60">
        <f>18.3359 * CHOOSE(CONTROL!$C$21, $C$12, 100%, $E$12)</f>
        <v>18.335899999999999</v>
      </c>
      <c r="D1008" s="60">
        <f>18.357 * CHOOSE(CONTROL!$C$21, $C$12, 100%, $E$12)</f>
        <v>18.356999999999999</v>
      </c>
      <c r="E1008" s="61">
        <f>21.5731 * CHOOSE(CONTROL!$C$21, $C$12, 100%, $E$12)</f>
        <v>21.5731</v>
      </c>
      <c r="F1008" s="61">
        <f>21.5731 * CHOOSE(CONTROL!$C$21, $C$12, 100%, $E$12)</f>
        <v>21.5731</v>
      </c>
      <c r="G1008" s="61">
        <f>21.5745 * CHOOSE(CONTROL!$C$21, $C$12, 100%, $E$12)</f>
        <v>21.5745</v>
      </c>
      <c r="H1008" s="61">
        <f>34.7032* CHOOSE(CONTROL!$C$21, $C$12, 100%, $E$12)</f>
        <v>34.703200000000002</v>
      </c>
      <c r="I1008" s="61">
        <f>34.7045 * CHOOSE(CONTROL!$C$21, $C$12, 100%, $E$12)</f>
        <v>34.704500000000003</v>
      </c>
      <c r="J1008" s="61">
        <f>21.5731 * CHOOSE(CONTROL!$C$21, $C$12, 100%, $E$12)</f>
        <v>21.5731</v>
      </c>
      <c r="K1008" s="61">
        <f>21.5745 * CHOOSE(CONTROL!$C$21, $C$12, 100%, $E$12)</f>
        <v>21.5745</v>
      </c>
    </row>
    <row r="1009" spans="1:11" ht="15">
      <c r="A1009" s="13">
        <v>72594</v>
      </c>
      <c r="B1009" s="60">
        <f>18.3778 * CHOOSE(CONTROL!$C$21, $C$12, 100%, $E$12)</f>
        <v>18.377800000000001</v>
      </c>
      <c r="C1009" s="60">
        <f>18.3778 * CHOOSE(CONTROL!$C$21, $C$12, 100%, $E$12)</f>
        <v>18.377800000000001</v>
      </c>
      <c r="D1009" s="60">
        <f>18.3883 * CHOOSE(CONTROL!$C$21, $C$12, 100%, $E$12)</f>
        <v>18.388300000000001</v>
      </c>
      <c r="E1009" s="61">
        <f>21.6582 * CHOOSE(CONTROL!$C$21, $C$12, 100%, $E$12)</f>
        <v>21.658200000000001</v>
      </c>
      <c r="F1009" s="61">
        <f>21.6582 * CHOOSE(CONTROL!$C$21, $C$12, 100%, $E$12)</f>
        <v>21.658200000000001</v>
      </c>
      <c r="G1009" s="61">
        <f>21.6584 * CHOOSE(CONTROL!$C$21, $C$12, 100%, $E$12)</f>
        <v>21.6584</v>
      </c>
      <c r="H1009" s="61">
        <f>34.7755* CHOOSE(CONTROL!$C$21, $C$12, 100%, $E$12)</f>
        <v>34.775500000000001</v>
      </c>
      <c r="I1009" s="61">
        <f>34.7756 * CHOOSE(CONTROL!$C$21, $C$12, 100%, $E$12)</f>
        <v>34.775599999999997</v>
      </c>
      <c r="J1009" s="61">
        <f>21.6582 * CHOOSE(CONTROL!$C$21, $C$12, 100%, $E$12)</f>
        <v>21.658200000000001</v>
      </c>
      <c r="K1009" s="61">
        <f>21.6584 * CHOOSE(CONTROL!$C$21, $C$12, 100%, $E$12)</f>
        <v>21.6584</v>
      </c>
    </row>
    <row r="1010" spans="1:11" ht="15">
      <c r="A1010" s="13">
        <v>72625</v>
      </c>
      <c r="B1010" s="60">
        <f>18.3808 * CHOOSE(CONTROL!$C$21, $C$12, 100%, $E$12)</f>
        <v>18.380800000000001</v>
      </c>
      <c r="C1010" s="60">
        <f>18.3808 * CHOOSE(CONTROL!$C$21, $C$12, 100%, $E$12)</f>
        <v>18.380800000000001</v>
      </c>
      <c r="D1010" s="60">
        <f>18.3914 * CHOOSE(CONTROL!$C$21, $C$12, 100%, $E$12)</f>
        <v>18.391400000000001</v>
      </c>
      <c r="E1010" s="61">
        <f>21.7096 * CHOOSE(CONTROL!$C$21, $C$12, 100%, $E$12)</f>
        <v>21.709599999999998</v>
      </c>
      <c r="F1010" s="61">
        <f>21.7096 * CHOOSE(CONTROL!$C$21, $C$12, 100%, $E$12)</f>
        <v>21.709599999999998</v>
      </c>
      <c r="G1010" s="61">
        <f>21.7098 * CHOOSE(CONTROL!$C$21, $C$12, 100%, $E$12)</f>
        <v>21.709800000000001</v>
      </c>
      <c r="H1010" s="61">
        <f>34.8479* CHOOSE(CONTROL!$C$21, $C$12, 100%, $E$12)</f>
        <v>34.847900000000003</v>
      </c>
      <c r="I1010" s="61">
        <f>34.8481 * CHOOSE(CONTROL!$C$21, $C$12, 100%, $E$12)</f>
        <v>34.848100000000002</v>
      </c>
      <c r="J1010" s="61">
        <f>21.7096 * CHOOSE(CONTROL!$C$21, $C$12, 100%, $E$12)</f>
        <v>21.709599999999998</v>
      </c>
      <c r="K1010" s="61">
        <f>21.7098 * CHOOSE(CONTROL!$C$21, $C$12, 100%, $E$12)</f>
        <v>21.709800000000001</v>
      </c>
    </row>
    <row r="1011" spans="1:11" ht="15">
      <c r="A1011" s="13">
        <v>72655</v>
      </c>
      <c r="B1011" s="60">
        <f>18.3808 * CHOOSE(CONTROL!$C$21, $C$12, 100%, $E$12)</f>
        <v>18.380800000000001</v>
      </c>
      <c r="C1011" s="60">
        <f>18.3808 * CHOOSE(CONTROL!$C$21, $C$12, 100%, $E$12)</f>
        <v>18.380800000000001</v>
      </c>
      <c r="D1011" s="60">
        <f>18.3914 * CHOOSE(CONTROL!$C$21, $C$12, 100%, $E$12)</f>
        <v>18.391400000000001</v>
      </c>
      <c r="E1011" s="61">
        <f>21.5864 * CHOOSE(CONTROL!$C$21, $C$12, 100%, $E$12)</f>
        <v>21.586400000000001</v>
      </c>
      <c r="F1011" s="61">
        <f>21.5864 * CHOOSE(CONTROL!$C$21, $C$12, 100%, $E$12)</f>
        <v>21.586400000000001</v>
      </c>
      <c r="G1011" s="61">
        <f>21.5866 * CHOOSE(CONTROL!$C$21, $C$12, 100%, $E$12)</f>
        <v>21.586600000000001</v>
      </c>
      <c r="H1011" s="61">
        <f>34.9205* CHOOSE(CONTROL!$C$21, $C$12, 100%, $E$12)</f>
        <v>34.920499999999997</v>
      </c>
      <c r="I1011" s="61">
        <f>34.9207 * CHOOSE(CONTROL!$C$21, $C$12, 100%, $E$12)</f>
        <v>34.920699999999997</v>
      </c>
      <c r="J1011" s="61">
        <f>21.5864 * CHOOSE(CONTROL!$C$21, $C$12, 100%, $E$12)</f>
        <v>21.586400000000001</v>
      </c>
      <c r="K1011" s="61">
        <f>21.5866 * CHOOSE(CONTROL!$C$21, $C$12, 100%, $E$12)</f>
        <v>21.586600000000001</v>
      </c>
    </row>
    <row r="1012" spans="1:11" ht="15">
      <c r="A1012" s="13">
        <v>72686</v>
      </c>
      <c r="B1012" s="60">
        <f>18.2872 * CHOOSE(CONTROL!$C$21, $C$12, 100%, $E$12)</f>
        <v>18.287199999999999</v>
      </c>
      <c r="C1012" s="60">
        <f>18.2872 * CHOOSE(CONTROL!$C$21, $C$12, 100%, $E$12)</f>
        <v>18.287199999999999</v>
      </c>
      <c r="D1012" s="60">
        <f>18.2978 * CHOOSE(CONTROL!$C$21, $C$12, 100%, $E$12)</f>
        <v>18.297799999999999</v>
      </c>
      <c r="E1012" s="61">
        <f>21.5606 * CHOOSE(CONTROL!$C$21, $C$12, 100%, $E$12)</f>
        <v>21.560600000000001</v>
      </c>
      <c r="F1012" s="61">
        <f>21.5606 * CHOOSE(CONTROL!$C$21, $C$12, 100%, $E$12)</f>
        <v>21.560600000000001</v>
      </c>
      <c r="G1012" s="61">
        <f>21.5608 * CHOOSE(CONTROL!$C$21, $C$12, 100%, $E$12)</f>
        <v>21.5608</v>
      </c>
      <c r="H1012" s="61">
        <f>34.5761* CHOOSE(CONTROL!$C$21, $C$12, 100%, $E$12)</f>
        <v>34.576099999999997</v>
      </c>
      <c r="I1012" s="61">
        <f>34.5762 * CHOOSE(CONTROL!$C$21, $C$12, 100%, $E$12)</f>
        <v>34.5762</v>
      </c>
      <c r="J1012" s="61">
        <f>21.5606 * CHOOSE(CONTROL!$C$21, $C$12, 100%, $E$12)</f>
        <v>21.560600000000001</v>
      </c>
      <c r="K1012" s="61">
        <f>21.5608 * CHOOSE(CONTROL!$C$21, $C$12, 100%, $E$12)</f>
        <v>21.5608</v>
      </c>
    </row>
    <row r="1013" spans="1:11" ht="15">
      <c r="A1013" s="13">
        <v>72717</v>
      </c>
      <c r="B1013" s="60">
        <f>18.2842 * CHOOSE(CONTROL!$C$21, $C$12, 100%, $E$12)</f>
        <v>18.284199999999998</v>
      </c>
      <c r="C1013" s="60">
        <f>18.2842 * CHOOSE(CONTROL!$C$21, $C$12, 100%, $E$12)</f>
        <v>18.284199999999998</v>
      </c>
      <c r="D1013" s="60">
        <f>18.2948 * CHOOSE(CONTROL!$C$21, $C$12, 100%, $E$12)</f>
        <v>18.294799999999999</v>
      </c>
      <c r="E1013" s="61">
        <f>21.3225 * CHOOSE(CONTROL!$C$21, $C$12, 100%, $E$12)</f>
        <v>21.322500000000002</v>
      </c>
      <c r="F1013" s="61">
        <f>21.3225 * CHOOSE(CONTROL!$C$21, $C$12, 100%, $E$12)</f>
        <v>21.322500000000002</v>
      </c>
      <c r="G1013" s="61">
        <f>21.3227 * CHOOSE(CONTROL!$C$21, $C$12, 100%, $E$12)</f>
        <v>21.322700000000001</v>
      </c>
      <c r="H1013" s="61">
        <f>34.6481* CHOOSE(CONTROL!$C$21, $C$12, 100%, $E$12)</f>
        <v>34.648099999999999</v>
      </c>
      <c r="I1013" s="61">
        <f>34.6483 * CHOOSE(CONTROL!$C$21, $C$12, 100%, $E$12)</f>
        <v>34.648299999999999</v>
      </c>
      <c r="J1013" s="61">
        <f>21.3225 * CHOOSE(CONTROL!$C$21, $C$12, 100%, $E$12)</f>
        <v>21.322500000000002</v>
      </c>
      <c r="K1013" s="61">
        <f>21.3227 * CHOOSE(CONTROL!$C$21, $C$12, 100%, $E$12)</f>
        <v>21.322700000000001</v>
      </c>
    </row>
    <row r="1014" spans="1:11" ht="15">
      <c r="A1014" s="13">
        <v>72745</v>
      </c>
      <c r="B1014" s="60">
        <f>18.2812 * CHOOSE(CONTROL!$C$21, $C$12, 100%, $E$12)</f>
        <v>18.281199999999998</v>
      </c>
      <c r="C1014" s="60">
        <f>18.2812 * CHOOSE(CONTROL!$C$21, $C$12, 100%, $E$12)</f>
        <v>18.281199999999998</v>
      </c>
      <c r="D1014" s="60">
        <f>18.2917 * CHOOSE(CONTROL!$C$21, $C$12, 100%, $E$12)</f>
        <v>18.291699999999999</v>
      </c>
      <c r="E1014" s="61">
        <f>21.5064 * CHOOSE(CONTROL!$C$21, $C$12, 100%, $E$12)</f>
        <v>21.506399999999999</v>
      </c>
      <c r="F1014" s="61">
        <f>21.5064 * CHOOSE(CONTROL!$C$21, $C$12, 100%, $E$12)</f>
        <v>21.506399999999999</v>
      </c>
      <c r="G1014" s="61">
        <f>21.5066 * CHOOSE(CONTROL!$C$21, $C$12, 100%, $E$12)</f>
        <v>21.506599999999999</v>
      </c>
      <c r="H1014" s="61">
        <f>34.7203* CHOOSE(CONTROL!$C$21, $C$12, 100%, $E$12)</f>
        <v>34.720300000000002</v>
      </c>
      <c r="I1014" s="61">
        <f>34.7205 * CHOOSE(CONTROL!$C$21, $C$12, 100%, $E$12)</f>
        <v>34.720500000000001</v>
      </c>
      <c r="J1014" s="61">
        <f>21.5064 * CHOOSE(CONTROL!$C$21, $C$12, 100%, $E$12)</f>
        <v>21.506399999999999</v>
      </c>
      <c r="K1014" s="61">
        <f>21.5066 * CHOOSE(CONTROL!$C$21, $C$12, 100%, $E$12)</f>
        <v>21.506599999999999</v>
      </c>
    </row>
    <row r="1015" spans="1:11" ht="15">
      <c r="A1015" s="13">
        <v>72776</v>
      </c>
      <c r="B1015" s="60">
        <f>18.2909 * CHOOSE(CONTROL!$C$21, $C$12, 100%, $E$12)</f>
        <v>18.290900000000001</v>
      </c>
      <c r="C1015" s="60">
        <f>18.2909 * CHOOSE(CONTROL!$C$21, $C$12, 100%, $E$12)</f>
        <v>18.290900000000001</v>
      </c>
      <c r="D1015" s="60">
        <f>18.3015 * CHOOSE(CONTROL!$C$21, $C$12, 100%, $E$12)</f>
        <v>18.301500000000001</v>
      </c>
      <c r="E1015" s="61">
        <f>21.7021 * CHOOSE(CONTROL!$C$21, $C$12, 100%, $E$12)</f>
        <v>21.702100000000002</v>
      </c>
      <c r="F1015" s="61">
        <f>21.7021 * CHOOSE(CONTROL!$C$21, $C$12, 100%, $E$12)</f>
        <v>21.702100000000002</v>
      </c>
      <c r="G1015" s="61">
        <f>21.7022 * CHOOSE(CONTROL!$C$21, $C$12, 100%, $E$12)</f>
        <v>21.702200000000001</v>
      </c>
      <c r="H1015" s="61">
        <f>34.7926* CHOOSE(CONTROL!$C$21, $C$12, 100%, $E$12)</f>
        <v>34.7926</v>
      </c>
      <c r="I1015" s="61">
        <f>34.7928 * CHOOSE(CONTROL!$C$21, $C$12, 100%, $E$12)</f>
        <v>34.7928</v>
      </c>
      <c r="J1015" s="61">
        <f>21.7021 * CHOOSE(CONTROL!$C$21, $C$12, 100%, $E$12)</f>
        <v>21.702100000000002</v>
      </c>
      <c r="K1015" s="61">
        <f>21.7022 * CHOOSE(CONTROL!$C$21, $C$12, 100%, $E$12)</f>
        <v>21.702200000000001</v>
      </c>
    </row>
    <row r="1016" spans="1:11" ht="15">
      <c r="A1016" s="13">
        <v>72806</v>
      </c>
      <c r="B1016" s="60">
        <f>18.2909 * CHOOSE(CONTROL!$C$21, $C$12, 100%, $E$12)</f>
        <v>18.290900000000001</v>
      </c>
      <c r="C1016" s="60">
        <f>18.2909 * CHOOSE(CONTROL!$C$21, $C$12, 100%, $E$12)</f>
        <v>18.290900000000001</v>
      </c>
      <c r="D1016" s="60">
        <f>18.3121 * CHOOSE(CONTROL!$C$21, $C$12, 100%, $E$12)</f>
        <v>18.312100000000001</v>
      </c>
      <c r="E1016" s="61">
        <f>21.777 * CHOOSE(CONTROL!$C$21, $C$12, 100%, $E$12)</f>
        <v>21.777000000000001</v>
      </c>
      <c r="F1016" s="61">
        <f>21.777 * CHOOSE(CONTROL!$C$21, $C$12, 100%, $E$12)</f>
        <v>21.777000000000001</v>
      </c>
      <c r="G1016" s="61">
        <f>21.7784 * CHOOSE(CONTROL!$C$21, $C$12, 100%, $E$12)</f>
        <v>21.778400000000001</v>
      </c>
      <c r="H1016" s="61">
        <f>34.8651* CHOOSE(CONTROL!$C$21, $C$12, 100%, $E$12)</f>
        <v>34.865099999999998</v>
      </c>
      <c r="I1016" s="61">
        <f>34.8665 * CHOOSE(CONTROL!$C$21, $C$12, 100%, $E$12)</f>
        <v>34.866500000000002</v>
      </c>
      <c r="J1016" s="61">
        <f>21.777 * CHOOSE(CONTROL!$C$21, $C$12, 100%, $E$12)</f>
        <v>21.777000000000001</v>
      </c>
      <c r="K1016" s="61">
        <f>21.7784 * CHOOSE(CONTROL!$C$21, $C$12, 100%, $E$12)</f>
        <v>21.778400000000001</v>
      </c>
    </row>
    <row r="1017" spans="1:11" ht="15">
      <c r="A1017" s="13">
        <v>72837</v>
      </c>
      <c r="B1017" s="60">
        <f>18.297 * CHOOSE(CONTROL!$C$21, $C$12, 100%, $E$12)</f>
        <v>18.297000000000001</v>
      </c>
      <c r="C1017" s="60">
        <f>18.297 * CHOOSE(CONTROL!$C$21, $C$12, 100%, $E$12)</f>
        <v>18.297000000000001</v>
      </c>
      <c r="D1017" s="60">
        <f>18.3181 * CHOOSE(CONTROL!$C$21, $C$12, 100%, $E$12)</f>
        <v>18.318100000000001</v>
      </c>
      <c r="E1017" s="61">
        <f>21.7063 * CHOOSE(CONTROL!$C$21, $C$12, 100%, $E$12)</f>
        <v>21.706299999999999</v>
      </c>
      <c r="F1017" s="61">
        <f>21.7063 * CHOOSE(CONTROL!$C$21, $C$12, 100%, $E$12)</f>
        <v>21.706299999999999</v>
      </c>
      <c r="G1017" s="61">
        <f>21.7077 * CHOOSE(CONTROL!$C$21, $C$12, 100%, $E$12)</f>
        <v>21.707699999999999</v>
      </c>
      <c r="H1017" s="61">
        <f>34.9377* CHOOSE(CONTROL!$C$21, $C$12, 100%, $E$12)</f>
        <v>34.9377</v>
      </c>
      <c r="I1017" s="61">
        <f>34.9391 * CHOOSE(CONTROL!$C$21, $C$12, 100%, $E$12)</f>
        <v>34.939100000000003</v>
      </c>
      <c r="J1017" s="61">
        <f>21.7063 * CHOOSE(CONTROL!$C$21, $C$12, 100%, $E$12)</f>
        <v>21.706299999999999</v>
      </c>
      <c r="K1017" s="61">
        <f>21.7077 * CHOOSE(CONTROL!$C$21, $C$12, 100%, $E$12)</f>
        <v>21.707699999999999</v>
      </c>
    </row>
    <row r="1018" spans="1:11" ht="15">
      <c r="A1018" s="13">
        <v>72867</v>
      </c>
      <c r="B1018" s="60">
        <f>18.5815 * CHOOSE(CONTROL!$C$21, $C$12, 100%, $E$12)</f>
        <v>18.581499999999998</v>
      </c>
      <c r="C1018" s="60">
        <f>18.5815 * CHOOSE(CONTROL!$C$21, $C$12, 100%, $E$12)</f>
        <v>18.581499999999998</v>
      </c>
      <c r="D1018" s="60">
        <f>18.6026 * CHOOSE(CONTROL!$C$21, $C$12, 100%, $E$12)</f>
        <v>18.602599999999999</v>
      </c>
      <c r="E1018" s="61">
        <f>22.1168 * CHOOSE(CONTROL!$C$21, $C$12, 100%, $E$12)</f>
        <v>22.116800000000001</v>
      </c>
      <c r="F1018" s="61">
        <f>22.1168 * CHOOSE(CONTROL!$C$21, $C$12, 100%, $E$12)</f>
        <v>22.116800000000001</v>
      </c>
      <c r="G1018" s="61">
        <f>22.1182 * CHOOSE(CONTROL!$C$21, $C$12, 100%, $E$12)</f>
        <v>22.118200000000002</v>
      </c>
      <c r="H1018" s="61">
        <f>35.0105* CHOOSE(CONTROL!$C$21, $C$12, 100%, $E$12)</f>
        <v>35.0105</v>
      </c>
      <c r="I1018" s="61">
        <f>35.0119 * CHOOSE(CONTROL!$C$21, $C$12, 100%, $E$12)</f>
        <v>35.011899999999997</v>
      </c>
      <c r="J1018" s="61">
        <f>22.1168 * CHOOSE(CONTROL!$C$21, $C$12, 100%, $E$12)</f>
        <v>22.116800000000001</v>
      </c>
      <c r="K1018" s="61">
        <f>22.1182 * CHOOSE(CONTROL!$C$21, $C$12, 100%, $E$12)</f>
        <v>22.118200000000002</v>
      </c>
    </row>
    <row r="1019" spans="1:11" ht="15">
      <c r="A1019" s="13">
        <v>72898</v>
      </c>
      <c r="B1019" s="60">
        <f>18.5881 * CHOOSE(CONTROL!$C$21, $C$12, 100%, $E$12)</f>
        <v>18.588100000000001</v>
      </c>
      <c r="C1019" s="60">
        <f>18.5881 * CHOOSE(CONTROL!$C$21, $C$12, 100%, $E$12)</f>
        <v>18.588100000000001</v>
      </c>
      <c r="D1019" s="60">
        <f>18.6093 * CHOOSE(CONTROL!$C$21, $C$12, 100%, $E$12)</f>
        <v>18.609300000000001</v>
      </c>
      <c r="E1019" s="61">
        <f>21.8967 * CHOOSE(CONTROL!$C$21, $C$12, 100%, $E$12)</f>
        <v>21.896699999999999</v>
      </c>
      <c r="F1019" s="61">
        <f>21.8967 * CHOOSE(CONTROL!$C$21, $C$12, 100%, $E$12)</f>
        <v>21.896699999999999</v>
      </c>
      <c r="G1019" s="61">
        <f>21.898 * CHOOSE(CONTROL!$C$21, $C$12, 100%, $E$12)</f>
        <v>21.898</v>
      </c>
      <c r="H1019" s="61">
        <f>35.0835* CHOOSE(CONTROL!$C$21, $C$12, 100%, $E$12)</f>
        <v>35.083500000000001</v>
      </c>
      <c r="I1019" s="61">
        <f>35.0848 * CHOOSE(CONTROL!$C$21, $C$12, 100%, $E$12)</f>
        <v>35.084800000000001</v>
      </c>
      <c r="J1019" s="61">
        <f>21.8967 * CHOOSE(CONTROL!$C$21, $C$12, 100%, $E$12)</f>
        <v>21.896699999999999</v>
      </c>
      <c r="K1019" s="61">
        <f>21.898 * CHOOSE(CONTROL!$C$21, $C$12, 100%, $E$12)</f>
        <v>21.898</v>
      </c>
    </row>
    <row r="1020" spans="1:11" ht="15">
      <c r="A1020" s="13">
        <v>72929</v>
      </c>
      <c r="B1020" s="60">
        <f>18.5851 * CHOOSE(CONTROL!$C$21, $C$12, 100%, $E$12)</f>
        <v>18.585100000000001</v>
      </c>
      <c r="C1020" s="60">
        <f>18.5851 * CHOOSE(CONTROL!$C$21, $C$12, 100%, $E$12)</f>
        <v>18.585100000000001</v>
      </c>
      <c r="D1020" s="60">
        <f>18.6062 * CHOOSE(CONTROL!$C$21, $C$12, 100%, $E$12)</f>
        <v>18.606200000000001</v>
      </c>
      <c r="E1020" s="61">
        <f>21.8696 * CHOOSE(CONTROL!$C$21, $C$12, 100%, $E$12)</f>
        <v>21.869599999999998</v>
      </c>
      <c r="F1020" s="61">
        <f>21.8696 * CHOOSE(CONTROL!$C$21, $C$12, 100%, $E$12)</f>
        <v>21.869599999999998</v>
      </c>
      <c r="G1020" s="61">
        <f>21.8709 * CHOOSE(CONTROL!$C$21, $C$12, 100%, $E$12)</f>
        <v>21.870899999999999</v>
      </c>
      <c r="H1020" s="61">
        <f>35.1565* CHOOSE(CONTROL!$C$21, $C$12, 100%, $E$12)</f>
        <v>35.156500000000001</v>
      </c>
      <c r="I1020" s="61">
        <f>35.1579 * CHOOSE(CONTROL!$C$21, $C$12, 100%, $E$12)</f>
        <v>35.157899999999998</v>
      </c>
      <c r="J1020" s="61">
        <f>21.8696 * CHOOSE(CONTROL!$C$21, $C$12, 100%, $E$12)</f>
        <v>21.869599999999998</v>
      </c>
      <c r="K1020" s="61">
        <f>21.8709 * CHOOSE(CONTROL!$C$21, $C$12, 100%, $E$12)</f>
        <v>21.870899999999999</v>
      </c>
    </row>
    <row r="1021" spans="1:11" ht="15">
      <c r="A1021" s="13">
        <v>72959</v>
      </c>
      <c r="B1021" s="60">
        <f>18.6278 * CHOOSE(CONTROL!$C$21, $C$12, 100%, $E$12)</f>
        <v>18.627800000000001</v>
      </c>
      <c r="C1021" s="60">
        <f>18.6278 * CHOOSE(CONTROL!$C$21, $C$12, 100%, $E$12)</f>
        <v>18.627800000000001</v>
      </c>
      <c r="D1021" s="60">
        <f>18.6383 * CHOOSE(CONTROL!$C$21, $C$12, 100%, $E$12)</f>
        <v>18.638300000000001</v>
      </c>
      <c r="E1021" s="61">
        <f>21.9561 * CHOOSE(CONTROL!$C$21, $C$12, 100%, $E$12)</f>
        <v>21.956099999999999</v>
      </c>
      <c r="F1021" s="61">
        <f>21.9561 * CHOOSE(CONTROL!$C$21, $C$12, 100%, $E$12)</f>
        <v>21.956099999999999</v>
      </c>
      <c r="G1021" s="61">
        <f>21.9563 * CHOOSE(CONTROL!$C$21, $C$12, 100%, $E$12)</f>
        <v>21.956299999999999</v>
      </c>
      <c r="H1021" s="61">
        <f>35.2298* CHOOSE(CONTROL!$C$21, $C$12, 100%, $E$12)</f>
        <v>35.229799999999997</v>
      </c>
      <c r="I1021" s="61">
        <f>35.23 * CHOOSE(CONTROL!$C$21, $C$12, 100%, $E$12)</f>
        <v>35.229999999999997</v>
      </c>
      <c r="J1021" s="61">
        <f>21.9561 * CHOOSE(CONTROL!$C$21, $C$12, 100%, $E$12)</f>
        <v>21.956099999999999</v>
      </c>
      <c r="K1021" s="61">
        <f>21.9563 * CHOOSE(CONTROL!$C$21, $C$12, 100%, $E$12)</f>
        <v>21.956299999999999</v>
      </c>
    </row>
    <row r="1022" spans="1:11" ht="15">
      <c r="A1022" s="13">
        <v>72990</v>
      </c>
      <c r="B1022" s="60">
        <f>18.6308 * CHOOSE(CONTROL!$C$21, $C$12, 100%, $E$12)</f>
        <v>18.630800000000001</v>
      </c>
      <c r="C1022" s="60">
        <f>18.6308 * CHOOSE(CONTROL!$C$21, $C$12, 100%, $E$12)</f>
        <v>18.630800000000001</v>
      </c>
      <c r="D1022" s="60">
        <f>18.6414 * CHOOSE(CONTROL!$C$21, $C$12, 100%, $E$12)</f>
        <v>18.641400000000001</v>
      </c>
      <c r="E1022" s="61">
        <f>22.0082 * CHOOSE(CONTROL!$C$21, $C$12, 100%, $E$12)</f>
        <v>22.008199999999999</v>
      </c>
      <c r="F1022" s="61">
        <f>22.0082 * CHOOSE(CONTROL!$C$21, $C$12, 100%, $E$12)</f>
        <v>22.008199999999999</v>
      </c>
      <c r="G1022" s="61">
        <f>22.0083 * CHOOSE(CONTROL!$C$21, $C$12, 100%, $E$12)</f>
        <v>22.008299999999998</v>
      </c>
      <c r="H1022" s="61">
        <f>35.3032* CHOOSE(CONTROL!$C$21, $C$12, 100%, $E$12)</f>
        <v>35.303199999999997</v>
      </c>
      <c r="I1022" s="61">
        <f>35.3034 * CHOOSE(CONTROL!$C$21, $C$12, 100%, $E$12)</f>
        <v>35.303400000000003</v>
      </c>
      <c r="J1022" s="61">
        <f>22.0082 * CHOOSE(CONTROL!$C$21, $C$12, 100%, $E$12)</f>
        <v>22.008199999999999</v>
      </c>
      <c r="K1022" s="61">
        <f>22.0083 * CHOOSE(CONTROL!$C$21, $C$12, 100%, $E$12)</f>
        <v>22.008299999999998</v>
      </c>
    </row>
    <row r="1023" spans="1:11" ht="15">
      <c r="A1023" s="13">
        <v>73020</v>
      </c>
      <c r="B1023" s="60">
        <f>18.6308 * CHOOSE(CONTROL!$C$21, $C$12, 100%, $E$12)</f>
        <v>18.630800000000001</v>
      </c>
      <c r="C1023" s="60">
        <f>18.6308 * CHOOSE(CONTROL!$C$21, $C$12, 100%, $E$12)</f>
        <v>18.630800000000001</v>
      </c>
      <c r="D1023" s="60">
        <f>18.6414 * CHOOSE(CONTROL!$C$21, $C$12, 100%, $E$12)</f>
        <v>18.641400000000001</v>
      </c>
      <c r="E1023" s="61">
        <f>21.8833 * CHOOSE(CONTROL!$C$21, $C$12, 100%, $E$12)</f>
        <v>21.883299999999998</v>
      </c>
      <c r="F1023" s="61">
        <f>21.8833 * CHOOSE(CONTROL!$C$21, $C$12, 100%, $E$12)</f>
        <v>21.883299999999998</v>
      </c>
      <c r="G1023" s="61">
        <f>21.8834 * CHOOSE(CONTROL!$C$21, $C$12, 100%, $E$12)</f>
        <v>21.883400000000002</v>
      </c>
      <c r="H1023" s="61">
        <f>35.3767* CHOOSE(CONTROL!$C$21, $C$12, 100%, $E$12)</f>
        <v>35.3767</v>
      </c>
      <c r="I1023" s="61">
        <f>35.3769 * CHOOSE(CONTROL!$C$21, $C$12, 100%, $E$12)</f>
        <v>35.376899999999999</v>
      </c>
      <c r="J1023" s="61">
        <f>21.8833 * CHOOSE(CONTROL!$C$21, $C$12, 100%, $E$12)</f>
        <v>21.883299999999998</v>
      </c>
      <c r="K1023" s="61">
        <f>21.8834 * CHOOSE(CONTROL!$C$21, $C$12, 100%, $E$12)</f>
        <v>21.883400000000002</v>
      </c>
    </row>
    <row r="1024" spans="1:11" ht="15">
      <c r="A1024" s="13">
        <v>73051</v>
      </c>
      <c r="B1024" s="60">
        <f>18.5326 * CHOOSE(CONTROL!$C$21, $C$12, 100%, $E$12)</f>
        <v>18.532599999999999</v>
      </c>
      <c r="C1024" s="60">
        <f>18.5326 * CHOOSE(CONTROL!$C$21, $C$12, 100%, $E$12)</f>
        <v>18.532599999999999</v>
      </c>
      <c r="D1024" s="60">
        <f>18.5431 * CHOOSE(CONTROL!$C$21, $C$12, 100%, $E$12)</f>
        <v>18.543099999999999</v>
      </c>
      <c r="E1024" s="61">
        <f>21.8531 * CHOOSE(CONTROL!$C$21, $C$12, 100%, $E$12)</f>
        <v>21.853100000000001</v>
      </c>
      <c r="F1024" s="61">
        <f>21.8531 * CHOOSE(CONTROL!$C$21, $C$12, 100%, $E$12)</f>
        <v>21.853100000000001</v>
      </c>
      <c r="G1024" s="61">
        <f>21.8532 * CHOOSE(CONTROL!$C$21, $C$12, 100%, $E$12)</f>
        <v>21.853200000000001</v>
      </c>
      <c r="H1024" s="61">
        <f>35.022* CHOOSE(CONTROL!$C$21, $C$12, 100%, $E$12)</f>
        <v>35.021999999999998</v>
      </c>
      <c r="I1024" s="61">
        <f>35.0221 * CHOOSE(CONTROL!$C$21, $C$12, 100%, $E$12)</f>
        <v>35.022100000000002</v>
      </c>
      <c r="J1024" s="61">
        <f>21.8531 * CHOOSE(CONTROL!$C$21, $C$12, 100%, $E$12)</f>
        <v>21.853100000000001</v>
      </c>
      <c r="K1024" s="61">
        <f>21.8532 * CHOOSE(CONTROL!$C$21, $C$12, 100%, $E$12)</f>
        <v>21.853200000000001</v>
      </c>
    </row>
    <row r="1025" spans="1:11" ht="15">
      <c r="A1025" s="13">
        <v>73082</v>
      </c>
      <c r="B1025" s="60">
        <f>18.5295 * CHOOSE(CONTROL!$C$21, $C$12, 100%, $E$12)</f>
        <v>18.529499999999999</v>
      </c>
      <c r="C1025" s="60">
        <f>18.5295 * CHOOSE(CONTROL!$C$21, $C$12, 100%, $E$12)</f>
        <v>18.529499999999999</v>
      </c>
      <c r="D1025" s="60">
        <f>18.5401 * CHOOSE(CONTROL!$C$21, $C$12, 100%, $E$12)</f>
        <v>18.540099999999999</v>
      </c>
      <c r="E1025" s="61">
        <f>21.6117 * CHOOSE(CONTROL!$C$21, $C$12, 100%, $E$12)</f>
        <v>21.611699999999999</v>
      </c>
      <c r="F1025" s="61">
        <f>21.6117 * CHOOSE(CONTROL!$C$21, $C$12, 100%, $E$12)</f>
        <v>21.611699999999999</v>
      </c>
      <c r="G1025" s="61">
        <f>21.6119 * CHOOSE(CONTROL!$C$21, $C$12, 100%, $E$12)</f>
        <v>21.611899999999999</v>
      </c>
      <c r="H1025" s="61">
        <f>35.0949* CHOOSE(CONTROL!$C$21, $C$12, 100%, $E$12)</f>
        <v>35.094900000000003</v>
      </c>
      <c r="I1025" s="61">
        <f>35.0951 * CHOOSE(CONTROL!$C$21, $C$12, 100%, $E$12)</f>
        <v>35.095100000000002</v>
      </c>
      <c r="J1025" s="61">
        <f>21.6117 * CHOOSE(CONTROL!$C$21, $C$12, 100%, $E$12)</f>
        <v>21.611699999999999</v>
      </c>
      <c r="K1025" s="61">
        <f>21.6119 * CHOOSE(CONTROL!$C$21, $C$12, 100%, $E$12)</f>
        <v>21.611899999999999</v>
      </c>
    </row>
    <row r="1026" spans="1:11" ht="15">
      <c r="A1026" s="13">
        <v>73110</v>
      </c>
      <c r="B1026" s="60">
        <f>18.5265 * CHOOSE(CONTROL!$C$21, $C$12, 100%, $E$12)</f>
        <v>18.526499999999999</v>
      </c>
      <c r="C1026" s="60">
        <f>18.5265 * CHOOSE(CONTROL!$C$21, $C$12, 100%, $E$12)</f>
        <v>18.526499999999999</v>
      </c>
      <c r="D1026" s="60">
        <f>18.537 * CHOOSE(CONTROL!$C$21, $C$12, 100%, $E$12)</f>
        <v>18.536999999999999</v>
      </c>
      <c r="E1026" s="61">
        <f>21.7982 * CHOOSE(CONTROL!$C$21, $C$12, 100%, $E$12)</f>
        <v>21.798200000000001</v>
      </c>
      <c r="F1026" s="61">
        <f>21.7982 * CHOOSE(CONTROL!$C$21, $C$12, 100%, $E$12)</f>
        <v>21.798200000000001</v>
      </c>
      <c r="G1026" s="61">
        <f>21.7984 * CHOOSE(CONTROL!$C$21, $C$12, 100%, $E$12)</f>
        <v>21.798400000000001</v>
      </c>
      <c r="H1026" s="61">
        <f>35.168* CHOOSE(CONTROL!$C$21, $C$12, 100%, $E$12)</f>
        <v>35.167999999999999</v>
      </c>
      <c r="I1026" s="61">
        <f>35.1682 * CHOOSE(CONTROL!$C$21, $C$12, 100%, $E$12)</f>
        <v>35.168199999999999</v>
      </c>
      <c r="J1026" s="61">
        <f>21.7982 * CHOOSE(CONTROL!$C$21, $C$12, 100%, $E$12)</f>
        <v>21.798200000000001</v>
      </c>
      <c r="K1026" s="61">
        <f>21.7984 * CHOOSE(CONTROL!$C$21, $C$12, 100%, $E$12)</f>
        <v>21.798400000000001</v>
      </c>
    </row>
    <row r="1027" spans="1:11" ht="15">
      <c r="A1027" s="13">
        <v>73141</v>
      </c>
      <c r="B1027" s="60">
        <f>18.5365 * CHOOSE(CONTROL!$C$21, $C$12, 100%, $E$12)</f>
        <v>18.5365</v>
      </c>
      <c r="C1027" s="60">
        <f>18.5365 * CHOOSE(CONTROL!$C$21, $C$12, 100%, $E$12)</f>
        <v>18.5365</v>
      </c>
      <c r="D1027" s="60">
        <f>18.547 * CHOOSE(CONTROL!$C$21, $C$12, 100%, $E$12)</f>
        <v>18.547000000000001</v>
      </c>
      <c r="E1027" s="61">
        <f>21.9965 * CHOOSE(CONTROL!$C$21, $C$12, 100%, $E$12)</f>
        <v>21.996500000000001</v>
      </c>
      <c r="F1027" s="61">
        <f>21.9965 * CHOOSE(CONTROL!$C$21, $C$12, 100%, $E$12)</f>
        <v>21.996500000000001</v>
      </c>
      <c r="G1027" s="61">
        <f>21.9967 * CHOOSE(CONTROL!$C$21, $C$12, 100%, $E$12)</f>
        <v>21.996700000000001</v>
      </c>
      <c r="H1027" s="61">
        <f>35.2413* CHOOSE(CONTROL!$C$21, $C$12, 100%, $E$12)</f>
        <v>35.241300000000003</v>
      </c>
      <c r="I1027" s="61">
        <f>35.2415 * CHOOSE(CONTROL!$C$21, $C$12, 100%, $E$12)</f>
        <v>35.241500000000002</v>
      </c>
      <c r="J1027" s="61">
        <f>21.9965 * CHOOSE(CONTROL!$C$21, $C$12, 100%, $E$12)</f>
        <v>21.996500000000001</v>
      </c>
      <c r="K1027" s="61">
        <f>21.9967 * CHOOSE(CONTROL!$C$21, $C$12, 100%, $E$12)</f>
        <v>21.996700000000001</v>
      </c>
    </row>
    <row r="1028" spans="1:11" ht="15">
      <c r="A1028" s="13">
        <v>73171</v>
      </c>
      <c r="B1028" s="60">
        <f>18.5365 * CHOOSE(CONTROL!$C$21, $C$12, 100%, $E$12)</f>
        <v>18.5365</v>
      </c>
      <c r="C1028" s="60">
        <f>18.5365 * CHOOSE(CONTROL!$C$21, $C$12, 100%, $E$12)</f>
        <v>18.5365</v>
      </c>
      <c r="D1028" s="60">
        <f>18.5576 * CHOOSE(CONTROL!$C$21, $C$12, 100%, $E$12)</f>
        <v>18.557600000000001</v>
      </c>
      <c r="E1028" s="61">
        <f>22.0725 * CHOOSE(CONTROL!$C$21, $C$12, 100%, $E$12)</f>
        <v>22.072500000000002</v>
      </c>
      <c r="F1028" s="61">
        <f>22.0725 * CHOOSE(CONTROL!$C$21, $C$12, 100%, $E$12)</f>
        <v>22.072500000000002</v>
      </c>
      <c r="G1028" s="61">
        <f>22.0738 * CHOOSE(CONTROL!$C$21, $C$12, 100%, $E$12)</f>
        <v>22.073799999999999</v>
      </c>
      <c r="H1028" s="61">
        <f>35.3147* CHOOSE(CONTROL!$C$21, $C$12, 100%, $E$12)</f>
        <v>35.314700000000002</v>
      </c>
      <c r="I1028" s="61">
        <f>35.3161 * CHOOSE(CONTROL!$C$21, $C$12, 100%, $E$12)</f>
        <v>35.316099999999999</v>
      </c>
      <c r="J1028" s="61">
        <f>22.0725 * CHOOSE(CONTROL!$C$21, $C$12, 100%, $E$12)</f>
        <v>22.072500000000002</v>
      </c>
      <c r="K1028" s="61">
        <f>22.0738 * CHOOSE(CONTROL!$C$21, $C$12, 100%, $E$12)</f>
        <v>22.073799999999999</v>
      </c>
    </row>
    <row r="1029" spans="1:11" ht="15">
      <c r="A1029" s="13">
        <v>73202</v>
      </c>
      <c r="B1029" s="60">
        <f>18.5425 * CHOOSE(CONTROL!$C$21, $C$12, 100%, $E$12)</f>
        <v>18.5425</v>
      </c>
      <c r="C1029" s="60">
        <f>18.5425 * CHOOSE(CONTROL!$C$21, $C$12, 100%, $E$12)</f>
        <v>18.5425</v>
      </c>
      <c r="D1029" s="60">
        <f>18.5637 * CHOOSE(CONTROL!$C$21, $C$12, 100%, $E$12)</f>
        <v>18.563700000000001</v>
      </c>
      <c r="E1029" s="61">
        <f>22.0007 * CHOOSE(CONTROL!$C$21, $C$12, 100%, $E$12)</f>
        <v>22.000699999999998</v>
      </c>
      <c r="F1029" s="61">
        <f>22.0007 * CHOOSE(CONTROL!$C$21, $C$12, 100%, $E$12)</f>
        <v>22.000699999999998</v>
      </c>
      <c r="G1029" s="61">
        <f>22.0021 * CHOOSE(CONTROL!$C$21, $C$12, 100%, $E$12)</f>
        <v>22.002099999999999</v>
      </c>
      <c r="H1029" s="61">
        <f>35.3883* CHOOSE(CONTROL!$C$21, $C$12, 100%, $E$12)</f>
        <v>35.388300000000001</v>
      </c>
      <c r="I1029" s="61">
        <f>35.3897 * CHOOSE(CONTROL!$C$21, $C$12, 100%, $E$12)</f>
        <v>35.389699999999998</v>
      </c>
      <c r="J1029" s="61">
        <f>22.0007 * CHOOSE(CONTROL!$C$21, $C$12, 100%, $E$12)</f>
        <v>22.000699999999998</v>
      </c>
      <c r="K1029" s="61">
        <f>22.0021 * CHOOSE(CONTROL!$C$21, $C$12, 100%, $E$12)</f>
        <v>22.002099999999999</v>
      </c>
    </row>
    <row r="1030" spans="1:11" ht="15">
      <c r="A1030" s="13">
        <v>73232</v>
      </c>
      <c r="B1030" s="60">
        <f>18.8307 * CHOOSE(CONTROL!$C$21, $C$12, 100%, $E$12)</f>
        <v>18.8307</v>
      </c>
      <c r="C1030" s="60">
        <f>18.8307 * CHOOSE(CONTROL!$C$21, $C$12, 100%, $E$12)</f>
        <v>18.8307</v>
      </c>
      <c r="D1030" s="60">
        <f>18.8518 * CHOOSE(CONTROL!$C$21, $C$12, 100%, $E$12)</f>
        <v>18.851800000000001</v>
      </c>
      <c r="E1030" s="61">
        <f>22.4167 * CHOOSE(CONTROL!$C$21, $C$12, 100%, $E$12)</f>
        <v>22.416699999999999</v>
      </c>
      <c r="F1030" s="61">
        <f>22.4167 * CHOOSE(CONTROL!$C$21, $C$12, 100%, $E$12)</f>
        <v>22.416699999999999</v>
      </c>
      <c r="G1030" s="61">
        <f>22.4181 * CHOOSE(CONTROL!$C$21, $C$12, 100%, $E$12)</f>
        <v>22.418099999999999</v>
      </c>
      <c r="H1030" s="61">
        <f>35.462* CHOOSE(CONTROL!$C$21, $C$12, 100%, $E$12)</f>
        <v>35.462000000000003</v>
      </c>
      <c r="I1030" s="61">
        <f>35.4634 * CHOOSE(CONTROL!$C$21, $C$12, 100%, $E$12)</f>
        <v>35.4634</v>
      </c>
      <c r="J1030" s="61">
        <f>22.4167 * CHOOSE(CONTROL!$C$21, $C$12, 100%, $E$12)</f>
        <v>22.416699999999999</v>
      </c>
      <c r="K1030" s="61">
        <f>22.4181 * CHOOSE(CONTROL!$C$21, $C$12, 100%, $E$12)</f>
        <v>22.418099999999999</v>
      </c>
    </row>
    <row r="1031" spans="1:11" ht="15">
      <c r="A1031" s="13">
        <v>73263</v>
      </c>
      <c r="B1031" s="60">
        <f>18.8374 * CHOOSE(CONTROL!$C$21, $C$12, 100%, $E$12)</f>
        <v>18.837399999999999</v>
      </c>
      <c r="C1031" s="60">
        <f>18.8374 * CHOOSE(CONTROL!$C$21, $C$12, 100%, $E$12)</f>
        <v>18.837399999999999</v>
      </c>
      <c r="D1031" s="60">
        <f>18.8585 * CHOOSE(CONTROL!$C$21, $C$12, 100%, $E$12)</f>
        <v>18.858499999999999</v>
      </c>
      <c r="E1031" s="61">
        <f>22.1935 * CHOOSE(CONTROL!$C$21, $C$12, 100%, $E$12)</f>
        <v>22.1935</v>
      </c>
      <c r="F1031" s="61">
        <f>22.1935 * CHOOSE(CONTROL!$C$21, $C$12, 100%, $E$12)</f>
        <v>22.1935</v>
      </c>
      <c r="G1031" s="61">
        <f>22.1949 * CHOOSE(CONTROL!$C$21, $C$12, 100%, $E$12)</f>
        <v>22.194900000000001</v>
      </c>
      <c r="H1031" s="61">
        <f>35.5359* CHOOSE(CONTROL!$C$21, $C$12, 100%, $E$12)</f>
        <v>35.535899999999998</v>
      </c>
      <c r="I1031" s="61">
        <f>35.5373 * CHOOSE(CONTROL!$C$21, $C$12, 100%, $E$12)</f>
        <v>35.537300000000002</v>
      </c>
      <c r="J1031" s="61">
        <f>22.1935 * CHOOSE(CONTROL!$C$21, $C$12, 100%, $E$12)</f>
        <v>22.1935</v>
      </c>
      <c r="K1031" s="61">
        <f>22.1949 * CHOOSE(CONTROL!$C$21, $C$12, 100%, $E$12)</f>
        <v>22.194900000000001</v>
      </c>
    </row>
    <row r="1032" spans="1:11" ht="15">
      <c r="A1032" s="13">
        <v>73294</v>
      </c>
      <c r="B1032" s="60">
        <f>18.8343 * CHOOSE(CONTROL!$C$21, $C$12, 100%, $E$12)</f>
        <v>18.834299999999999</v>
      </c>
      <c r="C1032" s="60">
        <f>18.8343 * CHOOSE(CONTROL!$C$21, $C$12, 100%, $E$12)</f>
        <v>18.834299999999999</v>
      </c>
      <c r="D1032" s="60">
        <f>18.8554 * CHOOSE(CONTROL!$C$21, $C$12, 100%, $E$12)</f>
        <v>18.855399999999999</v>
      </c>
      <c r="E1032" s="61">
        <f>22.1661 * CHOOSE(CONTROL!$C$21, $C$12, 100%, $E$12)</f>
        <v>22.1661</v>
      </c>
      <c r="F1032" s="61">
        <f>22.1661 * CHOOSE(CONTROL!$C$21, $C$12, 100%, $E$12)</f>
        <v>22.1661</v>
      </c>
      <c r="G1032" s="61">
        <f>22.1674 * CHOOSE(CONTROL!$C$21, $C$12, 100%, $E$12)</f>
        <v>22.167400000000001</v>
      </c>
      <c r="H1032" s="61">
        <f>35.6099* CHOOSE(CONTROL!$C$21, $C$12, 100%, $E$12)</f>
        <v>35.609900000000003</v>
      </c>
      <c r="I1032" s="61">
        <f>35.6113 * CHOOSE(CONTROL!$C$21, $C$12, 100%, $E$12)</f>
        <v>35.6113</v>
      </c>
      <c r="J1032" s="61">
        <f>22.1661 * CHOOSE(CONTROL!$C$21, $C$12, 100%, $E$12)</f>
        <v>22.1661</v>
      </c>
      <c r="K1032" s="61">
        <f>22.1674 * CHOOSE(CONTROL!$C$21, $C$12, 100%, $E$12)</f>
        <v>22.167400000000001</v>
      </c>
    </row>
    <row r="1033" spans="1:11" ht="15">
      <c r="A1033" s="13">
        <v>73324</v>
      </c>
      <c r="B1033" s="60">
        <f>18.8778 * CHOOSE(CONTROL!$C$21, $C$12, 100%, $E$12)</f>
        <v>18.877800000000001</v>
      </c>
      <c r="C1033" s="60">
        <f>18.8778 * CHOOSE(CONTROL!$C$21, $C$12, 100%, $E$12)</f>
        <v>18.877800000000001</v>
      </c>
      <c r="D1033" s="60">
        <f>18.8884 * CHOOSE(CONTROL!$C$21, $C$12, 100%, $E$12)</f>
        <v>18.888400000000001</v>
      </c>
      <c r="E1033" s="61">
        <f>22.2539 * CHOOSE(CONTROL!$C$21, $C$12, 100%, $E$12)</f>
        <v>22.253900000000002</v>
      </c>
      <c r="F1033" s="61">
        <f>22.2539 * CHOOSE(CONTROL!$C$21, $C$12, 100%, $E$12)</f>
        <v>22.253900000000002</v>
      </c>
      <c r="G1033" s="61">
        <f>22.2541 * CHOOSE(CONTROL!$C$21, $C$12, 100%, $E$12)</f>
        <v>22.254100000000001</v>
      </c>
      <c r="H1033" s="61">
        <f>35.6841* CHOOSE(CONTROL!$C$21, $C$12, 100%, $E$12)</f>
        <v>35.684100000000001</v>
      </c>
      <c r="I1033" s="61">
        <f>35.6843 * CHOOSE(CONTROL!$C$21, $C$12, 100%, $E$12)</f>
        <v>35.6843</v>
      </c>
      <c r="J1033" s="61">
        <f>22.2539 * CHOOSE(CONTROL!$C$21, $C$12, 100%, $E$12)</f>
        <v>22.253900000000002</v>
      </c>
      <c r="K1033" s="61">
        <f>22.2541 * CHOOSE(CONTROL!$C$21, $C$12, 100%, $E$12)</f>
        <v>22.254100000000001</v>
      </c>
    </row>
    <row r="1034" spans="1:11" ht="15">
      <c r="A1034" s="13">
        <v>73355</v>
      </c>
      <c r="B1034" s="60">
        <f>18.8808 * CHOOSE(CONTROL!$C$21, $C$12, 100%, $E$12)</f>
        <v>18.880800000000001</v>
      </c>
      <c r="C1034" s="60">
        <f>18.8808 * CHOOSE(CONTROL!$C$21, $C$12, 100%, $E$12)</f>
        <v>18.880800000000001</v>
      </c>
      <c r="D1034" s="60">
        <f>18.8914 * CHOOSE(CONTROL!$C$21, $C$12, 100%, $E$12)</f>
        <v>18.891400000000001</v>
      </c>
      <c r="E1034" s="61">
        <f>22.3067 * CHOOSE(CONTROL!$C$21, $C$12, 100%, $E$12)</f>
        <v>22.306699999999999</v>
      </c>
      <c r="F1034" s="61">
        <f>22.3067 * CHOOSE(CONTROL!$C$21, $C$12, 100%, $E$12)</f>
        <v>22.306699999999999</v>
      </c>
      <c r="G1034" s="61">
        <f>22.3069 * CHOOSE(CONTROL!$C$21, $C$12, 100%, $E$12)</f>
        <v>22.306899999999999</v>
      </c>
      <c r="H1034" s="61">
        <f>35.7585* CHOOSE(CONTROL!$C$21, $C$12, 100%, $E$12)</f>
        <v>35.758499999999998</v>
      </c>
      <c r="I1034" s="61">
        <f>35.7586 * CHOOSE(CONTROL!$C$21, $C$12, 100%, $E$12)</f>
        <v>35.758600000000001</v>
      </c>
      <c r="J1034" s="61">
        <f>22.3067 * CHOOSE(CONTROL!$C$21, $C$12, 100%, $E$12)</f>
        <v>22.306699999999999</v>
      </c>
      <c r="K1034" s="61">
        <f>22.3069 * CHOOSE(CONTROL!$C$21, $C$12, 100%, $E$12)</f>
        <v>22.306899999999999</v>
      </c>
    </row>
    <row r="1035" spans="1:11" ht="15">
      <c r="A1035" s="13">
        <v>73385</v>
      </c>
      <c r="B1035" s="60">
        <f>18.8808 * CHOOSE(CONTROL!$C$21, $C$12, 100%, $E$12)</f>
        <v>18.880800000000001</v>
      </c>
      <c r="C1035" s="60">
        <f>18.8808 * CHOOSE(CONTROL!$C$21, $C$12, 100%, $E$12)</f>
        <v>18.880800000000001</v>
      </c>
      <c r="D1035" s="60">
        <f>18.8914 * CHOOSE(CONTROL!$C$21, $C$12, 100%, $E$12)</f>
        <v>18.891400000000001</v>
      </c>
      <c r="E1035" s="61">
        <f>22.1801 * CHOOSE(CONTROL!$C$21, $C$12, 100%, $E$12)</f>
        <v>22.180099999999999</v>
      </c>
      <c r="F1035" s="61">
        <f>22.1801 * CHOOSE(CONTROL!$C$21, $C$12, 100%, $E$12)</f>
        <v>22.180099999999999</v>
      </c>
      <c r="G1035" s="61">
        <f>22.1803 * CHOOSE(CONTROL!$C$21, $C$12, 100%, $E$12)</f>
        <v>22.180299999999999</v>
      </c>
      <c r="H1035" s="61">
        <f>35.833* CHOOSE(CONTROL!$C$21, $C$12, 100%, $E$12)</f>
        <v>35.832999999999998</v>
      </c>
      <c r="I1035" s="61">
        <f>35.8331 * CHOOSE(CONTROL!$C$21, $C$12, 100%, $E$12)</f>
        <v>35.833100000000002</v>
      </c>
      <c r="J1035" s="61">
        <f>22.1801 * CHOOSE(CONTROL!$C$21, $C$12, 100%, $E$12)</f>
        <v>22.180099999999999</v>
      </c>
      <c r="K1035" s="61">
        <f>22.1803 * CHOOSE(CONTROL!$C$21, $C$12, 100%, $E$12)</f>
        <v>22.180299999999999</v>
      </c>
    </row>
    <row r="1036" spans="1:11" ht="15">
      <c r="A1036" s="10"/>
      <c r="B1036" s="60"/>
      <c r="C1036" s="60"/>
      <c r="D1036" s="60"/>
      <c r="E1036" s="61"/>
      <c r="F1036" s="61"/>
      <c r="G1036" s="61"/>
      <c r="H1036" s="61"/>
      <c r="I1036" s="61"/>
      <c r="J1036" s="61"/>
      <c r="K1036" s="61"/>
    </row>
    <row r="1037" spans="1:11" ht="15">
      <c r="A1037" s="3">
        <v>2016</v>
      </c>
      <c r="B1037" s="60">
        <f t="shared" ref="B1037:K1037" si="0">AVERAGE(B16:B27)</f>
        <v>2.6408833333333335</v>
      </c>
      <c r="C1037" s="60">
        <f t="shared" si="0"/>
        <v>2.6408833333333335</v>
      </c>
      <c r="D1037" s="60">
        <f t="shared" si="0"/>
        <v>2.6558499999999996</v>
      </c>
      <c r="E1037" s="60">
        <f t="shared" si="0"/>
        <v>3.361966666666667</v>
      </c>
      <c r="F1037" s="60">
        <f t="shared" si="0"/>
        <v>4.0214166666666662</v>
      </c>
      <c r="G1037" s="60">
        <f t="shared" si="0"/>
        <v>4.0221166666666663</v>
      </c>
      <c r="H1037" s="60">
        <f t="shared" si="0"/>
        <v>5.7971666666666666</v>
      </c>
      <c r="I1037" s="60">
        <f t="shared" si="0"/>
        <v>5.7978333333333332</v>
      </c>
      <c r="J1037" s="60">
        <f t="shared" si="0"/>
        <v>3.361966666666667</v>
      </c>
      <c r="K1037" s="60">
        <f t="shared" si="0"/>
        <v>3.3626583333333335</v>
      </c>
    </row>
    <row r="1038" spans="1:11" ht="15">
      <c r="A1038" s="3">
        <v>2017</v>
      </c>
      <c r="B1038" s="60">
        <f t="shared" ref="B1038:K1038" si="1">AVERAGE(B28:B39)</f>
        <v>2.7329833333333333</v>
      </c>
      <c r="C1038" s="60">
        <f t="shared" si="1"/>
        <v>2.7329833333333333</v>
      </c>
      <c r="D1038" s="60">
        <f t="shared" si="1"/>
        <v>2.7479666666666667</v>
      </c>
      <c r="E1038" s="60">
        <f t="shared" si="1"/>
        <v>3.5132250000000003</v>
      </c>
      <c r="F1038" s="60">
        <f t="shared" si="1"/>
        <v>3.5132250000000003</v>
      </c>
      <c r="G1038" s="60">
        <f t="shared" si="1"/>
        <v>3.5139250000000004</v>
      </c>
      <c r="H1038" s="60">
        <f t="shared" si="1"/>
        <v>5.943766666666666</v>
      </c>
      <c r="I1038" s="60">
        <f t="shared" si="1"/>
        <v>5.9444416666666671</v>
      </c>
      <c r="J1038" s="60">
        <f t="shared" si="1"/>
        <v>3.5132250000000003</v>
      </c>
      <c r="K1038" s="60">
        <f t="shared" si="1"/>
        <v>3.5139250000000004</v>
      </c>
    </row>
    <row r="1039" spans="1:11" ht="15">
      <c r="A1039" s="3">
        <v>2018</v>
      </c>
      <c r="B1039" s="60">
        <f t="shared" ref="B1039:K1039" si="2">AVERAGE(B40:B51)</f>
        <v>2.8547750000000001</v>
      </c>
      <c r="C1039" s="60">
        <f t="shared" si="2"/>
        <v>2.8547750000000001</v>
      </c>
      <c r="D1039" s="60">
        <f t="shared" si="2"/>
        <v>2.8697583333333334</v>
      </c>
      <c r="E1039" s="60">
        <f t="shared" si="2"/>
        <v>3.3498833333333331</v>
      </c>
      <c r="F1039" s="60">
        <f t="shared" si="2"/>
        <v>3.3498833333333331</v>
      </c>
      <c r="G1039" s="60">
        <f t="shared" si="2"/>
        <v>3.3505500000000001</v>
      </c>
      <c r="H1039" s="60">
        <f t="shared" si="2"/>
        <v>6.0940916666666674</v>
      </c>
      <c r="I1039" s="60">
        <f t="shared" si="2"/>
        <v>6.0947499999999986</v>
      </c>
      <c r="J1039" s="60">
        <f t="shared" si="2"/>
        <v>3.3498833333333331</v>
      </c>
      <c r="K1039" s="60">
        <f t="shared" si="2"/>
        <v>3.3505500000000001</v>
      </c>
    </row>
    <row r="1040" spans="1:11" ht="15">
      <c r="A1040" s="3">
        <v>2019</v>
      </c>
      <c r="B1040" s="60">
        <f t="shared" ref="B1040:K1040" si="3">AVERAGE(B52:B63)</f>
        <v>2.9488833333333333</v>
      </c>
      <c r="C1040" s="60">
        <f t="shared" si="3"/>
        <v>2.9488833333333333</v>
      </c>
      <c r="D1040" s="60">
        <f t="shared" si="3"/>
        <v>2.9638583333333339</v>
      </c>
      <c r="E1040" s="60">
        <f t="shared" si="3"/>
        <v>3.4520083333333336</v>
      </c>
      <c r="F1040" s="60">
        <f t="shared" si="3"/>
        <v>3.4520083333333336</v>
      </c>
      <c r="G1040" s="60">
        <f t="shared" si="3"/>
        <v>3.4527000000000001</v>
      </c>
      <c r="H1040" s="60">
        <f t="shared" si="3"/>
        <v>6.2481916666666679</v>
      </c>
      <c r="I1040" s="60">
        <f t="shared" si="3"/>
        <v>6.2488666666666655</v>
      </c>
      <c r="J1040" s="60">
        <f t="shared" si="3"/>
        <v>3.4520083333333336</v>
      </c>
      <c r="K1040" s="60">
        <f t="shared" si="3"/>
        <v>3.4527000000000001</v>
      </c>
    </row>
    <row r="1041" spans="1:11" ht="15">
      <c r="A1041" s="3">
        <v>2020</v>
      </c>
      <c r="B1041" s="60">
        <f t="shared" ref="B1041:K1041" si="4">AVERAGE(B64:B75)</f>
        <v>3.0247416666666669</v>
      </c>
      <c r="C1041" s="60">
        <f t="shared" si="4"/>
        <v>3.0247416666666669</v>
      </c>
      <c r="D1041" s="60">
        <f t="shared" si="4"/>
        <v>3.0397000000000003</v>
      </c>
      <c r="E1041" s="60">
        <f t="shared" si="4"/>
        <v>3.5770166666666667</v>
      </c>
      <c r="F1041" s="60">
        <f t="shared" si="4"/>
        <v>3.5770166666666667</v>
      </c>
      <c r="G1041" s="60">
        <f t="shared" si="4"/>
        <v>3.5776999999999997</v>
      </c>
      <c r="H1041" s="60">
        <f t="shared" si="4"/>
        <v>6.4061999999999992</v>
      </c>
      <c r="I1041" s="60">
        <f t="shared" si="4"/>
        <v>6.4068666666666667</v>
      </c>
      <c r="J1041" s="60">
        <f t="shared" si="4"/>
        <v>3.5770166666666667</v>
      </c>
      <c r="K1041" s="60">
        <f t="shared" si="4"/>
        <v>3.5776999999999997</v>
      </c>
    </row>
    <row r="1042" spans="1:11" ht="15">
      <c r="A1042" s="3">
        <v>2021</v>
      </c>
      <c r="B1042" s="60">
        <f t="shared" ref="B1042:K1042" si="5">AVERAGE(B76:B87)</f>
        <v>3.1064250000000002</v>
      </c>
      <c r="C1042" s="60">
        <f t="shared" si="5"/>
        <v>3.1064250000000002</v>
      </c>
      <c r="D1042" s="60">
        <f t="shared" si="5"/>
        <v>3.1214</v>
      </c>
      <c r="E1042" s="60">
        <f t="shared" si="5"/>
        <v>3.659675</v>
      </c>
      <c r="F1042" s="60">
        <f t="shared" si="5"/>
        <v>3.659675</v>
      </c>
      <c r="G1042" s="60">
        <f t="shared" si="5"/>
        <v>3.6603333333333334</v>
      </c>
      <c r="H1042" s="60">
        <f t="shared" si="5"/>
        <v>6.5682</v>
      </c>
      <c r="I1042" s="60">
        <f t="shared" si="5"/>
        <v>6.5688666666666675</v>
      </c>
      <c r="J1042" s="60">
        <f t="shared" si="5"/>
        <v>3.659675</v>
      </c>
      <c r="K1042" s="60">
        <f t="shared" si="5"/>
        <v>3.6603333333333334</v>
      </c>
    </row>
    <row r="1043" spans="1:11" ht="15">
      <c r="A1043" s="3">
        <v>2022</v>
      </c>
      <c r="B1043" s="60">
        <f t="shared" ref="B1043:K1043" si="6">AVERAGE(B88:B99)</f>
        <v>3.1894000000000005</v>
      </c>
      <c r="C1043" s="60">
        <f t="shared" si="6"/>
        <v>3.1894000000000005</v>
      </c>
      <c r="D1043" s="60">
        <f t="shared" si="6"/>
        <v>3.204366666666667</v>
      </c>
      <c r="E1043" s="60">
        <f t="shared" si="6"/>
        <v>3.7376166666666673</v>
      </c>
      <c r="F1043" s="60">
        <f t="shared" si="6"/>
        <v>3.7376166666666673</v>
      </c>
      <c r="G1043" s="60">
        <f t="shared" si="6"/>
        <v>3.738291666666667</v>
      </c>
      <c r="H1043" s="60">
        <f t="shared" si="6"/>
        <v>6.7342833333333338</v>
      </c>
      <c r="I1043" s="60">
        <f t="shared" si="6"/>
        <v>6.7349750000000013</v>
      </c>
      <c r="J1043" s="60">
        <f t="shared" si="6"/>
        <v>3.7376166666666673</v>
      </c>
      <c r="K1043" s="60">
        <f t="shared" si="6"/>
        <v>3.738291666666667</v>
      </c>
    </row>
    <row r="1044" spans="1:11" ht="15">
      <c r="A1044" s="3">
        <v>2023</v>
      </c>
      <c r="B1044" s="60">
        <f t="shared" ref="B1044:K1044" si="7">AVERAGE(B100:B111)</f>
        <v>3.2733583333333329</v>
      </c>
      <c r="C1044" s="60">
        <f t="shared" si="7"/>
        <v>3.2733583333333329</v>
      </c>
      <c r="D1044" s="60">
        <f t="shared" si="7"/>
        <v>3.2883250000000004</v>
      </c>
      <c r="E1044" s="60">
        <f t="shared" si="7"/>
        <v>3.8185500000000006</v>
      </c>
      <c r="F1044" s="60">
        <f t="shared" si="7"/>
        <v>3.8185500000000006</v>
      </c>
      <c r="G1044" s="60">
        <f t="shared" si="7"/>
        <v>3.8192250000000008</v>
      </c>
      <c r="H1044" s="60">
        <f t="shared" si="7"/>
        <v>6.9045916666666658</v>
      </c>
      <c r="I1044" s="60">
        <f t="shared" si="7"/>
        <v>6.9052833333333323</v>
      </c>
      <c r="J1044" s="60">
        <f t="shared" si="7"/>
        <v>3.8185500000000006</v>
      </c>
      <c r="K1044" s="60">
        <f t="shared" si="7"/>
        <v>3.8192250000000008</v>
      </c>
    </row>
    <row r="1045" spans="1:11" ht="15">
      <c r="A1045" s="3">
        <v>2024</v>
      </c>
      <c r="B1045" s="60">
        <f t="shared" ref="B1045:K1045" si="8">AVERAGE(B112:B123)</f>
        <v>3.356641666666667</v>
      </c>
      <c r="C1045" s="60">
        <f t="shared" si="8"/>
        <v>3.356641666666667</v>
      </c>
      <c r="D1045" s="60">
        <f t="shared" si="8"/>
        <v>3.3716083333333331</v>
      </c>
      <c r="E1045" s="60">
        <f t="shared" si="8"/>
        <v>3.8828749999999999</v>
      </c>
      <c r="F1045" s="60">
        <f t="shared" si="8"/>
        <v>3.8828749999999999</v>
      </c>
      <c r="G1045" s="60">
        <f t="shared" si="8"/>
        <v>3.8835416666666664</v>
      </c>
      <c r="H1045" s="60">
        <f t="shared" si="8"/>
        <v>7.0792083333333329</v>
      </c>
      <c r="I1045" s="60">
        <f t="shared" si="8"/>
        <v>7.0798666666666668</v>
      </c>
      <c r="J1045" s="60">
        <f t="shared" si="8"/>
        <v>3.8828749999999999</v>
      </c>
      <c r="K1045" s="60">
        <f t="shared" si="8"/>
        <v>3.8835416666666664</v>
      </c>
    </row>
    <row r="1046" spans="1:11" ht="15">
      <c r="A1046" s="3">
        <v>2025</v>
      </c>
      <c r="B1046" s="60">
        <f t="shared" ref="B1046:K1046" si="9">AVERAGE(B124:B135)</f>
        <v>3.4431833333333337</v>
      </c>
      <c r="C1046" s="60">
        <f t="shared" si="9"/>
        <v>3.4431833333333337</v>
      </c>
      <c r="D1046" s="60">
        <f t="shared" si="9"/>
        <v>3.4581416666666667</v>
      </c>
      <c r="E1046" s="60">
        <f t="shared" si="9"/>
        <v>3.9477666666666664</v>
      </c>
      <c r="F1046" s="60">
        <f t="shared" si="9"/>
        <v>3.9477666666666664</v>
      </c>
      <c r="G1046" s="60">
        <f t="shared" si="9"/>
        <v>3.948458333333333</v>
      </c>
      <c r="H1046" s="60">
        <f t="shared" si="9"/>
        <v>7.2582250000000004</v>
      </c>
      <c r="I1046" s="60">
        <f t="shared" si="9"/>
        <v>7.2589083333333342</v>
      </c>
      <c r="J1046" s="60">
        <f t="shared" si="9"/>
        <v>3.9477666666666664</v>
      </c>
      <c r="K1046" s="60">
        <f t="shared" si="9"/>
        <v>3.948458333333333</v>
      </c>
    </row>
    <row r="1047" spans="1:11" ht="15">
      <c r="A1047" s="3">
        <v>2026</v>
      </c>
      <c r="B1047" s="60">
        <f t="shared" ref="B1047:K1047" si="10">AVERAGE(B136:B147)</f>
        <v>3.5199749999999992</v>
      </c>
      <c r="C1047" s="60">
        <f t="shared" si="10"/>
        <v>3.5199749999999992</v>
      </c>
      <c r="D1047" s="60">
        <f t="shared" si="10"/>
        <v>3.5349333333333335</v>
      </c>
      <c r="E1047" s="60">
        <f t="shared" si="10"/>
        <v>4.0216916666666664</v>
      </c>
      <c r="F1047" s="60">
        <f t="shared" si="10"/>
        <v>4.0216916666666664</v>
      </c>
      <c r="G1047" s="60">
        <f t="shared" si="10"/>
        <v>4.0223916666666666</v>
      </c>
      <c r="H1047" s="60">
        <f t="shared" si="10"/>
        <v>7.4417749999999998</v>
      </c>
      <c r="I1047" s="60">
        <f t="shared" si="10"/>
        <v>7.44245</v>
      </c>
      <c r="J1047" s="60">
        <f t="shared" si="10"/>
        <v>4.0216916666666664</v>
      </c>
      <c r="K1047" s="60">
        <f t="shared" si="10"/>
        <v>4.0223916666666666</v>
      </c>
    </row>
    <row r="1048" spans="1:11" ht="15">
      <c r="A1048" s="3">
        <v>2027</v>
      </c>
      <c r="B1048" s="60">
        <f t="shared" ref="B1048:K1048" si="11">AVERAGE(B148:B159)</f>
        <v>3.5945083333333336</v>
      </c>
      <c r="C1048" s="60">
        <f t="shared" si="11"/>
        <v>3.5945083333333336</v>
      </c>
      <c r="D1048" s="60">
        <f t="shared" si="11"/>
        <v>3.6094833333333338</v>
      </c>
      <c r="E1048" s="60">
        <f t="shared" si="11"/>
        <v>4.0970250000000004</v>
      </c>
      <c r="F1048" s="60">
        <f t="shared" si="11"/>
        <v>4.0970250000000004</v>
      </c>
      <c r="G1048" s="60">
        <f t="shared" si="11"/>
        <v>4.097691666666667</v>
      </c>
      <c r="H1048" s="60">
        <f t="shared" si="11"/>
        <v>7.6299583333333345</v>
      </c>
      <c r="I1048" s="60">
        <f t="shared" si="11"/>
        <v>7.6306416666666657</v>
      </c>
      <c r="J1048" s="60">
        <f t="shared" si="11"/>
        <v>4.0970250000000004</v>
      </c>
      <c r="K1048" s="60">
        <f t="shared" si="11"/>
        <v>4.097691666666667</v>
      </c>
    </row>
    <row r="1049" spans="1:11" ht="15">
      <c r="A1049" s="3">
        <v>2028</v>
      </c>
      <c r="B1049" s="60">
        <f t="shared" ref="B1049:K1049" si="12">AVERAGE(B160:B171)</f>
        <v>3.6865333333333346</v>
      </c>
      <c r="C1049" s="60">
        <f t="shared" si="12"/>
        <v>3.6865333333333346</v>
      </c>
      <c r="D1049" s="60">
        <f t="shared" si="12"/>
        <v>3.7014749999999998</v>
      </c>
      <c r="E1049" s="60">
        <f t="shared" si="12"/>
        <v>4.1895333333333324</v>
      </c>
      <c r="F1049" s="60">
        <f t="shared" si="12"/>
        <v>4.1895333333333324</v>
      </c>
      <c r="G1049" s="60">
        <f t="shared" si="12"/>
        <v>4.1902166666666671</v>
      </c>
      <c r="H1049" s="60">
        <f t="shared" si="12"/>
        <v>7.822916666666667</v>
      </c>
      <c r="I1049" s="60">
        <f t="shared" si="12"/>
        <v>7.8235916666666663</v>
      </c>
      <c r="J1049" s="60">
        <f t="shared" si="12"/>
        <v>4.1895333333333324</v>
      </c>
      <c r="K1049" s="60">
        <f t="shared" si="12"/>
        <v>4.1902166666666671</v>
      </c>
    </row>
    <row r="1050" spans="1:11" ht="15">
      <c r="A1050" s="3">
        <v>2029</v>
      </c>
      <c r="B1050" s="60">
        <f t="shared" ref="B1050:K1050" si="13">AVERAGE(B172:B183)</f>
        <v>3.7820583333333331</v>
      </c>
      <c r="C1050" s="60">
        <f t="shared" si="13"/>
        <v>3.7820583333333331</v>
      </c>
      <c r="D1050" s="60">
        <f t="shared" si="13"/>
        <v>3.7970083333333342</v>
      </c>
      <c r="E1050" s="60">
        <f t="shared" si="13"/>
        <v>4.3054249999999996</v>
      </c>
      <c r="F1050" s="60">
        <f t="shared" si="13"/>
        <v>4.3054249999999996</v>
      </c>
      <c r="G1050" s="60">
        <f t="shared" si="13"/>
        <v>4.3061083333333343</v>
      </c>
      <c r="H1050" s="60">
        <f t="shared" si="13"/>
        <v>8.0207499999999996</v>
      </c>
      <c r="I1050" s="60">
        <f t="shared" si="13"/>
        <v>8.0214166666666653</v>
      </c>
      <c r="J1050" s="60">
        <f t="shared" si="13"/>
        <v>4.3054249999999996</v>
      </c>
      <c r="K1050" s="60">
        <f t="shared" si="13"/>
        <v>4.3061083333333343</v>
      </c>
    </row>
    <row r="1051" spans="1:11" ht="15">
      <c r="A1051" s="3">
        <v>2030</v>
      </c>
      <c r="B1051" s="60">
        <f t="shared" ref="B1051:K1051" si="14">AVERAGE(B184:B195)</f>
        <v>3.8811916666666666</v>
      </c>
      <c r="C1051" s="60">
        <f t="shared" si="14"/>
        <v>3.8811916666666666</v>
      </c>
      <c r="D1051" s="60">
        <f t="shared" si="14"/>
        <v>3.8961583333333336</v>
      </c>
      <c r="E1051" s="60">
        <f t="shared" si="14"/>
        <v>4.4246083333333326</v>
      </c>
      <c r="F1051" s="60">
        <f t="shared" si="14"/>
        <v>4.4246083333333326</v>
      </c>
      <c r="G1051" s="60">
        <f t="shared" si="14"/>
        <v>4.4252999999999991</v>
      </c>
      <c r="H1051" s="60">
        <f t="shared" si="14"/>
        <v>8.2235750000000003</v>
      </c>
      <c r="I1051" s="60">
        <f t="shared" si="14"/>
        <v>8.2242583333333332</v>
      </c>
      <c r="J1051" s="60">
        <f t="shared" si="14"/>
        <v>4.4246083333333326</v>
      </c>
      <c r="K1051" s="60">
        <f t="shared" si="14"/>
        <v>4.4252999999999991</v>
      </c>
    </row>
    <row r="1052" spans="1:11" ht="15">
      <c r="A1052" s="3">
        <v>2031</v>
      </c>
      <c r="B1052" s="60">
        <f t="shared" ref="B1052:K1052" si="15">AVERAGE(B196:B207)</f>
        <v>3.9861666666666671</v>
      </c>
      <c r="C1052" s="60">
        <f t="shared" si="15"/>
        <v>3.9861666666666671</v>
      </c>
      <c r="D1052" s="60">
        <f t="shared" si="15"/>
        <v>4.0011083333333328</v>
      </c>
      <c r="E1052" s="60">
        <f t="shared" si="15"/>
        <v>4.564283333333333</v>
      </c>
      <c r="F1052" s="60">
        <f t="shared" si="15"/>
        <v>4.564283333333333</v>
      </c>
      <c r="G1052" s="60">
        <f t="shared" si="15"/>
        <v>4.5649499999999987</v>
      </c>
      <c r="H1052" s="60">
        <f t="shared" si="15"/>
        <v>8.4315499999999997</v>
      </c>
      <c r="I1052" s="60">
        <f t="shared" si="15"/>
        <v>8.4322083333333335</v>
      </c>
      <c r="J1052" s="60">
        <f t="shared" si="15"/>
        <v>4.564283333333333</v>
      </c>
      <c r="K1052" s="60">
        <f t="shared" si="15"/>
        <v>4.5649499999999987</v>
      </c>
    </row>
    <row r="1053" spans="1:11" ht="15">
      <c r="A1053" s="3">
        <v>2032</v>
      </c>
      <c r="B1053" s="60">
        <f t="shared" ref="B1053:K1053" si="16">AVERAGE(B208:B219)</f>
        <v>4.1071416666666662</v>
      </c>
      <c r="C1053" s="60">
        <f t="shared" si="16"/>
        <v>4.1071416666666662</v>
      </c>
      <c r="D1053" s="60">
        <f t="shared" si="16"/>
        <v>4.1220916666666669</v>
      </c>
      <c r="E1053" s="60">
        <f t="shared" si="16"/>
        <v>4.7087666666666665</v>
      </c>
      <c r="F1053" s="60">
        <f t="shared" si="16"/>
        <v>4.7087666666666665</v>
      </c>
      <c r="G1053" s="60">
        <f t="shared" si="16"/>
        <v>4.7094166666666668</v>
      </c>
      <c r="H1053" s="60">
        <f t="shared" si="16"/>
        <v>8.6447666666666674</v>
      </c>
      <c r="I1053" s="60">
        <f t="shared" si="16"/>
        <v>8.6454333333333313</v>
      </c>
      <c r="J1053" s="60">
        <f t="shared" si="16"/>
        <v>4.7087666666666665</v>
      </c>
      <c r="K1053" s="60">
        <f t="shared" si="16"/>
        <v>4.7094166666666668</v>
      </c>
    </row>
    <row r="1054" spans="1:11" ht="15">
      <c r="A1054" s="3">
        <v>2033</v>
      </c>
      <c r="B1054" s="60">
        <f t="shared" ref="B1054:K1054" si="17">AVERAGE(B220:B231)</f>
        <v>4.2320083333333329</v>
      </c>
      <c r="C1054" s="60">
        <f t="shared" si="17"/>
        <v>4.2320083333333329</v>
      </c>
      <c r="D1054" s="60">
        <f t="shared" si="17"/>
        <v>4.2469916666666672</v>
      </c>
      <c r="E1054" s="60">
        <f t="shared" si="17"/>
        <v>4.8575416666666671</v>
      </c>
      <c r="F1054" s="60">
        <f t="shared" si="17"/>
        <v>4.8575416666666671</v>
      </c>
      <c r="G1054" s="60">
        <f t="shared" si="17"/>
        <v>4.8582166666666664</v>
      </c>
      <c r="H1054" s="60">
        <f t="shared" si="17"/>
        <v>8.8633666666666659</v>
      </c>
      <c r="I1054" s="60">
        <f t="shared" si="17"/>
        <v>8.864041666666667</v>
      </c>
      <c r="J1054" s="60">
        <f t="shared" si="17"/>
        <v>4.8575416666666671</v>
      </c>
      <c r="K1054" s="60">
        <f t="shared" si="17"/>
        <v>4.8582166666666664</v>
      </c>
    </row>
    <row r="1055" spans="1:11" ht="15">
      <c r="A1055" s="3">
        <v>2034</v>
      </c>
      <c r="B1055" s="60">
        <f t="shared" ref="B1055:K1055" si="18">AVERAGE(B232:B243)</f>
        <v>4.3617000000000008</v>
      </c>
      <c r="C1055" s="60">
        <f t="shared" si="18"/>
        <v>4.3617000000000008</v>
      </c>
      <c r="D1055" s="60">
        <f t="shared" si="18"/>
        <v>4.3766749999999988</v>
      </c>
      <c r="E1055" s="60">
        <f t="shared" si="18"/>
        <v>5.0112666666666668</v>
      </c>
      <c r="F1055" s="60">
        <f t="shared" si="18"/>
        <v>5.0112666666666668</v>
      </c>
      <c r="G1055" s="60">
        <f t="shared" si="18"/>
        <v>5.0119333333333342</v>
      </c>
      <c r="H1055" s="60">
        <f t="shared" si="18"/>
        <v>9.0875166666666658</v>
      </c>
      <c r="I1055" s="60">
        <f t="shared" si="18"/>
        <v>9.0881916666666651</v>
      </c>
      <c r="J1055" s="60">
        <f t="shared" si="18"/>
        <v>5.0112666666666668</v>
      </c>
      <c r="K1055" s="60">
        <f t="shared" si="18"/>
        <v>5.0119333333333342</v>
      </c>
    </row>
    <row r="1056" spans="1:11" ht="15">
      <c r="A1056" s="3">
        <v>2035</v>
      </c>
      <c r="B1056" s="60">
        <f t="shared" ref="B1056:K1056" si="19">AVERAGE(B244:B255)</f>
        <v>4.4858083333333338</v>
      </c>
      <c r="C1056" s="60">
        <f t="shared" si="19"/>
        <v>4.4858083333333338</v>
      </c>
      <c r="D1056" s="60">
        <f t="shared" si="19"/>
        <v>4.500775</v>
      </c>
      <c r="E1056" s="60">
        <f t="shared" si="19"/>
        <v>5.1507166666666668</v>
      </c>
      <c r="F1056" s="60">
        <f t="shared" si="19"/>
        <v>5.1507166666666668</v>
      </c>
      <c r="G1056" s="60">
        <f t="shared" si="19"/>
        <v>5.1513833333333334</v>
      </c>
      <c r="H1056" s="60">
        <f t="shared" si="19"/>
        <v>9.3173083333333349</v>
      </c>
      <c r="I1056" s="60">
        <f t="shared" si="19"/>
        <v>9.3179999999999996</v>
      </c>
      <c r="J1056" s="60">
        <f t="shared" si="19"/>
        <v>5.1507166666666668</v>
      </c>
      <c r="K1056" s="60">
        <f t="shared" si="19"/>
        <v>5.1513833333333334</v>
      </c>
    </row>
    <row r="1057" spans="1:11" ht="15">
      <c r="A1057" s="3">
        <v>2036</v>
      </c>
      <c r="B1057" s="60">
        <f t="shared" ref="B1057:K1057" si="20">AVERAGE(B256:B267)</f>
        <v>4.6092000000000004</v>
      </c>
      <c r="C1057" s="60">
        <f t="shared" si="20"/>
        <v>4.6092000000000004</v>
      </c>
      <c r="D1057" s="60">
        <f t="shared" si="20"/>
        <v>4.6241666666666665</v>
      </c>
      <c r="E1057" s="60">
        <f t="shared" si="20"/>
        <v>5.2943249999999997</v>
      </c>
      <c r="F1057" s="60">
        <f t="shared" si="20"/>
        <v>5.2943249999999997</v>
      </c>
      <c r="G1057" s="60">
        <f t="shared" si="20"/>
        <v>5.2949916666666663</v>
      </c>
      <c r="H1057" s="60">
        <f t="shared" si="20"/>
        <v>9.5529416666666673</v>
      </c>
      <c r="I1057" s="60">
        <f t="shared" si="20"/>
        <v>9.5536083333333313</v>
      </c>
      <c r="J1057" s="60">
        <f t="shared" si="20"/>
        <v>5.2943249999999997</v>
      </c>
      <c r="K1057" s="60">
        <f t="shared" si="20"/>
        <v>5.2949916666666663</v>
      </c>
    </row>
    <row r="1058" spans="1:11" ht="15">
      <c r="A1058" s="3">
        <v>2037</v>
      </c>
      <c r="B1058" s="60">
        <f t="shared" ref="B1058:K1058" si="21">AVERAGE(B268:B279)</f>
        <v>4.7357500000000003</v>
      </c>
      <c r="C1058" s="60">
        <f t="shared" si="21"/>
        <v>4.7357500000000003</v>
      </c>
      <c r="D1058" s="60">
        <f t="shared" si="21"/>
        <v>4.7507166666666674</v>
      </c>
      <c r="E1058" s="60">
        <f t="shared" si="21"/>
        <v>5.441816666666667</v>
      </c>
      <c r="F1058" s="60">
        <f t="shared" si="21"/>
        <v>5.441816666666667</v>
      </c>
      <c r="G1058" s="60">
        <f t="shared" si="21"/>
        <v>5.4424999999999999</v>
      </c>
      <c r="H1058" s="60">
        <f t="shared" si="21"/>
        <v>9.7945249999999984</v>
      </c>
      <c r="I1058" s="60">
        <f t="shared" si="21"/>
        <v>9.7951916666666676</v>
      </c>
      <c r="J1058" s="60">
        <f t="shared" si="21"/>
        <v>5.441816666666667</v>
      </c>
      <c r="K1058" s="60">
        <f t="shared" si="21"/>
        <v>5.4424999999999999</v>
      </c>
    </row>
    <row r="1059" spans="1:11" ht="15">
      <c r="A1059" s="3">
        <v>2038</v>
      </c>
      <c r="B1059" s="60">
        <f t="shared" ref="B1059:K1059" si="22">AVERAGE(B280:B291)</f>
        <v>4.8654333333333337</v>
      </c>
      <c r="C1059" s="60">
        <f t="shared" si="22"/>
        <v>4.8654333333333337</v>
      </c>
      <c r="D1059" s="60">
        <f t="shared" si="22"/>
        <v>4.8804083333333343</v>
      </c>
      <c r="E1059" s="60">
        <f t="shared" si="22"/>
        <v>5.594408333333333</v>
      </c>
      <c r="F1059" s="60">
        <f t="shared" si="22"/>
        <v>5.594408333333333</v>
      </c>
      <c r="G1059" s="60">
        <f t="shared" si="22"/>
        <v>5.5951000000000013</v>
      </c>
      <c r="H1059" s="60">
        <f t="shared" si="22"/>
        <v>10.042208333333333</v>
      </c>
      <c r="I1059" s="60">
        <f t="shared" si="22"/>
        <v>10.042866666666667</v>
      </c>
      <c r="J1059" s="60">
        <f t="shared" si="22"/>
        <v>5.594408333333333</v>
      </c>
      <c r="K1059" s="60">
        <f t="shared" si="22"/>
        <v>5.5951000000000013</v>
      </c>
    </row>
    <row r="1060" spans="1:11" ht="15">
      <c r="A1060" s="3">
        <v>2039</v>
      </c>
      <c r="B1060" s="60">
        <f t="shared" ref="B1060:K1060" si="23">AVERAGE(B292:B303)</f>
        <v>5.0003166666666656</v>
      </c>
      <c r="C1060" s="60">
        <f t="shared" si="23"/>
        <v>5.0003166666666656</v>
      </c>
      <c r="D1060" s="60">
        <f t="shared" si="23"/>
        <v>5.015274999999999</v>
      </c>
      <c r="E1060" s="60">
        <f t="shared" si="23"/>
        <v>5.749200000000001</v>
      </c>
      <c r="F1060" s="60">
        <f t="shared" si="23"/>
        <v>5.749200000000001</v>
      </c>
      <c r="G1060" s="60">
        <f t="shared" si="23"/>
        <v>5.749883333333333</v>
      </c>
      <c r="H1060" s="60">
        <f t="shared" si="23"/>
        <v>10.296166666666666</v>
      </c>
      <c r="I1060" s="60">
        <f t="shared" si="23"/>
        <v>10.296833333333332</v>
      </c>
      <c r="J1060" s="60">
        <f t="shared" si="23"/>
        <v>5.749200000000001</v>
      </c>
      <c r="K1060" s="60">
        <f t="shared" si="23"/>
        <v>5.749883333333333</v>
      </c>
    </row>
    <row r="1061" spans="1:11" ht="15">
      <c r="A1061" s="3">
        <v>2040</v>
      </c>
      <c r="B1061" s="60">
        <f t="shared" ref="B1061:K1061" si="24">AVERAGE(B304:B315)</f>
        <v>5.136425</v>
      </c>
      <c r="C1061" s="60">
        <f t="shared" si="24"/>
        <v>5.136425</v>
      </c>
      <c r="D1061" s="60">
        <f t="shared" si="24"/>
        <v>5.1513833333333334</v>
      </c>
      <c r="E1061" s="60">
        <f t="shared" si="24"/>
        <v>5.9101166666666662</v>
      </c>
      <c r="F1061" s="60">
        <f t="shared" si="24"/>
        <v>5.9101166666666662</v>
      </c>
      <c r="G1061" s="60">
        <f t="shared" si="24"/>
        <v>5.9107999999999992</v>
      </c>
      <c r="H1061" s="60">
        <f t="shared" si="24"/>
        <v>10.556541666666666</v>
      </c>
      <c r="I1061" s="60">
        <f t="shared" si="24"/>
        <v>10.557208333333334</v>
      </c>
      <c r="J1061" s="60">
        <f t="shared" si="24"/>
        <v>5.9101166666666662</v>
      </c>
      <c r="K1061" s="60">
        <f t="shared" si="24"/>
        <v>5.9107999999999992</v>
      </c>
    </row>
    <row r="1062" spans="1:11" ht="15">
      <c r="A1062" s="3">
        <v>2041</v>
      </c>
      <c r="B1062" s="60">
        <f t="shared" ref="B1062:K1062" si="25">AVERAGE(B316:B327)</f>
        <v>5.2762833333333345</v>
      </c>
      <c r="C1062" s="60">
        <f t="shared" si="25"/>
        <v>5.2762833333333345</v>
      </c>
      <c r="D1062" s="60">
        <f t="shared" si="25"/>
        <v>5.2912583333333325</v>
      </c>
      <c r="E1062" s="60">
        <f t="shared" si="25"/>
        <v>6.0755333333333335</v>
      </c>
      <c r="F1062" s="60">
        <f t="shared" si="25"/>
        <v>6.0755333333333335</v>
      </c>
      <c r="G1062" s="60">
        <f t="shared" si="25"/>
        <v>6.0762166666666673</v>
      </c>
      <c r="H1062" s="60">
        <f t="shared" si="25"/>
        <v>10.823500000000001</v>
      </c>
      <c r="I1062" s="60">
        <f t="shared" si="25"/>
        <v>10.824158333333335</v>
      </c>
      <c r="J1062" s="60">
        <f t="shared" si="25"/>
        <v>6.0755333333333335</v>
      </c>
      <c r="K1062" s="60">
        <f t="shared" si="25"/>
        <v>6.0762166666666673</v>
      </c>
    </row>
    <row r="1063" spans="1:11" ht="15">
      <c r="A1063" s="3">
        <v>2042</v>
      </c>
      <c r="B1063" s="60">
        <f t="shared" ref="B1063:K1063" si="26">AVERAGE(B328:B339)</f>
        <v>5.4200000000000008</v>
      </c>
      <c r="C1063" s="60">
        <f t="shared" si="26"/>
        <v>5.4200000000000008</v>
      </c>
      <c r="D1063" s="60">
        <f t="shared" si="26"/>
        <v>5.4349500000000006</v>
      </c>
      <c r="E1063" s="60">
        <f t="shared" si="26"/>
        <v>6.2455916666666669</v>
      </c>
      <c r="F1063" s="60">
        <f t="shared" si="26"/>
        <v>6.2455916666666669</v>
      </c>
      <c r="G1063" s="60">
        <f t="shared" si="26"/>
        <v>6.2462666666666671</v>
      </c>
      <c r="H1063" s="60">
        <f t="shared" si="26"/>
        <v>11.097200000000001</v>
      </c>
      <c r="I1063" s="60">
        <f t="shared" si="26"/>
        <v>11.097883333333334</v>
      </c>
      <c r="J1063" s="60">
        <f t="shared" si="26"/>
        <v>6.2455916666666669</v>
      </c>
      <c r="K1063" s="60">
        <f t="shared" si="26"/>
        <v>6.2462666666666671</v>
      </c>
    </row>
    <row r="1064" spans="1:11" ht="15">
      <c r="A1064" s="3">
        <v>2043</v>
      </c>
      <c r="B1064" s="60">
        <f t="shared" ref="B1064:K1064" si="27">AVERAGE(B340:B351)</f>
        <v>5.5676416666666659</v>
      </c>
      <c r="C1064" s="60">
        <f t="shared" si="27"/>
        <v>5.5676416666666659</v>
      </c>
      <c r="D1064" s="60">
        <f t="shared" si="27"/>
        <v>5.5826000000000002</v>
      </c>
      <c r="E1064" s="60">
        <f t="shared" si="27"/>
        <v>6.4204000000000008</v>
      </c>
      <c r="F1064" s="60">
        <f t="shared" si="27"/>
        <v>6.4204000000000008</v>
      </c>
      <c r="G1064" s="60">
        <f t="shared" si="27"/>
        <v>6.4210583333333338</v>
      </c>
      <c r="H1064" s="60">
        <f t="shared" si="27"/>
        <v>11.377841666666667</v>
      </c>
      <c r="I1064" s="60">
        <f t="shared" si="27"/>
        <v>11.378525000000002</v>
      </c>
      <c r="J1064" s="60">
        <f t="shared" si="27"/>
        <v>6.4204000000000008</v>
      </c>
      <c r="K1064" s="60">
        <f t="shared" si="27"/>
        <v>6.4210583333333338</v>
      </c>
    </row>
    <row r="1065" spans="1:11" ht="15">
      <c r="A1065" s="3">
        <v>2044</v>
      </c>
      <c r="B1065" s="60">
        <f t="shared" ref="B1065:K1065" si="28">AVERAGE(B352:B363)</f>
        <v>5.7193499999999995</v>
      </c>
      <c r="C1065" s="60">
        <f t="shared" si="28"/>
        <v>5.7193499999999995</v>
      </c>
      <c r="D1065" s="60">
        <f t="shared" si="28"/>
        <v>5.7343083333333338</v>
      </c>
      <c r="E1065" s="60">
        <f t="shared" si="28"/>
        <v>6.6000916666666649</v>
      </c>
      <c r="F1065" s="60">
        <f t="shared" si="28"/>
        <v>6.6000916666666649</v>
      </c>
      <c r="G1065" s="60">
        <f t="shared" si="28"/>
        <v>6.6007749999999987</v>
      </c>
      <c r="H1065" s="60">
        <f t="shared" si="28"/>
        <v>11.665550000000001</v>
      </c>
      <c r="I1065" s="60">
        <f t="shared" si="28"/>
        <v>11.666241666666666</v>
      </c>
      <c r="J1065" s="60">
        <f t="shared" si="28"/>
        <v>6.6000916666666649</v>
      </c>
      <c r="K1065" s="60">
        <f t="shared" si="28"/>
        <v>6.6007749999999987</v>
      </c>
    </row>
    <row r="1066" spans="1:11" ht="15">
      <c r="A1066" s="3">
        <v>2045</v>
      </c>
      <c r="B1066" s="60">
        <f t="shared" ref="B1066:K1066" si="29">AVERAGE(B364:B375)</f>
        <v>5.875233333333334</v>
      </c>
      <c r="C1066" s="60">
        <f t="shared" si="29"/>
        <v>5.875233333333334</v>
      </c>
      <c r="D1066" s="60">
        <f t="shared" si="29"/>
        <v>5.8902000000000001</v>
      </c>
      <c r="E1066" s="60">
        <f t="shared" si="29"/>
        <v>6.784841666666666</v>
      </c>
      <c r="F1066" s="60">
        <f t="shared" si="29"/>
        <v>6.784841666666666</v>
      </c>
      <c r="G1066" s="60">
        <f t="shared" si="29"/>
        <v>6.7854916666666663</v>
      </c>
      <c r="H1066" s="60">
        <f t="shared" si="29"/>
        <v>11.960566666666667</v>
      </c>
      <c r="I1066" s="60">
        <f t="shared" si="29"/>
        <v>11.961241666666666</v>
      </c>
      <c r="J1066" s="60">
        <f t="shared" si="29"/>
        <v>6.784841666666666</v>
      </c>
      <c r="K1066" s="60">
        <f t="shared" si="29"/>
        <v>6.7854916666666663</v>
      </c>
    </row>
    <row r="1067" spans="1:11" ht="15">
      <c r="A1067" s="3">
        <v>2046</v>
      </c>
      <c r="B1067" s="60">
        <f t="shared" ref="B1067:K1067" si="30">AVERAGE(B376:B387)</f>
        <v>6.0354000000000001</v>
      </c>
      <c r="C1067" s="60">
        <f t="shared" si="30"/>
        <v>6.0354000000000001</v>
      </c>
      <c r="D1067" s="60">
        <f t="shared" si="30"/>
        <v>6.050349999999999</v>
      </c>
      <c r="E1067" s="60">
        <f t="shared" si="30"/>
        <v>6.9747249999999994</v>
      </c>
      <c r="F1067" s="60">
        <f t="shared" si="30"/>
        <v>6.9747249999999994</v>
      </c>
      <c r="G1067" s="60">
        <f t="shared" si="30"/>
        <v>6.9754166666666677</v>
      </c>
      <c r="H1067" s="60">
        <f t="shared" si="30"/>
        <v>12.263041666666666</v>
      </c>
      <c r="I1067" s="60">
        <f t="shared" si="30"/>
        <v>12.263716666666667</v>
      </c>
      <c r="J1067" s="60">
        <f t="shared" si="30"/>
        <v>6.9747249999999994</v>
      </c>
      <c r="K1067" s="60">
        <f t="shared" si="30"/>
        <v>6.9754166666666677</v>
      </c>
    </row>
    <row r="1068" spans="1:11" ht="15">
      <c r="A1068" s="3">
        <v>2047</v>
      </c>
      <c r="B1068" s="60">
        <f t="shared" ref="B1068:K1068" si="31">AVERAGE(B388:B399)</f>
        <v>6.1999666666666657</v>
      </c>
      <c r="C1068" s="60">
        <f t="shared" si="31"/>
        <v>6.1999666666666657</v>
      </c>
      <c r="D1068" s="60">
        <f t="shared" si="31"/>
        <v>6.2149416666666681</v>
      </c>
      <c r="E1068" s="60">
        <f t="shared" si="31"/>
        <v>7.1699499999999992</v>
      </c>
      <c r="F1068" s="60">
        <f t="shared" si="31"/>
        <v>7.1699499999999992</v>
      </c>
      <c r="G1068" s="60">
        <f t="shared" si="31"/>
        <v>7.1706416666666657</v>
      </c>
      <c r="H1068" s="60">
        <f t="shared" si="31"/>
        <v>12.573133333333333</v>
      </c>
      <c r="I1068" s="60">
        <f t="shared" si="31"/>
        <v>12.573816666666668</v>
      </c>
      <c r="J1068" s="60">
        <f t="shared" si="31"/>
        <v>7.1699499999999992</v>
      </c>
      <c r="K1068" s="60">
        <f t="shared" si="31"/>
        <v>7.1706416666666657</v>
      </c>
    </row>
    <row r="1069" spans="1:11" ht="15">
      <c r="A1069" s="3">
        <v>2048</v>
      </c>
      <c r="B1069" s="60">
        <f t="shared" ref="B1069:K1069" si="32">AVERAGE(B400:B411)</f>
        <v>6.3690833333333332</v>
      </c>
      <c r="C1069" s="60">
        <f t="shared" si="32"/>
        <v>6.3690833333333332</v>
      </c>
      <c r="D1069" s="60">
        <f t="shared" si="32"/>
        <v>6.3840583333333329</v>
      </c>
      <c r="E1069" s="60">
        <f t="shared" si="32"/>
        <v>7.3706416666666676</v>
      </c>
      <c r="F1069" s="60">
        <f t="shared" si="32"/>
        <v>7.3706416666666676</v>
      </c>
      <c r="G1069" s="60">
        <f t="shared" si="32"/>
        <v>7.3713249999999997</v>
      </c>
      <c r="H1069" s="60">
        <f t="shared" si="32"/>
        <v>12.891116666666667</v>
      </c>
      <c r="I1069" s="60">
        <f t="shared" si="32"/>
        <v>12.891766666666667</v>
      </c>
      <c r="J1069" s="60">
        <f t="shared" si="32"/>
        <v>7.3706416666666676</v>
      </c>
      <c r="K1069" s="60">
        <f t="shared" si="32"/>
        <v>7.3713249999999997</v>
      </c>
    </row>
    <row r="1070" spans="1:11" ht="15">
      <c r="A1070" s="3">
        <v>2049</v>
      </c>
      <c r="B1070" s="60">
        <f t="shared" ref="B1070:K1070" si="33">AVERAGE(B412:B423)</f>
        <v>6.5428583333333341</v>
      </c>
      <c r="C1070" s="60">
        <f t="shared" si="33"/>
        <v>6.5428583333333341</v>
      </c>
      <c r="D1070" s="60">
        <f t="shared" si="33"/>
        <v>6.5578166666666675</v>
      </c>
      <c r="E1070" s="60">
        <f t="shared" si="33"/>
        <v>7.5769250000000001</v>
      </c>
      <c r="F1070" s="60">
        <f t="shared" si="33"/>
        <v>7.5769250000000001</v>
      </c>
      <c r="G1070" s="60">
        <f t="shared" si="33"/>
        <v>7.5776000000000003</v>
      </c>
      <c r="H1070" s="60">
        <f t="shared" si="33"/>
        <v>13.217100000000002</v>
      </c>
      <c r="I1070" s="60">
        <f t="shared" si="33"/>
        <v>13.217774999999998</v>
      </c>
      <c r="J1070" s="60">
        <f t="shared" si="33"/>
        <v>7.5769250000000001</v>
      </c>
      <c r="K1070" s="60">
        <f t="shared" si="33"/>
        <v>7.5776000000000003</v>
      </c>
    </row>
    <row r="1071" spans="1:11" ht="15">
      <c r="A1071" s="3">
        <v>2050</v>
      </c>
      <c r="B1071" s="60">
        <f t="shared" ref="B1071:K1071" si="34">AVERAGE(B424:B435)</f>
        <v>6.7214083333333337</v>
      </c>
      <c r="C1071" s="60">
        <f t="shared" si="34"/>
        <v>6.7214083333333337</v>
      </c>
      <c r="D1071" s="60">
        <f t="shared" si="34"/>
        <v>6.7363749999999989</v>
      </c>
      <c r="E1071" s="60">
        <f t="shared" si="34"/>
        <v>7.7890083333333324</v>
      </c>
      <c r="F1071" s="60">
        <f t="shared" si="34"/>
        <v>7.7890083333333324</v>
      </c>
      <c r="G1071" s="60">
        <f t="shared" si="34"/>
        <v>7.7896666666666663</v>
      </c>
      <c r="H1071" s="60">
        <f t="shared" si="34"/>
        <v>13.551349999999999</v>
      </c>
      <c r="I1071" s="60">
        <f t="shared" si="34"/>
        <v>13.552</v>
      </c>
      <c r="J1071" s="60">
        <f t="shared" si="34"/>
        <v>7.7890083333333324</v>
      </c>
      <c r="K1071" s="60">
        <f t="shared" si="34"/>
        <v>7.7896666666666663</v>
      </c>
    </row>
    <row r="1072" spans="1:11" ht="15">
      <c r="A1072" s="3">
        <v>2051</v>
      </c>
      <c r="B1072" s="60">
        <f t="shared" ref="B1072:K1072" si="35">AVERAGE(B436:B447)</f>
        <v>6.9048833333333333</v>
      </c>
      <c r="C1072" s="60">
        <f t="shared" si="35"/>
        <v>6.9048833333333333</v>
      </c>
      <c r="D1072" s="60">
        <f t="shared" si="35"/>
        <v>6.9198416666666658</v>
      </c>
      <c r="E1072" s="60">
        <f t="shared" si="35"/>
        <v>8.0070083333333333</v>
      </c>
      <c r="F1072" s="60">
        <f t="shared" si="35"/>
        <v>8.0070083333333333</v>
      </c>
      <c r="G1072" s="60">
        <f t="shared" si="35"/>
        <v>8.0076833333333326</v>
      </c>
      <c r="H1072" s="60">
        <f t="shared" si="35"/>
        <v>13.894016666666666</v>
      </c>
      <c r="I1072" s="60">
        <f t="shared" si="35"/>
        <v>13.894691666666665</v>
      </c>
      <c r="J1072" s="60">
        <f t="shared" si="35"/>
        <v>8.0070083333333333</v>
      </c>
      <c r="K1072" s="60">
        <f t="shared" si="35"/>
        <v>8.0076833333333326</v>
      </c>
    </row>
    <row r="1073" spans="1:11" ht="15">
      <c r="A1073" s="3">
        <v>2052</v>
      </c>
      <c r="B1073" s="60">
        <f t="shared" ref="B1073:K1073" si="36">AVERAGE(B448:B459)</f>
        <v>7.0933999999999999</v>
      </c>
      <c r="C1073" s="60">
        <f t="shared" si="36"/>
        <v>7.0933999999999999</v>
      </c>
      <c r="D1073" s="60">
        <f t="shared" si="36"/>
        <v>7.1083583333333342</v>
      </c>
      <c r="E1073" s="60">
        <f t="shared" si="36"/>
        <v>8.2311083333333332</v>
      </c>
      <c r="F1073" s="60">
        <f t="shared" si="36"/>
        <v>8.2311083333333332</v>
      </c>
      <c r="G1073" s="60">
        <f t="shared" si="36"/>
        <v>8.2317916666666662</v>
      </c>
      <c r="H1073" s="60">
        <f t="shared" si="36"/>
        <v>14.245383333333331</v>
      </c>
      <c r="I1073" s="60">
        <f t="shared" si="36"/>
        <v>14.246058333333336</v>
      </c>
      <c r="J1073" s="60">
        <f t="shared" si="36"/>
        <v>8.2311083333333332</v>
      </c>
      <c r="K1073" s="60">
        <f t="shared" si="36"/>
        <v>8.2317916666666662</v>
      </c>
    </row>
    <row r="1074" spans="1:11" ht="15">
      <c r="A1074" s="3">
        <v>2053</v>
      </c>
      <c r="B1074" s="60">
        <f t="shared" ref="B1074:K1074" si="37">AVERAGE(B460:B471)</f>
        <v>7.2871333333333324</v>
      </c>
      <c r="C1074" s="60">
        <f t="shared" si="37"/>
        <v>7.2871333333333324</v>
      </c>
      <c r="D1074" s="60">
        <f t="shared" si="37"/>
        <v>7.3020750000000012</v>
      </c>
      <c r="E1074" s="60">
        <f t="shared" si="37"/>
        <v>8.4614916666666673</v>
      </c>
      <c r="F1074" s="60">
        <f t="shared" si="37"/>
        <v>8.4614916666666673</v>
      </c>
      <c r="G1074" s="60">
        <f t="shared" si="37"/>
        <v>8.4621666666666666</v>
      </c>
      <c r="H1074" s="60">
        <f t="shared" si="37"/>
        <v>14.605633333333332</v>
      </c>
      <c r="I1074" s="60">
        <f t="shared" si="37"/>
        <v>14.606299999999997</v>
      </c>
      <c r="J1074" s="60">
        <f t="shared" si="37"/>
        <v>8.4614916666666673</v>
      </c>
      <c r="K1074" s="60">
        <f t="shared" si="37"/>
        <v>8.4621666666666666</v>
      </c>
    </row>
    <row r="1075" spans="1:11" ht="15">
      <c r="A1075" s="3">
        <v>2054</v>
      </c>
      <c r="B1075" s="60">
        <f t="shared" ref="B1075:K1075" si="38">AVERAGE(B472:B483)</f>
        <v>7.4862000000000011</v>
      </c>
      <c r="C1075" s="60">
        <f t="shared" si="38"/>
        <v>7.4862000000000011</v>
      </c>
      <c r="D1075" s="60">
        <f t="shared" si="38"/>
        <v>7.50115</v>
      </c>
      <c r="E1075" s="60">
        <f t="shared" si="38"/>
        <v>8.6983249999999988</v>
      </c>
      <c r="F1075" s="60">
        <f t="shared" si="38"/>
        <v>8.6983249999999988</v>
      </c>
      <c r="G1075" s="60">
        <f t="shared" si="38"/>
        <v>8.6989916666666662</v>
      </c>
      <c r="H1075" s="60">
        <f t="shared" si="38"/>
        <v>14.974983333333332</v>
      </c>
      <c r="I1075" s="60">
        <f t="shared" si="38"/>
        <v>14.975666666666669</v>
      </c>
      <c r="J1075" s="60">
        <f t="shared" si="38"/>
        <v>8.6983249999999988</v>
      </c>
      <c r="K1075" s="60">
        <f t="shared" si="38"/>
        <v>8.6989916666666662</v>
      </c>
    </row>
    <row r="1076" spans="1:11" ht="15">
      <c r="A1076" s="3">
        <v>2055</v>
      </c>
      <c r="B1076" s="60">
        <f t="shared" ref="B1076:K1076" si="39">AVERAGE(B16:B495)</f>
        <v>4.76862708333333</v>
      </c>
      <c r="C1076" s="60">
        <f t="shared" si="39"/>
        <v>4.76862708333333</v>
      </c>
      <c r="D1076" s="60">
        <f t="shared" si="39"/>
        <v>4.7835904166666632</v>
      </c>
      <c r="E1076" s="60">
        <f t="shared" si="39"/>
        <v>5.5242174999999962</v>
      </c>
      <c r="F1076" s="60">
        <f t="shared" si="39"/>
        <v>5.540703749999996</v>
      </c>
      <c r="G1076" s="60">
        <f t="shared" si="39"/>
        <v>5.5413812500000015</v>
      </c>
      <c r="H1076" s="60">
        <f t="shared" si="39"/>
        <v>9.8313470833333287</v>
      </c>
      <c r="I1076" s="60">
        <f t="shared" si="39"/>
        <v>9.8320195833333379</v>
      </c>
      <c r="J1076" s="60">
        <f t="shared" si="39"/>
        <v>5.5242174999999962</v>
      </c>
      <c r="K1076" s="60">
        <f t="shared" si="39"/>
        <v>5.524894791666668</v>
      </c>
    </row>
    <row r="1077" spans="1:11" ht="15">
      <c r="A1077" s="3">
        <v>2056</v>
      </c>
      <c r="B1077" s="60">
        <f t="shared" ref="B1077:K1077" si="40">AVERAGE(B496:B507)</f>
        <v>7.9009416666666672</v>
      </c>
      <c r="C1077" s="60">
        <f t="shared" si="40"/>
        <v>7.9009416666666672</v>
      </c>
      <c r="D1077" s="60">
        <f t="shared" si="40"/>
        <v>7.9158999999999979</v>
      </c>
      <c r="E1077" s="60">
        <f t="shared" si="40"/>
        <v>9.192025000000001</v>
      </c>
      <c r="F1077" s="60">
        <f t="shared" si="40"/>
        <v>9.192025000000001</v>
      </c>
      <c r="G1077" s="60">
        <f t="shared" si="40"/>
        <v>9.1927000000000003</v>
      </c>
      <c r="H1077" s="60">
        <f t="shared" si="40"/>
        <v>15.741966666666665</v>
      </c>
      <c r="I1077" s="60">
        <f t="shared" si="40"/>
        <v>15.742616666666665</v>
      </c>
      <c r="J1077" s="60">
        <f t="shared" si="40"/>
        <v>9.192025000000001</v>
      </c>
      <c r="K1077" s="60">
        <f t="shared" si="40"/>
        <v>9.1927000000000003</v>
      </c>
    </row>
    <row r="1078" spans="1:11" ht="15">
      <c r="A1078" s="3">
        <v>2057</v>
      </c>
      <c r="B1078" s="60">
        <f t="shared" ref="B1078:K1078" si="41">AVERAGE(B508:B519)</f>
        <v>8.1169250000000002</v>
      </c>
      <c r="C1078" s="60">
        <f t="shared" si="41"/>
        <v>8.1169250000000002</v>
      </c>
      <c r="D1078" s="60">
        <f t="shared" si="41"/>
        <v>8.1318999999999999</v>
      </c>
      <c r="E1078" s="60">
        <f t="shared" si="41"/>
        <v>9.4493000000000009</v>
      </c>
      <c r="F1078" s="60">
        <f t="shared" si="41"/>
        <v>9.4493000000000009</v>
      </c>
      <c r="G1078" s="60">
        <f t="shared" si="41"/>
        <v>9.4499666666666666</v>
      </c>
      <c r="H1078" s="60">
        <f t="shared" si="41"/>
        <v>16.140033333333335</v>
      </c>
      <c r="I1078" s="60">
        <f t="shared" si="41"/>
        <v>16.140725</v>
      </c>
      <c r="J1078" s="60">
        <f t="shared" si="41"/>
        <v>9.4493000000000009</v>
      </c>
      <c r="K1078" s="60">
        <f t="shared" si="41"/>
        <v>9.4499666666666666</v>
      </c>
    </row>
    <row r="1079" spans="1:11" ht="15">
      <c r="A1079" s="3">
        <v>2058</v>
      </c>
      <c r="B1079" s="60">
        <f t="shared" ref="B1079:K1079" si="42">AVERAGE(B520:B531)</f>
        <v>8.3388916666666688</v>
      </c>
      <c r="C1079" s="60">
        <f t="shared" si="42"/>
        <v>8.3388916666666688</v>
      </c>
      <c r="D1079" s="60">
        <f t="shared" si="42"/>
        <v>8.3538583333333332</v>
      </c>
      <c r="E1079" s="60">
        <f t="shared" si="42"/>
        <v>9.7137666666666664</v>
      </c>
      <c r="F1079" s="60">
        <f t="shared" si="42"/>
        <v>9.7137666666666664</v>
      </c>
      <c r="G1079" s="60">
        <f t="shared" si="42"/>
        <v>9.714441666666664</v>
      </c>
      <c r="H1079" s="60">
        <f t="shared" si="42"/>
        <v>16.548199999999998</v>
      </c>
      <c r="I1079" s="60">
        <f t="shared" si="42"/>
        <v>16.548866666666669</v>
      </c>
      <c r="J1079" s="60">
        <f t="shared" si="42"/>
        <v>9.7137666666666664</v>
      </c>
      <c r="K1079" s="60">
        <f t="shared" si="42"/>
        <v>9.714441666666664</v>
      </c>
    </row>
    <row r="1080" spans="1:11" ht="15">
      <c r="A1080" s="3">
        <v>2059</v>
      </c>
      <c r="B1080" s="60">
        <f t="shared" ref="B1080:K1080" si="43">AVERAGE(B532:B543)</f>
        <v>8.5669999999999984</v>
      </c>
      <c r="C1080" s="60">
        <f t="shared" si="43"/>
        <v>8.5669999999999984</v>
      </c>
      <c r="D1080" s="60">
        <f t="shared" si="43"/>
        <v>8.5819583333333345</v>
      </c>
      <c r="E1080" s="60">
        <f t="shared" si="43"/>
        <v>9.9856583333333333</v>
      </c>
      <c r="F1080" s="60">
        <f t="shared" si="43"/>
        <v>9.9856583333333333</v>
      </c>
      <c r="G1080" s="60">
        <f t="shared" si="43"/>
        <v>9.9863166666666672</v>
      </c>
      <c r="H1080" s="60">
        <f t="shared" si="43"/>
        <v>16.966683333333329</v>
      </c>
      <c r="I1080" s="60">
        <f t="shared" si="43"/>
        <v>16.967358333333333</v>
      </c>
      <c r="J1080" s="60">
        <f t="shared" si="43"/>
        <v>9.9856583333333333</v>
      </c>
      <c r="K1080" s="60">
        <f t="shared" si="43"/>
        <v>9.9863166666666672</v>
      </c>
    </row>
    <row r="1081" spans="1:11" ht="15">
      <c r="A1081" s="3">
        <v>2060</v>
      </c>
      <c r="B1081" s="60">
        <f t="shared" ref="B1081:K1081" si="44">AVERAGE(B544:B555)</f>
        <v>8.8013749999999984</v>
      </c>
      <c r="C1081" s="60">
        <f t="shared" si="44"/>
        <v>8.8013749999999984</v>
      </c>
      <c r="D1081" s="60">
        <f t="shared" si="44"/>
        <v>8.8163333333333345</v>
      </c>
      <c r="E1081" s="60">
        <f t="shared" si="44"/>
        <v>10.265124999999999</v>
      </c>
      <c r="F1081" s="60">
        <f t="shared" si="44"/>
        <v>10.265124999999999</v>
      </c>
      <c r="G1081" s="60">
        <f t="shared" si="44"/>
        <v>10.265791666666667</v>
      </c>
      <c r="H1081" s="60">
        <f t="shared" si="44"/>
        <v>17.395733333333336</v>
      </c>
      <c r="I1081" s="60">
        <f t="shared" si="44"/>
        <v>17.396400000000003</v>
      </c>
      <c r="J1081" s="60">
        <f t="shared" si="44"/>
        <v>10.265124999999999</v>
      </c>
      <c r="K1081" s="60">
        <f t="shared" si="44"/>
        <v>10.265791666666667</v>
      </c>
    </row>
    <row r="1082" spans="1:11" ht="15">
      <c r="A1082" s="3">
        <v>2061</v>
      </c>
      <c r="B1082" s="60">
        <f t="shared" ref="B1082:K1082" si="45">AVERAGE(B556:B567)</f>
        <v>9.0422333333333338</v>
      </c>
      <c r="C1082" s="60">
        <f t="shared" si="45"/>
        <v>9.0422333333333338</v>
      </c>
      <c r="D1082" s="60">
        <f t="shared" si="45"/>
        <v>9.0572083333333318</v>
      </c>
      <c r="E1082" s="60">
        <f t="shared" si="45"/>
        <v>10.552424999999999</v>
      </c>
      <c r="F1082" s="60">
        <f t="shared" si="45"/>
        <v>10.552424999999999</v>
      </c>
      <c r="G1082" s="60">
        <f t="shared" si="45"/>
        <v>10.553099999999999</v>
      </c>
      <c r="H1082" s="60">
        <f t="shared" si="45"/>
        <v>17.835633333333334</v>
      </c>
      <c r="I1082" s="60">
        <f t="shared" si="45"/>
        <v>17.836316666666665</v>
      </c>
      <c r="J1082" s="60">
        <f t="shared" si="45"/>
        <v>10.552424999999999</v>
      </c>
      <c r="K1082" s="60">
        <f t="shared" si="45"/>
        <v>10.553099999999999</v>
      </c>
    </row>
    <row r="1083" spans="1:11" ht="15">
      <c r="A1083" s="3">
        <v>2062</v>
      </c>
      <c r="B1083" s="60">
        <f t="shared" ref="B1083:K1092" ca="1" si="46">AVERAGE(OFFSET(B$568,($A1083-$A$1083)*12,0,12,1))</f>
        <v>9.2897499999999997</v>
      </c>
      <c r="C1083" s="60">
        <f t="shared" ca="1" si="46"/>
        <v>9.2897499999999997</v>
      </c>
      <c r="D1083" s="60">
        <f t="shared" ca="1" si="46"/>
        <v>9.3047166666666659</v>
      </c>
      <c r="E1083" s="60">
        <f t="shared" ca="1" si="46"/>
        <v>10.847766666666667</v>
      </c>
      <c r="F1083" s="60">
        <f t="shared" ca="1" si="46"/>
        <v>10.847766666666667</v>
      </c>
      <c r="G1083" s="60">
        <f t="shared" ca="1" si="46"/>
        <v>10.848441666666668</v>
      </c>
      <c r="H1083" s="60">
        <f t="shared" ca="1" si="46"/>
        <v>18.286683333333333</v>
      </c>
      <c r="I1083" s="60">
        <f t="shared" ca="1" si="46"/>
        <v>18.287366666666667</v>
      </c>
      <c r="J1083" s="60">
        <f t="shared" ca="1" si="46"/>
        <v>10.847766666666667</v>
      </c>
      <c r="K1083" s="60">
        <f t="shared" ca="1" si="46"/>
        <v>10.848441666666668</v>
      </c>
    </row>
    <row r="1084" spans="1:11" ht="15">
      <c r="A1084" s="3">
        <v>2063</v>
      </c>
      <c r="B1084" s="60">
        <f t="shared" ca="1" si="46"/>
        <v>9.5372666666666657</v>
      </c>
      <c r="C1084" s="60">
        <f t="shared" ca="1" si="46"/>
        <v>9.5372666666666657</v>
      </c>
      <c r="D1084" s="60">
        <f t="shared" ca="1" si="46"/>
        <v>9.5522333333333318</v>
      </c>
      <c r="E1084" s="60">
        <f t="shared" ca="1" si="46"/>
        <v>11.143116666666666</v>
      </c>
      <c r="F1084" s="60">
        <f t="shared" ca="1" si="46"/>
        <v>11.143116666666666</v>
      </c>
      <c r="G1084" s="60">
        <f t="shared" ca="1" si="46"/>
        <v>11.143799999999999</v>
      </c>
      <c r="H1084" s="60">
        <f t="shared" ca="1" si="46"/>
        <v>18.7377</v>
      </c>
      <c r="I1084" s="60">
        <f t="shared" ca="1" si="46"/>
        <v>18.738400000000002</v>
      </c>
      <c r="J1084" s="60">
        <f t="shared" ca="1" si="46"/>
        <v>11.143116666666666</v>
      </c>
      <c r="K1084" s="60">
        <f t="shared" ca="1" si="46"/>
        <v>11.143799999999999</v>
      </c>
    </row>
    <row r="1085" spans="1:11" ht="15">
      <c r="A1085" s="3">
        <v>2064</v>
      </c>
      <c r="B1085" s="60">
        <f t="shared" ca="1" si="46"/>
        <v>9.7848083333333342</v>
      </c>
      <c r="C1085" s="60">
        <f t="shared" ca="1" si="46"/>
        <v>9.7848083333333342</v>
      </c>
      <c r="D1085" s="60">
        <f t="shared" ca="1" si="46"/>
        <v>9.7997666666666667</v>
      </c>
      <c r="E1085" s="60">
        <f t="shared" ca="1" si="46"/>
        <v>11.438450000000001</v>
      </c>
      <c r="F1085" s="60">
        <f t="shared" ca="1" si="46"/>
        <v>11.438450000000001</v>
      </c>
      <c r="G1085" s="60">
        <f t="shared" ca="1" si="46"/>
        <v>11.439133333333332</v>
      </c>
      <c r="H1085" s="60">
        <f t="shared" ca="1" si="46"/>
        <v>19.188758333333329</v>
      </c>
      <c r="I1085" s="60">
        <f t="shared" ca="1" si="46"/>
        <v>19.189425</v>
      </c>
      <c r="J1085" s="60">
        <f t="shared" ca="1" si="46"/>
        <v>11.438450000000001</v>
      </c>
      <c r="K1085" s="60">
        <f t="shared" ca="1" si="46"/>
        <v>11.439133333333332</v>
      </c>
    </row>
    <row r="1086" spans="1:11" ht="15">
      <c r="A1086" s="3">
        <v>2065</v>
      </c>
      <c r="B1086" s="60">
        <f t="shared" ca="1" si="46"/>
        <v>10.032308333333335</v>
      </c>
      <c r="C1086" s="60">
        <f t="shared" ca="1" si="46"/>
        <v>10.032308333333335</v>
      </c>
      <c r="D1086" s="60">
        <f t="shared" ca="1" si="46"/>
        <v>10.047283333333333</v>
      </c>
      <c r="E1086" s="60">
        <f t="shared" ca="1" si="46"/>
        <v>11.733808333333334</v>
      </c>
      <c r="F1086" s="60">
        <f t="shared" ca="1" si="46"/>
        <v>11.733808333333334</v>
      </c>
      <c r="G1086" s="60">
        <f t="shared" ca="1" si="46"/>
        <v>11.734466666666668</v>
      </c>
      <c r="H1086" s="60">
        <f t="shared" ca="1" si="46"/>
        <v>19.639800000000005</v>
      </c>
      <c r="I1086" s="60">
        <f t="shared" ca="1" si="46"/>
        <v>19.640441666666664</v>
      </c>
      <c r="J1086" s="60">
        <f t="shared" ca="1" si="46"/>
        <v>11.733808333333334</v>
      </c>
      <c r="K1086" s="60">
        <f t="shared" ca="1" si="46"/>
        <v>11.734466666666668</v>
      </c>
    </row>
    <row r="1087" spans="1:11" ht="15">
      <c r="A1087" s="3">
        <v>2066</v>
      </c>
      <c r="B1087" s="60">
        <f t="shared" ca="1" si="46"/>
        <v>10.279825000000001</v>
      </c>
      <c r="C1087" s="60">
        <f t="shared" ca="1" si="46"/>
        <v>10.279825000000001</v>
      </c>
      <c r="D1087" s="60">
        <f t="shared" ca="1" si="46"/>
        <v>10.294799999999999</v>
      </c>
      <c r="E1087" s="60">
        <f t="shared" ca="1" si="46"/>
        <v>12.029158333333333</v>
      </c>
      <c r="F1087" s="60">
        <f t="shared" ca="1" si="46"/>
        <v>12.029158333333333</v>
      </c>
      <c r="G1087" s="60">
        <f t="shared" ca="1" si="46"/>
        <v>12.029825000000001</v>
      </c>
      <c r="H1087" s="60">
        <f t="shared" ca="1" si="46"/>
        <v>20.090816666666665</v>
      </c>
      <c r="I1087" s="60">
        <f t="shared" ca="1" si="46"/>
        <v>20.091508333333334</v>
      </c>
      <c r="J1087" s="60">
        <f t="shared" ca="1" si="46"/>
        <v>12.029158333333333</v>
      </c>
      <c r="K1087" s="60">
        <f t="shared" ca="1" si="46"/>
        <v>12.029825000000001</v>
      </c>
    </row>
    <row r="1088" spans="1:11" ht="15">
      <c r="A1088" s="3">
        <v>2067</v>
      </c>
      <c r="B1088" s="60">
        <f t="shared" ca="1" si="46"/>
        <v>10.527333333333333</v>
      </c>
      <c r="C1088" s="60">
        <f t="shared" ca="1" si="46"/>
        <v>10.527333333333333</v>
      </c>
      <c r="D1088" s="60">
        <f t="shared" ca="1" si="46"/>
        <v>10.542316666666666</v>
      </c>
      <c r="E1088" s="60">
        <f t="shared" ca="1" si="46"/>
        <v>12.324491666666667</v>
      </c>
      <c r="F1088" s="60">
        <f t="shared" ca="1" si="46"/>
        <v>12.324491666666667</v>
      </c>
      <c r="G1088" s="60">
        <f t="shared" ca="1" si="46"/>
        <v>12.325166666666666</v>
      </c>
      <c r="H1088" s="60">
        <f t="shared" ca="1" si="46"/>
        <v>20.541858333333334</v>
      </c>
      <c r="I1088" s="60">
        <f t="shared" ca="1" si="46"/>
        <v>20.542533333333335</v>
      </c>
      <c r="J1088" s="60">
        <f t="shared" ca="1" si="46"/>
        <v>12.324491666666667</v>
      </c>
      <c r="K1088" s="60">
        <f t="shared" ca="1" si="46"/>
        <v>12.325166666666666</v>
      </c>
    </row>
    <row r="1089" spans="1:11" ht="15">
      <c r="A1089" s="3">
        <v>2068</v>
      </c>
      <c r="B1089" s="60">
        <f t="shared" ca="1" si="46"/>
        <v>10.774883333333333</v>
      </c>
      <c r="C1089" s="60">
        <f t="shared" ca="1" si="46"/>
        <v>10.774883333333333</v>
      </c>
      <c r="D1089" s="60">
        <f t="shared" ca="1" si="46"/>
        <v>10.789833333333334</v>
      </c>
      <c r="E1089" s="60">
        <f t="shared" ca="1" si="46"/>
        <v>12.619816666666667</v>
      </c>
      <c r="F1089" s="60">
        <f t="shared" ca="1" si="46"/>
        <v>12.619816666666667</v>
      </c>
      <c r="G1089" s="60">
        <f t="shared" ca="1" si="46"/>
        <v>12.6205</v>
      </c>
      <c r="H1089" s="60">
        <f t="shared" ca="1" si="46"/>
        <v>20.992891666666669</v>
      </c>
      <c r="I1089" s="60">
        <f t="shared" ca="1" si="46"/>
        <v>20.993583333333337</v>
      </c>
      <c r="J1089" s="60">
        <f t="shared" ca="1" si="46"/>
        <v>12.619816666666667</v>
      </c>
      <c r="K1089" s="60">
        <f t="shared" ca="1" si="46"/>
        <v>12.6205</v>
      </c>
    </row>
    <row r="1090" spans="1:11" ht="15">
      <c r="A1090" s="3">
        <v>2069</v>
      </c>
      <c r="B1090" s="60">
        <f t="shared" ca="1" si="46"/>
        <v>11.022399999999999</v>
      </c>
      <c r="C1090" s="60">
        <f t="shared" ca="1" si="46"/>
        <v>11.022399999999999</v>
      </c>
      <c r="D1090" s="60">
        <f t="shared" ca="1" si="46"/>
        <v>11.037341666666668</v>
      </c>
      <c r="E1090" s="60">
        <f t="shared" ca="1" si="46"/>
        <v>12.915183333333333</v>
      </c>
      <c r="F1090" s="60">
        <f t="shared" ca="1" si="46"/>
        <v>12.915183333333333</v>
      </c>
      <c r="G1090" s="60">
        <f t="shared" ca="1" si="46"/>
        <v>12.915825</v>
      </c>
      <c r="H1090" s="60">
        <f t="shared" ca="1" si="46"/>
        <v>21.443916666666667</v>
      </c>
      <c r="I1090" s="60">
        <f t="shared" ca="1" si="46"/>
        <v>21.444608333333331</v>
      </c>
      <c r="J1090" s="60">
        <f t="shared" ca="1" si="46"/>
        <v>12.915183333333333</v>
      </c>
      <c r="K1090" s="60">
        <f t="shared" ca="1" si="46"/>
        <v>12.915825</v>
      </c>
    </row>
    <row r="1091" spans="1:11" ht="15">
      <c r="A1091" s="3">
        <v>2070</v>
      </c>
      <c r="B1091" s="60">
        <f t="shared" ca="1" si="46"/>
        <v>11.269908333333333</v>
      </c>
      <c r="C1091" s="60">
        <f t="shared" ca="1" si="46"/>
        <v>11.269908333333333</v>
      </c>
      <c r="D1091" s="60">
        <f t="shared" ca="1" si="46"/>
        <v>11.284866666666666</v>
      </c>
      <c r="E1091" s="60">
        <f t="shared" ca="1" si="46"/>
        <v>13.210500000000001</v>
      </c>
      <c r="F1091" s="60">
        <f t="shared" ca="1" si="46"/>
        <v>13.210500000000001</v>
      </c>
      <c r="G1091" s="60">
        <f t="shared" ca="1" si="46"/>
        <v>13.211199999999998</v>
      </c>
      <c r="H1091" s="60">
        <f t="shared" ca="1" si="46"/>
        <v>21.894974999999999</v>
      </c>
      <c r="I1091" s="60">
        <f t="shared" ca="1" si="46"/>
        <v>21.895641666666663</v>
      </c>
      <c r="J1091" s="60">
        <f t="shared" ca="1" si="46"/>
        <v>13.210500000000001</v>
      </c>
      <c r="K1091" s="60">
        <f t="shared" ca="1" si="46"/>
        <v>13.211199999999998</v>
      </c>
    </row>
    <row r="1092" spans="1:11" ht="15">
      <c r="A1092" s="3">
        <v>2071</v>
      </c>
      <c r="B1092" s="60">
        <f t="shared" ca="1" si="46"/>
        <v>11.517416666666669</v>
      </c>
      <c r="C1092" s="60">
        <f t="shared" ca="1" si="46"/>
        <v>11.517416666666669</v>
      </c>
      <c r="D1092" s="60">
        <f t="shared" ca="1" si="46"/>
        <v>11.532400000000001</v>
      </c>
      <c r="E1092" s="60">
        <f t="shared" ca="1" si="46"/>
        <v>13.505833333333333</v>
      </c>
      <c r="F1092" s="60">
        <f t="shared" ca="1" si="46"/>
        <v>13.505833333333333</v>
      </c>
      <c r="G1092" s="60">
        <f t="shared" ca="1" si="46"/>
        <v>13.506533333333332</v>
      </c>
      <c r="H1092" s="60">
        <f t="shared" ca="1" si="46"/>
        <v>22.346016666666667</v>
      </c>
      <c r="I1092" s="60">
        <f t="shared" ca="1" si="46"/>
        <v>22.346691666666668</v>
      </c>
      <c r="J1092" s="60">
        <f t="shared" ca="1" si="46"/>
        <v>13.505833333333333</v>
      </c>
      <c r="K1092" s="60">
        <f t="shared" ca="1" si="46"/>
        <v>13.506533333333332</v>
      </c>
    </row>
    <row r="1093" spans="1:11" ht="15">
      <c r="A1093" s="3">
        <v>2072</v>
      </c>
      <c r="B1093" s="60">
        <f t="shared" ref="B1093:K1102" ca="1" si="47">AVERAGE(OFFSET(B$568,($A1093-$A$1083)*12,0,12,1))</f>
        <v>11.764941666666667</v>
      </c>
      <c r="C1093" s="60">
        <f t="shared" ca="1" si="47"/>
        <v>11.764941666666667</v>
      </c>
      <c r="D1093" s="60">
        <f t="shared" ca="1" si="47"/>
        <v>11.779916666666665</v>
      </c>
      <c r="E1093" s="60">
        <f t="shared" ca="1" si="47"/>
        <v>13.801191666666668</v>
      </c>
      <c r="F1093" s="60">
        <f t="shared" ca="1" si="47"/>
        <v>13.801191666666668</v>
      </c>
      <c r="G1093" s="60">
        <f t="shared" ca="1" si="47"/>
        <v>13.801866666666667</v>
      </c>
      <c r="H1093" s="60">
        <f t="shared" ca="1" si="47"/>
        <v>22.797041666666669</v>
      </c>
      <c r="I1093" s="60">
        <f t="shared" ca="1" si="47"/>
        <v>22.797716666666663</v>
      </c>
      <c r="J1093" s="60">
        <f t="shared" ca="1" si="47"/>
        <v>13.801191666666668</v>
      </c>
      <c r="K1093" s="60">
        <f t="shared" ca="1" si="47"/>
        <v>13.801866666666667</v>
      </c>
    </row>
    <row r="1094" spans="1:11" ht="15">
      <c r="A1094" s="3">
        <v>2073</v>
      </c>
      <c r="B1094" s="60">
        <f t="shared" ca="1" si="47"/>
        <v>12.012483333333334</v>
      </c>
      <c r="C1094" s="60">
        <f t="shared" ca="1" si="47"/>
        <v>12.012483333333334</v>
      </c>
      <c r="D1094" s="60">
        <f t="shared" ca="1" si="47"/>
        <v>12.027433333333333</v>
      </c>
      <c r="E1094" s="60">
        <f t="shared" ca="1" si="47"/>
        <v>14.096541666666665</v>
      </c>
      <c r="F1094" s="60">
        <f t="shared" ca="1" si="47"/>
        <v>14.096541666666665</v>
      </c>
      <c r="G1094" s="60">
        <f t="shared" ca="1" si="47"/>
        <v>14.097225</v>
      </c>
      <c r="H1094" s="60">
        <f t="shared" ca="1" si="47"/>
        <v>23.248075000000004</v>
      </c>
      <c r="I1094" s="60">
        <f t="shared" ca="1" si="47"/>
        <v>23.248758333333338</v>
      </c>
      <c r="J1094" s="60">
        <f t="shared" ca="1" si="47"/>
        <v>14.096541666666665</v>
      </c>
      <c r="K1094" s="60">
        <f t="shared" ca="1" si="47"/>
        <v>14.097225</v>
      </c>
    </row>
    <row r="1095" spans="1:11" ht="15">
      <c r="A1095" s="3">
        <v>2074</v>
      </c>
      <c r="B1095" s="60">
        <f t="shared" ca="1" si="47"/>
        <v>12.259991666666666</v>
      </c>
      <c r="C1095" s="60">
        <f t="shared" ca="1" si="47"/>
        <v>12.259991666666666</v>
      </c>
      <c r="D1095" s="60">
        <f t="shared" ca="1" si="47"/>
        <v>12.274941666666665</v>
      </c>
      <c r="E1095" s="60">
        <f t="shared" ca="1" si="47"/>
        <v>14.391883333333332</v>
      </c>
      <c r="F1095" s="60">
        <f t="shared" ca="1" si="47"/>
        <v>14.391883333333332</v>
      </c>
      <c r="G1095" s="60">
        <f t="shared" ca="1" si="47"/>
        <v>14.392566666666667</v>
      </c>
      <c r="H1095" s="60">
        <f t="shared" ca="1" si="47"/>
        <v>23.699116666666665</v>
      </c>
      <c r="I1095" s="60">
        <f t="shared" ca="1" si="47"/>
        <v>23.6998</v>
      </c>
      <c r="J1095" s="60">
        <f t="shared" ca="1" si="47"/>
        <v>14.391883333333332</v>
      </c>
      <c r="K1095" s="60">
        <f t="shared" ca="1" si="47"/>
        <v>14.392566666666667</v>
      </c>
    </row>
    <row r="1096" spans="1:11" ht="15">
      <c r="A1096" s="3">
        <v>2075</v>
      </c>
      <c r="B1096" s="60">
        <f t="shared" ca="1" si="47"/>
        <v>12.5075</v>
      </c>
      <c r="C1096" s="60">
        <f t="shared" ca="1" si="47"/>
        <v>12.5075</v>
      </c>
      <c r="D1096" s="60">
        <f t="shared" ca="1" si="47"/>
        <v>12.522483333333334</v>
      </c>
      <c r="E1096" s="60">
        <f t="shared" ca="1" si="47"/>
        <v>14.687225000000003</v>
      </c>
      <c r="F1096" s="60">
        <f t="shared" ca="1" si="47"/>
        <v>14.687225000000003</v>
      </c>
      <c r="G1096" s="60">
        <f t="shared" ca="1" si="47"/>
        <v>14.687891666666667</v>
      </c>
      <c r="H1096" s="60">
        <f t="shared" ca="1" si="47"/>
        <v>24.150158333333334</v>
      </c>
      <c r="I1096" s="60">
        <f t="shared" ca="1" si="47"/>
        <v>24.150825000000001</v>
      </c>
      <c r="J1096" s="60">
        <f t="shared" ca="1" si="47"/>
        <v>14.687225000000003</v>
      </c>
      <c r="K1096" s="60">
        <f t="shared" ca="1" si="47"/>
        <v>14.687891666666667</v>
      </c>
    </row>
    <row r="1097" spans="1:11" ht="15">
      <c r="A1097" s="3">
        <v>2076</v>
      </c>
      <c r="B1097" s="60">
        <f t="shared" ca="1" si="47"/>
        <v>12.755041666666669</v>
      </c>
      <c r="C1097" s="60">
        <f t="shared" ca="1" si="47"/>
        <v>12.755041666666669</v>
      </c>
      <c r="D1097" s="60">
        <f t="shared" ca="1" si="47"/>
        <v>12.769991666666668</v>
      </c>
      <c r="E1097" s="60">
        <f t="shared" ca="1" si="47"/>
        <v>14.982583333333332</v>
      </c>
      <c r="F1097" s="60">
        <f t="shared" ca="1" si="47"/>
        <v>14.982583333333332</v>
      </c>
      <c r="G1097" s="60">
        <f t="shared" ca="1" si="47"/>
        <v>14.983258333333332</v>
      </c>
      <c r="H1097" s="60">
        <f t="shared" ca="1" si="47"/>
        <v>24.601200000000002</v>
      </c>
      <c r="I1097" s="60">
        <f t="shared" ca="1" si="47"/>
        <v>24.601849999999999</v>
      </c>
      <c r="J1097" s="60">
        <f t="shared" ca="1" si="47"/>
        <v>14.982583333333332</v>
      </c>
      <c r="K1097" s="60">
        <f t="shared" ca="1" si="47"/>
        <v>14.983258333333332</v>
      </c>
    </row>
    <row r="1098" spans="1:11" ht="15">
      <c r="A1098" s="3">
        <v>2077</v>
      </c>
      <c r="B1098" s="60">
        <f t="shared" ca="1" si="47"/>
        <v>13.002541666666668</v>
      </c>
      <c r="C1098" s="60">
        <f t="shared" ca="1" si="47"/>
        <v>13.002541666666668</v>
      </c>
      <c r="D1098" s="60">
        <f t="shared" ca="1" si="47"/>
        <v>13.017508333333334</v>
      </c>
      <c r="E1098" s="60">
        <f t="shared" ca="1" si="47"/>
        <v>15.277916666666664</v>
      </c>
      <c r="F1098" s="60">
        <f t="shared" ca="1" si="47"/>
        <v>15.277916666666664</v>
      </c>
      <c r="G1098" s="60">
        <f t="shared" ca="1" si="47"/>
        <v>15.278599999999999</v>
      </c>
      <c r="H1098" s="60">
        <f t="shared" ca="1" si="47"/>
        <v>25.052241666666664</v>
      </c>
      <c r="I1098" s="60">
        <f t="shared" ca="1" si="47"/>
        <v>25.052883333333337</v>
      </c>
      <c r="J1098" s="60">
        <f t="shared" ca="1" si="47"/>
        <v>15.277916666666664</v>
      </c>
      <c r="K1098" s="60">
        <f t="shared" ca="1" si="47"/>
        <v>15.278599999999999</v>
      </c>
    </row>
    <row r="1099" spans="1:11" ht="15">
      <c r="A1099" s="3">
        <v>2078</v>
      </c>
      <c r="B1099" s="60">
        <f t="shared" ca="1" si="47"/>
        <v>13.250050000000002</v>
      </c>
      <c r="C1099" s="60">
        <f t="shared" ca="1" si="47"/>
        <v>13.250050000000002</v>
      </c>
      <c r="D1099" s="60">
        <f t="shared" ca="1" si="47"/>
        <v>13.26503333333333</v>
      </c>
      <c r="E1099" s="60">
        <f t="shared" ca="1" si="47"/>
        <v>15.573258333333335</v>
      </c>
      <c r="F1099" s="60">
        <f t="shared" ca="1" si="47"/>
        <v>15.573258333333335</v>
      </c>
      <c r="G1099" s="60">
        <f t="shared" ca="1" si="47"/>
        <v>15.573933333333336</v>
      </c>
      <c r="H1099" s="60">
        <f t="shared" ca="1" si="47"/>
        <v>25.503249999999998</v>
      </c>
      <c r="I1099" s="60">
        <f t="shared" ca="1" si="47"/>
        <v>25.503933333333332</v>
      </c>
      <c r="J1099" s="60">
        <f t="shared" ca="1" si="47"/>
        <v>15.573258333333335</v>
      </c>
      <c r="K1099" s="60">
        <f t="shared" ca="1" si="47"/>
        <v>15.573933333333336</v>
      </c>
    </row>
    <row r="1100" spans="1:11" ht="15">
      <c r="A1100" s="3">
        <v>2079</v>
      </c>
      <c r="B1100" s="60">
        <f t="shared" ca="1" si="47"/>
        <v>13.497583333333333</v>
      </c>
      <c r="C1100" s="60">
        <f t="shared" ca="1" si="47"/>
        <v>13.497583333333333</v>
      </c>
      <c r="D1100" s="60">
        <f t="shared" ca="1" si="47"/>
        <v>13.512549999999999</v>
      </c>
      <c r="E1100" s="60">
        <f t="shared" ca="1" si="47"/>
        <v>15.868608333333333</v>
      </c>
      <c r="F1100" s="60">
        <f t="shared" ca="1" si="47"/>
        <v>15.868608333333333</v>
      </c>
      <c r="G1100" s="60">
        <f t="shared" ca="1" si="47"/>
        <v>15.869258333333335</v>
      </c>
      <c r="H1100" s="60">
        <f t="shared" ca="1" si="47"/>
        <v>25.954283333333333</v>
      </c>
      <c r="I1100" s="60">
        <f t="shared" ca="1" si="47"/>
        <v>25.954958333333327</v>
      </c>
      <c r="J1100" s="60">
        <f t="shared" ca="1" si="47"/>
        <v>15.868608333333333</v>
      </c>
      <c r="K1100" s="60">
        <f t="shared" ca="1" si="47"/>
        <v>15.869258333333335</v>
      </c>
    </row>
    <row r="1101" spans="1:11" ht="15">
      <c r="A1101" s="3">
        <v>2080</v>
      </c>
      <c r="B1101" s="60">
        <f t="shared" ca="1" si="47"/>
        <v>13.745116666666668</v>
      </c>
      <c r="C1101" s="60">
        <f t="shared" ca="1" si="47"/>
        <v>13.745116666666668</v>
      </c>
      <c r="D1101" s="60">
        <f t="shared" ca="1" si="47"/>
        <v>13.760058333333332</v>
      </c>
      <c r="E1101" s="60">
        <f t="shared" ca="1" si="47"/>
        <v>16.163950000000003</v>
      </c>
      <c r="F1101" s="60">
        <f t="shared" ca="1" si="47"/>
        <v>16.163950000000003</v>
      </c>
      <c r="G1101" s="60">
        <f t="shared" ca="1" si="47"/>
        <v>16.16460833333333</v>
      </c>
      <c r="H1101" s="60">
        <f t="shared" ca="1" si="47"/>
        <v>26.405316666666661</v>
      </c>
      <c r="I1101" s="60">
        <f t="shared" ca="1" si="47"/>
        <v>26.40601666666667</v>
      </c>
      <c r="J1101" s="60">
        <f t="shared" ca="1" si="47"/>
        <v>16.163950000000003</v>
      </c>
      <c r="K1101" s="60">
        <f t="shared" ca="1" si="47"/>
        <v>16.16460833333333</v>
      </c>
    </row>
    <row r="1102" spans="1:11" ht="15">
      <c r="A1102" s="3">
        <v>2081</v>
      </c>
      <c r="B1102" s="60">
        <f t="shared" ca="1" si="47"/>
        <v>13.992633333333336</v>
      </c>
      <c r="C1102" s="60">
        <f t="shared" ca="1" si="47"/>
        <v>13.992633333333336</v>
      </c>
      <c r="D1102" s="60">
        <f t="shared" ca="1" si="47"/>
        <v>14.007599999999998</v>
      </c>
      <c r="E1102" s="60">
        <f t="shared" ca="1" si="47"/>
        <v>16.459275000000002</v>
      </c>
      <c r="F1102" s="60">
        <f t="shared" ca="1" si="47"/>
        <v>16.459275000000002</v>
      </c>
      <c r="G1102" s="60">
        <f t="shared" ca="1" si="47"/>
        <v>16.459958333333336</v>
      </c>
      <c r="H1102" s="60">
        <f t="shared" ca="1" si="47"/>
        <v>26.856358333333333</v>
      </c>
      <c r="I1102" s="60">
        <f t="shared" ca="1" si="47"/>
        <v>26.857025000000004</v>
      </c>
      <c r="J1102" s="60">
        <f t="shared" ca="1" si="47"/>
        <v>16.459275000000002</v>
      </c>
      <c r="K1102" s="60">
        <f t="shared" ca="1" si="47"/>
        <v>16.459958333333336</v>
      </c>
    </row>
    <row r="1103" spans="1:11" ht="15">
      <c r="A1103" s="3">
        <v>2082</v>
      </c>
      <c r="B1103" s="60">
        <f t="shared" ref="B1103:K1112" ca="1" si="48">AVERAGE(OFFSET(B$568,($A1103-$A$1083)*12,0,12,1))</f>
        <v>14.240133333333334</v>
      </c>
      <c r="C1103" s="60">
        <f t="shared" ca="1" si="48"/>
        <v>14.240133333333334</v>
      </c>
      <c r="D1103" s="60">
        <f t="shared" ca="1" si="48"/>
        <v>14.255099999999999</v>
      </c>
      <c r="E1103" s="60">
        <f t="shared" ca="1" si="48"/>
        <v>16.754633333333334</v>
      </c>
      <c r="F1103" s="60">
        <f t="shared" ca="1" si="48"/>
        <v>16.754633333333334</v>
      </c>
      <c r="G1103" s="60">
        <f t="shared" ca="1" si="48"/>
        <v>16.755300000000002</v>
      </c>
      <c r="H1103" s="60">
        <f t="shared" ca="1" si="48"/>
        <v>27.307400000000001</v>
      </c>
      <c r="I1103" s="60">
        <f t="shared" ca="1" si="48"/>
        <v>27.308074999999999</v>
      </c>
      <c r="J1103" s="60">
        <f t="shared" ca="1" si="48"/>
        <v>16.754633333333334</v>
      </c>
      <c r="K1103" s="60">
        <f t="shared" ca="1" si="48"/>
        <v>16.755300000000002</v>
      </c>
    </row>
    <row r="1104" spans="1:11" ht="15">
      <c r="A1104" s="3">
        <v>2083</v>
      </c>
      <c r="B1104" s="60">
        <f t="shared" ca="1" si="48"/>
        <v>14.487650000000002</v>
      </c>
      <c r="C1104" s="60">
        <f t="shared" ca="1" si="48"/>
        <v>14.487650000000002</v>
      </c>
      <c r="D1104" s="60">
        <f t="shared" ca="1" si="48"/>
        <v>14.502625</v>
      </c>
      <c r="E1104" s="60">
        <f t="shared" ca="1" si="48"/>
        <v>17.049966666666666</v>
      </c>
      <c r="F1104" s="60">
        <f t="shared" ca="1" si="48"/>
        <v>17.049966666666666</v>
      </c>
      <c r="G1104" s="60">
        <f t="shared" ca="1" si="48"/>
        <v>17.050649999999997</v>
      </c>
      <c r="H1104" s="60">
        <f t="shared" ca="1" si="48"/>
        <v>27.758433333333329</v>
      </c>
      <c r="I1104" s="60">
        <f t="shared" ca="1" si="48"/>
        <v>27.75910833333333</v>
      </c>
      <c r="J1104" s="60">
        <f t="shared" ca="1" si="48"/>
        <v>17.049966666666666</v>
      </c>
      <c r="K1104" s="60">
        <f t="shared" ca="1" si="48"/>
        <v>17.050649999999997</v>
      </c>
    </row>
    <row r="1105" spans="1:11" ht="15">
      <c r="A1105" s="3">
        <v>2084</v>
      </c>
      <c r="B1105" s="60">
        <f t="shared" ca="1" si="48"/>
        <v>14.735199999999997</v>
      </c>
      <c r="C1105" s="60">
        <f t="shared" ca="1" si="48"/>
        <v>14.735199999999997</v>
      </c>
      <c r="D1105" s="60">
        <f t="shared" ca="1" si="48"/>
        <v>14.750141666666666</v>
      </c>
      <c r="E1105" s="60">
        <f t="shared" ca="1" si="48"/>
        <v>17.345324999999999</v>
      </c>
      <c r="F1105" s="60">
        <f t="shared" ca="1" si="48"/>
        <v>17.345324999999999</v>
      </c>
      <c r="G1105" s="60">
        <f t="shared" ca="1" si="48"/>
        <v>17.345991666666666</v>
      </c>
      <c r="H1105" s="60">
        <f t="shared" ca="1" si="48"/>
        <v>28.209475000000001</v>
      </c>
      <c r="I1105" s="60">
        <f t="shared" ca="1" si="48"/>
        <v>28.210150000000002</v>
      </c>
      <c r="J1105" s="60">
        <f t="shared" ca="1" si="48"/>
        <v>17.345324999999999</v>
      </c>
      <c r="K1105" s="60">
        <f t="shared" ca="1" si="48"/>
        <v>17.345991666666666</v>
      </c>
    </row>
    <row r="1106" spans="1:11" ht="15">
      <c r="A1106" s="3">
        <v>2085</v>
      </c>
      <c r="B1106" s="60">
        <f t="shared" ca="1" si="48"/>
        <v>14.982699999999999</v>
      </c>
      <c r="C1106" s="60">
        <f t="shared" ca="1" si="48"/>
        <v>14.982699999999999</v>
      </c>
      <c r="D1106" s="60">
        <f t="shared" ca="1" si="48"/>
        <v>14.997666666666667</v>
      </c>
      <c r="E1106" s="60">
        <f t="shared" ca="1" si="48"/>
        <v>17.640658333333334</v>
      </c>
      <c r="F1106" s="60">
        <f t="shared" ca="1" si="48"/>
        <v>17.640658333333334</v>
      </c>
      <c r="G1106" s="60">
        <f t="shared" ca="1" si="48"/>
        <v>17.641341666666666</v>
      </c>
      <c r="H1106" s="60">
        <f t="shared" ca="1" si="48"/>
        <v>28.660508333333336</v>
      </c>
      <c r="I1106" s="60">
        <f t="shared" ca="1" si="48"/>
        <v>28.661183333333337</v>
      </c>
      <c r="J1106" s="60">
        <f t="shared" ca="1" si="48"/>
        <v>17.640658333333334</v>
      </c>
      <c r="K1106" s="60">
        <f t="shared" ca="1" si="48"/>
        <v>17.641341666666666</v>
      </c>
    </row>
    <row r="1107" spans="1:11" ht="15">
      <c r="A1107" s="3">
        <v>2086</v>
      </c>
      <c r="B1107" s="60">
        <f t="shared" ca="1" si="48"/>
        <v>15.230216666666664</v>
      </c>
      <c r="C1107" s="60">
        <f t="shared" ca="1" si="48"/>
        <v>15.230216666666664</v>
      </c>
      <c r="D1107" s="60">
        <f t="shared" ca="1" si="48"/>
        <v>15.245191666666669</v>
      </c>
      <c r="E1107" s="60">
        <f t="shared" ca="1" si="48"/>
        <v>17.936008333333334</v>
      </c>
      <c r="F1107" s="60">
        <f t="shared" ca="1" si="48"/>
        <v>17.936008333333334</v>
      </c>
      <c r="G1107" s="60">
        <f t="shared" ca="1" si="48"/>
        <v>17.936675000000001</v>
      </c>
      <c r="H1107" s="60">
        <f t="shared" ca="1" si="48"/>
        <v>29.11153333333333</v>
      </c>
      <c r="I1107" s="60">
        <f t="shared" ca="1" si="48"/>
        <v>29.112224999999999</v>
      </c>
      <c r="J1107" s="60">
        <f t="shared" ca="1" si="48"/>
        <v>17.936008333333334</v>
      </c>
      <c r="K1107" s="60">
        <f t="shared" ca="1" si="48"/>
        <v>17.936675000000001</v>
      </c>
    </row>
    <row r="1108" spans="1:11" ht="15">
      <c r="A1108" s="3">
        <v>2087</v>
      </c>
      <c r="B1108" s="60">
        <f t="shared" ca="1" si="48"/>
        <v>15.477733333333333</v>
      </c>
      <c r="C1108" s="60">
        <f t="shared" ca="1" si="48"/>
        <v>15.477733333333333</v>
      </c>
      <c r="D1108" s="60">
        <f t="shared" ca="1" si="48"/>
        <v>15.492699999999999</v>
      </c>
      <c r="E1108" s="60">
        <f t="shared" ca="1" si="48"/>
        <v>18.231333333333335</v>
      </c>
      <c r="F1108" s="60">
        <f t="shared" ca="1" si="48"/>
        <v>18.231333333333335</v>
      </c>
      <c r="G1108" s="60">
        <f t="shared" ca="1" si="48"/>
        <v>18.232024999999997</v>
      </c>
      <c r="H1108" s="60">
        <f t="shared" ca="1" si="48"/>
        <v>29.562583333333333</v>
      </c>
      <c r="I1108" s="60">
        <f t="shared" ca="1" si="48"/>
        <v>29.56324166666667</v>
      </c>
      <c r="J1108" s="60">
        <f t="shared" ca="1" si="48"/>
        <v>18.231333333333335</v>
      </c>
      <c r="K1108" s="60">
        <f t="shared" ca="1" si="48"/>
        <v>18.232024999999997</v>
      </c>
    </row>
    <row r="1109" spans="1:11" ht="15">
      <c r="A1109" s="3">
        <v>2088</v>
      </c>
      <c r="B1109" s="60">
        <f t="shared" ca="1" si="48"/>
        <v>15.725258333333331</v>
      </c>
      <c r="C1109" s="60">
        <f t="shared" ca="1" si="48"/>
        <v>15.725258333333331</v>
      </c>
      <c r="D1109" s="60">
        <f t="shared" ca="1" si="48"/>
        <v>15.740225000000001</v>
      </c>
      <c r="E1109" s="60">
        <f t="shared" ca="1" si="48"/>
        <v>18.526683333333335</v>
      </c>
      <c r="F1109" s="60">
        <f t="shared" ca="1" si="48"/>
        <v>18.526683333333335</v>
      </c>
      <c r="G1109" s="60">
        <f t="shared" ca="1" si="48"/>
        <v>18.527358333333336</v>
      </c>
      <c r="H1109" s="60">
        <f t="shared" ca="1" si="48"/>
        <v>30.013625000000005</v>
      </c>
      <c r="I1109" s="60">
        <f t="shared" ca="1" si="48"/>
        <v>30.014299999999995</v>
      </c>
      <c r="J1109" s="60">
        <f t="shared" ca="1" si="48"/>
        <v>18.526683333333335</v>
      </c>
      <c r="K1109" s="60">
        <f t="shared" ca="1" si="48"/>
        <v>18.527358333333336</v>
      </c>
    </row>
    <row r="1110" spans="1:11" ht="15">
      <c r="A1110" s="3">
        <v>2089</v>
      </c>
      <c r="B1110" s="60">
        <f t="shared" ca="1" si="48"/>
        <v>15.972775000000004</v>
      </c>
      <c r="C1110" s="60">
        <f t="shared" ca="1" si="48"/>
        <v>15.972775000000004</v>
      </c>
      <c r="D1110" s="60">
        <f t="shared" ca="1" si="48"/>
        <v>15.987741666666667</v>
      </c>
      <c r="E1110" s="60">
        <f t="shared" ca="1" si="48"/>
        <v>18.822033333333334</v>
      </c>
      <c r="F1110" s="60">
        <f t="shared" ca="1" si="48"/>
        <v>18.822033333333334</v>
      </c>
      <c r="G1110" s="60">
        <f t="shared" ca="1" si="48"/>
        <v>18.822700000000001</v>
      </c>
      <c r="H1110" s="60">
        <f t="shared" ca="1" si="48"/>
        <v>30.464666666666663</v>
      </c>
      <c r="I1110" s="60">
        <f t="shared" ca="1" si="48"/>
        <v>30.465341666666664</v>
      </c>
      <c r="J1110" s="60">
        <f t="shared" ca="1" si="48"/>
        <v>18.822033333333334</v>
      </c>
      <c r="K1110" s="60">
        <f t="shared" ca="1" si="48"/>
        <v>18.822700000000001</v>
      </c>
    </row>
    <row r="1111" spans="1:11" ht="15">
      <c r="A1111" s="3">
        <v>2090</v>
      </c>
      <c r="B1111" s="60">
        <f t="shared" ca="1" si="48"/>
        <v>16.220299999999998</v>
      </c>
      <c r="C1111" s="60">
        <f t="shared" ca="1" si="48"/>
        <v>16.220299999999998</v>
      </c>
      <c r="D1111" s="60">
        <f t="shared" ca="1" si="48"/>
        <v>16.235250000000001</v>
      </c>
      <c r="E1111" s="60">
        <f t="shared" ca="1" si="48"/>
        <v>19.117366666666669</v>
      </c>
      <c r="F1111" s="60">
        <f t="shared" ca="1" si="48"/>
        <v>19.117366666666669</v>
      </c>
      <c r="G1111" s="60">
        <f t="shared" ca="1" si="48"/>
        <v>19.118041666666667</v>
      </c>
      <c r="H1111" s="60">
        <f t="shared" ca="1" si="48"/>
        <v>30.915683333333337</v>
      </c>
      <c r="I1111" s="60">
        <f t="shared" ca="1" si="48"/>
        <v>30.916366666666665</v>
      </c>
      <c r="J1111" s="60">
        <f t="shared" ca="1" si="48"/>
        <v>19.117366666666669</v>
      </c>
      <c r="K1111" s="60">
        <f t="shared" ca="1" si="48"/>
        <v>19.118041666666667</v>
      </c>
    </row>
    <row r="1112" spans="1:11" ht="15">
      <c r="A1112" s="3">
        <v>2091</v>
      </c>
      <c r="B1112" s="60">
        <f t="shared" ca="1" si="48"/>
        <v>16.467799999999997</v>
      </c>
      <c r="C1112" s="60">
        <f t="shared" ca="1" si="48"/>
        <v>16.467799999999997</v>
      </c>
      <c r="D1112" s="60">
        <f t="shared" ca="1" si="48"/>
        <v>16.482775</v>
      </c>
      <c r="E1112" s="60">
        <f t="shared" ca="1" si="48"/>
        <v>19.412708333333331</v>
      </c>
      <c r="F1112" s="60">
        <f t="shared" ca="1" si="48"/>
        <v>19.412708333333331</v>
      </c>
      <c r="G1112" s="60">
        <f t="shared" ca="1" si="48"/>
        <v>19.413391666666666</v>
      </c>
      <c r="H1112" s="60">
        <f t="shared" ca="1" si="48"/>
        <v>31.366708333333332</v>
      </c>
      <c r="I1112" s="60">
        <f t="shared" ca="1" si="48"/>
        <v>31.367391666666663</v>
      </c>
      <c r="J1112" s="60">
        <f t="shared" ca="1" si="48"/>
        <v>19.412708333333331</v>
      </c>
      <c r="K1112" s="60">
        <f t="shared" ca="1" si="48"/>
        <v>19.413391666666666</v>
      </c>
    </row>
    <row r="1113" spans="1:11" ht="15">
      <c r="A1113" s="3">
        <v>2092</v>
      </c>
      <c r="B1113" s="60">
        <f t="shared" ref="B1113:K1121" ca="1" si="49">AVERAGE(OFFSET(B$568,($A1113-$A$1083)*12,0,12,1))</f>
        <v>16.715349999999997</v>
      </c>
      <c r="C1113" s="60">
        <f t="shared" ca="1" si="49"/>
        <v>16.715349999999997</v>
      </c>
      <c r="D1113" s="60">
        <f t="shared" ca="1" si="49"/>
        <v>16.730308333333337</v>
      </c>
      <c r="E1113" s="60">
        <f t="shared" ca="1" si="49"/>
        <v>19.708050000000004</v>
      </c>
      <c r="F1113" s="60">
        <f t="shared" ca="1" si="49"/>
        <v>19.708050000000004</v>
      </c>
      <c r="G1113" s="60">
        <f t="shared" ca="1" si="49"/>
        <v>19.708716666666664</v>
      </c>
      <c r="H1113" s="60">
        <f t="shared" ca="1" si="49"/>
        <v>31.817750000000007</v>
      </c>
      <c r="I1113" s="60">
        <f t="shared" ca="1" si="49"/>
        <v>31.818425000000001</v>
      </c>
      <c r="J1113" s="60">
        <f t="shared" ca="1" si="49"/>
        <v>19.708050000000004</v>
      </c>
      <c r="K1113" s="60">
        <f t="shared" ca="1" si="49"/>
        <v>19.708716666666664</v>
      </c>
    </row>
    <row r="1114" spans="1:11" ht="15">
      <c r="A1114" s="3">
        <v>2093</v>
      </c>
      <c r="B1114" s="60">
        <f t="shared" ca="1" si="49"/>
        <v>16.962858333333333</v>
      </c>
      <c r="C1114" s="60">
        <f t="shared" ca="1" si="49"/>
        <v>16.962858333333333</v>
      </c>
      <c r="D1114" s="60">
        <f t="shared" ca="1" si="49"/>
        <v>16.977816666666666</v>
      </c>
      <c r="E1114" s="60">
        <f t="shared" ca="1" si="49"/>
        <v>20.003391666666669</v>
      </c>
      <c r="F1114" s="60">
        <f t="shared" ca="1" si="49"/>
        <v>20.003391666666669</v>
      </c>
      <c r="G1114" s="60">
        <f t="shared" ca="1" si="49"/>
        <v>20.00408333333333</v>
      </c>
      <c r="H1114" s="60">
        <f t="shared" ca="1" si="49"/>
        <v>32.268808333333332</v>
      </c>
      <c r="I1114" s="60">
        <f t="shared" ca="1" si="49"/>
        <v>32.269483333333334</v>
      </c>
      <c r="J1114" s="60">
        <f t="shared" ca="1" si="49"/>
        <v>20.003391666666669</v>
      </c>
      <c r="K1114" s="60">
        <f t="shared" ca="1" si="49"/>
        <v>20.00408333333333</v>
      </c>
    </row>
    <row r="1115" spans="1:11" ht="15">
      <c r="A1115" s="3">
        <v>2094</v>
      </c>
      <c r="B1115" s="60">
        <f t="shared" ca="1" si="49"/>
        <v>17.210366666666665</v>
      </c>
      <c r="C1115" s="60">
        <f t="shared" ca="1" si="49"/>
        <v>17.210366666666665</v>
      </c>
      <c r="D1115" s="60">
        <f t="shared" ca="1" si="49"/>
        <v>17.225341666666665</v>
      </c>
      <c r="E1115" s="60">
        <f t="shared" ca="1" si="49"/>
        <v>20.298733333333335</v>
      </c>
      <c r="F1115" s="60">
        <f t="shared" ca="1" si="49"/>
        <v>20.298733333333335</v>
      </c>
      <c r="G1115" s="60">
        <f t="shared" ca="1" si="49"/>
        <v>20.299425000000003</v>
      </c>
      <c r="H1115" s="60">
        <f t="shared" ca="1" si="49"/>
        <v>32.719841666666667</v>
      </c>
      <c r="I1115" s="60">
        <f t="shared" ca="1" si="49"/>
        <v>32.720508333333335</v>
      </c>
      <c r="J1115" s="60">
        <f t="shared" ca="1" si="49"/>
        <v>20.298733333333335</v>
      </c>
      <c r="K1115" s="60">
        <f t="shared" ca="1" si="49"/>
        <v>20.299425000000003</v>
      </c>
    </row>
    <row r="1116" spans="1:11" ht="15">
      <c r="A1116" s="3">
        <v>2095</v>
      </c>
      <c r="B1116" s="60">
        <f t="shared" ca="1" si="49"/>
        <v>17.457874999999998</v>
      </c>
      <c r="C1116" s="60">
        <f t="shared" ca="1" si="49"/>
        <v>17.457874999999998</v>
      </c>
      <c r="D1116" s="60">
        <f t="shared" ca="1" si="49"/>
        <v>17.472849999999998</v>
      </c>
      <c r="E1116" s="60">
        <f t="shared" ca="1" si="49"/>
        <v>20.594083333333334</v>
      </c>
      <c r="F1116" s="60">
        <f t="shared" ca="1" si="49"/>
        <v>20.594083333333334</v>
      </c>
      <c r="G1116" s="60">
        <f t="shared" ca="1" si="49"/>
        <v>20.594758333333335</v>
      </c>
      <c r="H1116" s="60">
        <f t="shared" ca="1" si="49"/>
        <v>33.170858333333335</v>
      </c>
      <c r="I1116" s="60">
        <f t="shared" ca="1" si="49"/>
        <v>33.171550000000003</v>
      </c>
      <c r="J1116" s="60">
        <f t="shared" ca="1" si="49"/>
        <v>20.594083333333334</v>
      </c>
      <c r="K1116" s="60">
        <f t="shared" ca="1" si="49"/>
        <v>20.594758333333335</v>
      </c>
    </row>
    <row r="1117" spans="1:11" ht="15">
      <c r="A1117" s="3">
        <v>2096</v>
      </c>
      <c r="B1117" s="60">
        <f t="shared" ca="1" si="49"/>
        <v>17.705416666666668</v>
      </c>
      <c r="C1117" s="60">
        <f t="shared" ca="1" si="49"/>
        <v>17.705416666666668</v>
      </c>
      <c r="D1117" s="60">
        <f t="shared" ca="1" si="49"/>
        <v>17.720366666666667</v>
      </c>
      <c r="E1117" s="60">
        <f t="shared" ca="1" si="49"/>
        <v>20.889433333333333</v>
      </c>
      <c r="F1117" s="60">
        <f t="shared" ca="1" si="49"/>
        <v>20.889433333333333</v>
      </c>
      <c r="G1117" s="60">
        <f t="shared" ca="1" si="49"/>
        <v>20.890108333333334</v>
      </c>
      <c r="H1117" s="60">
        <f t="shared" ca="1" si="49"/>
        <v>33.621900000000004</v>
      </c>
      <c r="I1117" s="60">
        <f t="shared" ca="1" si="49"/>
        <v>33.622575000000005</v>
      </c>
      <c r="J1117" s="60">
        <f t="shared" ca="1" si="49"/>
        <v>20.889433333333333</v>
      </c>
      <c r="K1117" s="60">
        <f t="shared" ca="1" si="49"/>
        <v>20.890108333333334</v>
      </c>
    </row>
    <row r="1118" spans="1:11" ht="15">
      <c r="A1118" s="3">
        <v>2097</v>
      </c>
      <c r="B1118" s="60">
        <f t="shared" ca="1" si="49"/>
        <v>17.952933333333334</v>
      </c>
      <c r="C1118" s="60">
        <f t="shared" ca="1" si="49"/>
        <v>17.952933333333334</v>
      </c>
      <c r="D1118" s="60">
        <f t="shared" ca="1" si="49"/>
        <v>17.96789166666667</v>
      </c>
      <c r="E1118" s="60">
        <f t="shared" ca="1" si="49"/>
        <v>21.184783333333336</v>
      </c>
      <c r="F1118" s="60">
        <f t="shared" ca="1" si="49"/>
        <v>21.184783333333336</v>
      </c>
      <c r="G1118" s="60">
        <f t="shared" ca="1" si="49"/>
        <v>21.185449999999999</v>
      </c>
      <c r="H1118" s="60">
        <f t="shared" ca="1" si="49"/>
        <v>34.072941666666665</v>
      </c>
      <c r="I1118" s="60">
        <f t="shared" ca="1" si="49"/>
        <v>34.073616666666666</v>
      </c>
      <c r="J1118" s="60">
        <f t="shared" ca="1" si="49"/>
        <v>21.184783333333336</v>
      </c>
      <c r="K1118" s="60">
        <f t="shared" ca="1" si="49"/>
        <v>21.185449999999999</v>
      </c>
    </row>
    <row r="1119" spans="1:11" ht="15">
      <c r="A1119" s="3">
        <v>2098</v>
      </c>
      <c r="B1119" s="60">
        <f t="shared" ca="1" si="49"/>
        <v>18.200441666666666</v>
      </c>
      <c r="C1119" s="60">
        <f t="shared" ca="1" si="49"/>
        <v>18.200441666666666</v>
      </c>
      <c r="D1119" s="60">
        <f t="shared" ca="1" si="49"/>
        <v>18.215416666666666</v>
      </c>
      <c r="E1119" s="60">
        <f t="shared" ca="1" si="49"/>
        <v>21.480099999999997</v>
      </c>
      <c r="F1119" s="60">
        <f t="shared" ca="1" si="49"/>
        <v>21.480099999999997</v>
      </c>
      <c r="G1119" s="60">
        <f t="shared" ca="1" si="49"/>
        <v>21.480783333333335</v>
      </c>
      <c r="H1119" s="60">
        <f t="shared" ca="1" si="49"/>
        <v>34.523975</v>
      </c>
      <c r="I1119" s="60">
        <f t="shared" ca="1" si="49"/>
        <v>34.524650000000001</v>
      </c>
      <c r="J1119" s="60">
        <f t="shared" ca="1" si="49"/>
        <v>21.480099999999997</v>
      </c>
      <c r="K1119" s="60">
        <f t="shared" ca="1" si="49"/>
        <v>21.480783333333335</v>
      </c>
    </row>
    <row r="1120" spans="1:11" ht="15">
      <c r="A1120" s="3">
        <v>2099</v>
      </c>
      <c r="B1120" s="60">
        <f t="shared" ca="1" si="49"/>
        <v>18.447958333333332</v>
      </c>
      <c r="C1120" s="60">
        <f t="shared" ca="1" si="49"/>
        <v>18.447958333333332</v>
      </c>
      <c r="D1120" s="60">
        <f t="shared" ca="1" si="49"/>
        <v>18.462933333333336</v>
      </c>
      <c r="E1120" s="60">
        <f t="shared" ca="1" si="49"/>
        <v>21.77546666666667</v>
      </c>
      <c r="F1120" s="60">
        <f t="shared" ca="1" si="49"/>
        <v>21.77546666666667</v>
      </c>
      <c r="G1120" s="60">
        <f t="shared" ca="1" si="49"/>
        <v>21.776124999999997</v>
      </c>
      <c r="H1120" s="60">
        <f t="shared" ca="1" si="49"/>
        <v>34.975008333333335</v>
      </c>
      <c r="I1120" s="60">
        <f t="shared" ca="1" si="49"/>
        <v>34.975691666666663</v>
      </c>
      <c r="J1120" s="60">
        <f t="shared" ca="1" si="49"/>
        <v>21.77546666666667</v>
      </c>
      <c r="K1120" s="60">
        <f t="shared" ca="1" si="49"/>
        <v>21.776124999999997</v>
      </c>
    </row>
    <row r="1121" spans="1:11" ht="15">
      <c r="A1121" s="3">
        <v>2100</v>
      </c>
      <c r="B1121" s="60">
        <f t="shared" ca="1" si="49"/>
        <v>18.695491666666666</v>
      </c>
      <c r="C1121" s="60">
        <f t="shared" ca="1" si="49"/>
        <v>18.695491666666666</v>
      </c>
      <c r="D1121" s="60">
        <f t="shared" ca="1" si="49"/>
        <v>18.710449999999998</v>
      </c>
      <c r="E1121" s="60">
        <f t="shared" ca="1" si="49"/>
        <v>22.070808333333336</v>
      </c>
      <c r="F1121" s="60">
        <f t="shared" ca="1" si="49"/>
        <v>22.070808333333336</v>
      </c>
      <c r="G1121" s="60">
        <f t="shared" ca="1" si="49"/>
        <v>22.07148333333333</v>
      </c>
      <c r="H1121" s="60">
        <f t="shared" ca="1" si="49"/>
        <v>35.426049999999996</v>
      </c>
      <c r="I1121" s="60">
        <f t="shared" ca="1" si="49"/>
        <v>35.426724999999998</v>
      </c>
      <c r="J1121" s="60">
        <f t="shared" ca="1" si="49"/>
        <v>22.070808333333336</v>
      </c>
      <c r="K1121" s="60">
        <f t="shared" ca="1" si="49"/>
        <v>22.07148333333333</v>
      </c>
    </row>
  </sheetData>
  <mergeCells count="7">
    <mergeCell ref="B13:D13"/>
    <mergeCell ref="L13:M13"/>
    <mergeCell ref="N13:O13"/>
    <mergeCell ref="L12:O12"/>
    <mergeCell ref="E13:G13"/>
    <mergeCell ref="J13:K13"/>
    <mergeCell ref="H13:I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371475</xdr:colOff>
                    <xdr:row>10</xdr:row>
                    <xdr:rowOff>47625</xdr:rowOff>
                  </from>
                  <to>
                    <xdr:col>6</xdr:col>
                    <xdr:colOff>381000</xdr:colOff>
                    <xdr:row>11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6"/>
  <sheetViews>
    <sheetView showGridLines="0" workbookViewId="0">
      <selection activeCell="A6" sqref="A6"/>
    </sheetView>
  </sheetViews>
  <sheetFormatPr defaultRowHeight="15.75"/>
  <cols>
    <col min="1" max="1" width="8.88671875" style="73"/>
    <col min="2" max="2" width="15.5546875" style="73" bestFit="1" customWidth="1"/>
    <col min="3" max="3" width="9.5546875" style="73" bestFit="1" customWidth="1"/>
    <col min="4" max="16384" width="8.88671875" style="73"/>
  </cols>
  <sheetData>
    <row r="1" spans="1:3">
      <c r="A1" s="81" t="s">
        <v>64</v>
      </c>
    </row>
    <row r="2" spans="1:3">
      <c r="A2" s="81" t="s">
        <v>65</v>
      </c>
    </row>
    <row r="3" spans="1:3">
      <c r="A3" s="81" t="s">
        <v>70</v>
      </c>
    </row>
    <row r="4" spans="1:3">
      <c r="A4" s="81" t="s">
        <v>66</v>
      </c>
    </row>
    <row r="5" spans="1:3">
      <c r="A5" s="81" t="s">
        <v>67</v>
      </c>
    </row>
    <row r="6" spans="1:3">
      <c r="A6" s="81" t="s">
        <v>69</v>
      </c>
    </row>
    <row r="7" spans="1:3">
      <c r="B7" s="78" t="s">
        <v>63</v>
      </c>
      <c r="C7" s="78" t="s">
        <v>54</v>
      </c>
    </row>
    <row r="8" spans="1:3">
      <c r="B8" s="80" t="s">
        <v>61</v>
      </c>
      <c r="C8" s="90">
        <v>2</v>
      </c>
    </row>
    <row r="9" spans="1:3">
      <c r="B9" s="80" t="s">
        <v>60</v>
      </c>
      <c r="C9" s="92"/>
    </row>
    <row r="10" spans="1:3">
      <c r="B10" s="79" t="s">
        <v>59</v>
      </c>
      <c r="C10" s="91"/>
    </row>
    <row r="13" spans="1:3">
      <c r="B13" s="78" t="s">
        <v>55</v>
      </c>
      <c r="C13" s="78" t="s">
        <v>54</v>
      </c>
    </row>
    <row r="14" spans="1:3">
      <c r="B14" s="80" t="s">
        <v>61</v>
      </c>
      <c r="C14" s="90">
        <v>2</v>
      </c>
    </row>
    <row r="15" spans="1:3">
      <c r="B15" s="80" t="s">
        <v>60</v>
      </c>
      <c r="C15" s="92"/>
    </row>
    <row r="16" spans="1:3">
      <c r="B16" s="79" t="s">
        <v>59</v>
      </c>
      <c r="C16" s="91"/>
    </row>
    <row r="20" spans="2:3">
      <c r="B20" s="78" t="s">
        <v>62</v>
      </c>
      <c r="C20" s="78" t="s">
        <v>54</v>
      </c>
    </row>
    <row r="21" spans="2:3">
      <c r="B21" s="80" t="s">
        <v>61</v>
      </c>
      <c r="C21" s="90">
        <v>2</v>
      </c>
    </row>
    <row r="22" spans="2:3">
      <c r="B22" s="80" t="s">
        <v>60</v>
      </c>
      <c r="C22" s="92"/>
    </row>
    <row r="23" spans="2:3">
      <c r="B23" s="79" t="s">
        <v>59</v>
      </c>
      <c r="C23" s="91"/>
    </row>
    <row r="26" spans="2:3">
      <c r="B26" s="78" t="s">
        <v>58</v>
      </c>
      <c r="C26" s="78" t="s">
        <v>54</v>
      </c>
    </row>
    <row r="27" spans="2:3">
      <c r="B27" s="77" t="s">
        <v>57</v>
      </c>
      <c r="C27" s="90">
        <v>1</v>
      </c>
    </row>
    <row r="28" spans="2:3">
      <c r="B28" s="76" t="s">
        <v>56</v>
      </c>
      <c r="C28" s="91"/>
    </row>
    <row r="30" spans="2:3">
      <c r="B30" s="78" t="s">
        <v>55</v>
      </c>
      <c r="C30" s="78" t="s">
        <v>54</v>
      </c>
    </row>
    <row r="31" spans="2:3">
      <c r="B31" s="77" t="s">
        <v>53</v>
      </c>
      <c r="C31" s="90">
        <v>1</v>
      </c>
    </row>
    <row r="32" spans="2:3">
      <c r="B32" s="76" t="s">
        <v>52</v>
      </c>
      <c r="C32" s="91"/>
    </row>
    <row r="36" spans="3:5">
      <c r="C36" s="75"/>
      <c r="E36" s="74"/>
    </row>
  </sheetData>
  <mergeCells count="5">
    <mergeCell ref="C31:C32"/>
    <mergeCell ref="C21:C23"/>
    <mergeCell ref="C27:C28"/>
    <mergeCell ref="C8:C10"/>
    <mergeCell ref="C14:C1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RAP-NATURAL GAS PRICES</vt:lpstr>
      <vt:lpstr>RAP TEMPLATE-GAS AVAILABILITY</vt:lpstr>
      <vt:lpstr>RAP-HEAVY &amp; LIGHT OIL &amp; WTI</vt:lpstr>
      <vt:lpstr>RAP-SOLID FUEL PRICES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2016-09-14T15:39:31Z</dcterms:created>
  <dcterms:modified xsi:type="dcterms:W3CDTF">2016-09-14T15:39:31Z</dcterms:modified>
</cp:coreProperties>
</file>