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8620" windowHeight="12375"/>
  </bookViews>
  <sheets>
    <sheet name="Template Life_COR" sheetId="4" r:id="rId1"/>
    <sheet name="Crist 4 -312" sheetId="28" r:id="rId2"/>
    <sheet name="Crist 4 -314" sheetId="29" r:id="rId3"/>
    <sheet name="Crist 4 -315" sheetId="30" r:id="rId4"/>
    <sheet name="Crist 5 -312" sheetId="9" r:id="rId5"/>
    <sheet name="Crist 5 -314" sheetId="11" r:id="rId6"/>
    <sheet name="Crist 5 -315" sheetId="12" r:id="rId7"/>
    <sheet name="Crist 6 -312" sheetId="32" r:id="rId8"/>
    <sheet name="Crist 6 -314" sheetId="33" r:id="rId9"/>
    <sheet name="Crist 6 -315" sheetId="34" r:id="rId10"/>
    <sheet name="Crist 7 -312" sheetId="38" r:id="rId11"/>
    <sheet name="Crist 7 -314" sheetId="39" r:id="rId12"/>
    <sheet name="Crist 7 -315" sheetId="40" r:id="rId13"/>
    <sheet name="Crist Comm -311" sheetId="50" r:id="rId14"/>
    <sheet name="Crist Comm-312" sheetId="51" r:id="rId15"/>
    <sheet name="Crist Comm-314" sheetId="52" r:id="rId16"/>
    <sheet name="Crist Comm-315" sheetId="53" r:id="rId17"/>
    <sheet name="Crist Comm-316" sheetId="54" r:id="rId18"/>
    <sheet name="Daniel 310.1" sheetId="80" r:id="rId19"/>
    <sheet name="Daniel-311 Rail Cars" sheetId="17" r:id="rId20"/>
    <sheet name="Daniel 1-311" sheetId="15" r:id="rId21"/>
    <sheet name="Daniel 1-312" sheetId="16" r:id="rId22"/>
    <sheet name="Daniel 1-314" sheetId="44" r:id="rId23"/>
    <sheet name="Daniel 1-315" sheetId="46" r:id="rId24"/>
    <sheet name="Daniel 1-316" sheetId="47" r:id="rId25"/>
    <sheet name="Daniel 2-311" sheetId="42" r:id="rId26"/>
    <sheet name="Daniel 2-312" sheetId="43" r:id="rId27"/>
    <sheet name="Daniel 2-314" sheetId="45" r:id="rId28"/>
    <sheet name="Daniel 2-315" sheetId="48" r:id="rId29"/>
    <sheet name="Daniel 2-316" sheetId="49" r:id="rId30"/>
    <sheet name="Daniel Comm-311" sheetId="55" r:id="rId31"/>
    <sheet name="Daniel Comm-312" sheetId="56" r:id="rId32"/>
    <sheet name="Daniel Comm-314" sheetId="57" r:id="rId33"/>
    <sheet name="Daniel Comm-315" sheetId="58" r:id="rId34"/>
    <sheet name="Daniel Comm-316" sheetId="59" r:id="rId35"/>
    <sheet name="Scherer-311" sheetId="66" r:id="rId36"/>
    <sheet name="Scherer-312" sheetId="67" r:id="rId37"/>
    <sheet name="Scherer-314" sheetId="68" r:id="rId38"/>
    <sheet name="Scherer-315" sheetId="69" r:id="rId39"/>
    <sheet name="Scherer-316" sheetId="70" r:id="rId40"/>
    <sheet name="Scholz-311" sheetId="20" r:id="rId41"/>
    <sheet name="Scholz-312" sheetId="62" r:id="rId42"/>
    <sheet name="Scholz-314" sheetId="63" r:id="rId43"/>
    <sheet name="Scholz-315" sheetId="64" r:id="rId44"/>
    <sheet name="Scholz-316" sheetId="65" r:id="rId45"/>
    <sheet name="IRR" sheetId="2" r:id="rId46"/>
    <sheet name="IRC" sheetId="82" r:id="rId47"/>
    <sheet name="Avg Age " sheetId="81" r:id="rId48"/>
    <sheet name="2016 YE Plant by Unit(Fcst)" sheetId="60" r:id="rId49"/>
    <sheet name="2016 YE Reserve by Unit(Fcst)" sheetId="61" r:id="rId50"/>
    <sheet name="Composite Accrual Rate" sheetId="72" r:id="rId51"/>
    <sheet name="Comparison" sheetId="71" r:id="rId52"/>
    <sheet name="RL vs WL" sheetId="79" r:id="rId53"/>
  </sheets>
  <externalReferences>
    <externalReference r:id="rId54"/>
    <externalReference r:id="rId55"/>
  </externalReferences>
  <definedNames>
    <definedName name="_xlnm.Print_Area" localSheetId="47">'Avg Age '!$A$1:$J$1327</definedName>
    <definedName name="_xlnm.Print_Titles" localSheetId="47">'Avg Age '!$1:$1</definedName>
  </definedNames>
  <calcPr calcId="145621"/>
</workbook>
</file>

<file path=xl/calcChain.xml><?xml version="1.0" encoding="utf-8"?>
<calcChain xmlns="http://schemas.openxmlformats.org/spreadsheetml/2006/main">
  <c r="B23" i="65" l="1"/>
  <c r="D23" i="65"/>
  <c r="L23" i="65"/>
  <c r="N23" i="65"/>
  <c r="P23" i="65"/>
  <c r="R23" i="65"/>
  <c r="D24" i="65"/>
  <c r="L24" i="65"/>
  <c r="F25" i="65" s="1"/>
  <c r="N24" i="65"/>
  <c r="P24" i="65"/>
  <c r="R24" i="65"/>
  <c r="D25" i="65"/>
  <c r="L23" i="66"/>
  <c r="N23" i="66" s="1"/>
  <c r="D23" i="66"/>
  <c r="B23" i="66"/>
  <c r="N25" i="65" l="1"/>
  <c r="P25" i="65" s="1"/>
  <c r="R25" i="65" s="1"/>
  <c r="L25" i="65"/>
  <c r="B24" i="66"/>
  <c r="D24" i="66" s="1"/>
  <c r="K43" i="79"/>
  <c r="K39" i="79"/>
  <c r="M64" i="79"/>
  <c r="M43" i="79"/>
  <c r="M39" i="79"/>
  <c r="M36" i="79"/>
  <c r="I43" i="72"/>
  <c r="I39" i="72"/>
  <c r="L24" i="66" l="1"/>
  <c r="I14" i="72"/>
  <c r="I28" i="72"/>
  <c r="I27" i="72"/>
  <c r="I26" i="72"/>
  <c r="B25" i="66" l="1"/>
  <c r="D25" i="66" s="1"/>
  <c r="N24" i="66"/>
  <c r="D69" i="60"/>
  <c r="L25" i="66" l="1"/>
  <c r="P10" i="65"/>
  <c r="P10" i="64"/>
  <c r="P10" i="63"/>
  <c r="P10" i="70"/>
  <c r="P10" i="69"/>
  <c r="P10" i="68"/>
  <c r="P10" i="59"/>
  <c r="P10" i="58"/>
  <c r="P10" i="57"/>
  <c r="P10" i="49"/>
  <c r="P10" i="48"/>
  <c r="P10" i="42"/>
  <c r="P10" i="43"/>
  <c r="P10" i="47"/>
  <c r="P10" i="46"/>
  <c r="P10" i="44"/>
  <c r="P10" i="45"/>
  <c r="P10" i="62"/>
  <c r="D61" i="61"/>
  <c r="D64" i="61" s="1"/>
  <c r="D65" i="60"/>
  <c r="B26" i="66" l="1"/>
  <c r="D26" i="66" s="1"/>
  <c r="N25" i="66"/>
  <c r="P2" i="47"/>
  <c r="P2" i="65"/>
  <c r="P2" i="49" s="1"/>
  <c r="P2" i="64"/>
  <c r="P2" i="69"/>
  <c r="P2" i="58"/>
  <c r="P2" i="48"/>
  <c r="P2" i="46"/>
  <c r="P2" i="53"/>
  <c r="P2" i="40"/>
  <c r="P2" i="34"/>
  <c r="P2" i="12"/>
  <c r="P2" i="30"/>
  <c r="P2" i="68"/>
  <c r="P2" i="63"/>
  <c r="P2" i="57"/>
  <c r="P2" i="45"/>
  <c r="P2" i="44"/>
  <c r="P2" i="52"/>
  <c r="P2" i="39"/>
  <c r="P2" i="33"/>
  <c r="P2" i="11"/>
  <c r="P2" i="29"/>
  <c r="P2" i="62"/>
  <c r="P2" i="67"/>
  <c r="P2" i="56"/>
  <c r="P2" i="43"/>
  <c r="P2" i="16"/>
  <c r="P2" i="51"/>
  <c r="P2" i="38"/>
  <c r="P2" i="32"/>
  <c r="P2" i="9"/>
  <c r="P2" i="28"/>
  <c r="P2" i="20"/>
  <c r="P2" i="66"/>
  <c r="P2" i="55"/>
  <c r="P2" i="42"/>
  <c r="P2" i="15"/>
  <c r="P2" i="17"/>
  <c r="P2" i="50"/>
  <c r="L26" i="66" l="1"/>
  <c r="P2" i="54"/>
  <c r="P2" i="70"/>
  <c r="P2" i="59"/>
  <c r="H1327" i="81"/>
  <c r="G1326" i="81"/>
  <c r="I1326" i="81" s="1"/>
  <c r="G1325" i="81"/>
  <c r="I1325" i="81" s="1"/>
  <c r="G1324" i="81"/>
  <c r="I1324" i="81" s="1"/>
  <c r="G1323" i="81"/>
  <c r="I1323" i="81" s="1"/>
  <c r="G1322" i="81"/>
  <c r="I1322" i="81" s="1"/>
  <c r="G1321" i="81"/>
  <c r="I1321" i="81" s="1"/>
  <c r="G1320" i="81"/>
  <c r="I1320" i="81" s="1"/>
  <c r="G1319" i="81"/>
  <c r="I1319" i="81" s="1"/>
  <c r="G1318" i="81"/>
  <c r="I1318" i="81" s="1"/>
  <c r="G1317" i="81"/>
  <c r="I1317" i="81" s="1"/>
  <c r="G1316" i="81"/>
  <c r="I1316" i="81" s="1"/>
  <c r="G1315" i="81"/>
  <c r="I1315" i="81" s="1"/>
  <c r="G1314" i="81"/>
  <c r="I1314" i="81" s="1"/>
  <c r="G1313" i="81"/>
  <c r="I1313" i="81" s="1"/>
  <c r="G1312" i="81"/>
  <c r="I1312" i="81" s="1"/>
  <c r="G1311" i="81"/>
  <c r="I1311" i="81" s="1"/>
  <c r="G1310" i="81"/>
  <c r="I1310" i="81" s="1"/>
  <c r="G1309" i="81"/>
  <c r="I1309" i="81" s="1"/>
  <c r="G1308" i="81"/>
  <c r="I1308" i="81" s="1"/>
  <c r="G1307" i="81"/>
  <c r="I1307" i="81" s="1"/>
  <c r="G1306" i="81"/>
  <c r="I1306" i="81" s="1"/>
  <c r="G1305" i="81"/>
  <c r="I1305" i="81" s="1"/>
  <c r="G1304" i="81"/>
  <c r="I1304" i="81" s="1"/>
  <c r="G1303" i="81"/>
  <c r="I1303" i="81" s="1"/>
  <c r="G1302" i="81"/>
  <c r="I1302" i="81" s="1"/>
  <c r="G1301" i="81"/>
  <c r="I1301" i="81" s="1"/>
  <c r="G1300" i="81"/>
  <c r="I1300" i="81" s="1"/>
  <c r="G1299" i="81"/>
  <c r="I1299" i="81" s="1"/>
  <c r="G1298" i="81"/>
  <c r="I1298" i="81" s="1"/>
  <c r="G1297" i="81"/>
  <c r="I1297" i="81" s="1"/>
  <c r="G1296" i="81"/>
  <c r="I1296" i="81" s="1"/>
  <c r="G1295" i="81"/>
  <c r="I1295" i="81" s="1"/>
  <c r="G1294" i="81"/>
  <c r="I1294" i="81" s="1"/>
  <c r="H1293" i="81"/>
  <c r="G1292" i="81"/>
  <c r="I1292" i="81" s="1"/>
  <c r="G1291" i="81"/>
  <c r="I1291" i="81" s="1"/>
  <c r="G1290" i="81"/>
  <c r="I1290" i="81" s="1"/>
  <c r="G1289" i="81"/>
  <c r="I1289" i="81" s="1"/>
  <c r="G1288" i="81"/>
  <c r="I1288" i="81" s="1"/>
  <c r="G1287" i="81"/>
  <c r="I1287" i="81" s="1"/>
  <c r="G1286" i="81"/>
  <c r="I1286" i="81" s="1"/>
  <c r="G1285" i="81"/>
  <c r="I1285" i="81" s="1"/>
  <c r="G1284" i="81"/>
  <c r="I1284" i="81" s="1"/>
  <c r="G1283" i="81"/>
  <c r="I1283" i="81" s="1"/>
  <c r="G1282" i="81"/>
  <c r="I1282" i="81" s="1"/>
  <c r="G1281" i="81"/>
  <c r="I1281" i="81" s="1"/>
  <c r="G1280" i="81"/>
  <c r="I1280" i="81" s="1"/>
  <c r="G1279" i="81"/>
  <c r="I1279" i="81" s="1"/>
  <c r="G1278" i="81"/>
  <c r="I1278" i="81" s="1"/>
  <c r="G1277" i="81"/>
  <c r="I1277" i="81" s="1"/>
  <c r="G1276" i="81"/>
  <c r="I1276" i="81" s="1"/>
  <c r="G1275" i="81"/>
  <c r="I1275" i="81" s="1"/>
  <c r="G1274" i="81"/>
  <c r="I1274" i="81" s="1"/>
  <c r="G1273" i="81"/>
  <c r="I1273" i="81" s="1"/>
  <c r="G1272" i="81"/>
  <c r="I1272" i="81" s="1"/>
  <c r="G1271" i="81"/>
  <c r="I1271" i="81" s="1"/>
  <c r="G1270" i="81"/>
  <c r="I1270" i="81" s="1"/>
  <c r="G1269" i="81"/>
  <c r="I1269" i="81" s="1"/>
  <c r="G1268" i="81"/>
  <c r="I1268" i="81" s="1"/>
  <c r="G1267" i="81"/>
  <c r="I1267" i="81" s="1"/>
  <c r="G1266" i="81"/>
  <c r="I1266" i="81" s="1"/>
  <c r="G1265" i="81"/>
  <c r="I1265" i="81" s="1"/>
  <c r="G1264" i="81"/>
  <c r="I1264" i="81" s="1"/>
  <c r="H1114" i="81"/>
  <c r="H1124" i="81" s="1"/>
  <c r="H1263" i="81"/>
  <c r="D1263" i="81"/>
  <c r="A1263" i="81"/>
  <c r="D298" i="81"/>
  <c r="A298" i="81"/>
  <c r="D256" i="81"/>
  <c r="A256" i="81"/>
  <c r="D227" i="81"/>
  <c r="A227" i="81"/>
  <c r="D161" i="81"/>
  <c r="A161" i="81"/>
  <c r="D139" i="81"/>
  <c r="A139" i="81"/>
  <c r="D123" i="81"/>
  <c r="A123" i="81"/>
  <c r="D464" i="81"/>
  <c r="A464" i="81"/>
  <c r="D530" i="81"/>
  <c r="A530" i="81"/>
  <c r="D517" i="81"/>
  <c r="A517" i="81"/>
  <c r="D614" i="81"/>
  <c r="A614" i="81"/>
  <c r="D678" i="81"/>
  <c r="A678" i="81"/>
  <c r="D943" i="81"/>
  <c r="A943" i="81"/>
  <c r="D1086" i="81"/>
  <c r="A1086" i="81"/>
  <c r="D1124" i="81"/>
  <c r="A1124" i="81"/>
  <c r="D1178" i="81"/>
  <c r="A1178" i="81"/>
  <c r="D1255" i="81"/>
  <c r="A1255" i="81"/>
  <c r="D1229" i="81"/>
  <c r="A1229" i="81"/>
  <c r="D1197" i="81"/>
  <c r="A1197" i="81"/>
  <c r="D1165" i="81"/>
  <c r="A1165" i="81"/>
  <c r="D1043" i="81"/>
  <c r="A1043" i="81"/>
  <c r="D1018" i="81"/>
  <c r="A1018" i="81"/>
  <c r="D904" i="81"/>
  <c r="A904" i="81"/>
  <c r="D902" i="81"/>
  <c r="A902" i="81"/>
  <c r="D879" i="81"/>
  <c r="A879" i="81"/>
  <c r="D854" i="81"/>
  <c r="A854" i="81"/>
  <c r="D838" i="81"/>
  <c r="A838" i="81"/>
  <c r="D765" i="81"/>
  <c r="A765" i="81"/>
  <c r="D700" i="81"/>
  <c r="A700" i="81"/>
  <c r="D695" i="81"/>
  <c r="A695" i="81"/>
  <c r="D657" i="81"/>
  <c r="A657" i="81"/>
  <c r="D624" i="81"/>
  <c r="A624" i="81"/>
  <c r="D618" i="81"/>
  <c r="A618" i="81"/>
  <c r="D590" i="81"/>
  <c r="A590" i="81"/>
  <c r="D568" i="81"/>
  <c r="A568" i="81"/>
  <c r="D426" i="81"/>
  <c r="A426" i="81"/>
  <c r="D392" i="81"/>
  <c r="A392" i="81"/>
  <c r="D353" i="81"/>
  <c r="A353" i="81"/>
  <c r="D200" i="81"/>
  <c r="A200" i="81"/>
  <c r="D83" i="81"/>
  <c r="A83" i="81"/>
  <c r="D64" i="81"/>
  <c r="A64" i="81"/>
  <c r="A46" i="81"/>
  <c r="D46" i="81"/>
  <c r="H1255" i="81"/>
  <c r="H1229" i="81"/>
  <c r="H1197" i="81"/>
  <c r="H1178" i="81"/>
  <c r="H1165" i="81"/>
  <c r="H1086" i="81"/>
  <c r="H1043" i="81"/>
  <c r="H1018" i="81"/>
  <c r="H943" i="81"/>
  <c r="H904" i="81"/>
  <c r="H902" i="81"/>
  <c r="H879" i="81"/>
  <c r="H854" i="81"/>
  <c r="H838" i="81"/>
  <c r="H765" i="81"/>
  <c r="H700" i="81"/>
  <c r="H695" i="81"/>
  <c r="H678" i="81"/>
  <c r="H657" i="81"/>
  <c r="H624" i="81"/>
  <c r="H618" i="81"/>
  <c r="H614" i="81"/>
  <c r="H590" i="81"/>
  <c r="H568" i="81"/>
  <c r="H530" i="81"/>
  <c r="H517" i="81"/>
  <c r="H464" i="81"/>
  <c r="H426" i="81"/>
  <c r="H392" i="81"/>
  <c r="H353" i="81"/>
  <c r="H298" i="81"/>
  <c r="H256" i="81"/>
  <c r="H227" i="81"/>
  <c r="H200" i="81"/>
  <c r="H161" i="81"/>
  <c r="H139" i="81"/>
  <c r="H123" i="81"/>
  <c r="H83" i="81"/>
  <c r="H64" i="81"/>
  <c r="H46" i="81"/>
  <c r="G903" i="81"/>
  <c r="I903" i="81" s="1"/>
  <c r="I904" i="81" s="1"/>
  <c r="G1254" i="81"/>
  <c r="I1254" i="81" s="1"/>
  <c r="G1253" i="81"/>
  <c r="I1253" i="81" s="1"/>
  <c r="G1252" i="81"/>
  <c r="I1252" i="81" s="1"/>
  <c r="G1251" i="81"/>
  <c r="I1251" i="81" s="1"/>
  <c r="G1250" i="81"/>
  <c r="I1250" i="81" s="1"/>
  <c r="G1249" i="81"/>
  <c r="I1249" i="81" s="1"/>
  <c r="G1248" i="81"/>
  <c r="I1248" i="81" s="1"/>
  <c r="G1247" i="81"/>
  <c r="I1247" i="81" s="1"/>
  <c r="G1246" i="81"/>
  <c r="I1246" i="81" s="1"/>
  <c r="G1245" i="81"/>
  <c r="I1245" i="81" s="1"/>
  <c r="G1244" i="81"/>
  <c r="I1244" i="81" s="1"/>
  <c r="G1243" i="81"/>
  <c r="I1243" i="81" s="1"/>
  <c r="G1242" i="81"/>
  <c r="I1242" i="81" s="1"/>
  <c r="G1241" i="81"/>
  <c r="I1241" i="81" s="1"/>
  <c r="G1240" i="81"/>
  <c r="I1240" i="81" s="1"/>
  <c r="G1239" i="81"/>
  <c r="I1239" i="81" s="1"/>
  <c r="G1238" i="81"/>
  <c r="I1238" i="81" s="1"/>
  <c r="G1237" i="81"/>
  <c r="I1237" i="81" s="1"/>
  <c r="G1236" i="81"/>
  <c r="I1236" i="81" s="1"/>
  <c r="G1235" i="81"/>
  <c r="I1235" i="81" s="1"/>
  <c r="G1234" i="81"/>
  <c r="I1234" i="81" s="1"/>
  <c r="G1233" i="81"/>
  <c r="I1233" i="81" s="1"/>
  <c r="G1232" i="81"/>
  <c r="I1232" i="81" s="1"/>
  <c r="G1231" i="81"/>
  <c r="I1231" i="81" s="1"/>
  <c r="G1230" i="81"/>
  <c r="I1230" i="81" s="1"/>
  <c r="G1228" i="81"/>
  <c r="I1228" i="81" s="1"/>
  <c r="G1226" i="81"/>
  <c r="I1226" i="81" s="1"/>
  <c r="G1223" i="81"/>
  <c r="I1223" i="81" s="1"/>
  <c r="G1222" i="81"/>
  <c r="I1222" i="81" s="1"/>
  <c r="G1221" i="81"/>
  <c r="I1221" i="81" s="1"/>
  <c r="G1220" i="81"/>
  <c r="I1220" i="81" s="1"/>
  <c r="G1219" i="81"/>
  <c r="I1219" i="81" s="1"/>
  <c r="G1217" i="81"/>
  <c r="I1217" i="81" s="1"/>
  <c r="G1215" i="81"/>
  <c r="I1215" i="81" s="1"/>
  <c r="G1213" i="81"/>
  <c r="I1213" i="81" s="1"/>
  <c r="G1212" i="81"/>
  <c r="I1212" i="81" s="1"/>
  <c r="G1211" i="81"/>
  <c r="I1211" i="81" s="1"/>
  <c r="G1210" i="81"/>
  <c r="I1210" i="81" s="1"/>
  <c r="G1209" i="81"/>
  <c r="I1209" i="81" s="1"/>
  <c r="G1208" i="81"/>
  <c r="I1208" i="81" s="1"/>
  <c r="G1207" i="81"/>
  <c r="I1207" i="81" s="1"/>
  <c r="G1206" i="81"/>
  <c r="I1206" i="81" s="1"/>
  <c r="G1205" i="81"/>
  <c r="I1205" i="81" s="1"/>
  <c r="G1204" i="81"/>
  <c r="I1204" i="81" s="1"/>
  <c r="G1203" i="81"/>
  <c r="I1203" i="81" s="1"/>
  <c r="G1202" i="81"/>
  <c r="I1202" i="81" s="1"/>
  <c r="G1201" i="81"/>
  <c r="I1201" i="81" s="1"/>
  <c r="G1200" i="81"/>
  <c r="I1200" i="81" s="1"/>
  <c r="G1199" i="81"/>
  <c r="I1199" i="81" s="1"/>
  <c r="G1198" i="81"/>
  <c r="I1198" i="81" s="1"/>
  <c r="G1196" i="81"/>
  <c r="I1196" i="81" s="1"/>
  <c r="G1195" i="81"/>
  <c r="I1195" i="81" s="1"/>
  <c r="G1194" i="81"/>
  <c r="I1194" i="81" s="1"/>
  <c r="G1193" i="81"/>
  <c r="I1193" i="81" s="1"/>
  <c r="G1192" i="81"/>
  <c r="I1192" i="81" s="1"/>
  <c r="G1186" i="81"/>
  <c r="I1186" i="81" s="1"/>
  <c r="G1185" i="81"/>
  <c r="I1185" i="81" s="1"/>
  <c r="G1184" i="81"/>
  <c r="I1184" i="81" s="1"/>
  <c r="G1183" i="81"/>
  <c r="I1183" i="81" s="1"/>
  <c r="G1182" i="81"/>
  <c r="I1182" i="81" s="1"/>
  <c r="G1181" i="81"/>
  <c r="I1181" i="81" s="1"/>
  <c r="G1180" i="81"/>
  <c r="I1180" i="81" s="1"/>
  <c r="G1179" i="81"/>
  <c r="I1179" i="81" s="1"/>
  <c r="G1177" i="81"/>
  <c r="I1177" i="81" s="1"/>
  <c r="G1176" i="81"/>
  <c r="I1176" i="81" s="1"/>
  <c r="G1175" i="81"/>
  <c r="I1175" i="81" s="1"/>
  <c r="G1174" i="81"/>
  <c r="I1174" i="81" s="1"/>
  <c r="G1173" i="81"/>
  <c r="I1173" i="81" s="1"/>
  <c r="G1172" i="81"/>
  <c r="I1172" i="81" s="1"/>
  <c r="G1171" i="81"/>
  <c r="I1171" i="81" s="1"/>
  <c r="G1170" i="81"/>
  <c r="I1170" i="81" s="1"/>
  <c r="G1169" i="81"/>
  <c r="I1169" i="81" s="1"/>
  <c r="G1168" i="81"/>
  <c r="I1168" i="81" s="1"/>
  <c r="G1167" i="81"/>
  <c r="I1167" i="81" s="1"/>
  <c r="G1166" i="81"/>
  <c r="I1166" i="81" s="1"/>
  <c r="G1164" i="81"/>
  <c r="I1164" i="81" s="1"/>
  <c r="G1163" i="81"/>
  <c r="I1163" i="81" s="1"/>
  <c r="G1162" i="81"/>
  <c r="I1162" i="81" s="1"/>
  <c r="G1161" i="81"/>
  <c r="I1161" i="81" s="1"/>
  <c r="G1160" i="81"/>
  <c r="I1160" i="81" s="1"/>
  <c r="G1159" i="81"/>
  <c r="I1159" i="81" s="1"/>
  <c r="G1158" i="81"/>
  <c r="I1158" i="81" s="1"/>
  <c r="G1157" i="81"/>
  <c r="I1157" i="81" s="1"/>
  <c r="G1156" i="81"/>
  <c r="I1156" i="81" s="1"/>
  <c r="G1155" i="81"/>
  <c r="I1155" i="81" s="1"/>
  <c r="G1154" i="81"/>
  <c r="I1154" i="81" s="1"/>
  <c r="G1153" i="81"/>
  <c r="I1153" i="81" s="1"/>
  <c r="G1152" i="81"/>
  <c r="I1152" i="81" s="1"/>
  <c r="G1151" i="81"/>
  <c r="I1151" i="81" s="1"/>
  <c r="G1150" i="81"/>
  <c r="I1150" i="81" s="1"/>
  <c r="G1149" i="81"/>
  <c r="I1149" i="81" s="1"/>
  <c r="G1148" i="81"/>
  <c r="I1148" i="81" s="1"/>
  <c r="G1147" i="81"/>
  <c r="I1147" i="81" s="1"/>
  <c r="G1146" i="81"/>
  <c r="I1146" i="81" s="1"/>
  <c r="G1145" i="81"/>
  <c r="I1145" i="81" s="1"/>
  <c r="G1144" i="81"/>
  <c r="I1144" i="81" s="1"/>
  <c r="G1143" i="81"/>
  <c r="I1143" i="81" s="1"/>
  <c r="G1142" i="81"/>
  <c r="I1142" i="81" s="1"/>
  <c r="G1141" i="81"/>
  <c r="I1141" i="81" s="1"/>
  <c r="G1140" i="81"/>
  <c r="I1140" i="81" s="1"/>
  <c r="G1139" i="81"/>
  <c r="I1139" i="81" s="1"/>
  <c r="G1138" i="81"/>
  <c r="I1138" i="81" s="1"/>
  <c r="G1137" i="81"/>
  <c r="I1137" i="81" s="1"/>
  <c r="G1136" i="81"/>
  <c r="I1136" i="81" s="1"/>
  <c r="G1135" i="81"/>
  <c r="I1135" i="81" s="1"/>
  <c r="G1134" i="81"/>
  <c r="I1134" i="81" s="1"/>
  <c r="G1133" i="81"/>
  <c r="I1133" i="81" s="1"/>
  <c r="G1132" i="81"/>
  <c r="I1132" i="81" s="1"/>
  <c r="G1131" i="81"/>
  <c r="I1131" i="81" s="1"/>
  <c r="G1130" i="81"/>
  <c r="I1130" i="81" s="1"/>
  <c r="G1129" i="81"/>
  <c r="I1129" i="81" s="1"/>
  <c r="G1128" i="81"/>
  <c r="I1128" i="81" s="1"/>
  <c r="G1127" i="81"/>
  <c r="I1127" i="81" s="1"/>
  <c r="G1126" i="81"/>
  <c r="I1126" i="81" s="1"/>
  <c r="G1125" i="81"/>
  <c r="I1125" i="81" s="1"/>
  <c r="G1225" i="81"/>
  <c r="I1225" i="81" s="1"/>
  <c r="G1191" i="81"/>
  <c r="I1191" i="81" s="1"/>
  <c r="G1189" i="81"/>
  <c r="I1189" i="81" s="1"/>
  <c r="G1227" i="81"/>
  <c r="I1227" i="81" s="1"/>
  <c r="G1224" i="81"/>
  <c r="I1224" i="81" s="1"/>
  <c r="G1218" i="81"/>
  <c r="I1218" i="81" s="1"/>
  <c r="G1216" i="81"/>
  <c r="I1216" i="81" s="1"/>
  <c r="G1214" i="81"/>
  <c r="I1214" i="81" s="1"/>
  <c r="G1190" i="81"/>
  <c r="I1190" i="81" s="1"/>
  <c r="G1188" i="81"/>
  <c r="I1188" i="81" s="1"/>
  <c r="G1187" i="81"/>
  <c r="I1187" i="81" s="1"/>
  <c r="G1123" i="81"/>
  <c r="I1123" i="81" s="1"/>
  <c r="G1115" i="81"/>
  <c r="I1115" i="81" s="1"/>
  <c r="G1113" i="81"/>
  <c r="I1113" i="81" s="1"/>
  <c r="G1107" i="81"/>
  <c r="I1107" i="81" s="1"/>
  <c r="G1101" i="81"/>
  <c r="I1101" i="81" s="1"/>
  <c r="G1095" i="81"/>
  <c r="I1095" i="81" s="1"/>
  <c r="G1092" i="81"/>
  <c r="I1092" i="81" s="1"/>
  <c r="G1085" i="81"/>
  <c r="I1085" i="81" s="1"/>
  <c r="G1082" i="81"/>
  <c r="I1082" i="81" s="1"/>
  <c r="G1081" i="81"/>
  <c r="I1081" i="81" s="1"/>
  <c r="G1078" i="81"/>
  <c r="I1078" i="81" s="1"/>
  <c r="G1075" i="81"/>
  <c r="I1075" i="81" s="1"/>
  <c r="G1071" i="81"/>
  <c r="I1071" i="81" s="1"/>
  <c r="G1069" i="81"/>
  <c r="I1069" i="81" s="1"/>
  <c r="G1068" i="81"/>
  <c r="I1068" i="81" s="1"/>
  <c r="G1067" i="81"/>
  <c r="I1067" i="81" s="1"/>
  <c r="G1065" i="81"/>
  <c r="I1065" i="81" s="1"/>
  <c r="G1064" i="81"/>
  <c r="I1064" i="81" s="1"/>
  <c r="G1063" i="81"/>
  <c r="I1063" i="81" s="1"/>
  <c r="G1061" i="81"/>
  <c r="I1061" i="81" s="1"/>
  <c r="G1058" i="81"/>
  <c r="I1058" i="81" s="1"/>
  <c r="G1057" i="81"/>
  <c r="I1057" i="81" s="1"/>
  <c r="G1056" i="81"/>
  <c r="I1056" i="81" s="1"/>
  <c r="G1055" i="81"/>
  <c r="I1055" i="81" s="1"/>
  <c r="G1051" i="81"/>
  <c r="I1051" i="81" s="1"/>
  <c r="G1049" i="81"/>
  <c r="I1049" i="81" s="1"/>
  <c r="G1042" i="81"/>
  <c r="I1042" i="81" s="1"/>
  <c r="G1039" i="81"/>
  <c r="I1039" i="81" s="1"/>
  <c r="G1037" i="81"/>
  <c r="I1037" i="81" s="1"/>
  <c r="G1036" i="81"/>
  <c r="I1036" i="81" s="1"/>
  <c r="G1035" i="81"/>
  <c r="I1035" i="81" s="1"/>
  <c r="G1034" i="81"/>
  <c r="I1034" i="81" s="1"/>
  <c r="G1033" i="81"/>
  <c r="I1033" i="81" s="1"/>
  <c r="G1032" i="81"/>
  <c r="I1032" i="81" s="1"/>
  <c r="G1031" i="81"/>
  <c r="I1031" i="81" s="1"/>
  <c r="G1030" i="81"/>
  <c r="I1030" i="81" s="1"/>
  <c r="G1029" i="81"/>
  <c r="I1029" i="81" s="1"/>
  <c r="G1028" i="81"/>
  <c r="I1028" i="81" s="1"/>
  <c r="G1023" i="81"/>
  <c r="I1023" i="81" s="1"/>
  <c r="G1017" i="81"/>
  <c r="I1017" i="81" s="1"/>
  <c r="G1014" i="81"/>
  <c r="I1014" i="81" s="1"/>
  <c r="G1012" i="81"/>
  <c r="I1012" i="81" s="1"/>
  <c r="G1009" i="81"/>
  <c r="I1009" i="81" s="1"/>
  <c r="G1005" i="81"/>
  <c r="I1005" i="81" s="1"/>
  <c r="G1002" i="81"/>
  <c r="I1002" i="81" s="1"/>
  <c r="G999" i="81"/>
  <c r="I999" i="81" s="1"/>
  <c r="G996" i="81"/>
  <c r="I996" i="81" s="1"/>
  <c r="G993" i="81"/>
  <c r="I993" i="81" s="1"/>
  <c r="G990" i="81"/>
  <c r="I990" i="81" s="1"/>
  <c r="G987" i="81"/>
  <c r="I987" i="81" s="1"/>
  <c r="G984" i="81"/>
  <c r="I984" i="81" s="1"/>
  <c r="G981" i="81"/>
  <c r="I981" i="81" s="1"/>
  <c r="G978" i="81"/>
  <c r="I978" i="81" s="1"/>
  <c r="G975" i="81"/>
  <c r="I975" i="81" s="1"/>
  <c r="G972" i="81"/>
  <c r="I972" i="81" s="1"/>
  <c r="G970" i="81"/>
  <c r="I970" i="81" s="1"/>
  <c r="G967" i="81"/>
  <c r="I967" i="81" s="1"/>
  <c r="G964" i="81"/>
  <c r="I964" i="81" s="1"/>
  <c r="G963" i="81"/>
  <c r="I963" i="81" s="1"/>
  <c r="G962" i="81"/>
  <c r="I962" i="81" s="1"/>
  <c r="G959" i="81"/>
  <c r="I959" i="81" s="1"/>
  <c r="G956" i="81"/>
  <c r="I956" i="81" s="1"/>
  <c r="G953" i="81"/>
  <c r="I953" i="81" s="1"/>
  <c r="G951" i="81"/>
  <c r="I951" i="81" s="1"/>
  <c r="G949" i="81"/>
  <c r="I949" i="81" s="1"/>
  <c r="G942" i="81"/>
  <c r="I942" i="81" s="1"/>
  <c r="G939" i="81"/>
  <c r="I939" i="81" s="1"/>
  <c r="G938" i="81"/>
  <c r="I938" i="81" s="1"/>
  <c r="G935" i="81"/>
  <c r="I935" i="81" s="1"/>
  <c r="G932" i="81"/>
  <c r="I932" i="81" s="1"/>
  <c r="G929" i="81"/>
  <c r="I929" i="81" s="1"/>
  <c r="G927" i="81"/>
  <c r="I927" i="81" s="1"/>
  <c r="G923" i="81"/>
  <c r="I923" i="81" s="1"/>
  <c r="G909" i="81"/>
  <c r="I909" i="81" s="1"/>
  <c r="G1122" i="81"/>
  <c r="I1122" i="81" s="1"/>
  <c r="G1119" i="81"/>
  <c r="I1119" i="81" s="1"/>
  <c r="G1117" i="81"/>
  <c r="I1117" i="81" s="1"/>
  <c r="G1114" i="81"/>
  <c r="G1112" i="81"/>
  <c r="I1112" i="81" s="1"/>
  <c r="G1111" i="81"/>
  <c r="I1111" i="81" s="1"/>
  <c r="G1110" i="81"/>
  <c r="I1110" i="81" s="1"/>
  <c r="G1109" i="81"/>
  <c r="I1109" i="81" s="1"/>
  <c r="G1108" i="81"/>
  <c r="I1108" i="81" s="1"/>
  <c r="G1106" i="81"/>
  <c r="I1106" i="81" s="1"/>
  <c r="G1105" i="81"/>
  <c r="I1105" i="81" s="1"/>
  <c r="G1104" i="81"/>
  <c r="I1104" i="81" s="1"/>
  <c r="G1103" i="81"/>
  <c r="I1103" i="81" s="1"/>
  <c r="G1102" i="81"/>
  <c r="I1102" i="81" s="1"/>
  <c r="G1100" i="81"/>
  <c r="I1100" i="81" s="1"/>
  <c r="G1099" i="81"/>
  <c r="I1099" i="81" s="1"/>
  <c r="G1098" i="81"/>
  <c r="I1098" i="81" s="1"/>
  <c r="G1097" i="81"/>
  <c r="I1097" i="81" s="1"/>
  <c r="G1096" i="81"/>
  <c r="I1096" i="81" s="1"/>
  <c r="G1094" i="81"/>
  <c r="I1094" i="81" s="1"/>
  <c r="G1093" i="81"/>
  <c r="I1093" i="81" s="1"/>
  <c r="G1091" i="81"/>
  <c r="I1091" i="81" s="1"/>
  <c r="G1090" i="81"/>
  <c r="I1090" i="81" s="1"/>
  <c r="G1089" i="81"/>
  <c r="I1089" i="81" s="1"/>
  <c r="G1088" i="81"/>
  <c r="I1088" i="81" s="1"/>
  <c r="G1087" i="81"/>
  <c r="I1087" i="81" s="1"/>
  <c r="G1084" i="81"/>
  <c r="I1084" i="81" s="1"/>
  <c r="G1080" i="81"/>
  <c r="I1080" i="81" s="1"/>
  <c r="G1077" i="81"/>
  <c r="I1077" i="81" s="1"/>
  <c r="G1073" i="81"/>
  <c r="I1073" i="81" s="1"/>
  <c r="G1066" i="81"/>
  <c r="I1066" i="81" s="1"/>
  <c r="G1060" i="81"/>
  <c r="I1060" i="81" s="1"/>
  <c r="G1059" i="81"/>
  <c r="I1059" i="81" s="1"/>
  <c r="G1054" i="81"/>
  <c r="I1054" i="81" s="1"/>
  <c r="G1053" i="81"/>
  <c r="I1053" i="81" s="1"/>
  <c r="G1052" i="81"/>
  <c r="I1052" i="81" s="1"/>
  <c r="G1050" i="81"/>
  <c r="I1050" i="81" s="1"/>
  <c r="G1048" i="81"/>
  <c r="I1048" i="81" s="1"/>
  <c r="G1046" i="81"/>
  <c r="I1046" i="81" s="1"/>
  <c r="G1045" i="81"/>
  <c r="I1045" i="81" s="1"/>
  <c r="G1044" i="81"/>
  <c r="I1044" i="81" s="1"/>
  <c r="G1041" i="81"/>
  <c r="I1041" i="81" s="1"/>
  <c r="G1038" i="81"/>
  <c r="I1038" i="81" s="1"/>
  <c r="G1027" i="81"/>
  <c r="I1027" i="81" s="1"/>
  <c r="G1026" i="81"/>
  <c r="I1026" i="81" s="1"/>
  <c r="G1025" i="81"/>
  <c r="I1025" i="81" s="1"/>
  <c r="G1024" i="81"/>
  <c r="I1024" i="81" s="1"/>
  <c r="G1022" i="81"/>
  <c r="I1022" i="81" s="1"/>
  <c r="G1020" i="81"/>
  <c r="I1020" i="81" s="1"/>
  <c r="G1019" i="81"/>
  <c r="I1019" i="81" s="1"/>
  <c r="G1016" i="81"/>
  <c r="I1016" i="81" s="1"/>
  <c r="G1013" i="81"/>
  <c r="I1013" i="81" s="1"/>
  <c r="G1011" i="81"/>
  <c r="I1011" i="81" s="1"/>
  <c r="G1008" i="81"/>
  <c r="I1008" i="81" s="1"/>
  <c r="G1004" i="81"/>
  <c r="I1004" i="81" s="1"/>
  <c r="G1001" i="81"/>
  <c r="I1001" i="81" s="1"/>
  <c r="G998" i="81"/>
  <c r="I998" i="81" s="1"/>
  <c r="G995" i="81"/>
  <c r="I995" i="81" s="1"/>
  <c r="G992" i="81"/>
  <c r="I992" i="81" s="1"/>
  <c r="G989" i="81"/>
  <c r="I989" i="81" s="1"/>
  <c r="G986" i="81"/>
  <c r="I986" i="81" s="1"/>
  <c r="G983" i="81"/>
  <c r="I983" i="81" s="1"/>
  <c r="G980" i="81"/>
  <c r="I980" i="81" s="1"/>
  <c r="G977" i="81"/>
  <c r="I977" i="81" s="1"/>
  <c r="G974" i="81"/>
  <c r="I974" i="81" s="1"/>
  <c r="G969" i="81"/>
  <c r="I969" i="81" s="1"/>
  <c r="G966" i="81"/>
  <c r="I966" i="81" s="1"/>
  <c r="G961" i="81"/>
  <c r="I961" i="81" s="1"/>
  <c r="G958" i="81"/>
  <c r="I958" i="81" s="1"/>
  <c r="G957" i="81"/>
  <c r="I957" i="81" s="1"/>
  <c r="G955" i="81"/>
  <c r="I955" i="81" s="1"/>
  <c r="G954" i="81"/>
  <c r="I954" i="81" s="1"/>
  <c r="G952" i="81"/>
  <c r="I952" i="81" s="1"/>
  <c r="G950" i="81"/>
  <c r="I950" i="81" s="1"/>
  <c r="G948" i="81"/>
  <c r="I948" i="81" s="1"/>
  <c r="G946" i="81"/>
  <c r="I946" i="81" s="1"/>
  <c r="G945" i="81"/>
  <c r="I945" i="81" s="1"/>
  <c r="G944" i="81"/>
  <c r="I944" i="81" s="1"/>
  <c r="G941" i="81"/>
  <c r="I941" i="81" s="1"/>
  <c r="G937" i="81"/>
  <c r="I937" i="81" s="1"/>
  <c r="G934" i="81"/>
  <c r="I934" i="81" s="1"/>
  <c r="G931" i="81"/>
  <c r="I931" i="81" s="1"/>
  <c r="G928" i="81"/>
  <c r="I928" i="81" s="1"/>
  <c r="G926" i="81"/>
  <c r="I926" i="81" s="1"/>
  <c r="G925" i="81"/>
  <c r="I925" i="81" s="1"/>
  <c r="G924" i="81"/>
  <c r="I924" i="81" s="1"/>
  <c r="G922" i="81"/>
  <c r="I922" i="81" s="1"/>
  <c r="G921" i="81"/>
  <c r="I921" i="81" s="1"/>
  <c r="G919" i="81"/>
  <c r="I919" i="81" s="1"/>
  <c r="G918" i="81"/>
  <c r="I918" i="81" s="1"/>
  <c r="G916" i="81"/>
  <c r="I916" i="81" s="1"/>
  <c r="G915" i="81"/>
  <c r="I915" i="81" s="1"/>
  <c r="G914" i="81"/>
  <c r="I914" i="81" s="1"/>
  <c r="G913" i="81"/>
  <c r="I913" i="81" s="1"/>
  <c r="G912" i="81"/>
  <c r="I912" i="81" s="1"/>
  <c r="G911" i="81"/>
  <c r="I911" i="81" s="1"/>
  <c r="G910" i="81"/>
  <c r="I910" i="81" s="1"/>
  <c r="G908" i="81"/>
  <c r="I908" i="81" s="1"/>
  <c r="G906" i="81"/>
  <c r="I906" i="81" s="1"/>
  <c r="G905" i="81"/>
  <c r="I905" i="81" s="1"/>
  <c r="G1121" i="81"/>
  <c r="I1121" i="81" s="1"/>
  <c r="G1120" i="81"/>
  <c r="I1120" i="81" s="1"/>
  <c r="G1118" i="81"/>
  <c r="I1118" i="81" s="1"/>
  <c r="G1116" i="81"/>
  <c r="I1116" i="81" s="1"/>
  <c r="G1083" i="81"/>
  <c r="I1083" i="81" s="1"/>
  <c r="G1079" i="81"/>
  <c r="I1079" i="81" s="1"/>
  <c r="G1076" i="81"/>
  <c r="I1076" i="81" s="1"/>
  <c r="G1074" i="81"/>
  <c r="I1074" i="81" s="1"/>
  <c r="G1072" i="81"/>
  <c r="I1072" i="81" s="1"/>
  <c r="G1070" i="81"/>
  <c r="I1070" i="81" s="1"/>
  <c r="G1062" i="81"/>
  <c r="I1062" i="81" s="1"/>
  <c r="G1047" i="81"/>
  <c r="I1047" i="81" s="1"/>
  <c r="G1040" i="81"/>
  <c r="I1040" i="81" s="1"/>
  <c r="G1021" i="81"/>
  <c r="I1021" i="81" s="1"/>
  <c r="G1015" i="81"/>
  <c r="I1015" i="81" s="1"/>
  <c r="G1010" i="81"/>
  <c r="I1010" i="81" s="1"/>
  <c r="G1007" i="81"/>
  <c r="I1007" i="81" s="1"/>
  <c r="G1006" i="81"/>
  <c r="I1006" i="81" s="1"/>
  <c r="G1003" i="81"/>
  <c r="I1003" i="81" s="1"/>
  <c r="G1000" i="81"/>
  <c r="I1000" i="81" s="1"/>
  <c r="G997" i="81"/>
  <c r="I997" i="81" s="1"/>
  <c r="G994" i="81"/>
  <c r="I994" i="81" s="1"/>
  <c r="G991" i="81"/>
  <c r="I991" i="81" s="1"/>
  <c r="G988" i="81"/>
  <c r="I988" i="81" s="1"/>
  <c r="G985" i="81"/>
  <c r="I985" i="81" s="1"/>
  <c r="G982" i="81"/>
  <c r="I982" i="81" s="1"/>
  <c r="G979" i="81"/>
  <c r="I979" i="81" s="1"/>
  <c r="G976" i="81"/>
  <c r="I976" i="81" s="1"/>
  <c r="G973" i="81"/>
  <c r="I973" i="81" s="1"/>
  <c r="G971" i="81"/>
  <c r="I971" i="81" s="1"/>
  <c r="G968" i="81"/>
  <c r="I968" i="81" s="1"/>
  <c r="G965" i="81"/>
  <c r="I965" i="81" s="1"/>
  <c r="G960" i="81"/>
  <c r="I960" i="81" s="1"/>
  <c r="G947" i="81"/>
  <c r="I947" i="81" s="1"/>
  <c r="G940" i="81"/>
  <c r="I940" i="81" s="1"/>
  <c r="G936" i="81"/>
  <c r="I936" i="81" s="1"/>
  <c r="G933" i="81"/>
  <c r="I933" i="81" s="1"/>
  <c r="G930" i="81"/>
  <c r="I930" i="81" s="1"/>
  <c r="G920" i="81"/>
  <c r="I920" i="81" s="1"/>
  <c r="G917" i="81"/>
  <c r="I917" i="81" s="1"/>
  <c r="G907" i="81"/>
  <c r="I907" i="81" s="1"/>
  <c r="G901" i="81"/>
  <c r="I901" i="81" s="1"/>
  <c r="G899" i="81"/>
  <c r="I899" i="81" s="1"/>
  <c r="G895" i="81"/>
  <c r="I895" i="81" s="1"/>
  <c r="G893" i="81"/>
  <c r="I893" i="81" s="1"/>
  <c r="G892" i="81"/>
  <c r="I892" i="81" s="1"/>
  <c r="G891" i="81"/>
  <c r="I891" i="81" s="1"/>
  <c r="G890" i="81"/>
  <c r="I890" i="81" s="1"/>
  <c r="G888" i="81"/>
  <c r="I888" i="81" s="1"/>
  <c r="G887" i="81"/>
  <c r="I887" i="81" s="1"/>
  <c r="G878" i="81"/>
  <c r="I878" i="81" s="1"/>
  <c r="G869" i="81"/>
  <c r="I869" i="81" s="1"/>
  <c r="G864" i="81"/>
  <c r="I864" i="81" s="1"/>
  <c r="G852" i="81"/>
  <c r="I852" i="81" s="1"/>
  <c r="G837" i="81"/>
  <c r="I837" i="81" s="1"/>
  <c r="G834" i="81"/>
  <c r="I834" i="81" s="1"/>
  <c r="G827" i="81"/>
  <c r="I827" i="81" s="1"/>
  <c r="G823" i="81"/>
  <c r="I823" i="81" s="1"/>
  <c r="G818" i="81"/>
  <c r="I818" i="81" s="1"/>
  <c r="G815" i="81"/>
  <c r="I815" i="81" s="1"/>
  <c r="G813" i="81"/>
  <c r="I813" i="81" s="1"/>
  <c r="G811" i="81"/>
  <c r="I811" i="81" s="1"/>
  <c r="G805" i="81"/>
  <c r="I805" i="81" s="1"/>
  <c r="G800" i="81"/>
  <c r="I800" i="81" s="1"/>
  <c r="G793" i="81"/>
  <c r="I793" i="81" s="1"/>
  <c r="G789" i="81"/>
  <c r="I789" i="81" s="1"/>
  <c r="G787" i="81"/>
  <c r="I787" i="81" s="1"/>
  <c r="G776" i="81"/>
  <c r="I776" i="81" s="1"/>
  <c r="G773" i="81"/>
  <c r="I773" i="81" s="1"/>
  <c r="G768" i="81"/>
  <c r="I768" i="81" s="1"/>
  <c r="G764" i="81"/>
  <c r="I764" i="81" s="1"/>
  <c r="G761" i="81"/>
  <c r="I761" i="81" s="1"/>
  <c r="G759" i="81"/>
  <c r="I759" i="81" s="1"/>
  <c r="G757" i="81"/>
  <c r="I757" i="81" s="1"/>
  <c r="G754" i="81"/>
  <c r="I754" i="81" s="1"/>
  <c r="G751" i="81"/>
  <c r="I751" i="81" s="1"/>
  <c r="G750" i="81"/>
  <c r="I750" i="81" s="1"/>
  <c r="G747" i="81"/>
  <c r="I747" i="81" s="1"/>
  <c r="G745" i="81"/>
  <c r="I745" i="81" s="1"/>
  <c r="G744" i="81"/>
  <c r="I744" i="81" s="1"/>
  <c r="G743" i="81"/>
  <c r="I743" i="81" s="1"/>
  <c r="G740" i="81"/>
  <c r="I740" i="81" s="1"/>
  <c r="G736" i="81"/>
  <c r="I736" i="81" s="1"/>
  <c r="G734" i="81"/>
  <c r="I734" i="81" s="1"/>
  <c r="G732" i="81"/>
  <c r="I732" i="81" s="1"/>
  <c r="G731" i="81"/>
  <c r="I731" i="81" s="1"/>
  <c r="G728" i="81"/>
  <c r="I728" i="81" s="1"/>
  <c r="G726" i="81"/>
  <c r="I726" i="81" s="1"/>
  <c r="G724" i="81"/>
  <c r="I724" i="81" s="1"/>
  <c r="G720" i="81"/>
  <c r="I720" i="81" s="1"/>
  <c r="G719" i="81"/>
  <c r="I719" i="81" s="1"/>
  <c r="G717" i="81"/>
  <c r="I717" i="81" s="1"/>
  <c r="G716" i="81"/>
  <c r="I716" i="81" s="1"/>
  <c r="G713" i="81"/>
  <c r="I713" i="81" s="1"/>
  <c r="G710" i="81"/>
  <c r="I710" i="81" s="1"/>
  <c r="G708" i="81"/>
  <c r="I708" i="81" s="1"/>
  <c r="G705" i="81"/>
  <c r="I705" i="81" s="1"/>
  <c r="G703" i="81"/>
  <c r="I703" i="81" s="1"/>
  <c r="G898" i="81"/>
  <c r="I898" i="81" s="1"/>
  <c r="G896" i="81"/>
  <c r="I896" i="81" s="1"/>
  <c r="G877" i="81"/>
  <c r="I877" i="81" s="1"/>
  <c r="G862" i="81"/>
  <c r="I862" i="81" s="1"/>
  <c r="G836" i="81"/>
  <c r="I836" i="81" s="1"/>
  <c r="G833" i="81"/>
  <c r="I833" i="81" s="1"/>
  <c r="G831" i="81"/>
  <c r="I831" i="81" s="1"/>
  <c r="G829" i="81"/>
  <c r="I829" i="81" s="1"/>
  <c r="G822" i="81"/>
  <c r="I822" i="81" s="1"/>
  <c r="G820" i="81"/>
  <c r="I820" i="81" s="1"/>
  <c r="G817" i="81"/>
  <c r="I817" i="81" s="1"/>
  <c r="G810" i="81"/>
  <c r="I810" i="81" s="1"/>
  <c r="G808" i="81"/>
  <c r="I808" i="81" s="1"/>
  <c r="G804" i="81"/>
  <c r="I804" i="81" s="1"/>
  <c r="G802" i="81"/>
  <c r="I802" i="81" s="1"/>
  <c r="G799" i="81"/>
  <c r="I799" i="81" s="1"/>
  <c r="G795" i="81"/>
  <c r="I795" i="81" s="1"/>
  <c r="G791" i="81"/>
  <c r="I791" i="81" s="1"/>
  <c r="G778" i="81"/>
  <c r="I778" i="81" s="1"/>
  <c r="G775" i="81"/>
  <c r="I775" i="81" s="1"/>
  <c r="G772" i="81"/>
  <c r="I772" i="81" s="1"/>
  <c r="G767" i="81"/>
  <c r="I767" i="81" s="1"/>
  <c r="G763" i="81"/>
  <c r="I763" i="81" s="1"/>
  <c r="G753" i="81"/>
  <c r="I753" i="81" s="1"/>
  <c r="G742" i="81"/>
  <c r="I742" i="81" s="1"/>
  <c r="G739" i="81"/>
  <c r="I739" i="81" s="1"/>
  <c r="G730" i="81"/>
  <c r="I730" i="81" s="1"/>
  <c r="G721" i="81"/>
  <c r="I721" i="81" s="1"/>
  <c r="G714" i="81"/>
  <c r="I714" i="81" s="1"/>
  <c r="G712" i="81"/>
  <c r="I712" i="81" s="1"/>
  <c r="G707" i="81"/>
  <c r="I707" i="81" s="1"/>
  <c r="G702" i="81"/>
  <c r="I702" i="81" s="1"/>
  <c r="G1262" i="81"/>
  <c r="I1262" i="81" s="1"/>
  <c r="G1261" i="81"/>
  <c r="I1261" i="81" s="1"/>
  <c r="G1260" i="81"/>
  <c r="I1260" i="81" s="1"/>
  <c r="G1259" i="81"/>
  <c r="I1259" i="81" s="1"/>
  <c r="G1258" i="81"/>
  <c r="I1258" i="81" s="1"/>
  <c r="G1257" i="81"/>
  <c r="I1257" i="81" s="1"/>
  <c r="G1256" i="81"/>
  <c r="I1256" i="81" s="1"/>
  <c r="G900" i="81"/>
  <c r="I900" i="81" s="1"/>
  <c r="G897" i="81"/>
  <c r="I897" i="81" s="1"/>
  <c r="G894" i="81"/>
  <c r="I894" i="81" s="1"/>
  <c r="G889" i="81"/>
  <c r="I889" i="81" s="1"/>
  <c r="G886" i="81"/>
  <c r="I886" i="81" s="1"/>
  <c r="G885" i="81"/>
  <c r="I885" i="81" s="1"/>
  <c r="G884" i="81"/>
  <c r="I884" i="81" s="1"/>
  <c r="G883" i="81"/>
  <c r="I883" i="81" s="1"/>
  <c r="G882" i="81"/>
  <c r="I882" i="81" s="1"/>
  <c r="G881" i="81"/>
  <c r="I881" i="81" s="1"/>
  <c r="G880" i="81"/>
  <c r="I880" i="81" s="1"/>
  <c r="G876" i="81"/>
  <c r="I876" i="81" s="1"/>
  <c r="G875" i="81"/>
  <c r="I875" i="81" s="1"/>
  <c r="G874" i="81"/>
  <c r="I874" i="81" s="1"/>
  <c r="G873" i="81"/>
  <c r="I873" i="81" s="1"/>
  <c r="G872" i="81"/>
  <c r="I872" i="81" s="1"/>
  <c r="G871" i="81"/>
  <c r="I871" i="81" s="1"/>
  <c r="G870" i="81"/>
  <c r="I870" i="81" s="1"/>
  <c r="G868" i="81"/>
  <c r="I868" i="81" s="1"/>
  <c r="G867" i="81"/>
  <c r="I867" i="81" s="1"/>
  <c r="G866" i="81"/>
  <c r="I866" i="81" s="1"/>
  <c r="G865" i="81"/>
  <c r="I865" i="81" s="1"/>
  <c r="G863" i="81"/>
  <c r="I863" i="81" s="1"/>
  <c r="G861" i="81"/>
  <c r="I861" i="81" s="1"/>
  <c r="G860" i="81"/>
  <c r="I860" i="81" s="1"/>
  <c r="G859" i="81"/>
  <c r="I859" i="81" s="1"/>
  <c r="G858" i="81"/>
  <c r="I858" i="81" s="1"/>
  <c r="G857" i="81"/>
  <c r="I857" i="81" s="1"/>
  <c r="G856" i="81"/>
  <c r="I856" i="81" s="1"/>
  <c r="G855" i="81"/>
  <c r="I855" i="81" s="1"/>
  <c r="G853" i="81"/>
  <c r="I853" i="81" s="1"/>
  <c r="G851" i="81"/>
  <c r="I851" i="81" s="1"/>
  <c r="G850" i="81"/>
  <c r="I850" i="81" s="1"/>
  <c r="G849" i="81"/>
  <c r="I849" i="81" s="1"/>
  <c r="G848" i="81"/>
  <c r="I848" i="81" s="1"/>
  <c r="G847" i="81"/>
  <c r="I847" i="81" s="1"/>
  <c r="G846" i="81"/>
  <c r="I846" i="81" s="1"/>
  <c r="G845" i="81"/>
  <c r="I845" i="81" s="1"/>
  <c r="G844" i="81"/>
  <c r="I844" i="81" s="1"/>
  <c r="G843" i="81"/>
  <c r="I843" i="81" s="1"/>
  <c r="G842" i="81"/>
  <c r="I842" i="81" s="1"/>
  <c r="G841" i="81"/>
  <c r="I841" i="81" s="1"/>
  <c r="G840" i="81"/>
  <c r="I840" i="81" s="1"/>
  <c r="G839" i="81"/>
  <c r="I839" i="81" s="1"/>
  <c r="G835" i="81"/>
  <c r="I835" i="81" s="1"/>
  <c r="G832" i="81"/>
  <c r="I832" i="81" s="1"/>
  <c r="G830" i="81"/>
  <c r="I830" i="81" s="1"/>
  <c r="G828" i="81"/>
  <c r="I828" i="81" s="1"/>
  <c r="G826" i="81"/>
  <c r="I826" i="81" s="1"/>
  <c r="G825" i="81"/>
  <c r="I825" i="81" s="1"/>
  <c r="G824" i="81"/>
  <c r="I824" i="81" s="1"/>
  <c r="G821" i="81"/>
  <c r="I821" i="81" s="1"/>
  <c r="G819" i="81"/>
  <c r="I819" i="81" s="1"/>
  <c r="G816" i="81"/>
  <c r="I816" i="81" s="1"/>
  <c r="G814" i="81"/>
  <c r="I814" i="81" s="1"/>
  <c r="G812" i="81"/>
  <c r="I812" i="81" s="1"/>
  <c r="G809" i="81"/>
  <c r="I809" i="81" s="1"/>
  <c r="G807" i="81"/>
  <c r="I807" i="81" s="1"/>
  <c r="G806" i="81"/>
  <c r="I806" i="81" s="1"/>
  <c r="G803" i="81"/>
  <c r="I803" i="81" s="1"/>
  <c r="G801" i="81"/>
  <c r="I801" i="81" s="1"/>
  <c r="G798" i="81"/>
  <c r="I798" i="81" s="1"/>
  <c r="G797" i="81"/>
  <c r="I797" i="81" s="1"/>
  <c r="G796" i="81"/>
  <c r="I796" i="81" s="1"/>
  <c r="G794" i="81"/>
  <c r="I794" i="81" s="1"/>
  <c r="G792" i="81"/>
  <c r="I792" i="81" s="1"/>
  <c r="G790" i="81"/>
  <c r="I790" i="81" s="1"/>
  <c r="G788" i="81"/>
  <c r="I788" i="81" s="1"/>
  <c r="G786" i="81"/>
  <c r="I786" i="81" s="1"/>
  <c r="G785" i="81"/>
  <c r="I785" i="81" s="1"/>
  <c r="G784" i="81"/>
  <c r="I784" i="81" s="1"/>
  <c r="G783" i="81"/>
  <c r="I783" i="81" s="1"/>
  <c r="G782" i="81"/>
  <c r="I782" i="81" s="1"/>
  <c r="G781" i="81"/>
  <c r="I781" i="81" s="1"/>
  <c r="G780" i="81"/>
  <c r="I780" i="81" s="1"/>
  <c r="G779" i="81"/>
  <c r="I779" i="81" s="1"/>
  <c r="G777" i="81"/>
  <c r="I777" i="81" s="1"/>
  <c r="G774" i="81"/>
  <c r="I774" i="81" s="1"/>
  <c r="G771" i="81"/>
  <c r="I771" i="81" s="1"/>
  <c r="G770" i="81"/>
  <c r="I770" i="81" s="1"/>
  <c r="G769" i="81"/>
  <c r="I769" i="81" s="1"/>
  <c r="G766" i="81"/>
  <c r="I766" i="81" s="1"/>
  <c r="G762" i="81"/>
  <c r="I762" i="81" s="1"/>
  <c r="G760" i="81"/>
  <c r="I760" i="81" s="1"/>
  <c r="G758" i="81"/>
  <c r="I758" i="81" s="1"/>
  <c r="G756" i="81"/>
  <c r="I756" i="81" s="1"/>
  <c r="G755" i="81"/>
  <c r="I755" i="81" s="1"/>
  <c r="G752" i="81"/>
  <c r="I752" i="81" s="1"/>
  <c r="G749" i="81"/>
  <c r="I749" i="81" s="1"/>
  <c r="G748" i="81"/>
  <c r="I748" i="81" s="1"/>
  <c r="G746" i="81"/>
  <c r="I746" i="81" s="1"/>
  <c r="G741" i="81"/>
  <c r="I741" i="81" s="1"/>
  <c r="G738" i="81"/>
  <c r="I738" i="81" s="1"/>
  <c r="G737" i="81"/>
  <c r="I737" i="81" s="1"/>
  <c r="G735" i="81"/>
  <c r="I735" i="81" s="1"/>
  <c r="G733" i="81"/>
  <c r="I733" i="81" s="1"/>
  <c r="G729" i="81"/>
  <c r="I729" i="81" s="1"/>
  <c r="G727" i="81"/>
  <c r="I727" i="81" s="1"/>
  <c r="G725" i="81"/>
  <c r="I725" i="81" s="1"/>
  <c r="G723" i="81"/>
  <c r="I723" i="81" s="1"/>
  <c r="G722" i="81"/>
  <c r="I722" i="81" s="1"/>
  <c r="G718" i="81"/>
  <c r="I718" i="81" s="1"/>
  <c r="G715" i="81"/>
  <c r="I715" i="81" s="1"/>
  <c r="G711" i="81"/>
  <c r="I711" i="81" s="1"/>
  <c r="G709" i="81"/>
  <c r="I709" i="81" s="1"/>
  <c r="G706" i="81"/>
  <c r="I706" i="81" s="1"/>
  <c r="G704" i="81"/>
  <c r="I704" i="81" s="1"/>
  <c r="G701" i="81"/>
  <c r="I701" i="81" s="1"/>
  <c r="G699" i="81"/>
  <c r="I699" i="81" s="1"/>
  <c r="G698" i="81"/>
  <c r="I698" i="81" s="1"/>
  <c r="G697" i="81"/>
  <c r="I697" i="81" s="1"/>
  <c r="G696" i="81"/>
  <c r="I696" i="81" s="1"/>
  <c r="G694" i="81"/>
  <c r="I694" i="81" s="1"/>
  <c r="G693" i="81"/>
  <c r="I693" i="81" s="1"/>
  <c r="G692" i="81"/>
  <c r="I692" i="81" s="1"/>
  <c r="G691" i="81"/>
  <c r="I691" i="81" s="1"/>
  <c r="G690" i="81"/>
  <c r="I690" i="81" s="1"/>
  <c r="G689" i="81"/>
  <c r="I689" i="81" s="1"/>
  <c r="G688" i="81"/>
  <c r="I688" i="81" s="1"/>
  <c r="G687" i="81"/>
  <c r="I687" i="81" s="1"/>
  <c r="G686" i="81"/>
  <c r="I686" i="81" s="1"/>
  <c r="G685" i="81"/>
  <c r="I685" i="81" s="1"/>
  <c r="G684" i="81"/>
  <c r="I684" i="81" s="1"/>
  <c r="G683" i="81"/>
  <c r="I683" i="81" s="1"/>
  <c r="G682" i="81"/>
  <c r="I682" i="81" s="1"/>
  <c r="G681" i="81"/>
  <c r="I681" i="81" s="1"/>
  <c r="G680" i="81"/>
  <c r="I680" i="81" s="1"/>
  <c r="G679" i="81"/>
  <c r="I679" i="81" s="1"/>
  <c r="G677" i="81"/>
  <c r="I677" i="81" s="1"/>
  <c r="G676" i="81"/>
  <c r="I676" i="81" s="1"/>
  <c r="G675" i="81"/>
  <c r="I675" i="81" s="1"/>
  <c r="G674" i="81"/>
  <c r="I674" i="81" s="1"/>
  <c r="G673" i="81"/>
  <c r="I673" i="81" s="1"/>
  <c r="G672" i="81"/>
  <c r="I672" i="81" s="1"/>
  <c r="G671" i="81"/>
  <c r="I671" i="81" s="1"/>
  <c r="G670" i="81"/>
  <c r="I670" i="81" s="1"/>
  <c r="G669" i="81"/>
  <c r="I669" i="81" s="1"/>
  <c r="G668" i="81"/>
  <c r="I668" i="81" s="1"/>
  <c r="G667" i="81"/>
  <c r="I667" i="81" s="1"/>
  <c r="G666" i="81"/>
  <c r="I666" i="81" s="1"/>
  <c r="G665" i="81"/>
  <c r="I665" i="81" s="1"/>
  <c r="G664" i="81"/>
  <c r="I664" i="81" s="1"/>
  <c r="G663" i="81"/>
  <c r="I663" i="81" s="1"/>
  <c r="G662" i="81"/>
  <c r="I662" i="81" s="1"/>
  <c r="G661" i="81"/>
  <c r="I661" i="81" s="1"/>
  <c r="G660" i="81"/>
  <c r="I660" i="81" s="1"/>
  <c r="G659" i="81"/>
  <c r="I659" i="81" s="1"/>
  <c r="G658" i="81"/>
  <c r="I658" i="81" s="1"/>
  <c r="G656" i="81"/>
  <c r="I656" i="81" s="1"/>
  <c r="G655" i="81"/>
  <c r="I655" i="81" s="1"/>
  <c r="G654" i="81"/>
  <c r="I654" i="81" s="1"/>
  <c r="G653" i="81"/>
  <c r="I653" i="81" s="1"/>
  <c r="G652" i="81"/>
  <c r="I652" i="81" s="1"/>
  <c r="G651" i="81"/>
  <c r="I651" i="81" s="1"/>
  <c r="G650" i="81"/>
  <c r="I650" i="81" s="1"/>
  <c r="G649" i="81"/>
  <c r="I649" i="81" s="1"/>
  <c r="G648" i="81"/>
  <c r="I648" i="81" s="1"/>
  <c r="G647" i="81"/>
  <c r="I647" i="81" s="1"/>
  <c r="G646" i="81"/>
  <c r="I646" i="81" s="1"/>
  <c r="G645" i="81"/>
  <c r="I645" i="81" s="1"/>
  <c r="G644" i="81"/>
  <c r="I644" i="81" s="1"/>
  <c r="G643" i="81"/>
  <c r="I643" i="81" s="1"/>
  <c r="G642" i="81"/>
  <c r="I642" i="81" s="1"/>
  <c r="G641" i="81"/>
  <c r="I641" i="81" s="1"/>
  <c r="G640" i="81"/>
  <c r="I640" i="81" s="1"/>
  <c r="G639" i="81"/>
  <c r="I639" i="81" s="1"/>
  <c r="G638" i="81"/>
  <c r="I638" i="81" s="1"/>
  <c r="G637" i="81"/>
  <c r="I637" i="81" s="1"/>
  <c r="G636" i="81"/>
  <c r="I636" i="81" s="1"/>
  <c r="G635" i="81"/>
  <c r="I635" i="81" s="1"/>
  <c r="G634" i="81"/>
  <c r="I634" i="81" s="1"/>
  <c r="G633" i="81"/>
  <c r="I633" i="81" s="1"/>
  <c r="G632" i="81"/>
  <c r="I632" i="81" s="1"/>
  <c r="G631" i="81"/>
  <c r="I631" i="81" s="1"/>
  <c r="G630" i="81"/>
  <c r="I630" i="81" s="1"/>
  <c r="G629" i="81"/>
  <c r="I629" i="81" s="1"/>
  <c r="G628" i="81"/>
  <c r="I628" i="81" s="1"/>
  <c r="G627" i="81"/>
  <c r="I627" i="81" s="1"/>
  <c r="G626" i="81"/>
  <c r="I626" i="81" s="1"/>
  <c r="G625" i="81"/>
  <c r="I625" i="81" s="1"/>
  <c r="G623" i="81"/>
  <c r="I623" i="81" s="1"/>
  <c r="G622" i="81"/>
  <c r="I622" i="81" s="1"/>
  <c r="G621" i="81"/>
  <c r="I621" i="81" s="1"/>
  <c r="G620" i="81"/>
  <c r="I620" i="81" s="1"/>
  <c r="G619" i="81"/>
  <c r="I619" i="81" s="1"/>
  <c r="G617" i="81"/>
  <c r="I617" i="81" s="1"/>
  <c r="G616" i="81"/>
  <c r="I616" i="81" s="1"/>
  <c r="G615" i="81"/>
  <c r="I615" i="81" s="1"/>
  <c r="G613" i="81"/>
  <c r="I613" i="81" s="1"/>
  <c r="G612" i="81"/>
  <c r="I612" i="81" s="1"/>
  <c r="G611" i="81"/>
  <c r="I611" i="81" s="1"/>
  <c r="G610" i="81"/>
  <c r="I610" i="81" s="1"/>
  <c r="G609" i="81"/>
  <c r="I609" i="81" s="1"/>
  <c r="G608" i="81"/>
  <c r="I608" i="81" s="1"/>
  <c r="G607" i="81"/>
  <c r="I607" i="81" s="1"/>
  <c r="G606" i="81"/>
  <c r="I606" i="81" s="1"/>
  <c r="G605" i="81"/>
  <c r="I605" i="81" s="1"/>
  <c r="G604" i="81"/>
  <c r="I604" i="81" s="1"/>
  <c r="G603" i="81"/>
  <c r="I603" i="81" s="1"/>
  <c r="G602" i="81"/>
  <c r="I602" i="81" s="1"/>
  <c r="G601" i="81"/>
  <c r="I601" i="81" s="1"/>
  <c r="G600" i="81"/>
  <c r="I600" i="81" s="1"/>
  <c r="G599" i="81"/>
  <c r="I599" i="81" s="1"/>
  <c r="G598" i="81"/>
  <c r="I598" i="81" s="1"/>
  <c r="G597" i="81"/>
  <c r="I597" i="81" s="1"/>
  <c r="G596" i="81"/>
  <c r="I596" i="81" s="1"/>
  <c r="G595" i="81"/>
  <c r="I595" i="81" s="1"/>
  <c r="G594" i="81"/>
  <c r="I594" i="81" s="1"/>
  <c r="G593" i="81"/>
  <c r="I593" i="81" s="1"/>
  <c r="G592" i="81"/>
  <c r="I592" i="81" s="1"/>
  <c r="G591" i="81"/>
  <c r="I591" i="81" s="1"/>
  <c r="G589" i="81"/>
  <c r="I589" i="81" s="1"/>
  <c r="G588" i="81"/>
  <c r="I588" i="81" s="1"/>
  <c r="G587" i="81"/>
  <c r="I587" i="81" s="1"/>
  <c r="G586" i="81"/>
  <c r="I586" i="81" s="1"/>
  <c r="G585" i="81"/>
  <c r="I585" i="81" s="1"/>
  <c r="G584" i="81"/>
  <c r="I584" i="81" s="1"/>
  <c r="G583" i="81"/>
  <c r="I583" i="81" s="1"/>
  <c r="G582" i="81"/>
  <c r="I582" i="81" s="1"/>
  <c r="G581" i="81"/>
  <c r="I581" i="81" s="1"/>
  <c r="G580" i="81"/>
  <c r="I580" i="81" s="1"/>
  <c r="G579" i="81"/>
  <c r="I579" i="81" s="1"/>
  <c r="G578" i="81"/>
  <c r="I578" i="81" s="1"/>
  <c r="G577" i="81"/>
  <c r="I577" i="81" s="1"/>
  <c r="G576" i="81"/>
  <c r="I576" i="81" s="1"/>
  <c r="G575" i="81"/>
  <c r="I575" i="81" s="1"/>
  <c r="G574" i="81"/>
  <c r="I574" i="81" s="1"/>
  <c r="G573" i="81"/>
  <c r="I573" i="81" s="1"/>
  <c r="G572" i="81"/>
  <c r="I572" i="81" s="1"/>
  <c r="G571" i="81"/>
  <c r="I571" i="81" s="1"/>
  <c r="G570" i="81"/>
  <c r="I570" i="81" s="1"/>
  <c r="G569" i="81"/>
  <c r="I569" i="81" s="1"/>
  <c r="G567" i="81"/>
  <c r="I567" i="81" s="1"/>
  <c r="G566" i="81"/>
  <c r="I566" i="81" s="1"/>
  <c r="G565" i="81"/>
  <c r="I565" i="81" s="1"/>
  <c r="G564" i="81"/>
  <c r="I564" i="81" s="1"/>
  <c r="G563" i="81"/>
  <c r="I563" i="81" s="1"/>
  <c r="G562" i="81"/>
  <c r="I562" i="81" s="1"/>
  <c r="G561" i="81"/>
  <c r="I561" i="81" s="1"/>
  <c r="G560" i="81"/>
  <c r="I560" i="81" s="1"/>
  <c r="G559" i="81"/>
  <c r="I559" i="81" s="1"/>
  <c r="G558" i="81"/>
  <c r="I558" i="81" s="1"/>
  <c r="G557" i="81"/>
  <c r="I557" i="81" s="1"/>
  <c r="G556" i="81"/>
  <c r="I556" i="81" s="1"/>
  <c r="G555" i="81"/>
  <c r="I555" i="81" s="1"/>
  <c r="G554" i="81"/>
  <c r="I554" i="81" s="1"/>
  <c r="G553" i="81"/>
  <c r="I553" i="81" s="1"/>
  <c r="G552" i="81"/>
  <c r="I552" i="81" s="1"/>
  <c r="G551" i="81"/>
  <c r="I551" i="81" s="1"/>
  <c r="G550" i="81"/>
  <c r="I550" i="81" s="1"/>
  <c r="G549" i="81"/>
  <c r="I549" i="81" s="1"/>
  <c r="G548" i="81"/>
  <c r="I548" i="81" s="1"/>
  <c r="G547" i="81"/>
  <c r="I547" i="81" s="1"/>
  <c r="G546" i="81"/>
  <c r="I546" i="81" s="1"/>
  <c r="G545" i="81"/>
  <c r="I545" i="81" s="1"/>
  <c r="G544" i="81"/>
  <c r="I544" i="81" s="1"/>
  <c r="G543" i="81"/>
  <c r="I543" i="81" s="1"/>
  <c r="G542" i="81"/>
  <c r="I542" i="81" s="1"/>
  <c r="G541" i="81"/>
  <c r="I541" i="81" s="1"/>
  <c r="G540" i="81"/>
  <c r="I540" i="81" s="1"/>
  <c r="G539" i="81"/>
  <c r="I539" i="81" s="1"/>
  <c r="G538" i="81"/>
  <c r="I538" i="81" s="1"/>
  <c r="G537" i="81"/>
  <c r="I537" i="81" s="1"/>
  <c r="G536" i="81"/>
  <c r="I536" i="81" s="1"/>
  <c r="G535" i="81"/>
  <c r="I535" i="81" s="1"/>
  <c r="G534" i="81"/>
  <c r="I534" i="81" s="1"/>
  <c r="G533" i="81"/>
  <c r="I533" i="81" s="1"/>
  <c r="G532" i="81"/>
  <c r="I532" i="81" s="1"/>
  <c r="G531" i="81"/>
  <c r="I531" i="81" s="1"/>
  <c r="G529" i="81"/>
  <c r="I529" i="81" s="1"/>
  <c r="G528" i="81"/>
  <c r="I528" i="81" s="1"/>
  <c r="G527" i="81"/>
  <c r="I527" i="81" s="1"/>
  <c r="G526" i="81"/>
  <c r="I526" i="81" s="1"/>
  <c r="G525" i="81"/>
  <c r="I525" i="81" s="1"/>
  <c r="G524" i="81"/>
  <c r="I524" i="81" s="1"/>
  <c r="G523" i="81"/>
  <c r="I523" i="81" s="1"/>
  <c r="G522" i="81"/>
  <c r="I522" i="81" s="1"/>
  <c r="G521" i="81"/>
  <c r="I521" i="81" s="1"/>
  <c r="G520" i="81"/>
  <c r="I520" i="81" s="1"/>
  <c r="G519" i="81"/>
  <c r="I519" i="81" s="1"/>
  <c r="G518" i="81"/>
  <c r="I518" i="81" s="1"/>
  <c r="G516" i="81"/>
  <c r="I516" i="81" s="1"/>
  <c r="G515" i="81"/>
  <c r="I515" i="81" s="1"/>
  <c r="G514" i="81"/>
  <c r="I514" i="81" s="1"/>
  <c r="G513" i="81"/>
  <c r="I513" i="81" s="1"/>
  <c r="G512" i="81"/>
  <c r="I512" i="81" s="1"/>
  <c r="G511" i="81"/>
  <c r="I511" i="81" s="1"/>
  <c r="G510" i="81"/>
  <c r="I510" i="81" s="1"/>
  <c r="G509" i="81"/>
  <c r="I509" i="81" s="1"/>
  <c r="G508" i="81"/>
  <c r="I508" i="81" s="1"/>
  <c r="G507" i="81"/>
  <c r="I507" i="81" s="1"/>
  <c r="G506" i="81"/>
  <c r="I506" i="81" s="1"/>
  <c r="G505" i="81"/>
  <c r="I505" i="81" s="1"/>
  <c r="G504" i="81"/>
  <c r="I504" i="81" s="1"/>
  <c r="G503" i="81"/>
  <c r="I503" i="81" s="1"/>
  <c r="G502" i="81"/>
  <c r="I502" i="81" s="1"/>
  <c r="G501" i="81"/>
  <c r="I501" i="81" s="1"/>
  <c r="G500" i="81"/>
  <c r="I500" i="81" s="1"/>
  <c r="G499" i="81"/>
  <c r="I499" i="81" s="1"/>
  <c r="G498" i="81"/>
  <c r="I498" i="81" s="1"/>
  <c r="G497" i="81"/>
  <c r="I497" i="81" s="1"/>
  <c r="G496" i="81"/>
  <c r="I496" i="81" s="1"/>
  <c r="G495" i="81"/>
  <c r="I495" i="81" s="1"/>
  <c r="G494" i="81"/>
  <c r="I494" i="81" s="1"/>
  <c r="G493" i="81"/>
  <c r="I493" i="81" s="1"/>
  <c r="G492" i="81"/>
  <c r="I492" i="81" s="1"/>
  <c r="G491" i="81"/>
  <c r="I491" i="81" s="1"/>
  <c r="G490" i="81"/>
  <c r="I490" i="81" s="1"/>
  <c r="G489" i="81"/>
  <c r="I489" i="81" s="1"/>
  <c r="G488" i="81"/>
  <c r="I488" i="81" s="1"/>
  <c r="G487" i="81"/>
  <c r="I487" i="81" s="1"/>
  <c r="G486" i="81"/>
  <c r="I486" i="81" s="1"/>
  <c r="G485" i="81"/>
  <c r="I485" i="81" s="1"/>
  <c r="G484" i="81"/>
  <c r="I484" i="81" s="1"/>
  <c r="G483" i="81"/>
  <c r="I483" i="81" s="1"/>
  <c r="G482" i="81"/>
  <c r="I482" i="81" s="1"/>
  <c r="G481" i="81"/>
  <c r="I481" i="81" s="1"/>
  <c r="G480" i="81"/>
  <c r="I480" i="81" s="1"/>
  <c r="G479" i="81"/>
  <c r="I479" i="81" s="1"/>
  <c r="G478" i="81"/>
  <c r="I478" i="81" s="1"/>
  <c r="G477" i="81"/>
  <c r="I477" i="81" s="1"/>
  <c r="G476" i="81"/>
  <c r="I476" i="81" s="1"/>
  <c r="G475" i="81"/>
  <c r="I475" i="81" s="1"/>
  <c r="G474" i="81"/>
  <c r="I474" i="81" s="1"/>
  <c r="G473" i="81"/>
  <c r="I473" i="81" s="1"/>
  <c r="G472" i="81"/>
  <c r="I472" i="81" s="1"/>
  <c r="G471" i="81"/>
  <c r="I471" i="81" s="1"/>
  <c r="G470" i="81"/>
  <c r="I470" i="81" s="1"/>
  <c r="G469" i="81"/>
  <c r="I469" i="81" s="1"/>
  <c r="G468" i="81"/>
  <c r="I468" i="81" s="1"/>
  <c r="G467" i="81"/>
  <c r="I467" i="81" s="1"/>
  <c r="G466" i="81"/>
  <c r="I466" i="81" s="1"/>
  <c r="G465" i="81"/>
  <c r="I465" i="81" s="1"/>
  <c r="G463" i="81"/>
  <c r="I463" i="81" s="1"/>
  <c r="G462" i="81"/>
  <c r="I462" i="81" s="1"/>
  <c r="G461" i="81"/>
  <c r="I461" i="81" s="1"/>
  <c r="G460" i="81"/>
  <c r="I460" i="81" s="1"/>
  <c r="G459" i="81"/>
  <c r="I459" i="81" s="1"/>
  <c r="G458" i="81"/>
  <c r="I458" i="81" s="1"/>
  <c r="G457" i="81"/>
  <c r="I457" i="81" s="1"/>
  <c r="G456" i="81"/>
  <c r="I456" i="81" s="1"/>
  <c r="G455" i="81"/>
  <c r="I455" i="81" s="1"/>
  <c r="G454" i="81"/>
  <c r="I454" i="81" s="1"/>
  <c r="G453" i="81"/>
  <c r="I453" i="81" s="1"/>
  <c r="G452" i="81"/>
  <c r="I452" i="81" s="1"/>
  <c r="G451" i="81"/>
  <c r="I451" i="81" s="1"/>
  <c r="G450" i="81"/>
  <c r="I450" i="81" s="1"/>
  <c r="G449" i="81"/>
  <c r="I449" i="81" s="1"/>
  <c r="G448" i="81"/>
  <c r="I448" i="81" s="1"/>
  <c r="G447" i="81"/>
  <c r="I447" i="81" s="1"/>
  <c r="G446" i="81"/>
  <c r="I446" i="81" s="1"/>
  <c r="G445" i="81"/>
  <c r="I445" i="81" s="1"/>
  <c r="G444" i="81"/>
  <c r="I444" i="81" s="1"/>
  <c r="G443" i="81"/>
  <c r="I443" i="81" s="1"/>
  <c r="G442" i="81"/>
  <c r="I442" i="81" s="1"/>
  <c r="G441" i="81"/>
  <c r="I441" i="81" s="1"/>
  <c r="G440" i="81"/>
  <c r="I440" i="81" s="1"/>
  <c r="G439" i="81"/>
  <c r="I439" i="81" s="1"/>
  <c r="G438" i="81"/>
  <c r="I438" i="81" s="1"/>
  <c r="G437" i="81"/>
  <c r="I437" i="81" s="1"/>
  <c r="G436" i="81"/>
  <c r="I436" i="81" s="1"/>
  <c r="G435" i="81"/>
  <c r="I435" i="81" s="1"/>
  <c r="G434" i="81"/>
  <c r="I434" i="81" s="1"/>
  <c r="G433" i="81"/>
  <c r="I433" i="81" s="1"/>
  <c r="G432" i="81"/>
  <c r="I432" i="81" s="1"/>
  <c r="G431" i="81"/>
  <c r="I431" i="81" s="1"/>
  <c r="G430" i="81"/>
  <c r="I430" i="81" s="1"/>
  <c r="G429" i="81"/>
  <c r="I429" i="81" s="1"/>
  <c r="G428" i="81"/>
  <c r="I428" i="81" s="1"/>
  <c r="G427" i="81"/>
  <c r="I427" i="81" s="1"/>
  <c r="G425" i="81"/>
  <c r="I425" i="81" s="1"/>
  <c r="G424" i="81"/>
  <c r="I424" i="81" s="1"/>
  <c r="G423" i="81"/>
  <c r="I423" i="81" s="1"/>
  <c r="G422" i="81"/>
  <c r="I422" i="81" s="1"/>
  <c r="G421" i="81"/>
  <c r="I421" i="81" s="1"/>
  <c r="G420" i="81"/>
  <c r="I420" i="81" s="1"/>
  <c r="G419" i="81"/>
  <c r="I419" i="81" s="1"/>
  <c r="G418" i="81"/>
  <c r="I418" i="81" s="1"/>
  <c r="G417" i="81"/>
  <c r="I417" i="81" s="1"/>
  <c r="G416" i="81"/>
  <c r="I416" i="81" s="1"/>
  <c r="G415" i="81"/>
  <c r="I415" i="81" s="1"/>
  <c r="G414" i="81"/>
  <c r="I414" i="81" s="1"/>
  <c r="G413" i="81"/>
  <c r="I413" i="81" s="1"/>
  <c r="G412" i="81"/>
  <c r="I412" i="81" s="1"/>
  <c r="G411" i="81"/>
  <c r="I411" i="81" s="1"/>
  <c r="G410" i="81"/>
  <c r="I410" i="81" s="1"/>
  <c r="G409" i="81"/>
  <c r="I409" i="81" s="1"/>
  <c r="G408" i="81"/>
  <c r="I408" i="81" s="1"/>
  <c r="G407" i="81"/>
  <c r="I407" i="81" s="1"/>
  <c r="G406" i="81"/>
  <c r="I406" i="81" s="1"/>
  <c r="G405" i="81"/>
  <c r="I405" i="81" s="1"/>
  <c r="G404" i="81"/>
  <c r="I404" i="81" s="1"/>
  <c r="G403" i="81"/>
  <c r="I403" i="81" s="1"/>
  <c r="G402" i="81"/>
  <c r="I402" i="81" s="1"/>
  <c r="G401" i="81"/>
  <c r="I401" i="81" s="1"/>
  <c r="G400" i="81"/>
  <c r="I400" i="81" s="1"/>
  <c r="G399" i="81"/>
  <c r="I399" i="81" s="1"/>
  <c r="G398" i="81"/>
  <c r="I398" i="81" s="1"/>
  <c r="G397" i="81"/>
  <c r="I397" i="81" s="1"/>
  <c r="G396" i="81"/>
  <c r="I396" i="81" s="1"/>
  <c r="G395" i="81"/>
  <c r="I395" i="81" s="1"/>
  <c r="G394" i="81"/>
  <c r="I394" i="81" s="1"/>
  <c r="G393" i="81"/>
  <c r="I393" i="81" s="1"/>
  <c r="G391" i="81"/>
  <c r="I391" i="81" s="1"/>
  <c r="G390" i="81"/>
  <c r="I390" i="81" s="1"/>
  <c r="G389" i="81"/>
  <c r="I389" i="81" s="1"/>
  <c r="G388" i="81"/>
  <c r="I388" i="81" s="1"/>
  <c r="G387" i="81"/>
  <c r="I387" i="81" s="1"/>
  <c r="G386" i="81"/>
  <c r="I386" i="81" s="1"/>
  <c r="G385" i="81"/>
  <c r="I385" i="81" s="1"/>
  <c r="G384" i="81"/>
  <c r="I384" i="81" s="1"/>
  <c r="G383" i="81"/>
  <c r="I383" i="81" s="1"/>
  <c r="G382" i="81"/>
  <c r="I382" i="81" s="1"/>
  <c r="G381" i="81"/>
  <c r="I381" i="81" s="1"/>
  <c r="G380" i="81"/>
  <c r="I380" i="81" s="1"/>
  <c r="G379" i="81"/>
  <c r="I379" i="81" s="1"/>
  <c r="G378" i="81"/>
  <c r="I378" i="81" s="1"/>
  <c r="G377" i="81"/>
  <c r="I377" i="81" s="1"/>
  <c r="G376" i="81"/>
  <c r="I376" i="81" s="1"/>
  <c r="G375" i="81"/>
  <c r="I375" i="81" s="1"/>
  <c r="G374" i="81"/>
  <c r="I374" i="81" s="1"/>
  <c r="G373" i="81"/>
  <c r="I373" i="81" s="1"/>
  <c r="G372" i="81"/>
  <c r="I372" i="81" s="1"/>
  <c r="G371" i="81"/>
  <c r="I371" i="81" s="1"/>
  <c r="G370" i="81"/>
  <c r="I370" i="81" s="1"/>
  <c r="G369" i="81"/>
  <c r="I369" i="81" s="1"/>
  <c r="G368" i="81"/>
  <c r="I368" i="81" s="1"/>
  <c r="G367" i="81"/>
  <c r="I367" i="81" s="1"/>
  <c r="G366" i="81"/>
  <c r="I366" i="81" s="1"/>
  <c r="G365" i="81"/>
  <c r="I365" i="81" s="1"/>
  <c r="G364" i="81"/>
  <c r="I364" i="81" s="1"/>
  <c r="G363" i="81"/>
  <c r="I363" i="81" s="1"/>
  <c r="G362" i="81"/>
  <c r="I362" i="81" s="1"/>
  <c r="G361" i="81"/>
  <c r="I361" i="81" s="1"/>
  <c r="G360" i="81"/>
  <c r="I360" i="81" s="1"/>
  <c r="G359" i="81"/>
  <c r="I359" i="81" s="1"/>
  <c r="G358" i="81"/>
  <c r="I358" i="81" s="1"/>
  <c r="G357" i="81"/>
  <c r="I357" i="81" s="1"/>
  <c r="G356" i="81"/>
  <c r="I356" i="81" s="1"/>
  <c r="G355" i="81"/>
  <c r="I355" i="81" s="1"/>
  <c r="G354" i="81"/>
  <c r="I354" i="81" s="1"/>
  <c r="G352" i="81"/>
  <c r="I352" i="81" s="1"/>
  <c r="G351" i="81"/>
  <c r="I351" i="81" s="1"/>
  <c r="G350" i="81"/>
  <c r="I350" i="81" s="1"/>
  <c r="G349" i="81"/>
  <c r="I349" i="81" s="1"/>
  <c r="G348" i="81"/>
  <c r="I348" i="81" s="1"/>
  <c r="G347" i="81"/>
  <c r="I347" i="81" s="1"/>
  <c r="G346" i="81"/>
  <c r="I346" i="81" s="1"/>
  <c r="G345" i="81"/>
  <c r="I345" i="81" s="1"/>
  <c r="G344" i="81"/>
  <c r="I344" i="81" s="1"/>
  <c r="G343" i="81"/>
  <c r="I343" i="81" s="1"/>
  <c r="G342" i="81"/>
  <c r="I342" i="81" s="1"/>
  <c r="G341" i="81"/>
  <c r="I341" i="81" s="1"/>
  <c r="G340" i="81"/>
  <c r="I340" i="81" s="1"/>
  <c r="G339" i="81"/>
  <c r="I339" i="81" s="1"/>
  <c r="G338" i="81"/>
  <c r="I338" i="81" s="1"/>
  <c r="G337" i="81"/>
  <c r="I337" i="81" s="1"/>
  <c r="G336" i="81"/>
  <c r="I336" i="81" s="1"/>
  <c r="G335" i="81"/>
  <c r="I335" i="81" s="1"/>
  <c r="G334" i="81"/>
  <c r="I334" i="81" s="1"/>
  <c r="G333" i="81"/>
  <c r="I333" i="81" s="1"/>
  <c r="G332" i="81"/>
  <c r="I332" i="81" s="1"/>
  <c r="G331" i="81"/>
  <c r="I331" i="81" s="1"/>
  <c r="G330" i="81"/>
  <c r="I330" i="81" s="1"/>
  <c r="G329" i="81"/>
  <c r="I329" i="81" s="1"/>
  <c r="G328" i="81"/>
  <c r="I328" i="81" s="1"/>
  <c r="G327" i="81"/>
  <c r="I327" i="81" s="1"/>
  <c r="G326" i="81"/>
  <c r="I326" i="81" s="1"/>
  <c r="G325" i="81"/>
  <c r="I325" i="81" s="1"/>
  <c r="G324" i="81"/>
  <c r="I324" i="81" s="1"/>
  <c r="G323" i="81"/>
  <c r="I323" i="81" s="1"/>
  <c r="G322" i="81"/>
  <c r="I322" i="81" s="1"/>
  <c r="G321" i="81"/>
  <c r="I321" i="81" s="1"/>
  <c r="G320" i="81"/>
  <c r="I320" i="81" s="1"/>
  <c r="G319" i="81"/>
  <c r="I319" i="81" s="1"/>
  <c r="G318" i="81"/>
  <c r="I318" i="81" s="1"/>
  <c r="G317" i="81"/>
  <c r="I317" i="81" s="1"/>
  <c r="G316" i="81"/>
  <c r="I316" i="81" s="1"/>
  <c r="G315" i="81"/>
  <c r="I315" i="81" s="1"/>
  <c r="G314" i="81"/>
  <c r="I314" i="81" s="1"/>
  <c r="G313" i="81"/>
  <c r="I313" i="81" s="1"/>
  <c r="G312" i="81"/>
  <c r="I312" i="81" s="1"/>
  <c r="G311" i="81"/>
  <c r="I311" i="81" s="1"/>
  <c r="G310" i="81"/>
  <c r="I310" i="81" s="1"/>
  <c r="G309" i="81"/>
  <c r="I309" i="81" s="1"/>
  <c r="G308" i="81"/>
  <c r="I308" i="81" s="1"/>
  <c r="G307" i="81"/>
  <c r="I307" i="81" s="1"/>
  <c r="G306" i="81"/>
  <c r="I306" i="81" s="1"/>
  <c r="G305" i="81"/>
  <c r="I305" i="81" s="1"/>
  <c r="G304" i="81"/>
  <c r="I304" i="81" s="1"/>
  <c r="G303" i="81"/>
  <c r="I303" i="81" s="1"/>
  <c r="G302" i="81"/>
  <c r="I302" i="81" s="1"/>
  <c r="G301" i="81"/>
  <c r="I301" i="81" s="1"/>
  <c r="G300" i="81"/>
  <c r="I300" i="81" s="1"/>
  <c r="G299" i="81"/>
  <c r="I299" i="81" s="1"/>
  <c r="G297" i="81"/>
  <c r="I297" i="81" s="1"/>
  <c r="G296" i="81"/>
  <c r="I296" i="81" s="1"/>
  <c r="G295" i="81"/>
  <c r="I295" i="81" s="1"/>
  <c r="G294" i="81"/>
  <c r="I294" i="81" s="1"/>
  <c r="G293" i="81"/>
  <c r="I293" i="81" s="1"/>
  <c r="G292" i="81"/>
  <c r="I292" i="81" s="1"/>
  <c r="G291" i="81"/>
  <c r="I291" i="81" s="1"/>
  <c r="G290" i="81"/>
  <c r="I290" i="81" s="1"/>
  <c r="G289" i="81"/>
  <c r="I289" i="81" s="1"/>
  <c r="G288" i="81"/>
  <c r="I288" i="81" s="1"/>
  <c r="G287" i="81"/>
  <c r="I287" i="81" s="1"/>
  <c r="G286" i="81"/>
  <c r="I286" i="81" s="1"/>
  <c r="G285" i="81"/>
  <c r="I285" i="81" s="1"/>
  <c r="G284" i="81"/>
  <c r="I284" i="81" s="1"/>
  <c r="G283" i="81"/>
  <c r="I283" i="81" s="1"/>
  <c r="G282" i="81"/>
  <c r="I282" i="81" s="1"/>
  <c r="G281" i="81"/>
  <c r="I281" i="81" s="1"/>
  <c r="G280" i="81"/>
  <c r="I280" i="81" s="1"/>
  <c r="G279" i="81"/>
  <c r="I279" i="81" s="1"/>
  <c r="G278" i="81"/>
  <c r="I278" i="81" s="1"/>
  <c r="G277" i="81"/>
  <c r="I277" i="81" s="1"/>
  <c r="G276" i="81"/>
  <c r="I276" i="81" s="1"/>
  <c r="G275" i="81"/>
  <c r="I275" i="81" s="1"/>
  <c r="G274" i="81"/>
  <c r="I274" i="81" s="1"/>
  <c r="G273" i="81"/>
  <c r="I273" i="81" s="1"/>
  <c r="G272" i="81"/>
  <c r="I272" i="81" s="1"/>
  <c r="G271" i="81"/>
  <c r="I271" i="81" s="1"/>
  <c r="G270" i="81"/>
  <c r="I270" i="81" s="1"/>
  <c r="G269" i="81"/>
  <c r="I269" i="81" s="1"/>
  <c r="G268" i="81"/>
  <c r="I268" i="81" s="1"/>
  <c r="G267" i="81"/>
  <c r="I267" i="81" s="1"/>
  <c r="G266" i="81"/>
  <c r="I266" i="81" s="1"/>
  <c r="G265" i="81"/>
  <c r="I265" i="81" s="1"/>
  <c r="G264" i="81"/>
  <c r="I264" i="81" s="1"/>
  <c r="G263" i="81"/>
  <c r="I263" i="81" s="1"/>
  <c r="G262" i="81"/>
  <c r="I262" i="81" s="1"/>
  <c r="G261" i="81"/>
  <c r="I261" i="81" s="1"/>
  <c r="G260" i="81"/>
  <c r="I260" i="81" s="1"/>
  <c r="G259" i="81"/>
  <c r="I259" i="81" s="1"/>
  <c r="G258" i="81"/>
  <c r="I258" i="81" s="1"/>
  <c r="G257" i="81"/>
  <c r="I257" i="81" s="1"/>
  <c r="G255" i="81"/>
  <c r="I255" i="81" s="1"/>
  <c r="G254" i="81"/>
  <c r="I254" i="81" s="1"/>
  <c r="G253" i="81"/>
  <c r="I253" i="81" s="1"/>
  <c r="G252" i="81"/>
  <c r="I252" i="81" s="1"/>
  <c r="G251" i="81"/>
  <c r="I251" i="81" s="1"/>
  <c r="G250" i="81"/>
  <c r="I250" i="81" s="1"/>
  <c r="G249" i="81"/>
  <c r="I249" i="81" s="1"/>
  <c r="G248" i="81"/>
  <c r="I248" i="81" s="1"/>
  <c r="G247" i="81"/>
  <c r="I247" i="81" s="1"/>
  <c r="G246" i="81"/>
  <c r="I246" i="81" s="1"/>
  <c r="G245" i="81"/>
  <c r="I245" i="81" s="1"/>
  <c r="G244" i="81"/>
  <c r="I244" i="81" s="1"/>
  <c r="G243" i="81"/>
  <c r="I243" i="81" s="1"/>
  <c r="G242" i="81"/>
  <c r="I242" i="81" s="1"/>
  <c r="G241" i="81"/>
  <c r="I241" i="81" s="1"/>
  <c r="G240" i="81"/>
  <c r="I240" i="81" s="1"/>
  <c r="G239" i="81"/>
  <c r="I239" i="81" s="1"/>
  <c r="G238" i="81"/>
  <c r="I238" i="81" s="1"/>
  <c r="G237" i="81"/>
  <c r="I237" i="81" s="1"/>
  <c r="G236" i="81"/>
  <c r="I236" i="81" s="1"/>
  <c r="G235" i="81"/>
  <c r="I235" i="81" s="1"/>
  <c r="G234" i="81"/>
  <c r="I234" i="81" s="1"/>
  <c r="G233" i="81"/>
  <c r="I233" i="81" s="1"/>
  <c r="G232" i="81"/>
  <c r="I232" i="81" s="1"/>
  <c r="G231" i="81"/>
  <c r="I231" i="81" s="1"/>
  <c r="G230" i="81"/>
  <c r="I230" i="81" s="1"/>
  <c r="G229" i="81"/>
  <c r="I229" i="81" s="1"/>
  <c r="G228" i="81"/>
  <c r="I228" i="81" s="1"/>
  <c r="G226" i="81"/>
  <c r="I226" i="81" s="1"/>
  <c r="G225" i="81"/>
  <c r="I225" i="81" s="1"/>
  <c r="G224" i="81"/>
  <c r="I224" i="81" s="1"/>
  <c r="G223" i="81"/>
  <c r="I223" i="81" s="1"/>
  <c r="G222" i="81"/>
  <c r="I222" i="81" s="1"/>
  <c r="G221" i="81"/>
  <c r="I221" i="81" s="1"/>
  <c r="G220" i="81"/>
  <c r="I220" i="81" s="1"/>
  <c r="G219" i="81"/>
  <c r="I219" i="81" s="1"/>
  <c r="G218" i="81"/>
  <c r="I218" i="81" s="1"/>
  <c r="G217" i="81"/>
  <c r="I217" i="81" s="1"/>
  <c r="G216" i="81"/>
  <c r="I216" i="81" s="1"/>
  <c r="G215" i="81"/>
  <c r="I215" i="81" s="1"/>
  <c r="G214" i="81"/>
  <c r="I214" i="81" s="1"/>
  <c r="G213" i="81"/>
  <c r="I213" i="81" s="1"/>
  <c r="G212" i="81"/>
  <c r="I212" i="81" s="1"/>
  <c r="G211" i="81"/>
  <c r="I211" i="81" s="1"/>
  <c r="G210" i="81"/>
  <c r="I210" i="81" s="1"/>
  <c r="G209" i="81"/>
  <c r="I209" i="81" s="1"/>
  <c r="G208" i="81"/>
  <c r="I208" i="81" s="1"/>
  <c r="G207" i="81"/>
  <c r="I207" i="81" s="1"/>
  <c r="G206" i="81"/>
  <c r="I206" i="81" s="1"/>
  <c r="G205" i="81"/>
  <c r="I205" i="81" s="1"/>
  <c r="G204" i="81"/>
  <c r="I204" i="81" s="1"/>
  <c r="G203" i="81"/>
  <c r="I203" i="81" s="1"/>
  <c r="G202" i="81"/>
  <c r="I202" i="81" s="1"/>
  <c r="G201" i="81"/>
  <c r="I201" i="81" s="1"/>
  <c r="G199" i="81"/>
  <c r="I199" i="81" s="1"/>
  <c r="G198" i="81"/>
  <c r="I198" i="81" s="1"/>
  <c r="G197" i="81"/>
  <c r="I197" i="81" s="1"/>
  <c r="G196" i="81"/>
  <c r="I196" i="81" s="1"/>
  <c r="G195" i="81"/>
  <c r="I195" i="81" s="1"/>
  <c r="G194" i="81"/>
  <c r="I194" i="81" s="1"/>
  <c r="G193" i="81"/>
  <c r="I193" i="81" s="1"/>
  <c r="G192" i="81"/>
  <c r="I192" i="81" s="1"/>
  <c r="G191" i="81"/>
  <c r="I191" i="81" s="1"/>
  <c r="G190" i="81"/>
  <c r="I190" i="81" s="1"/>
  <c r="G189" i="81"/>
  <c r="I189" i="81" s="1"/>
  <c r="G188" i="81"/>
  <c r="I188" i="81" s="1"/>
  <c r="G187" i="81"/>
  <c r="I187" i="81" s="1"/>
  <c r="G186" i="81"/>
  <c r="I186" i="81" s="1"/>
  <c r="G185" i="81"/>
  <c r="I185" i="81" s="1"/>
  <c r="G184" i="81"/>
  <c r="I184" i="81" s="1"/>
  <c r="G183" i="81"/>
  <c r="I183" i="81" s="1"/>
  <c r="G182" i="81"/>
  <c r="I182" i="81" s="1"/>
  <c r="G181" i="81"/>
  <c r="I181" i="81" s="1"/>
  <c r="G180" i="81"/>
  <c r="I180" i="81" s="1"/>
  <c r="G179" i="81"/>
  <c r="I179" i="81" s="1"/>
  <c r="G178" i="81"/>
  <c r="I178" i="81" s="1"/>
  <c r="G177" i="81"/>
  <c r="I177" i="81" s="1"/>
  <c r="G176" i="81"/>
  <c r="I176" i="81" s="1"/>
  <c r="G175" i="81"/>
  <c r="I175" i="81" s="1"/>
  <c r="G174" i="81"/>
  <c r="I174" i="81" s="1"/>
  <c r="G173" i="81"/>
  <c r="I173" i="81" s="1"/>
  <c r="G172" i="81"/>
  <c r="I172" i="81" s="1"/>
  <c r="G171" i="81"/>
  <c r="I171" i="81" s="1"/>
  <c r="G170" i="81"/>
  <c r="I170" i="81" s="1"/>
  <c r="G169" i="81"/>
  <c r="I169" i="81" s="1"/>
  <c r="G168" i="81"/>
  <c r="I168" i="81" s="1"/>
  <c r="G167" i="81"/>
  <c r="I167" i="81" s="1"/>
  <c r="G166" i="81"/>
  <c r="I166" i="81" s="1"/>
  <c r="G165" i="81"/>
  <c r="I165" i="81" s="1"/>
  <c r="G164" i="81"/>
  <c r="I164" i="81" s="1"/>
  <c r="G163" i="81"/>
  <c r="I163" i="81" s="1"/>
  <c r="G162" i="81"/>
  <c r="I162" i="81" s="1"/>
  <c r="G160" i="81"/>
  <c r="I160" i="81" s="1"/>
  <c r="G159" i="81"/>
  <c r="I159" i="81" s="1"/>
  <c r="G158" i="81"/>
  <c r="I158" i="81" s="1"/>
  <c r="G157" i="81"/>
  <c r="I157" i="81" s="1"/>
  <c r="G156" i="81"/>
  <c r="I156" i="81" s="1"/>
  <c r="G155" i="81"/>
  <c r="I155" i="81" s="1"/>
  <c r="G154" i="81"/>
  <c r="I154" i="81" s="1"/>
  <c r="G153" i="81"/>
  <c r="I153" i="81" s="1"/>
  <c r="G152" i="81"/>
  <c r="I152" i="81" s="1"/>
  <c r="G151" i="81"/>
  <c r="I151" i="81" s="1"/>
  <c r="G150" i="81"/>
  <c r="I150" i="81" s="1"/>
  <c r="G149" i="81"/>
  <c r="I149" i="81" s="1"/>
  <c r="G148" i="81"/>
  <c r="I148" i="81" s="1"/>
  <c r="G147" i="81"/>
  <c r="I147" i="81" s="1"/>
  <c r="G146" i="81"/>
  <c r="I146" i="81" s="1"/>
  <c r="G145" i="81"/>
  <c r="I145" i="81" s="1"/>
  <c r="G144" i="81"/>
  <c r="I144" i="81" s="1"/>
  <c r="G143" i="81"/>
  <c r="I143" i="81" s="1"/>
  <c r="G142" i="81"/>
  <c r="I142" i="81" s="1"/>
  <c r="G141" i="81"/>
  <c r="I141" i="81" s="1"/>
  <c r="G140" i="81"/>
  <c r="I140" i="81" s="1"/>
  <c r="G138" i="81"/>
  <c r="I138" i="81" s="1"/>
  <c r="G137" i="81"/>
  <c r="I137" i="81" s="1"/>
  <c r="G136" i="81"/>
  <c r="I136" i="81" s="1"/>
  <c r="G135" i="81"/>
  <c r="I135" i="81" s="1"/>
  <c r="G134" i="81"/>
  <c r="I134" i="81" s="1"/>
  <c r="G133" i="81"/>
  <c r="I133" i="81" s="1"/>
  <c r="G132" i="81"/>
  <c r="I132" i="81" s="1"/>
  <c r="G131" i="81"/>
  <c r="I131" i="81" s="1"/>
  <c r="G130" i="81"/>
  <c r="I130" i="81" s="1"/>
  <c r="G129" i="81"/>
  <c r="I129" i="81" s="1"/>
  <c r="G128" i="81"/>
  <c r="I128" i="81" s="1"/>
  <c r="G127" i="81"/>
  <c r="I127" i="81" s="1"/>
  <c r="G126" i="81"/>
  <c r="I126" i="81" s="1"/>
  <c r="G125" i="81"/>
  <c r="I125" i="81" s="1"/>
  <c r="G124" i="81"/>
  <c r="I124" i="81" s="1"/>
  <c r="G122" i="81"/>
  <c r="I122" i="81" s="1"/>
  <c r="G121" i="81"/>
  <c r="I121" i="81" s="1"/>
  <c r="G120" i="81"/>
  <c r="I120" i="81" s="1"/>
  <c r="G119" i="81"/>
  <c r="I119" i="81" s="1"/>
  <c r="G118" i="81"/>
  <c r="I118" i="81" s="1"/>
  <c r="G117" i="81"/>
  <c r="I117" i="81" s="1"/>
  <c r="G116" i="81"/>
  <c r="I116" i="81" s="1"/>
  <c r="G115" i="81"/>
  <c r="I115" i="81" s="1"/>
  <c r="G114" i="81"/>
  <c r="I114" i="81" s="1"/>
  <c r="G113" i="81"/>
  <c r="I113" i="81" s="1"/>
  <c r="G112" i="81"/>
  <c r="I112" i="81" s="1"/>
  <c r="G111" i="81"/>
  <c r="I111" i="81" s="1"/>
  <c r="G110" i="81"/>
  <c r="I110" i="81" s="1"/>
  <c r="G109" i="81"/>
  <c r="I109" i="81" s="1"/>
  <c r="G108" i="81"/>
  <c r="I108" i="81" s="1"/>
  <c r="G107" i="81"/>
  <c r="I107" i="81" s="1"/>
  <c r="G106" i="81"/>
  <c r="I106" i="81" s="1"/>
  <c r="G105" i="81"/>
  <c r="I105" i="81" s="1"/>
  <c r="G104" i="81"/>
  <c r="I104" i="81" s="1"/>
  <c r="G103" i="81"/>
  <c r="I103" i="81" s="1"/>
  <c r="G102" i="81"/>
  <c r="I102" i="81" s="1"/>
  <c r="G101" i="81"/>
  <c r="I101" i="81" s="1"/>
  <c r="G100" i="81"/>
  <c r="I100" i="81" s="1"/>
  <c r="G99" i="81"/>
  <c r="I99" i="81" s="1"/>
  <c r="G98" i="81"/>
  <c r="I98" i="81" s="1"/>
  <c r="G97" i="81"/>
  <c r="I97" i="81" s="1"/>
  <c r="G96" i="81"/>
  <c r="I96" i="81" s="1"/>
  <c r="G95" i="81"/>
  <c r="I95" i="81" s="1"/>
  <c r="G94" i="81"/>
  <c r="I94" i="81" s="1"/>
  <c r="G93" i="81"/>
  <c r="I93" i="81" s="1"/>
  <c r="G92" i="81"/>
  <c r="I92" i="81" s="1"/>
  <c r="G91" i="81"/>
  <c r="I91" i="81" s="1"/>
  <c r="G90" i="81"/>
  <c r="I90" i="81" s="1"/>
  <c r="G89" i="81"/>
  <c r="I89" i="81" s="1"/>
  <c r="G88" i="81"/>
  <c r="I88" i="81" s="1"/>
  <c r="G87" i="81"/>
  <c r="I87" i="81" s="1"/>
  <c r="G86" i="81"/>
  <c r="I86" i="81" s="1"/>
  <c r="G85" i="81"/>
  <c r="I85" i="81" s="1"/>
  <c r="G84" i="81"/>
  <c r="I84" i="81" s="1"/>
  <c r="G82" i="81"/>
  <c r="I82" i="81" s="1"/>
  <c r="G81" i="81"/>
  <c r="I81" i="81" s="1"/>
  <c r="G80" i="81"/>
  <c r="I80" i="81" s="1"/>
  <c r="G79" i="81"/>
  <c r="I79" i="81" s="1"/>
  <c r="G78" i="81"/>
  <c r="I78" i="81" s="1"/>
  <c r="G77" i="81"/>
  <c r="I77" i="81" s="1"/>
  <c r="G76" i="81"/>
  <c r="I76" i="81" s="1"/>
  <c r="G75" i="81"/>
  <c r="I75" i="81" s="1"/>
  <c r="G74" i="81"/>
  <c r="I74" i="81" s="1"/>
  <c r="G73" i="81"/>
  <c r="I73" i="81" s="1"/>
  <c r="G72" i="81"/>
  <c r="I72" i="81" s="1"/>
  <c r="G71" i="81"/>
  <c r="I71" i="81" s="1"/>
  <c r="G70" i="81"/>
  <c r="I70" i="81" s="1"/>
  <c r="G69" i="81"/>
  <c r="I69" i="81" s="1"/>
  <c r="G68" i="81"/>
  <c r="I68" i="81" s="1"/>
  <c r="G67" i="81"/>
  <c r="I67" i="81" s="1"/>
  <c r="G66" i="81"/>
  <c r="I66" i="81" s="1"/>
  <c r="G65" i="81"/>
  <c r="I65" i="81" s="1"/>
  <c r="G63" i="81"/>
  <c r="I63" i="81" s="1"/>
  <c r="G62" i="81"/>
  <c r="I62" i="81" s="1"/>
  <c r="G61" i="81"/>
  <c r="I61" i="81" s="1"/>
  <c r="G60" i="81"/>
  <c r="I60" i="81" s="1"/>
  <c r="G59" i="81"/>
  <c r="I59" i="81" s="1"/>
  <c r="G58" i="81"/>
  <c r="I58" i="81" s="1"/>
  <c r="G57" i="81"/>
  <c r="I57" i="81" s="1"/>
  <c r="G56" i="81"/>
  <c r="I56" i="81" s="1"/>
  <c r="G55" i="81"/>
  <c r="I55" i="81" s="1"/>
  <c r="G54" i="81"/>
  <c r="I54" i="81" s="1"/>
  <c r="G53" i="81"/>
  <c r="I53" i="81" s="1"/>
  <c r="G52" i="81"/>
  <c r="I52" i="81" s="1"/>
  <c r="G51" i="81"/>
  <c r="I51" i="81" s="1"/>
  <c r="G50" i="81"/>
  <c r="I50" i="81" s="1"/>
  <c r="G49" i="81"/>
  <c r="I49" i="81" s="1"/>
  <c r="G48" i="81"/>
  <c r="I48" i="81" s="1"/>
  <c r="G47" i="81"/>
  <c r="I47" i="81" s="1"/>
  <c r="G45" i="81"/>
  <c r="I45" i="81" s="1"/>
  <c r="G44" i="81"/>
  <c r="I44" i="81" s="1"/>
  <c r="G43" i="81"/>
  <c r="I43" i="81" s="1"/>
  <c r="G42" i="81"/>
  <c r="I42" i="81" s="1"/>
  <c r="G41" i="81"/>
  <c r="I41" i="81" s="1"/>
  <c r="G40" i="81"/>
  <c r="I40" i="81" s="1"/>
  <c r="G39" i="81"/>
  <c r="I39" i="81" s="1"/>
  <c r="G38" i="81"/>
  <c r="I38" i="81" s="1"/>
  <c r="G37" i="81"/>
  <c r="I37" i="81" s="1"/>
  <c r="G36" i="81"/>
  <c r="I36" i="81" s="1"/>
  <c r="G35" i="81"/>
  <c r="I35" i="81" s="1"/>
  <c r="G34" i="81"/>
  <c r="I34" i="81" s="1"/>
  <c r="G33" i="81"/>
  <c r="I33" i="81" s="1"/>
  <c r="G32" i="81"/>
  <c r="I32" i="81" s="1"/>
  <c r="G31" i="81"/>
  <c r="I31" i="81" s="1"/>
  <c r="G30" i="81"/>
  <c r="I30" i="81" s="1"/>
  <c r="G29" i="81"/>
  <c r="I29" i="81" s="1"/>
  <c r="G28" i="81"/>
  <c r="I28" i="81" s="1"/>
  <c r="G27" i="81"/>
  <c r="I27" i="81" s="1"/>
  <c r="G26" i="81"/>
  <c r="I26" i="81" s="1"/>
  <c r="G25" i="81"/>
  <c r="I25" i="81" s="1"/>
  <c r="G24" i="81"/>
  <c r="I24" i="81" s="1"/>
  <c r="G23" i="81"/>
  <c r="I23" i="81" s="1"/>
  <c r="G22" i="81"/>
  <c r="I22" i="81" s="1"/>
  <c r="G21" i="81"/>
  <c r="I21" i="81" s="1"/>
  <c r="G20" i="81"/>
  <c r="I20" i="81" s="1"/>
  <c r="G19" i="81"/>
  <c r="I19" i="81" s="1"/>
  <c r="G18" i="81"/>
  <c r="I18" i="81" s="1"/>
  <c r="G17" i="81"/>
  <c r="I17" i="81" s="1"/>
  <c r="G16" i="81"/>
  <c r="I16" i="81" s="1"/>
  <c r="G15" i="81"/>
  <c r="I15" i="81" s="1"/>
  <c r="G14" i="81"/>
  <c r="I14" i="81" s="1"/>
  <c r="G13" i="81"/>
  <c r="I13" i="81" s="1"/>
  <c r="G12" i="81"/>
  <c r="I12" i="81" s="1"/>
  <c r="G11" i="81"/>
  <c r="I11" i="81" s="1"/>
  <c r="G10" i="81"/>
  <c r="I10" i="81" s="1"/>
  <c r="G9" i="81"/>
  <c r="I9" i="81" s="1"/>
  <c r="G8" i="81"/>
  <c r="I8" i="81" s="1"/>
  <c r="G7" i="81"/>
  <c r="I7" i="81" s="1"/>
  <c r="G6" i="81"/>
  <c r="I6" i="81" s="1"/>
  <c r="G5" i="81"/>
  <c r="I5" i="81" s="1"/>
  <c r="G4" i="81"/>
  <c r="I4" i="81" s="1"/>
  <c r="G3" i="81"/>
  <c r="I3" i="81" s="1"/>
  <c r="G2" i="81"/>
  <c r="I2" i="81" s="1"/>
  <c r="R21" i="80"/>
  <c r="G43" i="72" s="1"/>
  <c r="L21" i="80"/>
  <c r="E43" i="79" s="1"/>
  <c r="G43" i="79"/>
  <c r="J62" i="80"/>
  <c r="H62" i="80"/>
  <c r="D49" i="80"/>
  <c r="A24" i="80"/>
  <c r="A25" i="80" s="1"/>
  <c r="A26" i="80" s="1"/>
  <c r="A27" i="80" s="1"/>
  <c r="A28" i="80" s="1"/>
  <c r="A29" i="80" s="1"/>
  <c r="A30" i="80" s="1"/>
  <c r="A31" i="80" s="1"/>
  <c r="A32" i="80" s="1"/>
  <c r="A33" i="80" s="1"/>
  <c r="A34" i="80" s="1"/>
  <c r="A35" i="80" s="1"/>
  <c r="A36" i="80" s="1"/>
  <c r="A37" i="80" s="1"/>
  <c r="A38" i="80" s="1"/>
  <c r="A39" i="80" s="1"/>
  <c r="A40" i="80" s="1"/>
  <c r="A41" i="80" s="1"/>
  <c r="A42" i="80" s="1"/>
  <c r="A43" i="80" s="1"/>
  <c r="A44" i="80" s="1"/>
  <c r="A45" i="80" s="1"/>
  <c r="A46" i="80" s="1"/>
  <c r="A47" i="80" s="1"/>
  <c r="A48" i="80" s="1"/>
  <c r="A49" i="80" s="1"/>
  <c r="A50" i="80" s="1"/>
  <c r="A51" i="80" s="1"/>
  <c r="A52" i="80" s="1"/>
  <c r="A53" i="80" s="1"/>
  <c r="A54" i="80" s="1"/>
  <c r="A55" i="80" s="1"/>
  <c r="A56" i="80" s="1"/>
  <c r="A57" i="80" s="1"/>
  <c r="A58" i="80" s="1"/>
  <c r="A23" i="80"/>
  <c r="M5" i="79"/>
  <c r="L5" i="79"/>
  <c r="K5" i="79"/>
  <c r="J5" i="79"/>
  <c r="G5" i="79"/>
  <c r="E5" i="79"/>
  <c r="D5" i="79"/>
  <c r="C5" i="79"/>
  <c r="B5" i="79"/>
  <c r="A5" i="79"/>
  <c r="M4" i="79"/>
  <c r="L4" i="79"/>
  <c r="K4" i="79"/>
  <c r="J4" i="79"/>
  <c r="G4" i="79"/>
  <c r="E4" i="79"/>
  <c r="D4" i="79"/>
  <c r="C4" i="79"/>
  <c r="B4" i="79"/>
  <c r="M3" i="79"/>
  <c r="L3" i="79"/>
  <c r="K3" i="79"/>
  <c r="J3" i="79"/>
  <c r="G3" i="79"/>
  <c r="E3" i="79"/>
  <c r="D3" i="79"/>
  <c r="C3" i="79"/>
  <c r="B3" i="79"/>
  <c r="B27" i="66" l="1"/>
  <c r="D27" i="66" s="1"/>
  <c r="L27" i="66"/>
  <c r="N26" i="66"/>
  <c r="E43" i="72"/>
  <c r="C12" i="71" s="1"/>
  <c r="E12" i="71" s="1"/>
  <c r="I1327" i="81"/>
  <c r="J1327" i="81" s="1"/>
  <c r="P5" i="40" s="1"/>
  <c r="I1293" i="81"/>
  <c r="J1293" i="81" s="1"/>
  <c r="P5" i="39" s="1"/>
  <c r="I1263" i="81"/>
  <c r="J1263" i="81" s="1"/>
  <c r="P5" i="17" s="1"/>
  <c r="I1114" i="81"/>
  <c r="I1124" i="81" s="1"/>
  <c r="J1124" i="81" s="1"/>
  <c r="P5" i="70" s="1"/>
  <c r="J904" i="81"/>
  <c r="P5" i="80" s="1"/>
  <c r="I618" i="81"/>
  <c r="J618" i="81" s="1"/>
  <c r="P5" i="47" s="1"/>
  <c r="I943" i="81"/>
  <c r="J943" i="81" s="1"/>
  <c r="P5" i="66" s="1"/>
  <c r="I902" i="81"/>
  <c r="J902" i="81" s="1"/>
  <c r="P5" i="59" s="1"/>
  <c r="I765" i="81"/>
  <c r="J765" i="81" s="1"/>
  <c r="P5" i="55" s="1"/>
  <c r="I624" i="81"/>
  <c r="J624" i="81" s="1"/>
  <c r="P5" i="42" s="1"/>
  <c r="I64" i="81"/>
  <c r="J64" i="81" s="1"/>
  <c r="P5" i="29" s="1"/>
  <c r="I614" i="81"/>
  <c r="J614" i="81" s="1"/>
  <c r="P5" i="46" s="1"/>
  <c r="I590" i="81"/>
  <c r="J590" i="81" s="1"/>
  <c r="P5" i="44" s="1"/>
  <c r="I678" i="81"/>
  <c r="J678" i="81" s="1"/>
  <c r="P5" i="45" s="1"/>
  <c r="I700" i="81"/>
  <c r="J700" i="81" s="1"/>
  <c r="P5" i="49" s="1"/>
  <c r="I1086" i="81"/>
  <c r="J1086" i="81" s="1"/>
  <c r="P5" i="69" s="1"/>
  <c r="I1197" i="81"/>
  <c r="J1197" i="81" s="1"/>
  <c r="P5" i="63" s="1"/>
  <c r="I83" i="81"/>
  <c r="J83" i="81" s="1"/>
  <c r="P5" i="30" s="1"/>
  <c r="I161" i="81"/>
  <c r="J161" i="81" s="1"/>
  <c r="P5" i="12" s="1"/>
  <c r="I353" i="81"/>
  <c r="J353" i="81" s="1"/>
  <c r="P5" i="50" s="1"/>
  <c r="I568" i="81"/>
  <c r="J568" i="81" s="1"/>
  <c r="P5" i="16" s="1"/>
  <c r="I256" i="81"/>
  <c r="J256" i="81" s="1"/>
  <c r="P5" i="34" s="1"/>
  <c r="I123" i="81"/>
  <c r="J123" i="81" s="1"/>
  <c r="P5" i="9" s="1"/>
  <c r="I530" i="81"/>
  <c r="J530" i="81" s="1"/>
  <c r="P5" i="15" s="1"/>
  <c r="I838" i="81"/>
  <c r="J838" i="81" s="1"/>
  <c r="P5" i="56" s="1"/>
  <c r="I695" i="81"/>
  <c r="J695" i="81" s="1"/>
  <c r="P5" i="48" s="1"/>
  <c r="I1165" i="81"/>
  <c r="J1165" i="81" s="1"/>
  <c r="P5" i="20" s="1"/>
  <c r="I657" i="81"/>
  <c r="J657" i="81" s="1"/>
  <c r="P5" i="43" s="1"/>
  <c r="I1018" i="81"/>
  <c r="J1018" i="81" s="1"/>
  <c r="P5" i="67" s="1"/>
  <c r="I1178" i="81"/>
  <c r="J1178" i="81" s="1"/>
  <c r="P5" i="62" s="1"/>
  <c r="I139" i="81"/>
  <c r="J139" i="81" s="1"/>
  <c r="P5" i="11" s="1"/>
  <c r="I1255" i="81"/>
  <c r="J1255" i="81" s="1"/>
  <c r="P5" i="65" s="1"/>
  <c r="I298" i="81"/>
  <c r="J298" i="81" s="1"/>
  <c r="P5" i="38" s="1"/>
  <c r="I426" i="81"/>
  <c r="J426" i="81" s="1"/>
  <c r="P5" i="52" s="1"/>
  <c r="I392" i="81"/>
  <c r="J392" i="81" s="1"/>
  <c r="P5" i="51" s="1"/>
  <c r="I517" i="81"/>
  <c r="J517" i="81" s="1"/>
  <c r="P5" i="54" s="1"/>
  <c r="I854" i="81"/>
  <c r="J854" i="81" s="1"/>
  <c r="P5" i="57" s="1"/>
  <c r="I1229" i="81"/>
  <c r="J1229" i="81" s="1"/>
  <c r="P5" i="64" s="1"/>
  <c r="I200" i="81"/>
  <c r="J200" i="81" s="1"/>
  <c r="P5" i="32" s="1"/>
  <c r="I227" i="81"/>
  <c r="J227" i="81" s="1"/>
  <c r="P5" i="33" s="1"/>
  <c r="I879" i="81"/>
  <c r="J879" i="81" s="1"/>
  <c r="P5" i="58" s="1"/>
  <c r="I1043" i="81"/>
  <c r="J1043" i="81" s="1"/>
  <c r="P5" i="68" s="1"/>
  <c r="I464" i="81"/>
  <c r="J464" i="81" s="1"/>
  <c r="P5" i="53" s="1"/>
  <c r="I46" i="81"/>
  <c r="J46" i="81" s="1"/>
  <c r="P5" i="28" s="1"/>
  <c r="B22" i="80"/>
  <c r="D22" i="80" s="1"/>
  <c r="L22" i="80"/>
  <c r="P8" i="80"/>
  <c r="B28" i="66" l="1"/>
  <c r="D28" i="66" s="1"/>
  <c r="N27" i="66"/>
  <c r="N22" i="80"/>
  <c r="B23" i="80"/>
  <c r="L28" i="66" l="1"/>
  <c r="D23" i="80"/>
  <c r="L23" i="80"/>
  <c r="B29" i="66" l="1"/>
  <c r="D29" i="66" s="1"/>
  <c r="L29" i="66"/>
  <c r="N28" i="66"/>
  <c r="B24" i="80"/>
  <c r="L24" i="80" s="1"/>
  <c r="N23" i="80"/>
  <c r="B30" i="66" l="1"/>
  <c r="D30" i="66" s="1"/>
  <c r="N29" i="66"/>
  <c r="B25" i="80"/>
  <c r="D25" i="80" s="1"/>
  <c r="D24" i="80"/>
  <c r="N24" i="80"/>
  <c r="L30" i="66" l="1"/>
  <c r="L25" i="80"/>
  <c r="N25" i="80" s="1"/>
  <c r="B31" i="66" l="1"/>
  <c r="D31" i="66" s="1"/>
  <c r="L31" i="66"/>
  <c r="N30" i="66"/>
  <c r="B26" i="80"/>
  <c r="L26" i="80" s="1"/>
  <c r="B27" i="80" s="1"/>
  <c r="D27" i="80" s="1"/>
  <c r="B32" i="66" l="1"/>
  <c r="D32" i="66" s="1"/>
  <c r="N31" i="66"/>
  <c r="D26" i="80"/>
  <c r="N26" i="80"/>
  <c r="L27" i="80"/>
  <c r="L32" i="66" l="1"/>
  <c r="B28" i="80"/>
  <c r="D28" i="80" s="1"/>
  <c r="N27" i="80"/>
  <c r="B33" i="66" l="1"/>
  <c r="D33" i="66" s="1"/>
  <c r="L33" i="66"/>
  <c r="N32" i="66"/>
  <c r="L28" i="80"/>
  <c r="B29" i="80" s="1"/>
  <c r="D29" i="80" s="1"/>
  <c r="L34" i="66" l="1"/>
  <c r="B34" i="66"/>
  <c r="D34" i="66" s="1"/>
  <c r="N33" i="66"/>
  <c r="N28" i="80"/>
  <c r="L29" i="80"/>
  <c r="B35" i="66" l="1"/>
  <c r="D35" i="66" s="1"/>
  <c r="N34" i="66"/>
  <c r="B30" i="80"/>
  <c r="D30" i="80" s="1"/>
  <c r="N29" i="80"/>
  <c r="L35" i="66" l="1"/>
  <c r="L30" i="80"/>
  <c r="N30" i="80" s="1"/>
  <c r="B36" i="66" l="1"/>
  <c r="D36" i="66" s="1"/>
  <c r="N35" i="66"/>
  <c r="B31" i="80"/>
  <c r="D31" i="80" s="1"/>
  <c r="L31" i="80"/>
  <c r="B32" i="80"/>
  <c r="D32" i="80" s="1"/>
  <c r="N31" i="80"/>
  <c r="L36" i="66" l="1"/>
  <c r="L32" i="80"/>
  <c r="B37" i="66" l="1"/>
  <c r="D37" i="66" s="1"/>
  <c r="L37" i="66"/>
  <c r="N36" i="66"/>
  <c r="B33" i="80"/>
  <c r="D33" i="80" s="1"/>
  <c r="N32" i="80"/>
  <c r="B38" i="66" l="1"/>
  <c r="D38" i="66" s="1"/>
  <c r="N37" i="66"/>
  <c r="L33" i="80"/>
  <c r="B34" i="80"/>
  <c r="D34" i="80" s="1"/>
  <c r="N33" i="80"/>
  <c r="L38" i="66" l="1"/>
  <c r="L34" i="80"/>
  <c r="B39" i="66" l="1"/>
  <c r="D39" i="66" s="1"/>
  <c r="L39" i="66"/>
  <c r="N38" i="66"/>
  <c r="B35" i="80"/>
  <c r="D35" i="80" s="1"/>
  <c r="N34" i="80"/>
  <c r="B40" i="66" l="1"/>
  <c r="D40" i="66" s="1"/>
  <c r="N39" i="66"/>
  <c r="L35" i="80"/>
  <c r="N35" i="80" s="1"/>
  <c r="B36" i="80"/>
  <c r="D36" i="80" s="1"/>
  <c r="L40" i="66" l="1"/>
  <c r="L36" i="80"/>
  <c r="B41" i="66" l="1"/>
  <c r="D41" i="66" s="1"/>
  <c r="L41" i="66"/>
  <c r="N40" i="66"/>
  <c r="B37" i="80"/>
  <c r="D37" i="80" s="1"/>
  <c r="N36" i="80"/>
  <c r="B42" i="66" l="1"/>
  <c r="D42" i="66" s="1"/>
  <c r="N41" i="66"/>
  <c r="L37" i="80"/>
  <c r="N37" i="80" s="1"/>
  <c r="L42" i="66" l="1"/>
  <c r="B38" i="80"/>
  <c r="D38" i="80" s="1"/>
  <c r="L38" i="80"/>
  <c r="B43" i="66" l="1"/>
  <c r="D43" i="66" s="1"/>
  <c r="L43" i="66"/>
  <c r="N42" i="66"/>
  <c r="B39" i="80"/>
  <c r="D39" i="80" s="1"/>
  <c r="L39" i="80"/>
  <c r="N38" i="80"/>
  <c r="B44" i="66" l="1"/>
  <c r="D44" i="66" s="1"/>
  <c r="N43" i="66"/>
  <c r="B40" i="80"/>
  <c r="D40" i="80" s="1"/>
  <c r="N39" i="80"/>
  <c r="L44" i="66" l="1"/>
  <c r="L40" i="80"/>
  <c r="B45" i="66" l="1"/>
  <c r="D45" i="66" s="1"/>
  <c r="L45" i="66"/>
  <c r="N44" i="66"/>
  <c r="B41" i="80"/>
  <c r="D41" i="80" s="1"/>
  <c r="N40" i="80"/>
  <c r="B46" i="66" l="1"/>
  <c r="D46" i="66" s="1"/>
  <c r="N45" i="66"/>
  <c r="L41" i="80"/>
  <c r="L46" i="66" l="1"/>
  <c r="B42" i="80"/>
  <c r="D42" i="80" s="1"/>
  <c r="N41" i="80"/>
  <c r="B47" i="66" l="1"/>
  <c r="D47" i="66" s="1"/>
  <c r="L47" i="66"/>
  <c r="N47" i="66" s="1"/>
  <c r="N46" i="66"/>
  <c r="L42" i="80"/>
  <c r="B48" i="66" l="1"/>
  <c r="D48" i="66" s="1"/>
  <c r="B43" i="80"/>
  <c r="D43" i="80" s="1"/>
  <c r="N42" i="80"/>
  <c r="L48" i="66" l="1"/>
  <c r="L43" i="80"/>
  <c r="B44" i="80"/>
  <c r="D44" i="80" s="1"/>
  <c r="N43" i="80"/>
  <c r="B49" i="66" l="1"/>
  <c r="D49" i="66" s="1"/>
  <c r="L49" i="66"/>
  <c r="N49" i="66" s="1"/>
  <c r="N48" i="66"/>
  <c r="L44" i="80"/>
  <c r="B50" i="66" l="1"/>
  <c r="D50" i="66" s="1"/>
  <c r="B45" i="80"/>
  <c r="D45" i="80" s="1"/>
  <c r="N44" i="80"/>
  <c r="L50" i="66" l="1"/>
  <c r="L45" i="80"/>
  <c r="B51" i="66" l="1"/>
  <c r="D51" i="66" s="1"/>
  <c r="L51" i="66"/>
  <c r="N50" i="66"/>
  <c r="B46" i="80"/>
  <c r="D46" i="80" s="1"/>
  <c r="N45" i="80"/>
  <c r="B52" i="66" l="1"/>
  <c r="D52" i="66" s="1"/>
  <c r="N51" i="66"/>
  <c r="L46" i="80"/>
  <c r="B47" i="80" s="1"/>
  <c r="D47" i="80" s="1"/>
  <c r="L52" i="66" l="1"/>
  <c r="N46" i="80"/>
  <c r="L47" i="80"/>
  <c r="B53" i="66" l="1"/>
  <c r="D53" i="66" s="1"/>
  <c r="L53" i="66"/>
  <c r="N52" i="66"/>
  <c r="B48" i="80"/>
  <c r="N47" i="80"/>
  <c r="B54" i="66" l="1"/>
  <c r="D54" i="66" s="1"/>
  <c r="N53" i="66"/>
  <c r="D48" i="80"/>
  <c r="D62" i="80" s="1"/>
  <c r="B62" i="80"/>
  <c r="L48" i="80"/>
  <c r="L54" i="66" l="1"/>
  <c r="L49" i="80"/>
  <c r="N48" i="80"/>
  <c r="L55" i="66" l="1"/>
  <c r="N55" i="66"/>
  <c r="N54" i="66"/>
  <c r="F51" i="80"/>
  <c r="F62" i="80" s="1"/>
  <c r="P4" i="80" s="1"/>
  <c r="L50" i="80"/>
  <c r="N51" i="80" s="1"/>
  <c r="N49" i="80"/>
  <c r="L56" i="66" l="1"/>
  <c r="F57" i="66"/>
  <c r="N56" i="66"/>
  <c r="L51" i="80"/>
  <c r="N50" i="80"/>
  <c r="N57" i="66" l="1"/>
  <c r="L57" i="66"/>
  <c r="N62" i="80"/>
  <c r="P6" i="80" l="1"/>
  <c r="P12" i="80"/>
  <c r="P22" i="80" l="1"/>
  <c r="P23" i="80"/>
  <c r="P25" i="80"/>
  <c r="P24" i="80"/>
  <c r="P26" i="80"/>
  <c r="P27" i="80"/>
  <c r="P28" i="80"/>
  <c r="P30" i="80"/>
  <c r="P29" i="80"/>
  <c r="P31" i="80"/>
  <c r="P32" i="80"/>
  <c r="P33" i="80"/>
  <c r="P35" i="80"/>
  <c r="P34" i="80"/>
  <c r="P36" i="80"/>
  <c r="P37" i="80"/>
  <c r="P38" i="80"/>
  <c r="P39" i="80"/>
  <c r="P40" i="80"/>
  <c r="P41" i="80"/>
  <c r="P42" i="80"/>
  <c r="P43" i="80"/>
  <c r="P44" i="80"/>
  <c r="P45" i="80"/>
  <c r="P46" i="80"/>
  <c r="P47" i="80"/>
  <c r="P48" i="80"/>
  <c r="P49" i="80"/>
  <c r="P51" i="80"/>
  <c r="P50" i="80"/>
  <c r="F12" i="71" l="1"/>
  <c r="G12" i="71" s="1"/>
  <c r="H12" i="71" s="1"/>
  <c r="K43" i="72"/>
  <c r="P62" i="80"/>
  <c r="R22" i="80"/>
  <c r="R23" i="80" s="1"/>
  <c r="R24" i="80" s="1"/>
  <c r="R25" i="80" s="1"/>
  <c r="R26" i="80" s="1"/>
  <c r="R27" i="80" s="1"/>
  <c r="R28" i="80" s="1"/>
  <c r="R29" i="80" s="1"/>
  <c r="R30" i="80" s="1"/>
  <c r="R31" i="80" s="1"/>
  <c r="R32" i="80" s="1"/>
  <c r="R33" i="80" s="1"/>
  <c r="R34" i="80" s="1"/>
  <c r="R35" i="80" s="1"/>
  <c r="R36" i="80" s="1"/>
  <c r="R37" i="80" s="1"/>
  <c r="R38" i="80" s="1"/>
  <c r="R39" i="80" s="1"/>
  <c r="R40" i="80" s="1"/>
  <c r="R41" i="80" s="1"/>
  <c r="R42" i="80" s="1"/>
  <c r="R43" i="80" s="1"/>
  <c r="R44" i="80" s="1"/>
  <c r="R45" i="80" s="1"/>
  <c r="R46" i="80" s="1"/>
  <c r="R47" i="80" s="1"/>
  <c r="R48" i="80" s="1"/>
  <c r="R49" i="80" s="1"/>
  <c r="R50" i="80" s="1"/>
  <c r="R51" i="80" s="1"/>
  <c r="R21" i="70" l="1"/>
  <c r="L21" i="70"/>
  <c r="R21" i="69"/>
  <c r="L21" i="69"/>
  <c r="R21" i="68"/>
  <c r="L21" i="68"/>
  <c r="R21" i="67"/>
  <c r="L21" i="67"/>
  <c r="R21" i="66"/>
  <c r="L21" i="66"/>
  <c r="J61" i="70"/>
  <c r="H61" i="70"/>
  <c r="A23" i="70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P8" i="70"/>
  <c r="J61" i="69"/>
  <c r="H61" i="69"/>
  <c r="A23" i="69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J61" i="68"/>
  <c r="H61" i="68"/>
  <c r="A23" i="68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J61" i="67"/>
  <c r="H61" i="67"/>
  <c r="A23" i="67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P10" i="67"/>
  <c r="J62" i="66"/>
  <c r="H62" i="66"/>
  <c r="A23" i="66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P10" i="66"/>
  <c r="R21" i="65"/>
  <c r="L21" i="65"/>
  <c r="J29" i="65"/>
  <c r="H29" i="65"/>
  <c r="A24" i="65"/>
  <c r="A25" i="65" s="1"/>
  <c r="A23" i="65"/>
  <c r="R21" i="64"/>
  <c r="L21" i="64"/>
  <c r="J29" i="64"/>
  <c r="H29" i="64"/>
  <c r="A23" i="64"/>
  <c r="A24" i="64" s="1"/>
  <c r="A25" i="64" s="1"/>
  <c r="R21" i="63"/>
  <c r="L21" i="63"/>
  <c r="J29" i="63"/>
  <c r="H29" i="63"/>
  <c r="A23" i="63"/>
  <c r="A24" i="63" s="1"/>
  <c r="A25" i="63" s="1"/>
  <c r="R21" i="62"/>
  <c r="L21" i="62"/>
  <c r="J29" i="62"/>
  <c r="H29" i="62"/>
  <c r="A23" i="62"/>
  <c r="A24" i="62" s="1"/>
  <c r="A25" i="62" s="1"/>
  <c r="R21" i="20"/>
  <c r="L21" i="20"/>
  <c r="R21" i="59"/>
  <c r="L21" i="59"/>
  <c r="R21" i="58"/>
  <c r="L21" i="58"/>
  <c r="R21" i="57"/>
  <c r="L21" i="57"/>
  <c r="R21" i="56"/>
  <c r="L21" i="56"/>
  <c r="R21" i="55"/>
  <c r="L21" i="55"/>
  <c r="R21" i="49"/>
  <c r="L21" i="49"/>
  <c r="R21" i="48"/>
  <c r="L21" i="48"/>
  <c r="R21" i="45"/>
  <c r="L21" i="45"/>
  <c r="R21" i="43"/>
  <c r="L21" i="43"/>
  <c r="R21" i="42"/>
  <c r="L21" i="42"/>
  <c r="R21" i="47"/>
  <c r="L21" i="47"/>
  <c r="B22" i="67" l="1"/>
  <c r="D22" i="67" s="1"/>
  <c r="L22" i="67"/>
  <c r="B22" i="70"/>
  <c r="D22" i="70" s="1"/>
  <c r="L22" i="70"/>
  <c r="N22" i="70" s="1"/>
  <c r="G61" i="72"/>
  <c r="G61" i="79"/>
  <c r="G78" i="79"/>
  <c r="G62" i="72"/>
  <c r="G62" i="79"/>
  <c r="G67" i="72"/>
  <c r="G67" i="79"/>
  <c r="G56" i="79"/>
  <c r="G56" i="72"/>
  <c r="G63" i="72"/>
  <c r="G63" i="79"/>
  <c r="G55" i="72"/>
  <c r="G55" i="79"/>
  <c r="G75" i="79"/>
  <c r="G69" i="79"/>
  <c r="G69" i="72"/>
  <c r="G59" i="72"/>
  <c r="G59" i="79"/>
  <c r="G70" i="79"/>
  <c r="G70" i="72"/>
  <c r="G54" i="79"/>
  <c r="G54" i="72"/>
  <c r="G68" i="79"/>
  <c r="G68" i="72"/>
  <c r="G51" i="72"/>
  <c r="G51" i="79"/>
  <c r="G53" i="79"/>
  <c r="G53" i="72"/>
  <c r="G60" i="72"/>
  <c r="G60" i="79"/>
  <c r="G79" i="79"/>
  <c r="G76" i="79"/>
  <c r="G57" i="79"/>
  <c r="G57" i="72"/>
  <c r="G77" i="79"/>
  <c r="G71" i="79"/>
  <c r="G71" i="72"/>
  <c r="E63" i="72"/>
  <c r="E63" i="79"/>
  <c r="E57" i="79"/>
  <c r="E57" i="72"/>
  <c r="E75" i="79"/>
  <c r="E67" i="79"/>
  <c r="E67" i="72"/>
  <c r="E77" i="79"/>
  <c r="E60" i="79"/>
  <c r="E60" i="72"/>
  <c r="E69" i="79"/>
  <c r="E69" i="72"/>
  <c r="E61" i="79"/>
  <c r="E61" i="72"/>
  <c r="P8" i="69"/>
  <c r="E70" i="79"/>
  <c r="E70" i="72"/>
  <c r="E56" i="72"/>
  <c r="E56" i="79"/>
  <c r="E51" i="72"/>
  <c r="E51" i="79"/>
  <c r="E53" i="79"/>
  <c r="E53" i="72"/>
  <c r="E76" i="79"/>
  <c r="E55" i="79"/>
  <c r="E55" i="72"/>
  <c r="E71" i="79"/>
  <c r="E71" i="72"/>
  <c r="E78" i="79"/>
  <c r="E59" i="79"/>
  <c r="E59" i="72"/>
  <c r="E68" i="79"/>
  <c r="E68" i="72"/>
  <c r="P8" i="64"/>
  <c r="B22" i="64"/>
  <c r="L22" i="64" s="1"/>
  <c r="E54" i="79"/>
  <c r="E54" i="72"/>
  <c r="E79" i="79"/>
  <c r="E62" i="79"/>
  <c r="E62" i="72"/>
  <c r="P8" i="62"/>
  <c r="P8" i="63"/>
  <c r="B22" i="65"/>
  <c r="L22" i="65" s="1"/>
  <c r="P8" i="66"/>
  <c r="B22" i="66"/>
  <c r="D22" i="66" s="1"/>
  <c r="P8" i="67"/>
  <c r="B22" i="68"/>
  <c r="L22" i="68" s="1"/>
  <c r="P8" i="68"/>
  <c r="B22" i="69"/>
  <c r="P8" i="65"/>
  <c r="B22" i="63"/>
  <c r="L22" i="63" s="1"/>
  <c r="B22" i="62"/>
  <c r="R21" i="46"/>
  <c r="L21" i="46"/>
  <c r="R21" i="44"/>
  <c r="L21" i="44"/>
  <c r="R21" i="16"/>
  <c r="L21" i="16"/>
  <c r="R21" i="17"/>
  <c r="L21" i="17"/>
  <c r="R21" i="15"/>
  <c r="L21" i="15"/>
  <c r="R21" i="54"/>
  <c r="L21" i="54"/>
  <c r="L21" i="53"/>
  <c r="R21" i="53"/>
  <c r="R21" i="52"/>
  <c r="L21" i="52"/>
  <c r="R21" i="51"/>
  <c r="L21" i="51"/>
  <c r="R21" i="50"/>
  <c r="L21" i="50"/>
  <c r="R21" i="40"/>
  <c r="L21" i="40"/>
  <c r="R21" i="39"/>
  <c r="L21" i="39"/>
  <c r="R21" i="38"/>
  <c r="L21" i="38"/>
  <c r="R21" i="34"/>
  <c r="L21" i="34"/>
  <c r="R21" i="33"/>
  <c r="L21" i="33"/>
  <c r="R21" i="32"/>
  <c r="L21" i="32"/>
  <c r="R21" i="12"/>
  <c r="L21" i="12"/>
  <c r="N22" i="67" l="1"/>
  <c r="B23" i="67"/>
  <c r="D23" i="67" s="1"/>
  <c r="B23" i="68"/>
  <c r="D23" i="68" s="1"/>
  <c r="L23" i="68"/>
  <c r="N23" i="68"/>
  <c r="B23" i="70"/>
  <c r="D23" i="70" s="1"/>
  <c r="L23" i="70"/>
  <c r="N23" i="70"/>
  <c r="D22" i="64"/>
  <c r="G24" i="72"/>
  <c r="G25" i="79"/>
  <c r="G33" i="72"/>
  <c r="G34" i="79"/>
  <c r="G27" i="79"/>
  <c r="G26" i="72"/>
  <c r="G72" i="72"/>
  <c r="G20" i="72"/>
  <c r="G21" i="79"/>
  <c r="G29" i="79"/>
  <c r="G28" i="72"/>
  <c r="G47" i="72"/>
  <c r="G47" i="79"/>
  <c r="G49" i="72"/>
  <c r="G49" i="79"/>
  <c r="G50" i="79"/>
  <c r="G50" i="72"/>
  <c r="G34" i="72"/>
  <c r="G35" i="79"/>
  <c r="G23" i="79"/>
  <c r="G22" i="72"/>
  <c r="G31" i="79"/>
  <c r="G30" i="72"/>
  <c r="G39" i="72"/>
  <c r="G39" i="79"/>
  <c r="G80" i="72"/>
  <c r="G32" i="72"/>
  <c r="G33" i="79"/>
  <c r="G72" i="79"/>
  <c r="G28" i="79"/>
  <c r="G27" i="72"/>
  <c r="G80" i="79"/>
  <c r="G23" i="72"/>
  <c r="G24" i="79"/>
  <c r="G31" i="72"/>
  <c r="G32" i="79"/>
  <c r="E23" i="72"/>
  <c r="E24" i="79"/>
  <c r="E31" i="72"/>
  <c r="E32" i="79"/>
  <c r="E24" i="72"/>
  <c r="E25" i="79"/>
  <c r="E80" i="72"/>
  <c r="C16" i="71" s="1"/>
  <c r="E16" i="71" s="1"/>
  <c r="E34" i="79"/>
  <c r="E33" i="72"/>
  <c r="E23" i="79"/>
  <c r="E22" i="72"/>
  <c r="E32" i="72"/>
  <c r="E33" i="79"/>
  <c r="E27" i="79"/>
  <c r="E26" i="72"/>
  <c r="E31" i="79"/>
  <c r="E30" i="72"/>
  <c r="E49" i="79"/>
  <c r="E49" i="72"/>
  <c r="E80" i="79"/>
  <c r="E35" i="79"/>
  <c r="E34" i="72"/>
  <c r="E39" i="79"/>
  <c r="E39" i="72"/>
  <c r="C11" i="71" s="1"/>
  <c r="E11" i="71" s="1"/>
  <c r="E72" i="79"/>
  <c r="E50" i="72"/>
  <c r="E50" i="79"/>
  <c r="E27" i="72"/>
  <c r="E28" i="79"/>
  <c r="E21" i="79"/>
  <c r="E20" i="72"/>
  <c r="E28" i="72"/>
  <c r="E29" i="79"/>
  <c r="E47" i="79"/>
  <c r="E47" i="72"/>
  <c r="D22" i="65"/>
  <c r="G48" i="79"/>
  <c r="G48" i="72"/>
  <c r="E48" i="72"/>
  <c r="E48" i="79"/>
  <c r="N22" i="65"/>
  <c r="L22" i="66"/>
  <c r="N22" i="68"/>
  <c r="D22" i="69"/>
  <c r="L22" i="69"/>
  <c r="D22" i="68"/>
  <c r="B23" i="64"/>
  <c r="L23" i="64"/>
  <c r="N22" i="64"/>
  <c r="B23" i="63"/>
  <c r="D23" i="63" s="1"/>
  <c r="N22" i="63"/>
  <c r="D22" i="63"/>
  <c r="D22" i="62"/>
  <c r="L22" i="62"/>
  <c r="R21" i="11"/>
  <c r="L21" i="11"/>
  <c r="R21" i="9"/>
  <c r="L21" i="9"/>
  <c r="R21" i="30"/>
  <c r="L21" i="30"/>
  <c r="R21" i="29"/>
  <c r="L21" i="29"/>
  <c r="R21" i="28"/>
  <c r="L21" i="28"/>
  <c r="L23" i="67" l="1"/>
  <c r="B24" i="68"/>
  <c r="D24" i="68" s="1"/>
  <c r="B24" i="70"/>
  <c r="D24" i="70" s="1"/>
  <c r="L24" i="70"/>
  <c r="N24" i="70"/>
  <c r="E64" i="79"/>
  <c r="G16" i="79"/>
  <c r="G15" i="72"/>
  <c r="G15" i="79"/>
  <c r="G14" i="72"/>
  <c r="G17" i="79"/>
  <c r="G16" i="72"/>
  <c r="G19" i="72"/>
  <c r="G20" i="79"/>
  <c r="G64" i="72"/>
  <c r="G18" i="72"/>
  <c r="G19" i="79"/>
  <c r="G64" i="79"/>
  <c r="E15" i="79"/>
  <c r="E14" i="72"/>
  <c r="E17" i="79"/>
  <c r="E16" i="72"/>
  <c r="E16" i="79"/>
  <c r="E15" i="72"/>
  <c r="E19" i="79"/>
  <c r="E18" i="72"/>
  <c r="E20" i="79"/>
  <c r="E19" i="72"/>
  <c r="E64" i="72"/>
  <c r="C13" i="71" s="1"/>
  <c r="N22" i="66"/>
  <c r="B23" i="69"/>
  <c r="N22" i="69"/>
  <c r="D24" i="64"/>
  <c r="L24" i="64"/>
  <c r="N23" i="64"/>
  <c r="D23" i="64"/>
  <c r="L23" i="63"/>
  <c r="L23" i="62"/>
  <c r="N22" i="62"/>
  <c r="J62" i="59"/>
  <c r="H62" i="59"/>
  <c r="D51" i="59"/>
  <c r="D50" i="59"/>
  <c r="D49" i="59"/>
  <c r="A34" i="59"/>
  <c r="A35" i="59" s="1"/>
  <c r="A36" i="59" s="1"/>
  <c r="A37" i="59" s="1"/>
  <c r="A38" i="59" s="1"/>
  <c r="A39" i="59" s="1"/>
  <c r="A40" i="59" s="1"/>
  <c r="A41" i="59" s="1"/>
  <c r="A42" i="59" s="1"/>
  <c r="A43" i="59" s="1"/>
  <c r="A44" i="59" s="1"/>
  <c r="A45" i="59" s="1"/>
  <c r="A46" i="59" s="1"/>
  <c r="A47" i="59" s="1"/>
  <c r="A48" i="59" s="1"/>
  <c r="A49" i="59" s="1"/>
  <c r="A50" i="59" s="1"/>
  <c r="A51" i="59" s="1"/>
  <c r="A52" i="59" s="1"/>
  <c r="A53" i="59" s="1"/>
  <c r="A54" i="59" s="1"/>
  <c r="A55" i="59" s="1"/>
  <c r="A56" i="59" s="1"/>
  <c r="A57" i="59" s="1"/>
  <c r="A58" i="59" s="1"/>
  <c r="A26" i="59"/>
  <c r="A27" i="59" s="1"/>
  <c r="A28" i="59" s="1"/>
  <c r="A29" i="59" s="1"/>
  <c r="A30" i="59" s="1"/>
  <c r="A31" i="59" s="1"/>
  <c r="A32" i="59" s="1"/>
  <c r="A33" i="59" s="1"/>
  <c r="A23" i="59"/>
  <c r="A24" i="59" s="1"/>
  <c r="A25" i="59" s="1"/>
  <c r="J62" i="58"/>
  <c r="H62" i="58"/>
  <c r="D51" i="58"/>
  <c r="D50" i="58"/>
  <c r="D49" i="58"/>
  <c r="A25" i="58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24" i="58"/>
  <c r="A23" i="58"/>
  <c r="J62" i="57"/>
  <c r="H62" i="57"/>
  <c r="D51" i="57"/>
  <c r="D50" i="57"/>
  <c r="D49" i="57"/>
  <c r="A25" i="57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9" i="57" s="1"/>
  <c r="A40" i="57" s="1"/>
  <c r="A41" i="57" s="1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57" i="57" s="1"/>
  <c r="A58" i="57" s="1"/>
  <c r="A23" i="57"/>
  <c r="A24" i="57" s="1"/>
  <c r="J54" i="56"/>
  <c r="H54" i="56"/>
  <c r="D51" i="56"/>
  <c r="D50" i="56"/>
  <c r="D49" i="56"/>
  <c r="A24" i="56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23" i="56"/>
  <c r="P10" i="56"/>
  <c r="J62" i="55"/>
  <c r="H62" i="55"/>
  <c r="D49" i="55"/>
  <c r="A24" i="55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23" i="55"/>
  <c r="P10" i="55"/>
  <c r="J62" i="54"/>
  <c r="H62" i="54"/>
  <c r="D43" i="54"/>
  <c r="D42" i="54"/>
  <c r="D41" i="54"/>
  <c r="A24" i="54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23" i="54"/>
  <c r="P10" i="54"/>
  <c r="J47" i="53"/>
  <c r="H47" i="53"/>
  <c r="D43" i="53"/>
  <c r="D42" i="53"/>
  <c r="D41" i="53"/>
  <c r="A23" i="53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P10" i="53"/>
  <c r="J47" i="52"/>
  <c r="H47" i="52"/>
  <c r="D43" i="52"/>
  <c r="D42" i="52"/>
  <c r="D41" i="52"/>
  <c r="A23" i="52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P10" i="52"/>
  <c r="B22" i="52" s="1"/>
  <c r="J47" i="51"/>
  <c r="H47" i="51"/>
  <c r="D43" i="51"/>
  <c r="D42" i="51"/>
  <c r="D41" i="51"/>
  <c r="A23" i="5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P10" i="51"/>
  <c r="J47" i="50"/>
  <c r="H47" i="50"/>
  <c r="D43" i="50"/>
  <c r="D42" i="50"/>
  <c r="D41" i="50"/>
  <c r="A23" i="50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P10" i="50"/>
  <c r="J62" i="49"/>
  <c r="H62" i="49"/>
  <c r="D51" i="49"/>
  <c r="D50" i="49"/>
  <c r="D49" i="49"/>
  <c r="A25" i="49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24" i="49"/>
  <c r="A23" i="49"/>
  <c r="J62" i="48"/>
  <c r="H62" i="48"/>
  <c r="D51" i="48"/>
  <c r="D50" i="48"/>
  <c r="D49" i="48"/>
  <c r="A24" i="48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23" i="48"/>
  <c r="B22" i="48"/>
  <c r="J62" i="47"/>
  <c r="H62" i="47"/>
  <c r="D51" i="47"/>
  <c r="D50" i="47"/>
  <c r="D49" i="47"/>
  <c r="A23" i="47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B22" i="47"/>
  <c r="J62" i="46"/>
  <c r="H62" i="46"/>
  <c r="D51" i="46"/>
  <c r="D50" i="46"/>
  <c r="D49" i="46"/>
  <c r="A24" i="46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23" i="46"/>
  <c r="J62" i="45"/>
  <c r="H62" i="45"/>
  <c r="D51" i="45"/>
  <c r="D50" i="45"/>
  <c r="D49" i="45"/>
  <c r="A27" i="45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25" i="45"/>
  <c r="A26" i="45" s="1"/>
  <c r="A23" i="45"/>
  <c r="A24" i="45" s="1"/>
  <c r="B22" i="45"/>
  <c r="J62" i="44"/>
  <c r="H62" i="44"/>
  <c r="D51" i="44"/>
  <c r="D50" i="44"/>
  <c r="D49" i="44"/>
  <c r="A23" i="44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J62" i="43"/>
  <c r="H62" i="43"/>
  <c r="D51" i="43"/>
  <c r="D50" i="43"/>
  <c r="D49" i="43"/>
  <c r="A23" i="43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J62" i="42"/>
  <c r="H62" i="42"/>
  <c r="D49" i="42"/>
  <c r="A23" i="42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B24" i="67" l="1"/>
  <c r="D24" i="67" s="1"/>
  <c r="L24" i="67"/>
  <c r="N24" i="67"/>
  <c r="N23" i="67"/>
  <c r="L24" i="68"/>
  <c r="B25" i="70"/>
  <c r="D25" i="70" s="1"/>
  <c r="L25" i="70"/>
  <c r="N25" i="70"/>
  <c r="G35" i="72"/>
  <c r="G36" i="79"/>
  <c r="E35" i="72"/>
  <c r="C9" i="71" s="1"/>
  <c r="E9" i="71" s="1"/>
  <c r="E36" i="79"/>
  <c r="F25" i="64"/>
  <c r="N25" i="64"/>
  <c r="E13" i="71"/>
  <c r="D23" i="69"/>
  <c r="L23" i="69"/>
  <c r="D25" i="64"/>
  <c r="N24" i="64"/>
  <c r="L24" i="63"/>
  <c r="N23" i="63"/>
  <c r="N23" i="62"/>
  <c r="P8" i="57"/>
  <c r="P8" i="56"/>
  <c r="P8" i="48"/>
  <c r="P8" i="53"/>
  <c r="P8" i="51"/>
  <c r="P8" i="47"/>
  <c r="P8" i="59"/>
  <c r="P8" i="55"/>
  <c r="B22" i="57"/>
  <c r="D22" i="57" s="1"/>
  <c r="P8" i="42"/>
  <c r="P8" i="54"/>
  <c r="P8" i="46"/>
  <c r="P8" i="43"/>
  <c r="B22" i="58"/>
  <c r="L22" i="58" s="1"/>
  <c r="B22" i="56"/>
  <c r="L22" i="56" s="1"/>
  <c r="B22" i="55"/>
  <c r="L22" i="55" s="1"/>
  <c r="N22" i="55" s="1"/>
  <c r="B22" i="59"/>
  <c r="P8" i="58"/>
  <c r="B22" i="50"/>
  <c r="L22" i="50" s="1"/>
  <c r="P8" i="50"/>
  <c r="B22" i="53"/>
  <c r="L22" i="53" s="1"/>
  <c r="L22" i="52"/>
  <c r="D22" i="52"/>
  <c r="P8" i="52"/>
  <c r="B22" i="51"/>
  <c r="B22" i="54"/>
  <c r="L22" i="48"/>
  <c r="B22" i="49"/>
  <c r="L22" i="49" s="1"/>
  <c r="D22" i="48"/>
  <c r="P8" i="49"/>
  <c r="D22" i="47"/>
  <c r="L22" i="47"/>
  <c r="N22" i="47" s="1"/>
  <c r="B22" i="46"/>
  <c r="D22" i="45"/>
  <c r="L22" i="45"/>
  <c r="P8" i="45"/>
  <c r="B22" i="44"/>
  <c r="L22" i="44" s="1"/>
  <c r="P8" i="44"/>
  <c r="B22" i="43"/>
  <c r="L22" i="43" s="1"/>
  <c r="B22" i="42"/>
  <c r="J47" i="40"/>
  <c r="H47" i="40"/>
  <c r="D43" i="40"/>
  <c r="D42" i="40"/>
  <c r="D41" i="40"/>
  <c r="A23" i="40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P10" i="40"/>
  <c r="J47" i="39"/>
  <c r="H47" i="39"/>
  <c r="D43" i="39"/>
  <c r="D42" i="39"/>
  <c r="D41" i="39"/>
  <c r="A23" i="39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P10" i="39"/>
  <c r="B22" i="39" s="1"/>
  <c r="D22" i="39" s="1"/>
  <c r="J47" i="38"/>
  <c r="H47" i="38"/>
  <c r="D43" i="38"/>
  <c r="D42" i="38"/>
  <c r="D41" i="38"/>
  <c r="A23" i="38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P10" i="38"/>
  <c r="J44" i="34"/>
  <c r="H44" i="34"/>
  <c r="A23" i="34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P10" i="34"/>
  <c r="J44" i="33"/>
  <c r="H44" i="33"/>
  <c r="A25" i="33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23" i="33"/>
  <c r="A24" i="33" s="1"/>
  <c r="P10" i="33"/>
  <c r="J44" i="32"/>
  <c r="H44" i="32"/>
  <c r="A23" i="32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P10" i="32"/>
  <c r="B22" i="32" s="1"/>
  <c r="D22" i="32" s="1"/>
  <c r="J33" i="30"/>
  <c r="H33" i="30"/>
  <c r="A23" i="30"/>
  <c r="A24" i="30" s="1"/>
  <c r="A25" i="30" s="1"/>
  <c r="A26" i="30" s="1"/>
  <c r="A27" i="30" s="1"/>
  <c r="A28" i="30" s="1"/>
  <c r="A29" i="30" s="1"/>
  <c r="P10" i="30"/>
  <c r="J33" i="29"/>
  <c r="H33" i="29"/>
  <c r="A26" i="29"/>
  <c r="A27" i="29" s="1"/>
  <c r="A28" i="29" s="1"/>
  <c r="A29" i="29" s="1"/>
  <c r="A23" i="29"/>
  <c r="A24" i="29" s="1"/>
  <c r="A25" i="29" s="1"/>
  <c r="P10" i="29"/>
  <c r="J33" i="28"/>
  <c r="H33" i="28"/>
  <c r="A23" i="28"/>
  <c r="A24" i="28" s="1"/>
  <c r="A25" i="28" s="1"/>
  <c r="A26" i="28" s="1"/>
  <c r="A27" i="28" s="1"/>
  <c r="A28" i="28" s="1"/>
  <c r="A29" i="28" s="1"/>
  <c r="P10" i="28"/>
  <c r="B22" i="28" s="1"/>
  <c r="D22" i="28" s="1"/>
  <c r="B25" i="67" l="1"/>
  <c r="D25" i="67" s="1"/>
  <c r="L25" i="67"/>
  <c r="N25" i="67"/>
  <c r="B25" i="68"/>
  <c r="D25" i="68" s="1"/>
  <c r="L25" i="68"/>
  <c r="N25" i="68"/>
  <c r="N24" i="68"/>
  <c r="B26" i="70"/>
  <c r="D26" i="70" s="1"/>
  <c r="L26" i="70"/>
  <c r="N26" i="70"/>
  <c r="F25" i="63"/>
  <c r="L25" i="63" s="1"/>
  <c r="N25" i="63"/>
  <c r="B24" i="69"/>
  <c r="L24" i="69" s="1"/>
  <c r="N23" i="69"/>
  <c r="E72" i="72"/>
  <c r="C15" i="71" s="1"/>
  <c r="L25" i="64"/>
  <c r="D25" i="63"/>
  <c r="N24" i="63"/>
  <c r="D24" i="63"/>
  <c r="L24" i="62"/>
  <c r="F25" i="62" s="1"/>
  <c r="P8" i="39"/>
  <c r="P8" i="33"/>
  <c r="L22" i="57"/>
  <c r="B23" i="57" s="1"/>
  <c r="D23" i="57" s="1"/>
  <c r="P8" i="29"/>
  <c r="P8" i="32"/>
  <c r="B23" i="58"/>
  <c r="D23" i="58" s="1"/>
  <c r="D22" i="59"/>
  <c r="B23" i="56"/>
  <c r="D23" i="56" s="1"/>
  <c r="L22" i="59"/>
  <c r="N22" i="56"/>
  <c r="B23" i="55"/>
  <c r="D23" i="55" s="1"/>
  <c r="D22" i="55"/>
  <c r="D22" i="58"/>
  <c r="D22" i="56"/>
  <c r="N22" i="58"/>
  <c r="B23" i="52"/>
  <c r="L23" i="52" s="1"/>
  <c r="N22" i="52"/>
  <c r="B23" i="50"/>
  <c r="D23" i="50" s="1"/>
  <c r="D22" i="53"/>
  <c r="N22" i="50"/>
  <c r="B23" i="53"/>
  <c r="D23" i="53" s="1"/>
  <c r="D22" i="54"/>
  <c r="L22" i="54"/>
  <c r="D22" i="51"/>
  <c r="L22" i="51"/>
  <c r="N22" i="53"/>
  <c r="D22" i="50"/>
  <c r="B23" i="48"/>
  <c r="N22" i="48"/>
  <c r="B23" i="49"/>
  <c r="D23" i="49" s="1"/>
  <c r="D22" i="49"/>
  <c r="N22" i="49"/>
  <c r="B23" i="47"/>
  <c r="L23" i="47" s="1"/>
  <c r="D22" i="46"/>
  <c r="L22" i="46"/>
  <c r="B23" i="45"/>
  <c r="L23" i="45" s="1"/>
  <c r="N22" i="45"/>
  <c r="B23" i="44"/>
  <c r="D23" i="44" s="1"/>
  <c r="N22" i="44"/>
  <c r="D22" i="44"/>
  <c r="B23" i="43"/>
  <c r="D23" i="43" s="1"/>
  <c r="D22" i="43"/>
  <c r="N22" i="43"/>
  <c r="D22" i="42"/>
  <c r="L22" i="42"/>
  <c r="P8" i="40"/>
  <c r="B22" i="40"/>
  <c r="L22" i="40" s="1"/>
  <c r="N22" i="40" s="1"/>
  <c r="L22" i="39"/>
  <c r="P8" i="38"/>
  <c r="B22" i="38"/>
  <c r="B22" i="34"/>
  <c r="P8" i="34"/>
  <c r="L22" i="32"/>
  <c r="B22" i="33"/>
  <c r="L22" i="33" s="1"/>
  <c r="P8" i="30"/>
  <c r="B22" i="30"/>
  <c r="P8" i="28"/>
  <c r="L22" i="28"/>
  <c r="B22" i="29"/>
  <c r="L22" i="29" s="1"/>
  <c r="B26" i="67" l="1"/>
  <c r="D26" i="67" s="1"/>
  <c r="L26" i="67"/>
  <c r="N26" i="67"/>
  <c r="B26" i="68"/>
  <c r="D26" i="68" s="1"/>
  <c r="L26" i="68"/>
  <c r="N26" i="68"/>
  <c r="B27" i="70"/>
  <c r="D27" i="70" s="1"/>
  <c r="L27" i="70"/>
  <c r="N27" i="70"/>
  <c r="E15" i="71"/>
  <c r="E17" i="71" s="1"/>
  <c r="C17" i="71"/>
  <c r="L23" i="58"/>
  <c r="B24" i="58" s="1"/>
  <c r="D24" i="58" s="1"/>
  <c r="B25" i="69"/>
  <c r="D25" i="69" s="1"/>
  <c r="N24" i="69"/>
  <c r="D24" i="69"/>
  <c r="N24" i="62"/>
  <c r="L23" i="57"/>
  <c r="B24" i="57" s="1"/>
  <c r="N22" i="57"/>
  <c r="L23" i="56"/>
  <c r="B24" i="56" s="1"/>
  <c r="L23" i="53"/>
  <c r="B24" i="53" s="1"/>
  <c r="L24" i="53" s="1"/>
  <c r="N24" i="53" s="1"/>
  <c r="B23" i="59"/>
  <c r="N22" i="59"/>
  <c r="L23" i="55"/>
  <c r="L23" i="50"/>
  <c r="B23" i="54"/>
  <c r="N22" i="54"/>
  <c r="B24" i="52"/>
  <c r="D24" i="52" s="1"/>
  <c r="B23" i="51"/>
  <c r="L23" i="51" s="1"/>
  <c r="N22" i="51"/>
  <c r="D23" i="52"/>
  <c r="N23" i="52"/>
  <c r="D23" i="48"/>
  <c r="L23" i="49"/>
  <c r="L23" i="48"/>
  <c r="B24" i="47"/>
  <c r="D24" i="47" s="1"/>
  <c r="N23" i="47"/>
  <c r="D23" i="47"/>
  <c r="B23" i="46"/>
  <c r="N22" i="46"/>
  <c r="B24" i="45"/>
  <c r="D24" i="45" s="1"/>
  <c r="N23" i="45"/>
  <c r="D23" i="45"/>
  <c r="L23" i="44"/>
  <c r="L23" i="43"/>
  <c r="B23" i="42"/>
  <c r="L23" i="42" s="1"/>
  <c r="N22" i="42"/>
  <c r="D22" i="38"/>
  <c r="L22" i="38"/>
  <c r="B23" i="40"/>
  <c r="D23" i="40" s="1"/>
  <c r="D22" i="40"/>
  <c r="N22" i="39"/>
  <c r="B23" i="39"/>
  <c r="L23" i="39" s="1"/>
  <c r="N23" i="39" s="1"/>
  <c r="D22" i="33"/>
  <c r="B23" i="32"/>
  <c r="L23" i="32" s="1"/>
  <c r="N23" i="32" s="1"/>
  <c r="N22" i="32"/>
  <c r="N22" i="33"/>
  <c r="B23" i="33"/>
  <c r="D23" i="33" s="1"/>
  <c r="D22" i="34"/>
  <c r="L22" i="34"/>
  <c r="B23" i="28"/>
  <c r="L23" i="28" s="1"/>
  <c r="N22" i="28"/>
  <c r="D22" i="30"/>
  <c r="B23" i="29"/>
  <c r="D23" i="29" s="1"/>
  <c r="N22" i="29"/>
  <c r="D22" i="29"/>
  <c r="L22" i="30"/>
  <c r="J28" i="20"/>
  <c r="H28" i="20"/>
  <c r="A23" i="20"/>
  <c r="A24" i="20" s="1"/>
  <c r="A25" i="20" s="1"/>
  <c r="P10" i="20"/>
  <c r="B22" i="20" s="1"/>
  <c r="B27" i="67" l="1"/>
  <c r="D27" i="67" s="1"/>
  <c r="L27" i="67"/>
  <c r="N27" i="67"/>
  <c r="B27" i="68"/>
  <c r="D27" i="68" s="1"/>
  <c r="L27" i="68"/>
  <c r="N27" i="68"/>
  <c r="B28" i="70"/>
  <c r="D28" i="70" s="1"/>
  <c r="L28" i="70"/>
  <c r="N28" i="70"/>
  <c r="N23" i="58"/>
  <c r="L25" i="69"/>
  <c r="N23" i="57"/>
  <c r="L25" i="62"/>
  <c r="N23" i="53"/>
  <c r="N23" i="56"/>
  <c r="L24" i="45"/>
  <c r="N24" i="45" s="1"/>
  <c r="L24" i="52"/>
  <c r="B25" i="52" s="1"/>
  <c r="L24" i="58"/>
  <c r="N24" i="58" s="1"/>
  <c r="D24" i="57"/>
  <c r="D23" i="59"/>
  <c r="L23" i="59"/>
  <c r="B24" i="55"/>
  <c r="N23" i="55"/>
  <c r="L24" i="57"/>
  <c r="D24" i="56"/>
  <c r="L24" i="56"/>
  <c r="D23" i="54"/>
  <c r="B24" i="50"/>
  <c r="N23" i="50"/>
  <c r="D23" i="51"/>
  <c r="B25" i="53"/>
  <c r="D25" i="53" s="1"/>
  <c r="B24" i="51"/>
  <c r="D24" i="51" s="1"/>
  <c r="L23" i="54"/>
  <c r="D24" i="53"/>
  <c r="N23" i="51"/>
  <c r="B24" i="49"/>
  <c r="N23" i="49"/>
  <c r="B24" i="48"/>
  <c r="N23" i="48"/>
  <c r="L24" i="47"/>
  <c r="D23" i="46"/>
  <c r="L23" i="46"/>
  <c r="B24" i="44"/>
  <c r="L24" i="44" s="1"/>
  <c r="N24" i="44" s="1"/>
  <c r="N23" i="44"/>
  <c r="B24" i="43"/>
  <c r="N23" i="43"/>
  <c r="B24" i="42"/>
  <c r="D24" i="42" s="1"/>
  <c r="D23" i="42"/>
  <c r="N23" i="42"/>
  <c r="B24" i="39"/>
  <c r="D24" i="39" s="1"/>
  <c r="D23" i="39"/>
  <c r="L23" i="40"/>
  <c r="B23" i="38"/>
  <c r="L23" i="38" s="1"/>
  <c r="N22" i="38"/>
  <c r="B23" i="34"/>
  <c r="L23" i="34" s="1"/>
  <c r="N22" i="34"/>
  <c r="B24" i="32"/>
  <c r="D24" i="32" s="1"/>
  <c r="D23" i="32"/>
  <c r="L23" i="33"/>
  <c r="B24" i="28"/>
  <c r="D24" i="28" s="1"/>
  <c r="N23" i="28"/>
  <c r="D23" i="28"/>
  <c r="L23" i="29"/>
  <c r="B23" i="30"/>
  <c r="N22" i="30"/>
  <c r="P8" i="20"/>
  <c r="D22" i="20"/>
  <c r="L22" i="20"/>
  <c r="J62" i="17"/>
  <c r="H62" i="17"/>
  <c r="D49" i="17"/>
  <c r="A23" i="17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P8" i="17"/>
  <c r="P10" i="17"/>
  <c r="B22" i="17" s="1"/>
  <c r="J62" i="16"/>
  <c r="H62" i="16"/>
  <c r="A23" i="16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P10" i="16"/>
  <c r="J62" i="15"/>
  <c r="H62" i="15"/>
  <c r="A24" i="15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23" i="15"/>
  <c r="P10" i="15"/>
  <c r="P8" i="12"/>
  <c r="P10" i="12"/>
  <c r="J35" i="12"/>
  <c r="H35" i="12"/>
  <c r="A23" i="12"/>
  <c r="A24" i="12" s="1"/>
  <c r="A25" i="12" s="1"/>
  <c r="A26" i="12" s="1"/>
  <c r="A27" i="12" s="1"/>
  <c r="A28" i="12" s="1"/>
  <c r="A29" i="12" s="1"/>
  <c r="A30" i="12" s="1"/>
  <c r="A31" i="12" s="1"/>
  <c r="P10" i="11"/>
  <c r="J35" i="11"/>
  <c r="H35" i="11"/>
  <c r="A23" i="11"/>
  <c r="A24" i="11" s="1"/>
  <c r="A25" i="11" s="1"/>
  <c r="A26" i="11" s="1"/>
  <c r="A27" i="11" s="1"/>
  <c r="A28" i="11" s="1"/>
  <c r="A29" i="11" s="1"/>
  <c r="A30" i="11" s="1"/>
  <c r="A31" i="11" s="1"/>
  <c r="P10" i="9"/>
  <c r="J35" i="9"/>
  <c r="H35" i="9"/>
  <c r="A23" i="9"/>
  <c r="A24" i="9" s="1"/>
  <c r="A25" i="9" s="1"/>
  <c r="A26" i="9" s="1"/>
  <c r="A27" i="9" s="1"/>
  <c r="A28" i="9" s="1"/>
  <c r="A29" i="9" s="1"/>
  <c r="A30" i="9" s="1"/>
  <c r="A31" i="9" s="1"/>
  <c r="B28" i="67" l="1"/>
  <c r="D28" i="67" s="1"/>
  <c r="L28" i="68"/>
  <c r="N28" i="68" s="1"/>
  <c r="B28" i="68"/>
  <c r="D28" i="68" s="1"/>
  <c r="B29" i="70"/>
  <c r="D29" i="70" s="1"/>
  <c r="N25" i="69"/>
  <c r="B26" i="69"/>
  <c r="L26" i="69" s="1"/>
  <c r="B27" i="69" s="1"/>
  <c r="D27" i="69" s="1"/>
  <c r="D26" i="69"/>
  <c r="N25" i="62"/>
  <c r="L24" i="32"/>
  <c r="B25" i="32" s="1"/>
  <c r="L25" i="32" s="1"/>
  <c r="P8" i="9"/>
  <c r="P8" i="16"/>
  <c r="L24" i="42"/>
  <c r="N24" i="42" s="1"/>
  <c r="B25" i="58"/>
  <c r="L25" i="58" s="1"/>
  <c r="N25" i="58" s="1"/>
  <c r="B22" i="12"/>
  <c r="D22" i="12" s="1"/>
  <c r="N24" i="52"/>
  <c r="B25" i="45"/>
  <c r="L25" i="45" s="1"/>
  <c r="N25" i="45" s="1"/>
  <c r="D24" i="55"/>
  <c r="L24" i="55"/>
  <c r="B24" i="59"/>
  <c r="L24" i="59" s="1"/>
  <c r="N23" i="59"/>
  <c r="B25" i="56"/>
  <c r="L25" i="56" s="1"/>
  <c r="N24" i="56"/>
  <c r="B25" i="57"/>
  <c r="L25" i="57" s="1"/>
  <c r="N25" i="57" s="1"/>
  <c r="N24" i="57"/>
  <c r="D25" i="52"/>
  <c r="D24" i="50"/>
  <c r="L24" i="50"/>
  <c r="B24" i="54"/>
  <c r="L24" i="54" s="1"/>
  <c r="N23" i="54"/>
  <c r="L25" i="52"/>
  <c r="L24" i="51"/>
  <c r="L25" i="53"/>
  <c r="D24" i="48"/>
  <c r="L24" i="48"/>
  <c r="D24" i="49"/>
  <c r="L24" i="49"/>
  <c r="B25" i="47"/>
  <c r="N24" i="47"/>
  <c r="B24" i="46"/>
  <c r="N23" i="46"/>
  <c r="D24" i="44"/>
  <c r="B25" i="44"/>
  <c r="D25" i="44" s="1"/>
  <c r="D24" i="43"/>
  <c r="L24" i="43"/>
  <c r="B24" i="38"/>
  <c r="D24" i="38" s="1"/>
  <c r="N23" i="38"/>
  <c r="B24" i="40"/>
  <c r="L24" i="40" s="1"/>
  <c r="N23" i="40"/>
  <c r="L24" i="39"/>
  <c r="D23" i="38"/>
  <c r="B24" i="34"/>
  <c r="D24" i="34" s="1"/>
  <c r="N23" i="34"/>
  <c r="B24" i="33"/>
  <c r="L24" i="33" s="1"/>
  <c r="N23" i="33"/>
  <c r="D23" i="34"/>
  <c r="D23" i="30"/>
  <c r="L24" i="28"/>
  <c r="L23" i="30"/>
  <c r="B24" i="29"/>
  <c r="L24" i="29" s="1"/>
  <c r="N23" i="29"/>
  <c r="B23" i="20"/>
  <c r="N22" i="20"/>
  <c r="L22" i="17"/>
  <c r="D22" i="17"/>
  <c r="B22" i="16"/>
  <c r="L22" i="16" s="1"/>
  <c r="P8" i="15"/>
  <c r="B22" i="15"/>
  <c r="L22" i="15" s="1"/>
  <c r="N22" i="15" s="1"/>
  <c r="B22" i="11"/>
  <c r="P8" i="11"/>
  <c r="B22" i="9"/>
  <c r="L22" i="9" s="1"/>
  <c r="L28" i="67" l="1"/>
  <c r="B29" i="68"/>
  <c r="D29" i="68" s="1"/>
  <c r="L29" i="70"/>
  <c r="N26" i="69"/>
  <c r="L27" i="69"/>
  <c r="N24" i="32"/>
  <c r="D25" i="58"/>
  <c r="D22" i="16"/>
  <c r="B25" i="42"/>
  <c r="D25" i="42" s="1"/>
  <c r="L22" i="12"/>
  <c r="B23" i="12" s="1"/>
  <c r="L23" i="12" s="1"/>
  <c r="B26" i="58"/>
  <c r="D26" i="58" s="1"/>
  <c r="B26" i="45"/>
  <c r="D26" i="45" s="1"/>
  <c r="D25" i="45"/>
  <c r="B25" i="55"/>
  <c r="N24" i="55"/>
  <c r="B25" i="59"/>
  <c r="D25" i="59" s="1"/>
  <c r="N24" i="59"/>
  <c r="B26" i="56"/>
  <c r="D26" i="56" s="1"/>
  <c r="D25" i="57"/>
  <c r="D24" i="59"/>
  <c r="B26" i="57"/>
  <c r="D26" i="57" s="1"/>
  <c r="N25" i="56"/>
  <c r="D25" i="56"/>
  <c r="B25" i="54"/>
  <c r="D25" i="54" s="1"/>
  <c r="B25" i="50"/>
  <c r="N24" i="50"/>
  <c r="B26" i="53"/>
  <c r="L26" i="53" s="1"/>
  <c r="N25" i="53"/>
  <c r="B25" i="51"/>
  <c r="N24" i="51"/>
  <c r="B26" i="52"/>
  <c r="N25" i="52"/>
  <c r="D24" i="54"/>
  <c r="N24" i="54"/>
  <c r="B25" i="48"/>
  <c r="L25" i="48" s="1"/>
  <c r="N24" i="48"/>
  <c r="B25" i="49"/>
  <c r="N24" i="49"/>
  <c r="D25" i="47"/>
  <c r="L25" i="47"/>
  <c r="D24" i="46"/>
  <c r="L24" i="46"/>
  <c r="L25" i="44"/>
  <c r="B25" i="43"/>
  <c r="L25" i="43" s="1"/>
  <c r="N24" i="43"/>
  <c r="B25" i="40"/>
  <c r="D25" i="40" s="1"/>
  <c r="L25" i="40"/>
  <c r="N24" i="40"/>
  <c r="D24" i="40"/>
  <c r="L24" i="38"/>
  <c r="B25" i="39"/>
  <c r="L25" i="39" s="1"/>
  <c r="N24" i="39"/>
  <c r="B26" i="32"/>
  <c r="D26" i="32" s="1"/>
  <c r="N25" i="32"/>
  <c r="D25" i="32"/>
  <c r="B25" i="33"/>
  <c r="D25" i="33" s="1"/>
  <c r="N24" i="33"/>
  <c r="D24" i="33"/>
  <c r="L24" i="34"/>
  <c r="B25" i="29"/>
  <c r="D25" i="29" s="1"/>
  <c r="N24" i="29"/>
  <c r="B24" i="30"/>
  <c r="L24" i="30" s="1"/>
  <c r="N23" i="30"/>
  <c r="B25" i="28"/>
  <c r="N24" i="28"/>
  <c r="D24" i="29"/>
  <c r="D23" i="20"/>
  <c r="L23" i="20"/>
  <c r="B23" i="17"/>
  <c r="L23" i="17" s="1"/>
  <c r="N22" i="17"/>
  <c r="N22" i="16"/>
  <c r="B23" i="16"/>
  <c r="L23" i="16" s="1"/>
  <c r="B23" i="15"/>
  <c r="D23" i="15" s="1"/>
  <c r="D22" i="15"/>
  <c r="D22" i="11"/>
  <c r="L22" i="11"/>
  <c r="B23" i="9"/>
  <c r="D23" i="9" s="1"/>
  <c r="N22" i="9"/>
  <c r="D22" i="9"/>
  <c r="I46" i="4"/>
  <c r="H46" i="4"/>
  <c r="E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A23" i="4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Z21" i="4"/>
  <c r="V21" i="4"/>
  <c r="R21" i="4"/>
  <c r="L21" i="4"/>
  <c r="P10" i="4"/>
  <c r="P5" i="4"/>
  <c r="P2" i="4"/>
  <c r="D38" i="4" s="1"/>
  <c r="B22" i="4" l="1"/>
  <c r="D35" i="4"/>
  <c r="P8" i="4"/>
  <c r="D37" i="4"/>
  <c r="D42" i="4"/>
  <c r="B29" i="67"/>
  <c r="D29" i="67" s="1"/>
  <c r="N28" i="67"/>
  <c r="L29" i="68"/>
  <c r="B30" i="70"/>
  <c r="D30" i="70" s="1"/>
  <c r="N29" i="70"/>
  <c r="B28" i="69"/>
  <c r="L28" i="69" s="1"/>
  <c r="N27" i="69"/>
  <c r="L25" i="42"/>
  <c r="B26" i="42" s="1"/>
  <c r="N22" i="12"/>
  <c r="L26" i="58"/>
  <c r="B27" i="58" s="1"/>
  <c r="L27" i="58" s="1"/>
  <c r="N27" i="58" s="1"/>
  <c r="L25" i="54"/>
  <c r="N25" i="54" s="1"/>
  <c r="L26" i="45"/>
  <c r="L26" i="56"/>
  <c r="N26" i="56" s="1"/>
  <c r="L25" i="29"/>
  <c r="N25" i="29" s="1"/>
  <c r="L26" i="57"/>
  <c r="L25" i="59"/>
  <c r="D25" i="55"/>
  <c r="L25" i="55"/>
  <c r="B27" i="53"/>
  <c r="D27" i="53" s="1"/>
  <c r="N26" i="53"/>
  <c r="D26" i="52"/>
  <c r="L26" i="52"/>
  <c r="D25" i="50"/>
  <c r="L25" i="50"/>
  <c r="D26" i="53"/>
  <c r="D25" i="51"/>
  <c r="L25" i="51"/>
  <c r="B26" i="48"/>
  <c r="D26" i="48" s="1"/>
  <c r="N25" i="48"/>
  <c r="D25" i="49"/>
  <c r="L25" i="49"/>
  <c r="D25" i="48"/>
  <c r="B26" i="47"/>
  <c r="L26" i="47" s="1"/>
  <c r="N25" i="47"/>
  <c r="B25" i="46"/>
  <c r="N24" i="46"/>
  <c r="B26" i="44"/>
  <c r="L26" i="44" s="1"/>
  <c r="N26" i="44" s="1"/>
  <c r="N25" i="44"/>
  <c r="B26" i="43"/>
  <c r="D26" i="43" s="1"/>
  <c r="N25" i="43"/>
  <c r="D25" i="43"/>
  <c r="B25" i="38"/>
  <c r="L25" i="38" s="1"/>
  <c r="N24" i="38"/>
  <c r="B26" i="39"/>
  <c r="D26" i="39" s="1"/>
  <c r="B26" i="40"/>
  <c r="N25" i="40"/>
  <c r="D25" i="39"/>
  <c r="N25" i="39"/>
  <c r="B25" i="34"/>
  <c r="L25" i="34" s="1"/>
  <c r="N24" i="34"/>
  <c r="L26" i="32"/>
  <c r="L25" i="33"/>
  <c r="B25" i="30"/>
  <c r="D25" i="30" s="1"/>
  <c r="N24" i="30"/>
  <c r="D25" i="28"/>
  <c r="D24" i="30"/>
  <c r="L25" i="28"/>
  <c r="L24" i="20"/>
  <c r="N25" i="20" s="1"/>
  <c r="N23" i="20"/>
  <c r="B24" i="17"/>
  <c r="D24" i="17" s="1"/>
  <c r="N23" i="17"/>
  <c r="D23" i="17"/>
  <c r="B24" i="16"/>
  <c r="D24" i="16" s="1"/>
  <c r="N23" i="16"/>
  <c r="D23" i="16"/>
  <c r="L23" i="15"/>
  <c r="B24" i="12"/>
  <c r="D24" i="12" s="1"/>
  <c r="N23" i="12"/>
  <c r="D23" i="12"/>
  <c r="B23" i="11"/>
  <c r="N22" i="11"/>
  <c r="L23" i="9"/>
  <c r="B24" i="9" s="1"/>
  <c r="L24" i="9" s="1"/>
  <c r="J22" i="4"/>
  <c r="L22" i="4" s="1"/>
  <c r="N22" i="4" s="1"/>
  <c r="D22" i="4"/>
  <c r="D33" i="4"/>
  <c r="D40" i="4"/>
  <c r="D32" i="4"/>
  <c r="D41" i="4"/>
  <c r="D31" i="4"/>
  <c r="D36" i="4"/>
  <c r="D34" i="4"/>
  <c r="D39" i="4"/>
  <c r="L29" i="67" l="1"/>
  <c r="B30" i="68"/>
  <c r="D30" i="68" s="1"/>
  <c r="N29" i="68"/>
  <c r="L30" i="70"/>
  <c r="D28" i="69"/>
  <c r="B29" i="69"/>
  <c r="D29" i="69" s="1"/>
  <c r="N28" i="69"/>
  <c r="N24" i="20"/>
  <c r="F25" i="20"/>
  <c r="N25" i="42"/>
  <c r="L25" i="30"/>
  <c r="N25" i="30" s="1"/>
  <c r="N26" i="58"/>
  <c r="B26" i="54"/>
  <c r="L26" i="54" s="1"/>
  <c r="N26" i="54" s="1"/>
  <c r="B26" i="29"/>
  <c r="L26" i="29" s="1"/>
  <c r="B27" i="56"/>
  <c r="L27" i="56" s="1"/>
  <c r="L26" i="43"/>
  <c r="B27" i="43" s="1"/>
  <c r="N26" i="45"/>
  <c r="B27" i="45"/>
  <c r="N23" i="9"/>
  <c r="L26" i="48"/>
  <c r="B27" i="48" s="1"/>
  <c r="D27" i="58"/>
  <c r="B28" i="58"/>
  <c r="D28" i="58" s="1"/>
  <c r="B26" i="55"/>
  <c r="N25" i="55"/>
  <c r="B27" i="57"/>
  <c r="D27" i="57" s="1"/>
  <c r="N26" i="57"/>
  <c r="B26" i="59"/>
  <c r="L26" i="59" s="1"/>
  <c r="N25" i="59"/>
  <c r="B26" i="50"/>
  <c r="N25" i="50"/>
  <c r="B26" i="51"/>
  <c r="N25" i="51"/>
  <c r="B27" i="52"/>
  <c r="L27" i="52" s="1"/>
  <c r="N26" i="52"/>
  <c r="L27" i="53"/>
  <c r="B26" i="49"/>
  <c r="L26" i="49" s="1"/>
  <c r="N25" i="49"/>
  <c r="B27" i="47"/>
  <c r="D27" i="47" s="1"/>
  <c r="N26" i="47"/>
  <c r="D26" i="47"/>
  <c r="D25" i="46"/>
  <c r="L25" i="46"/>
  <c r="B27" i="44"/>
  <c r="D27" i="44" s="1"/>
  <c r="D26" i="44"/>
  <c r="D26" i="42"/>
  <c r="L26" i="42"/>
  <c r="B26" i="38"/>
  <c r="D26" i="38" s="1"/>
  <c r="N25" i="38"/>
  <c r="L26" i="39"/>
  <c r="D25" i="38"/>
  <c r="D26" i="40"/>
  <c r="L26" i="40"/>
  <c r="B26" i="34"/>
  <c r="D26" i="34" s="1"/>
  <c r="B27" i="32"/>
  <c r="L27" i="32" s="1"/>
  <c r="N26" i="32"/>
  <c r="N25" i="34"/>
  <c r="B26" i="33"/>
  <c r="L26" i="33" s="1"/>
  <c r="N25" i="33"/>
  <c r="D25" i="34"/>
  <c r="B26" i="28"/>
  <c r="N25" i="28"/>
  <c r="D24" i="20"/>
  <c r="D25" i="20"/>
  <c r="L24" i="17"/>
  <c r="L24" i="16"/>
  <c r="B24" i="15"/>
  <c r="N23" i="15"/>
  <c r="L24" i="12"/>
  <c r="D23" i="11"/>
  <c r="L23" i="11"/>
  <c r="B25" i="9"/>
  <c r="D25" i="9" s="1"/>
  <c r="N24" i="9"/>
  <c r="D24" i="9"/>
  <c r="B23" i="4"/>
  <c r="B30" i="67" l="1"/>
  <c r="D30" i="67" s="1"/>
  <c r="N29" i="67"/>
  <c r="L30" i="68"/>
  <c r="B31" i="70"/>
  <c r="D31" i="70" s="1"/>
  <c r="L31" i="70"/>
  <c r="N31" i="70"/>
  <c r="N30" i="70"/>
  <c r="P7" i="80"/>
  <c r="L29" i="69"/>
  <c r="B26" i="30"/>
  <c r="D26" i="30" s="1"/>
  <c r="L28" i="58"/>
  <c r="B29" i="58" s="1"/>
  <c r="D29" i="58" s="1"/>
  <c r="B27" i="54"/>
  <c r="D27" i="54" s="1"/>
  <c r="D26" i="29"/>
  <c r="D26" i="54"/>
  <c r="N26" i="48"/>
  <c r="D27" i="56"/>
  <c r="N26" i="43"/>
  <c r="D27" i="48"/>
  <c r="L27" i="48"/>
  <c r="N27" i="48" s="1"/>
  <c r="D27" i="45"/>
  <c r="L27" i="45"/>
  <c r="L27" i="57"/>
  <c r="N27" i="57" s="1"/>
  <c r="B27" i="59"/>
  <c r="D27" i="59" s="1"/>
  <c r="D26" i="55"/>
  <c r="L26" i="55"/>
  <c r="N26" i="59"/>
  <c r="D26" i="59"/>
  <c r="B28" i="56"/>
  <c r="L28" i="56" s="1"/>
  <c r="N27" i="56"/>
  <c r="B28" i="52"/>
  <c r="D28" i="52" s="1"/>
  <c r="N27" i="52"/>
  <c r="D26" i="51"/>
  <c r="L26" i="51"/>
  <c r="D26" i="50"/>
  <c r="L26" i="50"/>
  <c r="D27" i="52"/>
  <c r="B28" i="53"/>
  <c r="L28" i="53" s="1"/>
  <c r="N27" i="53"/>
  <c r="B27" i="49"/>
  <c r="D27" i="49" s="1"/>
  <c r="N26" i="49"/>
  <c r="D26" i="49"/>
  <c r="L27" i="47"/>
  <c r="B26" i="46"/>
  <c r="L26" i="46" s="1"/>
  <c r="N25" i="46"/>
  <c r="L27" i="44"/>
  <c r="D27" i="43"/>
  <c r="L27" i="43"/>
  <c r="B27" i="42"/>
  <c r="N26" i="42"/>
  <c r="B27" i="40"/>
  <c r="N26" i="40"/>
  <c r="B27" i="39"/>
  <c r="N26" i="39"/>
  <c r="L26" i="38"/>
  <c r="B28" i="32"/>
  <c r="D28" i="32" s="1"/>
  <c r="N27" i="32"/>
  <c r="B27" i="33"/>
  <c r="D27" i="33" s="1"/>
  <c r="L26" i="34"/>
  <c r="D27" i="32"/>
  <c r="N26" i="33"/>
  <c r="D26" i="33"/>
  <c r="L26" i="30"/>
  <c r="B27" i="29"/>
  <c r="L27" i="29" s="1"/>
  <c r="N26" i="29"/>
  <c r="D26" i="28"/>
  <c r="L26" i="28"/>
  <c r="L25" i="20"/>
  <c r="B25" i="17"/>
  <c r="L25" i="17" s="1"/>
  <c r="N25" i="17" s="1"/>
  <c r="N24" i="17"/>
  <c r="B25" i="16"/>
  <c r="N24" i="16"/>
  <c r="D24" i="15"/>
  <c r="L24" i="15"/>
  <c r="B25" i="12"/>
  <c r="L25" i="12" s="1"/>
  <c r="N24" i="12"/>
  <c r="B24" i="11"/>
  <c r="N23" i="11"/>
  <c r="L25" i="9"/>
  <c r="N25" i="9" s="1"/>
  <c r="J23" i="4"/>
  <c r="D23" i="4"/>
  <c r="L30" i="67" l="1"/>
  <c r="N30" i="68"/>
  <c r="B31" i="68"/>
  <c r="D31" i="68" s="1"/>
  <c r="L31" i="68"/>
  <c r="N31" i="68"/>
  <c r="B32" i="70"/>
  <c r="D32" i="70" s="1"/>
  <c r="L32" i="70"/>
  <c r="N32" i="70"/>
  <c r="L27" i="54"/>
  <c r="N28" i="58"/>
  <c r="P13" i="80"/>
  <c r="P14" i="80" s="1"/>
  <c r="P9" i="80"/>
  <c r="I43" i="79" s="1"/>
  <c r="B30" i="69"/>
  <c r="D30" i="69" s="1"/>
  <c r="N29" i="69"/>
  <c r="B28" i="48"/>
  <c r="D28" i="48" s="1"/>
  <c r="B28" i="57"/>
  <c r="D28" i="57" s="1"/>
  <c r="B28" i="45"/>
  <c r="N27" i="45"/>
  <c r="L29" i="58"/>
  <c r="B30" i="58" s="1"/>
  <c r="D30" i="58" s="1"/>
  <c r="L27" i="49"/>
  <c r="B28" i="49" s="1"/>
  <c r="B26" i="9"/>
  <c r="L26" i="9" s="1"/>
  <c r="B29" i="56"/>
  <c r="D29" i="56" s="1"/>
  <c r="N28" i="56"/>
  <c r="B27" i="55"/>
  <c r="D27" i="55" s="1"/>
  <c r="N26" i="55"/>
  <c r="D28" i="56"/>
  <c r="L27" i="59"/>
  <c r="B29" i="53"/>
  <c r="D29" i="53" s="1"/>
  <c r="N28" i="53"/>
  <c r="D28" i="53"/>
  <c r="B28" i="54"/>
  <c r="D28" i="54" s="1"/>
  <c r="N27" i="54"/>
  <c r="B27" i="51"/>
  <c r="N26" i="51"/>
  <c r="B27" i="50"/>
  <c r="L27" i="50" s="1"/>
  <c r="N27" i="50" s="1"/>
  <c r="N26" i="50"/>
  <c r="L28" i="52"/>
  <c r="B28" i="47"/>
  <c r="L28" i="47" s="1"/>
  <c r="N27" i="47"/>
  <c r="B27" i="46"/>
  <c r="D27" i="46" s="1"/>
  <c r="N26" i="46"/>
  <c r="D26" i="46"/>
  <c r="B28" i="44"/>
  <c r="N27" i="44"/>
  <c r="B28" i="43"/>
  <c r="N27" i="43"/>
  <c r="D27" i="42"/>
  <c r="L27" i="42"/>
  <c r="B27" i="38"/>
  <c r="L27" i="38" s="1"/>
  <c r="N27" i="38" s="1"/>
  <c r="N26" i="38"/>
  <c r="D27" i="39"/>
  <c r="L27" i="39"/>
  <c r="D27" i="40"/>
  <c r="L27" i="40"/>
  <c r="L28" i="32"/>
  <c r="B27" i="34"/>
  <c r="L27" i="34" s="1"/>
  <c r="N26" i="34"/>
  <c r="L27" i="33"/>
  <c r="D27" i="29"/>
  <c r="D28" i="29"/>
  <c r="N27" i="29"/>
  <c r="B27" i="28"/>
  <c r="D27" i="28" s="1"/>
  <c r="N26" i="28"/>
  <c r="B27" i="30"/>
  <c r="D27" i="30" s="1"/>
  <c r="N26" i="30"/>
  <c r="D25" i="17"/>
  <c r="B26" i="17"/>
  <c r="D26" i="17" s="1"/>
  <c r="D25" i="16"/>
  <c r="L25" i="16"/>
  <c r="B25" i="15"/>
  <c r="L25" i="15" s="1"/>
  <c r="N24" i="15"/>
  <c r="D25" i="12"/>
  <c r="B26" i="12"/>
  <c r="D26" i="12" s="1"/>
  <c r="N25" i="12"/>
  <c r="D24" i="11"/>
  <c r="L24" i="11"/>
  <c r="L23" i="4"/>
  <c r="B31" i="67" l="1"/>
  <c r="D31" i="67" s="1"/>
  <c r="L31" i="67"/>
  <c r="N31" i="67"/>
  <c r="N30" i="67"/>
  <c r="B32" i="68"/>
  <c r="D32" i="68" s="1"/>
  <c r="B33" i="70"/>
  <c r="D33" i="70" s="1"/>
  <c r="L33" i="70"/>
  <c r="N33" i="70"/>
  <c r="L28" i="57"/>
  <c r="N28" i="57" s="1"/>
  <c r="L28" i="48"/>
  <c r="L30" i="69"/>
  <c r="N27" i="49"/>
  <c r="B29" i="57"/>
  <c r="D29" i="57" s="1"/>
  <c r="N29" i="58"/>
  <c r="L28" i="49"/>
  <c r="N28" i="49" s="1"/>
  <c r="L28" i="45"/>
  <c r="D28" i="45"/>
  <c r="N26" i="9"/>
  <c r="B27" i="9"/>
  <c r="D27" i="9" s="1"/>
  <c r="D26" i="9"/>
  <c r="L27" i="55"/>
  <c r="N27" i="55" s="1"/>
  <c r="B28" i="59"/>
  <c r="N27" i="59"/>
  <c r="L30" i="58"/>
  <c r="L29" i="57"/>
  <c r="L29" i="56"/>
  <c r="B29" i="52"/>
  <c r="D29" i="52" s="1"/>
  <c r="N28" i="52"/>
  <c r="L28" i="54"/>
  <c r="D27" i="51"/>
  <c r="D27" i="50"/>
  <c r="L27" i="51"/>
  <c r="B28" i="50"/>
  <c r="D28" i="50" s="1"/>
  <c r="L29" i="53"/>
  <c r="B29" i="48"/>
  <c r="D29" i="48" s="1"/>
  <c r="N28" i="48"/>
  <c r="D28" i="49"/>
  <c r="B29" i="47"/>
  <c r="D29" i="47" s="1"/>
  <c r="D28" i="47"/>
  <c r="N28" i="47"/>
  <c r="L27" i="46"/>
  <c r="D28" i="44"/>
  <c r="L28" i="44"/>
  <c r="D28" i="43"/>
  <c r="L28" i="43"/>
  <c r="B28" i="42"/>
  <c r="D28" i="42" s="1"/>
  <c r="N27" i="42"/>
  <c r="D27" i="38"/>
  <c r="B28" i="40"/>
  <c r="L28" i="40" s="1"/>
  <c r="N28" i="40" s="1"/>
  <c r="N27" i="40"/>
  <c r="B28" i="39"/>
  <c r="D28" i="39" s="1"/>
  <c r="N27" i="39"/>
  <c r="B28" i="38"/>
  <c r="D28" i="38" s="1"/>
  <c r="B28" i="34"/>
  <c r="D28" i="34" s="1"/>
  <c r="N27" i="34"/>
  <c r="B28" i="33"/>
  <c r="N27" i="33"/>
  <c r="D27" i="34"/>
  <c r="B29" i="32"/>
  <c r="N28" i="32"/>
  <c r="L28" i="29"/>
  <c r="L27" i="28"/>
  <c r="L27" i="30"/>
  <c r="L26" i="17"/>
  <c r="B26" i="16"/>
  <c r="L26" i="16" s="1"/>
  <c r="N26" i="16" s="1"/>
  <c r="N25" i="16"/>
  <c r="D49" i="15"/>
  <c r="B26" i="15"/>
  <c r="D26" i="15" s="1"/>
  <c r="N25" i="15"/>
  <c r="D25" i="15"/>
  <c r="L26" i="12"/>
  <c r="B27" i="12" s="1"/>
  <c r="D27" i="12" s="1"/>
  <c r="B25" i="11"/>
  <c r="N24" i="11"/>
  <c r="B24" i="4"/>
  <c r="N23" i="4"/>
  <c r="B32" i="67" l="1"/>
  <c r="D32" i="67" s="1"/>
  <c r="L32" i="67"/>
  <c r="N32" i="67"/>
  <c r="L32" i="68"/>
  <c r="B34" i="70"/>
  <c r="D34" i="70" s="1"/>
  <c r="L34" i="70"/>
  <c r="N34" i="70"/>
  <c r="F29" i="29"/>
  <c r="N29" i="29"/>
  <c r="L29" i="47"/>
  <c r="N29" i="47" s="1"/>
  <c r="B31" i="69"/>
  <c r="D31" i="69" s="1"/>
  <c r="L31" i="69"/>
  <c r="N30" i="69"/>
  <c r="L27" i="9"/>
  <c r="N26" i="12"/>
  <c r="B29" i="49"/>
  <c r="D29" i="49" s="1"/>
  <c r="B28" i="55"/>
  <c r="D28" i="55" s="1"/>
  <c r="B29" i="45"/>
  <c r="D29" i="45" s="1"/>
  <c r="N28" i="45"/>
  <c r="L29" i="45"/>
  <c r="L26" i="15"/>
  <c r="N26" i="15" s="1"/>
  <c r="L29" i="52"/>
  <c r="N29" i="52" s="1"/>
  <c r="B30" i="57"/>
  <c r="D30" i="57" s="1"/>
  <c r="N29" i="57"/>
  <c r="B30" i="56"/>
  <c r="D30" i="56" s="1"/>
  <c r="N29" i="56"/>
  <c r="D28" i="59"/>
  <c r="B31" i="58"/>
  <c r="D31" i="58" s="1"/>
  <c r="N30" i="58"/>
  <c r="L28" i="59"/>
  <c r="B29" i="54"/>
  <c r="D29" i="54" s="1"/>
  <c r="N28" i="54"/>
  <c r="B30" i="53"/>
  <c r="D30" i="53" s="1"/>
  <c r="N29" i="53"/>
  <c r="B28" i="51"/>
  <c r="D28" i="51" s="1"/>
  <c r="N27" i="51"/>
  <c r="L28" i="50"/>
  <c r="L29" i="48"/>
  <c r="B28" i="46"/>
  <c r="D28" i="46" s="1"/>
  <c r="N27" i="46"/>
  <c r="B29" i="44"/>
  <c r="D29" i="44" s="1"/>
  <c r="N28" i="44"/>
  <c r="B29" i="43"/>
  <c r="D29" i="43" s="1"/>
  <c r="N28" i="43"/>
  <c r="L28" i="42"/>
  <c r="D28" i="40"/>
  <c r="L28" i="38"/>
  <c r="L28" i="39"/>
  <c r="B29" i="40"/>
  <c r="D29" i="40" s="1"/>
  <c r="D28" i="33"/>
  <c r="L28" i="33"/>
  <c r="D29" i="32"/>
  <c r="L29" i="32"/>
  <c r="L28" i="34"/>
  <c r="D28" i="28"/>
  <c r="N27" i="28"/>
  <c r="D29" i="29"/>
  <c r="N28" i="29"/>
  <c r="D28" i="30"/>
  <c r="N27" i="30"/>
  <c r="B27" i="17"/>
  <c r="D27" i="17" s="1"/>
  <c r="N26" i="17"/>
  <c r="B27" i="16"/>
  <c r="D27" i="16" s="1"/>
  <c r="D26" i="16"/>
  <c r="L27" i="12"/>
  <c r="D25" i="11"/>
  <c r="L25" i="11"/>
  <c r="J24" i="4"/>
  <c r="D24" i="4"/>
  <c r="B33" i="67" l="1"/>
  <c r="D33" i="67" s="1"/>
  <c r="L33" i="67"/>
  <c r="N33" i="67"/>
  <c r="B33" i="68"/>
  <c r="D33" i="68" s="1"/>
  <c r="N32" i="68"/>
  <c r="B35" i="70"/>
  <c r="D35" i="70" s="1"/>
  <c r="L35" i="70"/>
  <c r="N35" i="70"/>
  <c r="B30" i="47"/>
  <c r="D30" i="47" s="1"/>
  <c r="B32" i="69"/>
  <c r="D32" i="69" s="1"/>
  <c r="N31" i="69"/>
  <c r="B28" i="9"/>
  <c r="L28" i="9" s="1"/>
  <c r="N27" i="9"/>
  <c r="L29" i="29"/>
  <c r="L29" i="49"/>
  <c r="N29" i="49" s="1"/>
  <c r="L28" i="55"/>
  <c r="B29" i="55" s="1"/>
  <c r="D29" i="55" s="1"/>
  <c r="B27" i="15"/>
  <c r="D27" i="15" s="1"/>
  <c r="B30" i="45"/>
  <c r="N29" i="45"/>
  <c r="L30" i="53"/>
  <c r="B31" i="53" s="1"/>
  <c r="D31" i="53" s="1"/>
  <c r="B30" i="52"/>
  <c r="D30" i="52" s="1"/>
  <c r="L28" i="51"/>
  <c r="B29" i="51" s="1"/>
  <c r="D29" i="51" s="1"/>
  <c r="L30" i="56"/>
  <c r="L30" i="57"/>
  <c r="B29" i="59"/>
  <c r="D29" i="59" s="1"/>
  <c r="N28" i="59"/>
  <c r="L31" i="58"/>
  <c r="L29" i="54"/>
  <c r="B29" i="50"/>
  <c r="D29" i="50" s="1"/>
  <c r="N28" i="50"/>
  <c r="B30" i="48"/>
  <c r="D30" i="48" s="1"/>
  <c r="N29" i="48"/>
  <c r="L28" i="46"/>
  <c r="L29" i="44"/>
  <c r="L29" i="43"/>
  <c r="B29" i="42"/>
  <c r="D29" i="42" s="1"/>
  <c r="N28" i="42"/>
  <c r="B29" i="39"/>
  <c r="D29" i="39" s="1"/>
  <c r="N28" i="39"/>
  <c r="L29" i="40"/>
  <c r="B29" i="38"/>
  <c r="D29" i="38" s="1"/>
  <c r="N28" i="38"/>
  <c r="B29" i="33"/>
  <c r="L29" i="33" s="1"/>
  <c r="N28" i="33"/>
  <c r="B29" i="34"/>
  <c r="D29" i="34" s="1"/>
  <c r="N28" i="34"/>
  <c r="B30" i="32"/>
  <c r="D30" i="32" s="1"/>
  <c r="N29" i="32"/>
  <c r="L28" i="30"/>
  <c r="L28" i="28"/>
  <c r="L27" i="17"/>
  <c r="L27" i="16"/>
  <c r="B28" i="12"/>
  <c r="N27" i="12"/>
  <c r="B26" i="11"/>
  <c r="L26" i="11" s="1"/>
  <c r="N25" i="11"/>
  <c r="L24" i="4"/>
  <c r="B34" i="67" l="1"/>
  <c r="D34" i="67" s="1"/>
  <c r="L33" i="68"/>
  <c r="B36" i="70"/>
  <c r="D36" i="70" s="1"/>
  <c r="L36" i="70"/>
  <c r="N36" i="70"/>
  <c r="F29" i="28"/>
  <c r="N29" i="28"/>
  <c r="F29" i="30"/>
  <c r="N29" i="30"/>
  <c r="D28" i="9"/>
  <c r="L30" i="47"/>
  <c r="B31" i="47" s="1"/>
  <c r="D31" i="47" s="1"/>
  <c r="L32" i="69"/>
  <c r="B29" i="9"/>
  <c r="D29" i="9" s="1"/>
  <c r="N28" i="9"/>
  <c r="N28" i="55"/>
  <c r="N30" i="47"/>
  <c r="L30" i="48"/>
  <c r="N30" i="48" s="1"/>
  <c r="B30" i="49"/>
  <c r="D30" i="49" s="1"/>
  <c r="L27" i="15"/>
  <c r="B28" i="15" s="1"/>
  <c r="D28" i="15" s="1"/>
  <c r="L29" i="55"/>
  <c r="N29" i="55" s="1"/>
  <c r="L29" i="39"/>
  <c r="N29" i="39" s="1"/>
  <c r="N30" i="53"/>
  <c r="L30" i="52"/>
  <c r="B31" i="52" s="1"/>
  <c r="D31" i="52" s="1"/>
  <c r="D30" i="45"/>
  <c r="L30" i="45"/>
  <c r="L29" i="59"/>
  <c r="N29" i="59" s="1"/>
  <c r="N28" i="51"/>
  <c r="L29" i="38"/>
  <c r="N29" i="38" s="1"/>
  <c r="L29" i="42"/>
  <c r="B30" i="42" s="1"/>
  <c r="D30" i="42" s="1"/>
  <c r="B31" i="57"/>
  <c r="D31" i="57" s="1"/>
  <c r="N30" i="57"/>
  <c r="B32" i="58"/>
  <c r="D32" i="58" s="1"/>
  <c r="N31" i="58"/>
  <c r="B31" i="56"/>
  <c r="D31" i="56" s="1"/>
  <c r="N30" i="56"/>
  <c r="L29" i="50"/>
  <c r="L31" i="53"/>
  <c r="L29" i="51"/>
  <c r="B30" i="54"/>
  <c r="D30" i="54" s="1"/>
  <c r="N29" i="54"/>
  <c r="B31" i="48"/>
  <c r="D31" i="48" s="1"/>
  <c r="L30" i="49"/>
  <c r="B29" i="46"/>
  <c r="D29" i="46" s="1"/>
  <c r="N28" i="46"/>
  <c r="B30" i="44"/>
  <c r="D30" i="44" s="1"/>
  <c r="N29" i="44"/>
  <c r="B30" i="43"/>
  <c r="D30" i="43" s="1"/>
  <c r="N29" i="43"/>
  <c r="B30" i="40"/>
  <c r="D30" i="40" s="1"/>
  <c r="N29" i="40"/>
  <c r="B30" i="33"/>
  <c r="D30" i="33" s="1"/>
  <c r="N29" i="33"/>
  <c r="L29" i="34"/>
  <c r="L30" i="32"/>
  <c r="D29" i="33"/>
  <c r="D29" i="28"/>
  <c r="N28" i="28"/>
  <c r="D29" i="30"/>
  <c r="N28" i="30"/>
  <c r="B28" i="17"/>
  <c r="D28" i="17" s="1"/>
  <c r="N27" i="17"/>
  <c r="B28" i="16"/>
  <c r="N27" i="16"/>
  <c r="D28" i="12"/>
  <c r="L28" i="12"/>
  <c r="B27" i="11"/>
  <c r="D27" i="11" s="1"/>
  <c r="N26" i="11"/>
  <c r="D26" i="11"/>
  <c r="B25" i="4"/>
  <c r="N24" i="4"/>
  <c r="L34" i="67" l="1"/>
  <c r="B34" i="68"/>
  <c r="D34" i="68" s="1"/>
  <c r="N33" i="68"/>
  <c r="B37" i="70"/>
  <c r="D37" i="70" s="1"/>
  <c r="L37" i="70"/>
  <c r="L29" i="9"/>
  <c r="L31" i="47"/>
  <c r="B32" i="47" s="1"/>
  <c r="D32" i="47" s="1"/>
  <c r="B30" i="55"/>
  <c r="D30" i="55" s="1"/>
  <c r="B33" i="69"/>
  <c r="D33" i="69" s="1"/>
  <c r="N32" i="69"/>
  <c r="N27" i="15"/>
  <c r="B30" i="59"/>
  <c r="D30" i="59" s="1"/>
  <c r="B30" i="39"/>
  <c r="L30" i="55"/>
  <c r="N30" i="55" s="1"/>
  <c r="L28" i="17"/>
  <c r="N28" i="17" s="1"/>
  <c r="N30" i="52"/>
  <c r="L31" i="56"/>
  <c r="B32" i="56" s="1"/>
  <c r="D32" i="56" s="1"/>
  <c r="L30" i="44"/>
  <c r="L31" i="57"/>
  <c r="N31" i="57" s="1"/>
  <c r="B31" i="45"/>
  <c r="N30" i="45"/>
  <c r="L30" i="54"/>
  <c r="N30" i="54" s="1"/>
  <c r="N29" i="42"/>
  <c r="L30" i="33"/>
  <c r="N30" i="33" s="1"/>
  <c r="B30" i="38"/>
  <c r="D30" i="38" s="1"/>
  <c r="L32" i="58"/>
  <c r="L30" i="59"/>
  <c r="B30" i="51"/>
  <c r="D30" i="51" s="1"/>
  <c r="N29" i="51"/>
  <c r="B30" i="50"/>
  <c r="D30" i="50" s="1"/>
  <c r="N29" i="50"/>
  <c r="B32" i="53"/>
  <c r="D32" i="53" s="1"/>
  <c r="N31" i="53"/>
  <c r="L31" i="52"/>
  <c r="B31" i="49"/>
  <c r="D31" i="49" s="1"/>
  <c r="N30" i="49"/>
  <c r="L31" i="48"/>
  <c r="L29" i="46"/>
  <c r="L30" i="43"/>
  <c r="L30" i="42"/>
  <c r="L30" i="40"/>
  <c r="B31" i="32"/>
  <c r="D31" i="32" s="1"/>
  <c r="N30" i="32"/>
  <c r="B30" i="34"/>
  <c r="D30" i="34" s="1"/>
  <c r="N29" i="34"/>
  <c r="L29" i="28"/>
  <c r="L29" i="30"/>
  <c r="D28" i="16"/>
  <c r="L28" i="16"/>
  <c r="L28" i="15"/>
  <c r="B29" i="12"/>
  <c r="D29" i="12" s="1"/>
  <c r="N28" i="12"/>
  <c r="L27" i="11"/>
  <c r="D30" i="9"/>
  <c r="N29" i="9"/>
  <c r="J25" i="4"/>
  <c r="D25" i="4"/>
  <c r="B35" i="67" l="1"/>
  <c r="D35" i="67" s="1"/>
  <c r="L35" i="67"/>
  <c r="N35" i="67"/>
  <c r="N34" i="67"/>
  <c r="L34" i="68"/>
  <c r="B38" i="70"/>
  <c r="D38" i="70" s="1"/>
  <c r="L38" i="70"/>
  <c r="N38" i="70"/>
  <c r="N37" i="70"/>
  <c r="L32" i="47"/>
  <c r="B33" i="47" s="1"/>
  <c r="D33" i="47" s="1"/>
  <c r="N31" i="47"/>
  <c r="L33" i="69"/>
  <c r="B31" i="55"/>
  <c r="D31" i="55" s="1"/>
  <c r="L30" i="34"/>
  <c r="N30" i="34" s="1"/>
  <c r="B29" i="17"/>
  <c r="D29" i="17" s="1"/>
  <c r="D30" i="39"/>
  <c r="L30" i="39"/>
  <c r="B31" i="33"/>
  <c r="D31" i="33" s="1"/>
  <c r="L31" i="49"/>
  <c r="B32" i="49" s="1"/>
  <c r="D32" i="49" s="1"/>
  <c r="B32" i="57"/>
  <c r="N31" i="56"/>
  <c r="L30" i="50"/>
  <c r="B31" i="50" s="1"/>
  <c r="D31" i="50" s="1"/>
  <c r="B31" i="44"/>
  <c r="D31" i="44" s="1"/>
  <c r="B31" i="54"/>
  <c r="D31" i="54" s="1"/>
  <c r="N30" i="44"/>
  <c r="D31" i="45"/>
  <c r="L31" i="45"/>
  <c r="L29" i="17"/>
  <c r="B30" i="17" s="1"/>
  <c r="D30" i="17" s="1"/>
  <c r="L30" i="38"/>
  <c r="B31" i="38" s="1"/>
  <c r="D31" i="38" s="1"/>
  <c r="L31" i="32"/>
  <c r="N31" i="32" s="1"/>
  <c r="L30" i="51"/>
  <c r="N30" i="51" s="1"/>
  <c r="L32" i="53"/>
  <c r="N32" i="53" s="1"/>
  <c r="B31" i="59"/>
  <c r="D31" i="59" s="1"/>
  <c r="N30" i="59"/>
  <c r="L32" i="56"/>
  <c r="B33" i="58"/>
  <c r="D33" i="58" s="1"/>
  <c r="N32" i="58"/>
  <c r="B32" i="52"/>
  <c r="D32" i="52" s="1"/>
  <c r="N31" i="52"/>
  <c r="B32" i="48"/>
  <c r="D32" i="48" s="1"/>
  <c r="L32" i="48"/>
  <c r="N31" i="48"/>
  <c r="B30" i="46"/>
  <c r="D30" i="46" s="1"/>
  <c r="N29" i="46"/>
  <c r="B31" i="43"/>
  <c r="D31" i="43" s="1"/>
  <c r="N30" i="43"/>
  <c r="B31" i="42"/>
  <c r="D31" i="42" s="1"/>
  <c r="N30" i="42"/>
  <c r="B31" i="40"/>
  <c r="D31" i="40" s="1"/>
  <c r="L31" i="40"/>
  <c r="N30" i="40"/>
  <c r="B29" i="16"/>
  <c r="D29" i="16" s="1"/>
  <c r="N28" i="16"/>
  <c r="B29" i="15"/>
  <c r="D29" i="15" s="1"/>
  <c r="N28" i="15"/>
  <c r="L29" i="12"/>
  <c r="B28" i="11"/>
  <c r="D28" i="11" s="1"/>
  <c r="N27" i="11"/>
  <c r="L30" i="9"/>
  <c r="L25" i="4"/>
  <c r="B36" i="67" l="1"/>
  <c r="D36" i="67" s="1"/>
  <c r="B35" i="68"/>
  <c r="D35" i="68" s="1"/>
  <c r="L35" i="68"/>
  <c r="N35" i="68"/>
  <c r="N34" i="68"/>
  <c r="B39" i="70"/>
  <c r="D39" i="70" s="1"/>
  <c r="L39" i="70"/>
  <c r="N39" i="70"/>
  <c r="F31" i="9"/>
  <c r="N31" i="9"/>
  <c r="N31" i="49"/>
  <c r="N32" i="47"/>
  <c r="L31" i="55"/>
  <c r="N31" i="55" s="1"/>
  <c r="B34" i="69"/>
  <c r="D34" i="69" s="1"/>
  <c r="N33" i="69"/>
  <c r="B31" i="34"/>
  <c r="D31" i="34" s="1"/>
  <c r="L31" i="33"/>
  <c r="B32" i="33" s="1"/>
  <c r="D32" i="33" s="1"/>
  <c r="B31" i="39"/>
  <c r="N30" i="39"/>
  <c r="N29" i="17"/>
  <c r="B33" i="53"/>
  <c r="D33" i="53" s="1"/>
  <c r="L31" i="44"/>
  <c r="N30" i="50"/>
  <c r="D32" i="57"/>
  <c r="L32" i="57"/>
  <c r="L31" i="54"/>
  <c r="N31" i="54" s="1"/>
  <c r="B32" i="32"/>
  <c r="D32" i="32" s="1"/>
  <c r="N30" i="38"/>
  <c r="N31" i="45"/>
  <c r="B32" i="45"/>
  <c r="L31" i="43"/>
  <c r="B32" i="43" s="1"/>
  <c r="D32" i="43" s="1"/>
  <c r="L32" i="52"/>
  <c r="N32" i="52" s="1"/>
  <c r="L29" i="16"/>
  <c r="B30" i="16" s="1"/>
  <c r="D30" i="16" s="1"/>
  <c r="B31" i="51"/>
  <c r="D31" i="51" s="1"/>
  <c r="B33" i="56"/>
  <c r="D33" i="56" s="1"/>
  <c r="N32" i="56"/>
  <c r="L33" i="58"/>
  <c r="L31" i="59"/>
  <c r="B32" i="55"/>
  <c r="D32" i="55" s="1"/>
  <c r="L31" i="50"/>
  <c r="B33" i="48"/>
  <c r="D33" i="48" s="1"/>
  <c r="L32" i="49"/>
  <c r="N32" i="48"/>
  <c r="L33" i="47"/>
  <c r="L30" i="46"/>
  <c r="L31" i="42"/>
  <c r="B32" i="40"/>
  <c r="D32" i="40" s="1"/>
  <c r="L31" i="38"/>
  <c r="N31" i="40"/>
  <c r="L30" i="17"/>
  <c r="L29" i="15"/>
  <c r="B30" i="15" s="1"/>
  <c r="D30" i="15" s="1"/>
  <c r="D30" i="12"/>
  <c r="N29" i="12"/>
  <c r="L28" i="11"/>
  <c r="D31" i="9"/>
  <c r="N30" i="9"/>
  <c r="B26" i="4"/>
  <c r="N25" i="4"/>
  <c r="L36" i="67" l="1"/>
  <c r="B36" i="68"/>
  <c r="D36" i="68" s="1"/>
  <c r="L36" i="68"/>
  <c r="N36" i="68"/>
  <c r="B40" i="70"/>
  <c r="D40" i="70" s="1"/>
  <c r="L40" i="70"/>
  <c r="N40" i="70"/>
  <c r="L31" i="34"/>
  <c r="N31" i="33"/>
  <c r="L34" i="69"/>
  <c r="D31" i="39"/>
  <c r="L31" i="39"/>
  <c r="L33" i="53"/>
  <c r="B32" i="54"/>
  <c r="D32" i="54" s="1"/>
  <c r="B32" i="44"/>
  <c r="D32" i="44" s="1"/>
  <c r="N31" i="44"/>
  <c r="N32" i="57"/>
  <c r="B33" i="57"/>
  <c r="D33" i="57" s="1"/>
  <c r="N29" i="16"/>
  <c r="N31" i="43"/>
  <c r="L32" i="32"/>
  <c r="B33" i="32" s="1"/>
  <c r="D33" i="32" s="1"/>
  <c r="B33" i="52"/>
  <c r="D33" i="52" s="1"/>
  <c r="L31" i="9"/>
  <c r="D32" i="45"/>
  <c r="L32" i="45"/>
  <c r="L33" i="56"/>
  <c r="N33" i="56" s="1"/>
  <c r="L32" i="43"/>
  <c r="N32" i="43" s="1"/>
  <c r="L31" i="51"/>
  <c r="L32" i="55"/>
  <c r="N32" i="55" s="1"/>
  <c r="B32" i="59"/>
  <c r="D32" i="59" s="1"/>
  <c r="N31" i="59"/>
  <c r="B34" i="58"/>
  <c r="D34" i="58" s="1"/>
  <c r="N33" i="58"/>
  <c r="B32" i="50"/>
  <c r="D32" i="50" s="1"/>
  <c r="N31" i="50"/>
  <c r="L33" i="48"/>
  <c r="B33" i="49"/>
  <c r="D33" i="49" s="1"/>
  <c r="N32" i="49"/>
  <c r="B34" i="47"/>
  <c r="D34" i="47" s="1"/>
  <c r="N33" i="47"/>
  <c r="B31" i="46"/>
  <c r="D31" i="46" s="1"/>
  <c r="N30" i="46"/>
  <c r="B32" i="42"/>
  <c r="D32" i="42" s="1"/>
  <c r="N31" i="42"/>
  <c r="B32" i="38"/>
  <c r="D32" i="38" s="1"/>
  <c r="N31" i="38"/>
  <c r="L32" i="40"/>
  <c r="B32" i="34"/>
  <c r="D32" i="34" s="1"/>
  <c r="N31" i="34"/>
  <c r="L32" i="33"/>
  <c r="B31" i="17"/>
  <c r="D31" i="17" s="1"/>
  <c r="N30" i="17"/>
  <c r="D49" i="16"/>
  <c r="L30" i="16"/>
  <c r="L30" i="15"/>
  <c r="N29" i="15"/>
  <c r="L30" i="12"/>
  <c r="N31" i="12" s="1"/>
  <c r="B29" i="11"/>
  <c r="D29" i="11" s="1"/>
  <c r="N28" i="11"/>
  <c r="J26" i="4"/>
  <c r="L26" i="4" s="1"/>
  <c r="D26" i="4"/>
  <c r="B37" i="67" l="1"/>
  <c r="D37" i="67" s="1"/>
  <c r="L37" i="67"/>
  <c r="N37" i="67"/>
  <c r="N36" i="67"/>
  <c r="B37" i="68"/>
  <c r="D37" i="68" s="1"/>
  <c r="L37" i="68"/>
  <c r="N37" i="68"/>
  <c r="B41" i="70"/>
  <c r="D41" i="70" s="1"/>
  <c r="L41" i="70"/>
  <c r="L32" i="54"/>
  <c r="B33" i="54" s="1"/>
  <c r="D33" i="54" s="1"/>
  <c r="B35" i="69"/>
  <c r="D35" i="69" s="1"/>
  <c r="N34" i="69"/>
  <c r="N30" i="12"/>
  <c r="F31" i="12"/>
  <c r="L33" i="52"/>
  <c r="B34" i="52" s="1"/>
  <c r="D34" i="52" s="1"/>
  <c r="N32" i="54"/>
  <c r="N32" i="32"/>
  <c r="N31" i="39"/>
  <c r="B32" i="39"/>
  <c r="L33" i="57"/>
  <c r="N33" i="57" s="1"/>
  <c r="B34" i="53"/>
  <c r="N33" i="53"/>
  <c r="B34" i="57"/>
  <c r="D34" i="57" s="1"/>
  <c r="L32" i="44"/>
  <c r="B34" i="56"/>
  <c r="D34" i="56" s="1"/>
  <c r="B33" i="43"/>
  <c r="D33" i="43" s="1"/>
  <c r="L33" i="49"/>
  <c r="B34" i="49" s="1"/>
  <c r="D34" i="49" s="1"/>
  <c r="B33" i="45"/>
  <c r="N32" i="45"/>
  <c r="B33" i="55"/>
  <c r="D33" i="55" s="1"/>
  <c r="B32" i="51"/>
  <c r="N31" i="51"/>
  <c r="L32" i="59"/>
  <c r="N32" i="59" s="1"/>
  <c r="L34" i="58"/>
  <c r="L33" i="54"/>
  <c r="L32" i="50"/>
  <c r="B34" i="48"/>
  <c r="D34" i="48" s="1"/>
  <c r="N33" i="48"/>
  <c r="L34" i="47"/>
  <c r="L31" i="46"/>
  <c r="L32" i="42"/>
  <c r="L32" i="38"/>
  <c r="B33" i="40"/>
  <c r="D33" i="40" s="1"/>
  <c r="N32" i="40"/>
  <c r="L33" i="32"/>
  <c r="B33" i="33"/>
  <c r="D33" i="33" s="1"/>
  <c r="N32" i="33"/>
  <c r="L32" i="34"/>
  <c r="L31" i="17"/>
  <c r="B31" i="16"/>
  <c r="D31" i="16" s="1"/>
  <c r="N30" i="16"/>
  <c r="N30" i="15"/>
  <c r="B31" i="15"/>
  <c r="D31" i="15" s="1"/>
  <c r="D31" i="12"/>
  <c r="L29" i="11"/>
  <c r="B27" i="4"/>
  <c r="N26" i="4"/>
  <c r="B38" i="67" l="1"/>
  <c r="D38" i="67" s="1"/>
  <c r="L38" i="67"/>
  <c r="N38" i="67"/>
  <c r="B38" i="68"/>
  <c r="D38" i="68" s="1"/>
  <c r="L38" i="68"/>
  <c r="N38" i="68"/>
  <c r="N41" i="70"/>
  <c r="B42" i="70"/>
  <c r="D42" i="70" s="1"/>
  <c r="L42" i="70"/>
  <c r="L35" i="69"/>
  <c r="N33" i="52"/>
  <c r="L34" i="57"/>
  <c r="B35" i="57" s="1"/>
  <c r="D35" i="57" s="1"/>
  <c r="D32" i="39"/>
  <c r="L32" i="39"/>
  <c r="N33" i="49"/>
  <c r="D34" i="53"/>
  <c r="L34" i="53"/>
  <c r="N32" i="44"/>
  <c r="B33" i="44"/>
  <c r="D33" i="44" s="1"/>
  <c r="L33" i="43"/>
  <c r="N33" i="43" s="1"/>
  <c r="L34" i="56"/>
  <c r="B35" i="56" s="1"/>
  <c r="D35" i="56" s="1"/>
  <c r="B33" i="59"/>
  <c r="L33" i="55"/>
  <c r="N33" i="55" s="1"/>
  <c r="D33" i="45"/>
  <c r="L33" i="45"/>
  <c r="D32" i="51"/>
  <c r="L32" i="51"/>
  <c r="L31" i="15"/>
  <c r="B32" i="15" s="1"/>
  <c r="D32" i="15" s="1"/>
  <c r="B35" i="58"/>
  <c r="D35" i="58" s="1"/>
  <c r="N34" i="58"/>
  <c r="L34" i="52"/>
  <c r="B33" i="50"/>
  <c r="D33" i="50" s="1"/>
  <c r="N32" i="50"/>
  <c r="B34" i="54"/>
  <c r="D34" i="54" s="1"/>
  <c r="N33" i="54"/>
  <c r="L34" i="48"/>
  <c r="L34" i="49"/>
  <c r="B35" i="47"/>
  <c r="D35" i="47" s="1"/>
  <c r="N34" i="47"/>
  <c r="B32" i="46"/>
  <c r="D32" i="46" s="1"/>
  <c r="N31" i="46"/>
  <c r="B33" i="42"/>
  <c r="D33" i="42" s="1"/>
  <c r="N32" i="42"/>
  <c r="B33" i="38"/>
  <c r="D33" i="38" s="1"/>
  <c r="N32" i="38"/>
  <c r="L33" i="40"/>
  <c r="L33" i="33"/>
  <c r="B33" i="34"/>
  <c r="D33" i="34" s="1"/>
  <c r="N32" i="34"/>
  <c r="B34" i="32"/>
  <c r="D34" i="32" s="1"/>
  <c r="N33" i="32"/>
  <c r="B32" i="17"/>
  <c r="D32" i="17" s="1"/>
  <c r="N31" i="17"/>
  <c r="D50" i="16"/>
  <c r="L31" i="16"/>
  <c r="L31" i="12"/>
  <c r="D30" i="11"/>
  <c r="N29" i="11"/>
  <c r="J27" i="4"/>
  <c r="L27" i="4" s="1"/>
  <c r="D27" i="4"/>
  <c r="B39" i="67" l="1"/>
  <c r="D39" i="67" s="1"/>
  <c r="L39" i="67"/>
  <c r="N39" i="67"/>
  <c r="B39" i="68"/>
  <c r="D39" i="68" s="1"/>
  <c r="L39" i="68"/>
  <c r="B43" i="70"/>
  <c r="D43" i="70" s="1"/>
  <c r="L43" i="70"/>
  <c r="N43" i="70"/>
  <c r="N42" i="70"/>
  <c r="B36" i="69"/>
  <c r="D36" i="69" s="1"/>
  <c r="N35" i="69"/>
  <c r="L35" i="57"/>
  <c r="B36" i="57" s="1"/>
  <c r="D36" i="57" s="1"/>
  <c r="L33" i="50"/>
  <c r="N33" i="50" s="1"/>
  <c r="B34" i="43"/>
  <c r="D34" i="43" s="1"/>
  <c r="N34" i="57"/>
  <c r="N34" i="56"/>
  <c r="L35" i="47"/>
  <c r="B36" i="47" s="1"/>
  <c r="D36" i="47" s="1"/>
  <c r="N32" i="39"/>
  <c r="B33" i="39"/>
  <c r="D33" i="39" s="1"/>
  <c r="L30" i="11"/>
  <c r="N31" i="11" s="1"/>
  <c r="L33" i="44"/>
  <c r="B34" i="55"/>
  <c r="D34" i="55" s="1"/>
  <c r="B35" i="53"/>
  <c r="N34" i="53"/>
  <c r="L33" i="42"/>
  <c r="N33" i="42" s="1"/>
  <c r="L35" i="56"/>
  <c r="N35" i="56" s="1"/>
  <c r="N33" i="45"/>
  <c r="B34" i="45"/>
  <c r="D33" i="59"/>
  <c r="L33" i="59"/>
  <c r="L32" i="15"/>
  <c r="B33" i="15" s="1"/>
  <c r="D33" i="15" s="1"/>
  <c r="N31" i="15"/>
  <c r="B33" i="51"/>
  <c r="D33" i="51" s="1"/>
  <c r="N32" i="51"/>
  <c r="L34" i="54"/>
  <c r="N34" i="54" s="1"/>
  <c r="L35" i="58"/>
  <c r="B35" i="52"/>
  <c r="D35" i="52" s="1"/>
  <c r="N34" i="52"/>
  <c r="B35" i="49"/>
  <c r="D35" i="49" s="1"/>
  <c r="N34" i="49"/>
  <c r="B35" i="48"/>
  <c r="D35" i="48" s="1"/>
  <c r="N34" i="48"/>
  <c r="L32" i="46"/>
  <c r="B34" i="40"/>
  <c r="D34" i="40" s="1"/>
  <c r="N33" i="40"/>
  <c r="L33" i="38"/>
  <c r="L33" i="34"/>
  <c r="L34" i="32"/>
  <c r="B34" i="33"/>
  <c r="D34" i="33" s="1"/>
  <c r="N33" i="33"/>
  <c r="L32" i="17"/>
  <c r="B32" i="16"/>
  <c r="D32" i="16" s="1"/>
  <c r="N31" i="16"/>
  <c r="B28" i="4"/>
  <c r="N27" i="4"/>
  <c r="B40" i="67" l="1"/>
  <c r="D40" i="67" s="1"/>
  <c r="L40" i="67"/>
  <c r="N40" i="67"/>
  <c r="N39" i="68"/>
  <c r="B40" i="68"/>
  <c r="D40" i="68" s="1"/>
  <c r="L40" i="68"/>
  <c r="B44" i="70"/>
  <c r="D44" i="70" s="1"/>
  <c r="L44" i="70"/>
  <c r="N44" i="70"/>
  <c r="L36" i="69"/>
  <c r="B34" i="50"/>
  <c r="D34" i="50" s="1"/>
  <c r="N35" i="57"/>
  <c r="L36" i="57"/>
  <c r="B37" i="57" s="1"/>
  <c r="D37" i="57" s="1"/>
  <c r="L34" i="43"/>
  <c r="B35" i="43" s="1"/>
  <c r="D35" i="43" s="1"/>
  <c r="N30" i="11"/>
  <c r="F31" i="11"/>
  <c r="L35" i="52"/>
  <c r="B36" i="52" s="1"/>
  <c r="D36" i="52" s="1"/>
  <c r="N35" i="47"/>
  <c r="L33" i="39"/>
  <c r="D31" i="11"/>
  <c r="B34" i="42"/>
  <c r="D34" i="42" s="1"/>
  <c r="L34" i="55"/>
  <c r="B35" i="55" s="1"/>
  <c r="D35" i="55" s="1"/>
  <c r="B36" i="56"/>
  <c r="D36" i="56" s="1"/>
  <c r="D35" i="53"/>
  <c r="L35" i="53"/>
  <c r="L33" i="15"/>
  <c r="B34" i="15" s="1"/>
  <c r="D34" i="15" s="1"/>
  <c r="B34" i="44"/>
  <c r="N33" i="44"/>
  <c r="B34" i="59"/>
  <c r="N33" i="59"/>
  <c r="N32" i="15"/>
  <c r="D34" i="45"/>
  <c r="L34" i="45"/>
  <c r="L33" i="51"/>
  <c r="B34" i="51" s="1"/>
  <c r="D34" i="51" s="1"/>
  <c r="B35" i="54"/>
  <c r="D35" i="54" s="1"/>
  <c r="N36" i="57"/>
  <c r="B36" i="58"/>
  <c r="D36" i="58" s="1"/>
  <c r="N35" i="58"/>
  <c r="L35" i="48"/>
  <c r="L35" i="49"/>
  <c r="L36" i="47"/>
  <c r="B33" i="46"/>
  <c r="D33" i="46" s="1"/>
  <c r="N32" i="46"/>
  <c r="B34" i="38"/>
  <c r="D34" i="38" s="1"/>
  <c r="N33" i="38"/>
  <c r="L34" i="40"/>
  <c r="L34" i="33"/>
  <c r="B35" i="32"/>
  <c r="D35" i="32" s="1"/>
  <c r="N34" i="32"/>
  <c r="B34" i="34"/>
  <c r="D34" i="34" s="1"/>
  <c r="N33" i="34"/>
  <c r="B33" i="17"/>
  <c r="D33" i="17" s="1"/>
  <c r="N32" i="17"/>
  <c r="D51" i="16"/>
  <c r="L32" i="16"/>
  <c r="J28" i="4"/>
  <c r="L28" i="4" s="1"/>
  <c r="D28" i="4"/>
  <c r="B41" i="67" l="1"/>
  <c r="D41" i="67" s="1"/>
  <c r="L41" i="67"/>
  <c r="N41" i="67"/>
  <c r="B41" i="68"/>
  <c r="D41" i="68" s="1"/>
  <c r="L41" i="68"/>
  <c r="N40" i="68"/>
  <c r="B45" i="70"/>
  <c r="D45" i="70" s="1"/>
  <c r="L45" i="70"/>
  <c r="N34" i="43"/>
  <c r="N35" i="52"/>
  <c r="L34" i="50"/>
  <c r="N34" i="50" s="1"/>
  <c r="B37" i="69"/>
  <c r="D37" i="69" s="1"/>
  <c r="N36" i="69"/>
  <c r="B35" i="50"/>
  <c r="D35" i="50" s="1"/>
  <c r="L35" i="55"/>
  <c r="B36" i="55" s="1"/>
  <c r="D36" i="55" s="1"/>
  <c r="L31" i="11"/>
  <c r="L34" i="42"/>
  <c r="B35" i="42" s="1"/>
  <c r="D35" i="42" s="1"/>
  <c r="B34" i="39"/>
  <c r="N33" i="39"/>
  <c r="N34" i="55"/>
  <c r="N33" i="15"/>
  <c r="L36" i="56"/>
  <c r="B37" i="56" s="1"/>
  <c r="D37" i="56" s="1"/>
  <c r="D34" i="44"/>
  <c r="L34" i="44"/>
  <c r="N35" i="53"/>
  <c r="B36" i="53"/>
  <c r="D36" i="53" s="1"/>
  <c r="L34" i="51"/>
  <c r="B35" i="51" s="1"/>
  <c r="D35" i="51" s="1"/>
  <c r="N33" i="51"/>
  <c r="N35" i="55"/>
  <c r="L35" i="32"/>
  <c r="N35" i="32" s="1"/>
  <c r="L36" i="52"/>
  <c r="B37" i="52" s="1"/>
  <c r="D37" i="52" s="1"/>
  <c r="B35" i="45"/>
  <c r="D35" i="45" s="1"/>
  <c r="N34" i="45"/>
  <c r="L35" i="54"/>
  <c r="N35" i="54" s="1"/>
  <c r="L36" i="58"/>
  <c r="B37" i="58" s="1"/>
  <c r="D37" i="58" s="1"/>
  <c r="D34" i="59"/>
  <c r="L34" i="59"/>
  <c r="L34" i="34"/>
  <c r="N34" i="34" s="1"/>
  <c r="L37" i="57"/>
  <c r="L35" i="50"/>
  <c r="B36" i="49"/>
  <c r="D36" i="49" s="1"/>
  <c r="N35" i="49"/>
  <c r="B36" i="48"/>
  <c r="D36" i="48" s="1"/>
  <c r="N35" i="48"/>
  <c r="B37" i="47"/>
  <c r="D37" i="47" s="1"/>
  <c r="N36" i="47"/>
  <c r="L33" i="46"/>
  <c r="L35" i="43"/>
  <c r="B35" i="40"/>
  <c r="D35" i="40" s="1"/>
  <c r="N34" i="40"/>
  <c r="L34" i="38"/>
  <c r="B35" i="33"/>
  <c r="D35" i="33" s="1"/>
  <c r="N34" i="33"/>
  <c r="L33" i="17"/>
  <c r="B33" i="16"/>
  <c r="D33" i="16" s="1"/>
  <c r="N32" i="16"/>
  <c r="L34" i="15"/>
  <c r="B29" i="4"/>
  <c r="N28" i="4"/>
  <c r="B42" i="67" l="1"/>
  <c r="D42" i="67" s="1"/>
  <c r="L42" i="67"/>
  <c r="N42" i="67"/>
  <c r="N41" i="68"/>
  <c r="B42" i="68"/>
  <c r="D42" i="68" s="1"/>
  <c r="L42" i="68"/>
  <c r="N42" i="68"/>
  <c r="N45" i="70"/>
  <c r="B46" i="70"/>
  <c r="D46" i="70" s="1"/>
  <c r="L46" i="70"/>
  <c r="L36" i="55"/>
  <c r="B37" i="55" s="1"/>
  <c r="D37" i="55" s="1"/>
  <c r="N34" i="42"/>
  <c r="L37" i="69"/>
  <c r="D34" i="39"/>
  <c r="L34" i="39"/>
  <c r="N36" i="56"/>
  <c r="N34" i="51"/>
  <c r="L36" i="53"/>
  <c r="B37" i="53" s="1"/>
  <c r="D37" i="53" s="1"/>
  <c r="N36" i="55"/>
  <c r="N34" i="44"/>
  <c r="B35" i="44"/>
  <c r="B36" i="32"/>
  <c r="D36" i="32" s="1"/>
  <c r="N36" i="58"/>
  <c r="L35" i="45"/>
  <c r="B35" i="34"/>
  <c r="D35" i="34" s="1"/>
  <c r="N36" i="52"/>
  <c r="B36" i="54"/>
  <c r="D36" i="54" s="1"/>
  <c r="L37" i="58"/>
  <c r="B38" i="58" s="1"/>
  <c r="D38" i="58" s="1"/>
  <c r="B35" i="59"/>
  <c r="D35" i="59" s="1"/>
  <c r="N34" i="59"/>
  <c r="L35" i="51"/>
  <c r="L33" i="16"/>
  <c r="B34" i="16" s="1"/>
  <c r="D34" i="16" s="1"/>
  <c r="L37" i="55"/>
  <c r="N37" i="55" s="1"/>
  <c r="L37" i="52"/>
  <c r="B38" i="52" s="1"/>
  <c r="D38" i="52" s="1"/>
  <c r="L35" i="33"/>
  <c r="N35" i="33" s="1"/>
  <c r="B38" i="57"/>
  <c r="D38" i="57" s="1"/>
  <c r="N37" i="57"/>
  <c r="L37" i="56"/>
  <c r="B36" i="50"/>
  <c r="D36" i="50" s="1"/>
  <c r="N35" i="50"/>
  <c r="L36" i="48"/>
  <c r="L36" i="49"/>
  <c r="L37" i="47"/>
  <c r="B34" i="46"/>
  <c r="D34" i="46" s="1"/>
  <c r="N33" i="46"/>
  <c r="B36" i="43"/>
  <c r="D36" i="43" s="1"/>
  <c r="N35" i="43"/>
  <c r="L35" i="42"/>
  <c r="B35" i="38"/>
  <c r="D35" i="38" s="1"/>
  <c r="N34" i="38"/>
  <c r="L35" i="40"/>
  <c r="B34" i="17"/>
  <c r="D34" i="17" s="1"/>
  <c r="N33" i="17"/>
  <c r="B35" i="15"/>
  <c r="D35" i="15" s="1"/>
  <c r="N34" i="15"/>
  <c r="J29" i="4"/>
  <c r="L29" i="4" s="1"/>
  <c r="D29" i="4"/>
  <c r="B43" i="67" l="1"/>
  <c r="D43" i="67" s="1"/>
  <c r="L43" i="67"/>
  <c r="B43" i="68"/>
  <c r="D43" i="68" s="1"/>
  <c r="L43" i="68"/>
  <c r="N43" i="68"/>
  <c r="B47" i="70"/>
  <c r="D47" i="70" s="1"/>
  <c r="L47" i="70"/>
  <c r="N47" i="70"/>
  <c r="N46" i="70"/>
  <c r="N36" i="53"/>
  <c r="B38" i="69"/>
  <c r="D38" i="69" s="1"/>
  <c r="L38" i="69"/>
  <c r="N37" i="69"/>
  <c r="L37" i="53"/>
  <c r="B38" i="53" s="1"/>
  <c r="D38" i="53" s="1"/>
  <c r="L35" i="59"/>
  <c r="N35" i="59" s="1"/>
  <c r="B35" i="39"/>
  <c r="N34" i="39"/>
  <c r="D35" i="44"/>
  <c r="L35" i="44"/>
  <c r="L36" i="32"/>
  <c r="N36" i="32" s="1"/>
  <c r="N37" i="52"/>
  <c r="L35" i="34"/>
  <c r="B36" i="34" s="1"/>
  <c r="D36" i="34" s="1"/>
  <c r="N37" i="58"/>
  <c r="L35" i="38"/>
  <c r="N35" i="38" s="1"/>
  <c r="L36" i="54"/>
  <c r="B37" i="54" s="1"/>
  <c r="D37" i="54" s="1"/>
  <c r="N35" i="45"/>
  <c r="B36" i="45"/>
  <c r="B36" i="51"/>
  <c r="D36" i="51" s="1"/>
  <c r="N35" i="51"/>
  <c r="B38" i="55"/>
  <c r="D38" i="55" s="1"/>
  <c r="N33" i="16"/>
  <c r="B36" i="33"/>
  <c r="L38" i="57"/>
  <c r="L38" i="58"/>
  <c r="B38" i="56"/>
  <c r="D38" i="56" s="1"/>
  <c r="N37" i="56"/>
  <c r="L38" i="52"/>
  <c r="L36" i="50"/>
  <c r="B37" i="49"/>
  <c r="D37" i="49" s="1"/>
  <c r="N36" i="49"/>
  <c r="B37" i="48"/>
  <c r="D37" i="48" s="1"/>
  <c r="N36" i="48"/>
  <c r="B38" i="47"/>
  <c r="D38" i="47" s="1"/>
  <c r="N37" i="47"/>
  <c r="L34" i="46"/>
  <c r="L36" i="43"/>
  <c r="B36" i="42"/>
  <c r="D36" i="42" s="1"/>
  <c r="N35" i="42"/>
  <c r="B36" i="40"/>
  <c r="D36" i="40" s="1"/>
  <c r="N35" i="40"/>
  <c r="L34" i="17"/>
  <c r="L34" i="16"/>
  <c r="L35" i="15"/>
  <c r="N35" i="15" s="1"/>
  <c r="B30" i="4"/>
  <c r="N29" i="4"/>
  <c r="N43" i="67" l="1"/>
  <c r="B44" i="67"/>
  <c r="D44" i="67" s="1"/>
  <c r="L44" i="67"/>
  <c r="B44" i="68"/>
  <c r="D44" i="68" s="1"/>
  <c r="L44" i="68"/>
  <c r="N44" i="68"/>
  <c r="B48" i="70"/>
  <c r="D48" i="70" s="1"/>
  <c r="L48" i="70"/>
  <c r="N48" i="70"/>
  <c r="B39" i="69"/>
  <c r="D39" i="69" s="1"/>
  <c r="N38" i="69"/>
  <c r="B36" i="59"/>
  <c r="L36" i="59" s="1"/>
  <c r="N37" i="53"/>
  <c r="D35" i="39"/>
  <c r="L35" i="39"/>
  <c r="B36" i="38"/>
  <c r="D36" i="38" s="1"/>
  <c r="L38" i="47"/>
  <c r="N38" i="47" s="1"/>
  <c r="L38" i="53"/>
  <c r="B39" i="53" s="1"/>
  <c r="D39" i="53" s="1"/>
  <c r="L36" i="42"/>
  <c r="N36" i="42" s="1"/>
  <c r="B37" i="32"/>
  <c r="D37" i="32" s="1"/>
  <c r="B36" i="44"/>
  <c r="D36" i="44" s="1"/>
  <c r="N35" i="44"/>
  <c r="N35" i="34"/>
  <c r="L37" i="48"/>
  <c r="N37" i="48" s="1"/>
  <c r="N36" i="54"/>
  <c r="L36" i="51"/>
  <c r="B37" i="51" s="1"/>
  <c r="D37" i="51" s="1"/>
  <c r="B36" i="15"/>
  <c r="D36" i="15" s="1"/>
  <c r="L38" i="56"/>
  <c r="N38" i="56" s="1"/>
  <c r="D36" i="45"/>
  <c r="L36" i="45"/>
  <c r="L38" i="55"/>
  <c r="N38" i="55" s="1"/>
  <c r="D36" i="33"/>
  <c r="L36" i="33"/>
  <c r="B39" i="58"/>
  <c r="D39" i="58" s="1"/>
  <c r="N38" i="58"/>
  <c r="B39" i="57"/>
  <c r="D39" i="57" s="1"/>
  <c r="N38" i="57"/>
  <c r="L37" i="54"/>
  <c r="B37" i="50"/>
  <c r="D37" i="50" s="1"/>
  <c r="N36" i="50"/>
  <c r="B39" i="52"/>
  <c r="D39" i="52" s="1"/>
  <c r="N38" i="52"/>
  <c r="L37" i="49"/>
  <c r="B35" i="46"/>
  <c r="D35" i="46" s="1"/>
  <c r="N34" i="46"/>
  <c r="B37" i="43"/>
  <c r="D37" i="43" s="1"/>
  <c r="N36" i="43"/>
  <c r="L36" i="40"/>
  <c r="L36" i="34"/>
  <c r="B35" i="17"/>
  <c r="D35" i="17" s="1"/>
  <c r="N34" i="17"/>
  <c r="B35" i="16"/>
  <c r="D35" i="16" s="1"/>
  <c r="N34" i="16"/>
  <c r="J30" i="4"/>
  <c r="D30" i="4"/>
  <c r="D46" i="4" s="1"/>
  <c r="B46" i="4"/>
  <c r="B45" i="67" l="1"/>
  <c r="D45" i="67" s="1"/>
  <c r="L45" i="67"/>
  <c r="N45" i="67"/>
  <c r="N44" i="67"/>
  <c r="B45" i="68"/>
  <c r="D45" i="68" s="1"/>
  <c r="L45" i="68"/>
  <c r="N45" i="68"/>
  <c r="B49" i="70"/>
  <c r="D49" i="70" s="1"/>
  <c r="L49" i="70"/>
  <c r="N49" i="70"/>
  <c r="D36" i="59"/>
  <c r="N38" i="53"/>
  <c r="L39" i="69"/>
  <c r="L36" i="38"/>
  <c r="N36" i="38" s="1"/>
  <c r="B37" i="42"/>
  <c r="D37" i="42" s="1"/>
  <c r="N35" i="39"/>
  <c r="B36" i="39"/>
  <c r="B39" i="47"/>
  <c r="D39" i="47" s="1"/>
  <c r="L36" i="15"/>
  <c r="B37" i="15" s="1"/>
  <c r="D37" i="15" s="1"/>
  <c r="L36" i="44"/>
  <c r="B37" i="44" s="1"/>
  <c r="B39" i="56"/>
  <c r="D39" i="56" s="1"/>
  <c r="L37" i="32"/>
  <c r="B38" i="32" s="1"/>
  <c r="D38" i="32" s="1"/>
  <c r="B38" i="48"/>
  <c r="D38" i="48" s="1"/>
  <c r="N36" i="44"/>
  <c r="L37" i="51"/>
  <c r="B38" i="51" s="1"/>
  <c r="D38" i="51" s="1"/>
  <c r="B39" i="55"/>
  <c r="D39" i="55" s="1"/>
  <c r="N36" i="51"/>
  <c r="L39" i="53"/>
  <c r="L39" i="57"/>
  <c r="N39" i="57" s="1"/>
  <c r="B37" i="45"/>
  <c r="D37" i="45" s="1"/>
  <c r="N36" i="45"/>
  <c r="B37" i="59"/>
  <c r="N36" i="59"/>
  <c r="B37" i="33"/>
  <c r="N36" i="33"/>
  <c r="L39" i="58"/>
  <c r="N39" i="58" s="1"/>
  <c r="L37" i="43"/>
  <c r="N37" i="43" s="1"/>
  <c r="L37" i="50"/>
  <c r="L39" i="52"/>
  <c r="B38" i="54"/>
  <c r="D38" i="54" s="1"/>
  <c r="L38" i="54"/>
  <c r="N37" i="54"/>
  <c r="B38" i="49"/>
  <c r="D38" i="49" s="1"/>
  <c r="N37" i="49"/>
  <c r="L35" i="46"/>
  <c r="B37" i="40"/>
  <c r="D37" i="40" s="1"/>
  <c r="N36" i="40"/>
  <c r="B37" i="34"/>
  <c r="D37" i="34" s="1"/>
  <c r="N36" i="34"/>
  <c r="L35" i="17"/>
  <c r="L35" i="16"/>
  <c r="J46" i="4"/>
  <c r="L30" i="4"/>
  <c r="B46" i="67" l="1"/>
  <c r="D46" i="67" s="1"/>
  <c r="B46" i="68"/>
  <c r="D46" i="68" s="1"/>
  <c r="L46" i="68"/>
  <c r="N46" i="68"/>
  <c r="B50" i="70"/>
  <c r="D50" i="70" s="1"/>
  <c r="L50" i="70"/>
  <c r="N50" i="70"/>
  <c r="B37" i="38"/>
  <c r="D37" i="38" s="1"/>
  <c r="B40" i="69"/>
  <c r="D40" i="69" s="1"/>
  <c r="N39" i="69"/>
  <c r="L37" i="42"/>
  <c r="B38" i="42" s="1"/>
  <c r="D38" i="42" s="1"/>
  <c r="N36" i="15"/>
  <c r="N37" i="32"/>
  <c r="L37" i="45"/>
  <c r="B38" i="45" s="1"/>
  <c r="D38" i="45" s="1"/>
  <c r="D36" i="39"/>
  <c r="L36" i="39"/>
  <c r="L39" i="47"/>
  <c r="N39" i="47" s="1"/>
  <c r="L39" i="56"/>
  <c r="N39" i="56" s="1"/>
  <c r="L38" i="48"/>
  <c r="B39" i="48" s="1"/>
  <c r="D39" i="48" s="1"/>
  <c r="B40" i="57"/>
  <c r="D40" i="57" s="1"/>
  <c r="N37" i="51"/>
  <c r="B40" i="53"/>
  <c r="N39" i="53"/>
  <c r="D37" i="44"/>
  <c r="L37" i="44"/>
  <c r="L39" i="55"/>
  <c r="B40" i="55" s="1"/>
  <c r="D40" i="55" s="1"/>
  <c r="L38" i="49"/>
  <c r="N38" i="49" s="1"/>
  <c r="L37" i="40"/>
  <c r="N37" i="40" s="1"/>
  <c r="D37" i="59"/>
  <c r="L37" i="59"/>
  <c r="D37" i="33"/>
  <c r="L37" i="33"/>
  <c r="L37" i="34"/>
  <c r="B38" i="34" s="1"/>
  <c r="D38" i="34" s="1"/>
  <c r="B38" i="43"/>
  <c r="B40" i="58"/>
  <c r="D40" i="58" s="1"/>
  <c r="B38" i="50"/>
  <c r="D38" i="50" s="1"/>
  <c r="N37" i="50"/>
  <c r="B40" i="52"/>
  <c r="N39" i="52"/>
  <c r="B39" i="54"/>
  <c r="D39" i="54" s="1"/>
  <c r="N38" i="54"/>
  <c r="L38" i="51"/>
  <c r="B36" i="46"/>
  <c r="D36" i="46" s="1"/>
  <c r="N35" i="46"/>
  <c r="L37" i="38"/>
  <c r="L38" i="32"/>
  <c r="B36" i="17"/>
  <c r="D36" i="17" s="1"/>
  <c r="N35" i="17"/>
  <c r="B36" i="16"/>
  <c r="D36" i="16" s="1"/>
  <c r="N35" i="16"/>
  <c r="L37" i="15"/>
  <c r="L31" i="4"/>
  <c r="N31" i="4" s="1"/>
  <c r="N30" i="4"/>
  <c r="L46" i="67" l="1"/>
  <c r="B47" i="68"/>
  <c r="D47" i="68" s="1"/>
  <c r="L47" i="68"/>
  <c r="N47" i="68"/>
  <c r="B51" i="70"/>
  <c r="D51" i="70" s="1"/>
  <c r="L51" i="70"/>
  <c r="N37" i="45"/>
  <c r="L40" i="69"/>
  <c r="N37" i="42"/>
  <c r="D40" i="53"/>
  <c r="D47" i="53" s="1"/>
  <c r="B47" i="53"/>
  <c r="B40" i="56"/>
  <c r="D40" i="56" s="1"/>
  <c r="B40" i="47"/>
  <c r="D40" i="47" s="1"/>
  <c r="B38" i="40"/>
  <c r="D38" i="40" s="1"/>
  <c r="N38" i="48"/>
  <c r="N36" i="39"/>
  <c r="B37" i="39"/>
  <c r="L40" i="57"/>
  <c r="N40" i="57" s="1"/>
  <c r="N39" i="55"/>
  <c r="L40" i="55"/>
  <c r="B41" i="55" s="1"/>
  <c r="D41" i="55" s="1"/>
  <c r="B39" i="49"/>
  <c r="D39" i="49" s="1"/>
  <c r="B38" i="44"/>
  <c r="D38" i="44" s="1"/>
  <c r="N37" i="44"/>
  <c r="L40" i="53"/>
  <c r="L39" i="48"/>
  <c r="N39" i="48" s="1"/>
  <c r="L38" i="45"/>
  <c r="N37" i="59"/>
  <c r="B38" i="59"/>
  <c r="D38" i="59" s="1"/>
  <c r="B38" i="33"/>
  <c r="N37" i="33"/>
  <c r="N37" i="34"/>
  <c r="L38" i="34"/>
  <c r="N38" i="34" s="1"/>
  <c r="L36" i="17"/>
  <c r="B37" i="17" s="1"/>
  <c r="D37" i="17" s="1"/>
  <c r="D38" i="43"/>
  <c r="L38" i="43"/>
  <c r="L40" i="58"/>
  <c r="B39" i="51"/>
  <c r="D39" i="51" s="1"/>
  <c r="N38" i="51"/>
  <c r="D40" i="52"/>
  <c r="D47" i="52" s="1"/>
  <c r="B47" i="52"/>
  <c r="L38" i="50"/>
  <c r="L39" i="54"/>
  <c r="L40" i="52"/>
  <c r="L36" i="46"/>
  <c r="L38" i="42"/>
  <c r="B38" i="38"/>
  <c r="D38" i="38" s="1"/>
  <c r="N37" i="38"/>
  <c r="D39" i="32"/>
  <c r="N38" i="32"/>
  <c r="L36" i="16"/>
  <c r="B38" i="15"/>
  <c r="D38" i="15" s="1"/>
  <c r="N37" i="15"/>
  <c r="L32" i="4"/>
  <c r="N32" i="4" s="1"/>
  <c r="B47" i="67" l="1"/>
  <c r="D47" i="67" s="1"/>
  <c r="L47" i="67"/>
  <c r="N46" i="67"/>
  <c r="B48" i="68"/>
  <c r="D48" i="68" s="1"/>
  <c r="L48" i="68"/>
  <c r="N48" i="68"/>
  <c r="N51" i="70"/>
  <c r="B52" i="70"/>
  <c r="D52" i="70" s="1"/>
  <c r="L52" i="70"/>
  <c r="L40" i="47"/>
  <c r="B41" i="47" s="1"/>
  <c r="D41" i="47" s="1"/>
  <c r="B41" i="69"/>
  <c r="D41" i="69" s="1"/>
  <c r="N40" i="69"/>
  <c r="L38" i="40"/>
  <c r="B39" i="40" s="1"/>
  <c r="D39" i="40" s="1"/>
  <c r="L40" i="56"/>
  <c r="B41" i="56" s="1"/>
  <c r="D41" i="56" s="1"/>
  <c r="B41" i="57"/>
  <c r="D41" i="57" s="1"/>
  <c r="D37" i="39"/>
  <c r="L37" i="39"/>
  <c r="L38" i="44"/>
  <c r="N38" i="44" s="1"/>
  <c r="N40" i="55"/>
  <c r="L38" i="59"/>
  <c r="N38" i="59" s="1"/>
  <c r="L39" i="49"/>
  <c r="B33" i="29"/>
  <c r="L41" i="53"/>
  <c r="N40" i="53"/>
  <c r="B40" i="48"/>
  <c r="D40" i="48" s="1"/>
  <c r="D39" i="34"/>
  <c r="N40" i="47"/>
  <c r="N36" i="17"/>
  <c r="N38" i="45"/>
  <c r="B39" i="45"/>
  <c r="D39" i="45" s="1"/>
  <c r="L37" i="17"/>
  <c r="B38" i="17" s="1"/>
  <c r="D38" i="17" s="1"/>
  <c r="D38" i="33"/>
  <c r="L38" i="33"/>
  <c r="N38" i="43"/>
  <c r="B39" i="43"/>
  <c r="D39" i="43" s="1"/>
  <c r="N40" i="58"/>
  <c r="B41" i="58"/>
  <c r="D41" i="58" s="1"/>
  <c r="L41" i="55"/>
  <c r="N41" i="55" s="1"/>
  <c r="L39" i="51"/>
  <c r="B39" i="50"/>
  <c r="D39" i="50" s="1"/>
  <c r="N38" i="50"/>
  <c r="L41" i="52"/>
  <c r="N40" i="52"/>
  <c r="B40" i="54"/>
  <c r="L40" i="54" s="1"/>
  <c r="N39" i="54"/>
  <c r="B37" i="46"/>
  <c r="D37" i="46" s="1"/>
  <c r="N36" i="46"/>
  <c r="B39" i="42"/>
  <c r="D39" i="42" s="1"/>
  <c r="N38" i="42"/>
  <c r="L38" i="38"/>
  <c r="L39" i="32"/>
  <c r="B37" i="16"/>
  <c r="D37" i="16" s="1"/>
  <c r="N36" i="16"/>
  <c r="L38" i="15"/>
  <c r="F33" i="4"/>
  <c r="N47" i="67" l="1"/>
  <c r="B48" i="67"/>
  <c r="D48" i="67" s="1"/>
  <c r="L48" i="67"/>
  <c r="B49" i="68"/>
  <c r="D49" i="68" s="1"/>
  <c r="L49" i="68"/>
  <c r="N49" i="68"/>
  <c r="B53" i="70"/>
  <c r="D53" i="70" s="1"/>
  <c r="L53" i="70"/>
  <c r="N53" i="70"/>
  <c r="N52" i="70"/>
  <c r="L41" i="47"/>
  <c r="B42" i="47" s="1"/>
  <c r="D42" i="47" s="1"/>
  <c r="F40" i="32"/>
  <c r="N40" i="32"/>
  <c r="L41" i="57"/>
  <c r="B42" i="57" s="1"/>
  <c r="D42" i="57" s="1"/>
  <c r="L39" i="45"/>
  <c r="N39" i="45" s="1"/>
  <c r="N38" i="40"/>
  <c r="L41" i="69"/>
  <c r="N40" i="56"/>
  <c r="B39" i="44"/>
  <c r="D39" i="44" s="1"/>
  <c r="B39" i="59"/>
  <c r="D39" i="59" s="1"/>
  <c r="N37" i="39"/>
  <c r="B38" i="39"/>
  <c r="N39" i="49"/>
  <c r="B40" i="49"/>
  <c r="D40" i="49" s="1"/>
  <c r="N41" i="47"/>
  <c r="L40" i="48"/>
  <c r="B41" i="48" s="1"/>
  <c r="D41" i="48" s="1"/>
  <c r="N41" i="53"/>
  <c r="L42" i="53"/>
  <c r="L39" i="34"/>
  <c r="N40" i="34" s="1"/>
  <c r="D33" i="29"/>
  <c r="L39" i="44"/>
  <c r="L41" i="58"/>
  <c r="B42" i="58" s="1"/>
  <c r="D42" i="58" s="1"/>
  <c r="N37" i="17"/>
  <c r="N38" i="33"/>
  <c r="L39" i="43"/>
  <c r="B40" i="43" s="1"/>
  <c r="D40" i="43" s="1"/>
  <c r="L39" i="50"/>
  <c r="N39" i="50" s="1"/>
  <c r="B42" i="55"/>
  <c r="D42" i="55" s="1"/>
  <c r="L41" i="56"/>
  <c r="L41" i="54"/>
  <c r="N41" i="54" s="1"/>
  <c r="N40" i="54"/>
  <c r="L42" i="52"/>
  <c r="B40" i="51"/>
  <c r="L40" i="51" s="1"/>
  <c r="N39" i="51"/>
  <c r="D40" i="54"/>
  <c r="D62" i="54" s="1"/>
  <c r="B62" i="54"/>
  <c r="N41" i="52"/>
  <c r="L42" i="47"/>
  <c r="L37" i="46"/>
  <c r="L39" i="42"/>
  <c r="L39" i="40"/>
  <c r="B39" i="38"/>
  <c r="D39" i="38" s="1"/>
  <c r="N38" i="38"/>
  <c r="L40" i="32"/>
  <c r="N39" i="32"/>
  <c r="L38" i="17"/>
  <c r="L37" i="16"/>
  <c r="B39" i="15"/>
  <c r="D39" i="15" s="1"/>
  <c r="L39" i="15"/>
  <c r="N39" i="15" s="1"/>
  <c r="N38" i="15"/>
  <c r="L33" i="4"/>
  <c r="B49" i="67" l="1"/>
  <c r="D49" i="67" s="1"/>
  <c r="L49" i="67"/>
  <c r="N48" i="67"/>
  <c r="B50" i="68"/>
  <c r="D50" i="68" s="1"/>
  <c r="L50" i="68"/>
  <c r="N50" i="68"/>
  <c r="B54" i="70"/>
  <c r="D54" i="70" s="1"/>
  <c r="L54" i="70"/>
  <c r="N54" i="70"/>
  <c r="F43" i="53"/>
  <c r="F47" i="53" s="1"/>
  <c r="P4" i="53" s="1"/>
  <c r="N43" i="53"/>
  <c r="N42" i="52"/>
  <c r="N43" i="52"/>
  <c r="N41" i="57"/>
  <c r="L42" i="57"/>
  <c r="N42" i="57" s="1"/>
  <c r="B40" i="45"/>
  <c r="L40" i="45" s="1"/>
  <c r="B42" i="69"/>
  <c r="D42" i="69" s="1"/>
  <c r="N41" i="69"/>
  <c r="L39" i="59"/>
  <c r="D40" i="34"/>
  <c r="D44" i="34" s="1"/>
  <c r="F40" i="34"/>
  <c r="N40" i="48"/>
  <c r="D38" i="39"/>
  <c r="L38" i="39"/>
  <c r="N42" i="53"/>
  <c r="N39" i="34"/>
  <c r="L40" i="49"/>
  <c r="B41" i="49" s="1"/>
  <c r="B40" i="44"/>
  <c r="D40" i="44" s="1"/>
  <c r="N39" i="44"/>
  <c r="L42" i="58"/>
  <c r="B43" i="58" s="1"/>
  <c r="D43" i="58" s="1"/>
  <c r="L43" i="53"/>
  <c r="N41" i="58"/>
  <c r="N39" i="43"/>
  <c r="L40" i="43"/>
  <c r="B41" i="43" s="1"/>
  <c r="D41" i="43" s="1"/>
  <c r="B40" i="50"/>
  <c r="D40" i="50" s="1"/>
  <c r="D47" i="50" s="1"/>
  <c r="L42" i="55"/>
  <c r="B43" i="55" s="1"/>
  <c r="D43" i="55" s="1"/>
  <c r="D39" i="33"/>
  <c r="L39" i="33"/>
  <c r="B42" i="56"/>
  <c r="D42" i="56" s="1"/>
  <c r="N41" i="56"/>
  <c r="B43" i="57"/>
  <c r="D43" i="57" s="1"/>
  <c r="L41" i="51"/>
  <c r="N41" i="51" s="1"/>
  <c r="F43" i="52"/>
  <c r="F47" i="52" s="1"/>
  <c r="P4" i="52" s="1"/>
  <c r="N40" i="51"/>
  <c r="D40" i="51"/>
  <c r="D47" i="51" s="1"/>
  <c r="B47" i="51"/>
  <c r="L42" i="54"/>
  <c r="N43" i="54" s="1"/>
  <c r="L41" i="48"/>
  <c r="B43" i="47"/>
  <c r="D43" i="47" s="1"/>
  <c r="N42" i="47"/>
  <c r="B38" i="46"/>
  <c r="D38" i="46" s="1"/>
  <c r="N37" i="46"/>
  <c r="B40" i="42"/>
  <c r="D40" i="42" s="1"/>
  <c r="N39" i="42"/>
  <c r="B40" i="40"/>
  <c r="N39" i="40"/>
  <c r="L39" i="38"/>
  <c r="D40" i="32"/>
  <c r="D44" i="32" s="1"/>
  <c r="B44" i="32"/>
  <c r="B39" i="17"/>
  <c r="D39" i="17" s="1"/>
  <c r="N38" i="17"/>
  <c r="B38" i="16"/>
  <c r="D38" i="16" s="1"/>
  <c r="N37" i="16"/>
  <c r="B40" i="15"/>
  <c r="L34" i="4"/>
  <c r="N33" i="4"/>
  <c r="N49" i="67" l="1"/>
  <c r="B50" i="67"/>
  <c r="D50" i="67" s="1"/>
  <c r="L50" i="67"/>
  <c r="B51" i="68"/>
  <c r="D51" i="68" s="1"/>
  <c r="L51" i="68"/>
  <c r="L55" i="70"/>
  <c r="N55" i="70"/>
  <c r="F40" i="33"/>
  <c r="N40" i="33"/>
  <c r="N42" i="58"/>
  <c r="D40" i="45"/>
  <c r="N40" i="49"/>
  <c r="L42" i="69"/>
  <c r="B47" i="50"/>
  <c r="N39" i="59"/>
  <c r="B40" i="59"/>
  <c r="N47" i="53"/>
  <c r="P6" i="53" s="1"/>
  <c r="P7" i="53" s="1"/>
  <c r="M34" i="79" s="1"/>
  <c r="L40" i="34"/>
  <c r="B44" i="34"/>
  <c r="N38" i="39"/>
  <c r="B39" i="39"/>
  <c r="L40" i="44"/>
  <c r="N40" i="44" s="1"/>
  <c r="D41" i="49"/>
  <c r="L41" i="49"/>
  <c r="L43" i="58"/>
  <c r="B44" i="58" s="1"/>
  <c r="N40" i="43"/>
  <c r="L43" i="47"/>
  <c r="B44" i="47" s="1"/>
  <c r="D44" i="47" s="1"/>
  <c r="L40" i="50"/>
  <c r="L41" i="50" s="1"/>
  <c r="N40" i="45"/>
  <c r="B41" i="45"/>
  <c r="N42" i="55"/>
  <c r="L38" i="46"/>
  <c r="B39" i="46" s="1"/>
  <c r="D39" i="46" s="1"/>
  <c r="B44" i="33"/>
  <c r="N39" i="33"/>
  <c r="L43" i="57"/>
  <c r="N43" i="57" s="1"/>
  <c r="L43" i="55"/>
  <c r="L42" i="56"/>
  <c r="F43" i="54"/>
  <c r="F62" i="54" s="1"/>
  <c r="P4" i="54" s="1"/>
  <c r="N42" i="54"/>
  <c r="L42" i="51"/>
  <c r="L43" i="52"/>
  <c r="B42" i="48"/>
  <c r="D42" i="48" s="1"/>
  <c r="N41" i="48"/>
  <c r="L41" i="43"/>
  <c r="L40" i="42"/>
  <c r="D40" i="40"/>
  <c r="D47" i="40" s="1"/>
  <c r="B47" i="40"/>
  <c r="B40" i="38"/>
  <c r="L40" i="38" s="1"/>
  <c r="N40" i="38" s="1"/>
  <c r="N39" i="38"/>
  <c r="L40" i="40"/>
  <c r="L39" i="17"/>
  <c r="L38" i="16"/>
  <c r="N38" i="16" s="1"/>
  <c r="D40" i="15"/>
  <c r="L40" i="15"/>
  <c r="B41" i="15" s="1"/>
  <c r="D41" i="15" s="1"/>
  <c r="D35" i="9"/>
  <c r="B35" i="9"/>
  <c r="L35" i="4"/>
  <c r="N34" i="4"/>
  <c r="B51" i="67" l="1"/>
  <c r="D51" i="67" s="1"/>
  <c r="L51" i="67"/>
  <c r="N51" i="67"/>
  <c r="N50" i="67"/>
  <c r="N51" i="68"/>
  <c r="B52" i="68"/>
  <c r="D52" i="68" s="1"/>
  <c r="L52" i="68"/>
  <c r="N52" i="68"/>
  <c r="F57" i="70"/>
  <c r="L56" i="70"/>
  <c r="N56" i="70"/>
  <c r="N42" i="51"/>
  <c r="N43" i="51"/>
  <c r="F62" i="66"/>
  <c r="B39" i="16"/>
  <c r="D39" i="16" s="1"/>
  <c r="B43" i="69"/>
  <c r="D43" i="69" s="1"/>
  <c r="N42" i="69"/>
  <c r="P12" i="53"/>
  <c r="L40" i="59"/>
  <c r="D40" i="59"/>
  <c r="B41" i="44"/>
  <c r="L41" i="44" s="1"/>
  <c r="L43" i="54"/>
  <c r="L39" i="39"/>
  <c r="D39" i="39"/>
  <c r="N43" i="58"/>
  <c r="D44" i="58"/>
  <c r="L44" i="58"/>
  <c r="B45" i="58" s="1"/>
  <c r="D45" i="58" s="1"/>
  <c r="B42" i="49"/>
  <c r="D42" i="49" s="1"/>
  <c r="N41" i="49"/>
  <c r="F33" i="29"/>
  <c r="P4" i="29" s="1"/>
  <c r="N38" i="46"/>
  <c r="N43" i="47"/>
  <c r="N40" i="50"/>
  <c r="B44" i="57"/>
  <c r="D44" i="57" s="1"/>
  <c r="D41" i="45"/>
  <c r="L41" i="45"/>
  <c r="L42" i="48"/>
  <c r="N42" i="48" s="1"/>
  <c r="L40" i="33"/>
  <c r="D40" i="33"/>
  <c r="D44" i="33" s="1"/>
  <c r="L44" i="47"/>
  <c r="B43" i="56"/>
  <c r="D43" i="56" s="1"/>
  <c r="N42" i="56"/>
  <c r="B44" i="55"/>
  <c r="D44" i="55" s="1"/>
  <c r="N43" i="55"/>
  <c r="N62" i="54"/>
  <c r="N47" i="52"/>
  <c r="F43" i="51"/>
  <c r="F47" i="51" s="1"/>
  <c r="P4" i="51" s="1"/>
  <c r="P9" i="53"/>
  <c r="I34" i="79" s="1"/>
  <c r="P13" i="53"/>
  <c r="L42" i="50"/>
  <c r="N43" i="50" s="1"/>
  <c r="N41" i="50"/>
  <c r="L39" i="46"/>
  <c r="B42" i="43"/>
  <c r="D42" i="43" s="1"/>
  <c r="N41" i="43"/>
  <c r="B41" i="42"/>
  <c r="D41" i="42" s="1"/>
  <c r="N40" i="42"/>
  <c r="D40" i="38"/>
  <c r="D47" i="38" s="1"/>
  <c r="B47" i="38"/>
  <c r="L41" i="38"/>
  <c r="N41" i="38" s="1"/>
  <c r="L41" i="40"/>
  <c r="N40" i="40"/>
  <c r="F44" i="32"/>
  <c r="P4" i="32" s="1"/>
  <c r="B40" i="17"/>
  <c r="D40" i="17" s="1"/>
  <c r="N39" i="17"/>
  <c r="L39" i="16"/>
  <c r="L41" i="15"/>
  <c r="B42" i="15" s="1"/>
  <c r="N40" i="15"/>
  <c r="L36" i="4"/>
  <c r="N36" i="4" s="1"/>
  <c r="N35" i="4"/>
  <c r="B52" i="67" l="1"/>
  <c r="D52" i="67" s="1"/>
  <c r="B53" i="68"/>
  <c r="D53" i="68" s="1"/>
  <c r="L53" i="68"/>
  <c r="N57" i="70"/>
  <c r="L57" i="70"/>
  <c r="L43" i="69"/>
  <c r="N43" i="69" s="1"/>
  <c r="L42" i="43"/>
  <c r="N42" i="43" s="1"/>
  <c r="P30" i="53"/>
  <c r="I33" i="72"/>
  <c r="K33" i="72" s="1"/>
  <c r="K34" i="79"/>
  <c r="P40" i="53"/>
  <c r="D41" i="44"/>
  <c r="P41" i="53"/>
  <c r="P29" i="53"/>
  <c r="P28" i="53"/>
  <c r="P26" i="53"/>
  <c r="P27" i="53"/>
  <c r="N44" i="47"/>
  <c r="B45" i="47"/>
  <c r="D45" i="47" s="1"/>
  <c r="P37" i="53"/>
  <c r="P24" i="53"/>
  <c r="P34" i="53"/>
  <c r="P23" i="53"/>
  <c r="P25" i="53"/>
  <c r="P36" i="53"/>
  <c r="P14" i="53"/>
  <c r="P35" i="53"/>
  <c r="P22" i="53"/>
  <c r="R22" i="53" s="1"/>
  <c r="P39" i="53"/>
  <c r="P38" i="53"/>
  <c r="P43" i="53"/>
  <c r="P32" i="53"/>
  <c r="P33" i="53"/>
  <c r="P31" i="53"/>
  <c r="P42" i="53"/>
  <c r="D62" i="66"/>
  <c r="B62" i="66"/>
  <c r="B44" i="69"/>
  <c r="D44" i="69" s="1"/>
  <c r="N40" i="59"/>
  <c r="B41" i="59"/>
  <c r="N44" i="58"/>
  <c r="L42" i="49"/>
  <c r="B43" i="49" s="1"/>
  <c r="D43" i="49" s="1"/>
  <c r="N39" i="39"/>
  <c r="B40" i="39"/>
  <c r="B47" i="39" s="1"/>
  <c r="L41" i="42"/>
  <c r="B42" i="42" s="1"/>
  <c r="D42" i="42" s="1"/>
  <c r="N41" i="44"/>
  <c r="B42" i="44"/>
  <c r="L43" i="56"/>
  <c r="N43" i="56" s="1"/>
  <c r="L44" i="57"/>
  <c r="B45" i="57" s="1"/>
  <c r="D45" i="57" s="1"/>
  <c r="B43" i="48"/>
  <c r="D43" i="48" s="1"/>
  <c r="B42" i="45"/>
  <c r="D42" i="45" s="1"/>
  <c r="N41" i="45"/>
  <c r="L44" i="55"/>
  <c r="L45" i="58"/>
  <c r="L43" i="51"/>
  <c r="P6" i="52"/>
  <c r="P7" i="52" s="1"/>
  <c r="M33" i="79" s="1"/>
  <c r="P12" i="52"/>
  <c r="P6" i="54"/>
  <c r="P7" i="54" s="1"/>
  <c r="M35" i="79" s="1"/>
  <c r="P12" i="54"/>
  <c r="F43" i="50"/>
  <c r="F47" i="50" s="1"/>
  <c r="P4" i="50" s="1"/>
  <c r="N42" i="50"/>
  <c r="B40" i="46"/>
  <c r="D40" i="46" s="1"/>
  <c r="N39" i="46"/>
  <c r="L42" i="40"/>
  <c r="L42" i="38"/>
  <c r="N43" i="38" s="1"/>
  <c r="N41" i="40"/>
  <c r="F44" i="34"/>
  <c r="P4" i="34" s="1"/>
  <c r="D33" i="30"/>
  <c r="B33" i="30"/>
  <c r="D33" i="28"/>
  <c r="B33" i="28"/>
  <c r="L40" i="17"/>
  <c r="B40" i="16"/>
  <c r="N39" i="16"/>
  <c r="N41" i="15"/>
  <c r="D42" i="15"/>
  <c r="L42" i="15"/>
  <c r="D35" i="12"/>
  <c r="B35" i="12"/>
  <c r="F35" i="9"/>
  <c r="P4" i="9" s="1"/>
  <c r="L37" i="4"/>
  <c r="L52" i="67" l="1"/>
  <c r="N53" i="68"/>
  <c r="B54" i="68"/>
  <c r="D54" i="68" s="1"/>
  <c r="L54" i="68"/>
  <c r="N54" i="68"/>
  <c r="N42" i="40"/>
  <c r="N43" i="40"/>
  <c r="B43" i="43"/>
  <c r="D43" i="43" s="1"/>
  <c r="I34" i="72"/>
  <c r="K34" i="72" s="1"/>
  <c r="K35" i="79"/>
  <c r="K33" i="79"/>
  <c r="I32" i="72"/>
  <c r="K32" i="72" s="1"/>
  <c r="P47" i="53"/>
  <c r="N42" i="49"/>
  <c r="L43" i="49"/>
  <c r="N43" i="49" s="1"/>
  <c r="R23" i="53"/>
  <c r="R24" i="53" s="1"/>
  <c r="R25" i="53" s="1"/>
  <c r="R26" i="53" s="1"/>
  <c r="R27" i="53" s="1"/>
  <c r="R28" i="53" s="1"/>
  <c r="R29" i="53" s="1"/>
  <c r="R30" i="53" s="1"/>
  <c r="R31" i="53" s="1"/>
  <c r="R32" i="53" s="1"/>
  <c r="R33" i="53" s="1"/>
  <c r="R34" i="53" s="1"/>
  <c r="R35" i="53" s="1"/>
  <c r="R36" i="53" s="1"/>
  <c r="R37" i="53" s="1"/>
  <c r="R38" i="53" s="1"/>
  <c r="R39" i="53" s="1"/>
  <c r="R40" i="53" s="1"/>
  <c r="R41" i="53" s="1"/>
  <c r="R42" i="53" s="1"/>
  <c r="R43" i="53" s="1"/>
  <c r="P4" i="66"/>
  <c r="L44" i="69"/>
  <c r="D29" i="65"/>
  <c r="B29" i="65"/>
  <c r="L41" i="59"/>
  <c r="D41" i="59"/>
  <c r="L43" i="48"/>
  <c r="N43" i="48" s="1"/>
  <c r="N33" i="29"/>
  <c r="N41" i="42"/>
  <c r="D40" i="39"/>
  <c r="D47" i="39" s="1"/>
  <c r="L40" i="39"/>
  <c r="L45" i="57"/>
  <c r="N45" i="57" s="1"/>
  <c r="N35" i="9"/>
  <c r="B44" i="56"/>
  <c r="D44" i="56" s="1"/>
  <c r="N44" i="57"/>
  <c r="D42" i="44"/>
  <c r="L42" i="44"/>
  <c r="L45" i="47"/>
  <c r="D46" i="47" s="1"/>
  <c r="L42" i="45"/>
  <c r="B45" i="55"/>
  <c r="D45" i="55" s="1"/>
  <c r="N44" i="55"/>
  <c r="B46" i="58"/>
  <c r="D46" i="58" s="1"/>
  <c r="N45" i="58"/>
  <c r="L43" i="50"/>
  <c r="P22" i="54"/>
  <c r="P23" i="54"/>
  <c r="P24" i="54"/>
  <c r="P26" i="54"/>
  <c r="P25" i="54"/>
  <c r="P27" i="54"/>
  <c r="P28" i="54"/>
  <c r="P30" i="54"/>
  <c r="P29" i="54"/>
  <c r="P31" i="54"/>
  <c r="P32" i="54"/>
  <c r="P34" i="54"/>
  <c r="P33" i="54"/>
  <c r="P35" i="54"/>
  <c r="P36" i="54"/>
  <c r="P37" i="54"/>
  <c r="P38" i="54"/>
  <c r="P39" i="54"/>
  <c r="P41" i="54"/>
  <c r="P40" i="54"/>
  <c r="P43" i="54"/>
  <c r="P42" i="54"/>
  <c r="P22" i="52"/>
  <c r="P23" i="52"/>
  <c r="P24" i="52"/>
  <c r="P25" i="52"/>
  <c r="P26" i="52"/>
  <c r="P27" i="52"/>
  <c r="P28" i="52"/>
  <c r="P29" i="52"/>
  <c r="P30" i="52"/>
  <c r="P32" i="52"/>
  <c r="P31" i="52"/>
  <c r="P33" i="52"/>
  <c r="P34" i="52"/>
  <c r="P35" i="52"/>
  <c r="P36" i="52"/>
  <c r="P37" i="52"/>
  <c r="P38" i="52"/>
  <c r="P39" i="52"/>
  <c r="P40" i="52"/>
  <c r="P41" i="52"/>
  <c r="P42" i="52"/>
  <c r="P43" i="52"/>
  <c r="P9" i="54"/>
  <c r="I35" i="79" s="1"/>
  <c r="P13" i="54"/>
  <c r="P14" i="54" s="1"/>
  <c r="P9" i="52"/>
  <c r="I33" i="79" s="1"/>
  <c r="P13" i="52"/>
  <c r="P14" i="52" s="1"/>
  <c r="N47" i="51"/>
  <c r="L40" i="46"/>
  <c r="L42" i="42"/>
  <c r="F43" i="38"/>
  <c r="F47" i="38" s="1"/>
  <c r="P4" i="38" s="1"/>
  <c r="F43" i="40"/>
  <c r="F47" i="40" s="1"/>
  <c r="P4" i="40" s="1"/>
  <c r="N42" i="38"/>
  <c r="N44" i="32"/>
  <c r="B41" i="17"/>
  <c r="D41" i="17" s="1"/>
  <c r="N40" i="17"/>
  <c r="D40" i="16"/>
  <c r="L40" i="16"/>
  <c r="N42" i="15"/>
  <c r="B43" i="15"/>
  <c r="L38" i="4"/>
  <c r="N37" i="4"/>
  <c r="B53" i="67" l="1"/>
  <c r="D53" i="67" s="1"/>
  <c r="L53" i="67"/>
  <c r="N53" i="67"/>
  <c r="N52" i="67"/>
  <c r="L55" i="68"/>
  <c r="N55" i="68"/>
  <c r="B45" i="69"/>
  <c r="B44" i="49"/>
  <c r="D44" i="49" s="1"/>
  <c r="B44" i="48"/>
  <c r="D44" i="48" s="1"/>
  <c r="L43" i="43"/>
  <c r="B44" i="43" s="1"/>
  <c r="D44" i="43" s="1"/>
  <c r="N44" i="69"/>
  <c r="N41" i="59"/>
  <c r="B42" i="59"/>
  <c r="P6" i="29"/>
  <c r="P7" i="29" s="1"/>
  <c r="M16" i="79" s="1"/>
  <c r="P12" i="29"/>
  <c r="B46" i="57"/>
  <c r="D46" i="57" s="1"/>
  <c r="L41" i="39"/>
  <c r="N40" i="39"/>
  <c r="L44" i="56"/>
  <c r="B45" i="56" s="1"/>
  <c r="D45" i="56" s="1"/>
  <c r="N45" i="47"/>
  <c r="N42" i="44"/>
  <c r="B43" i="44"/>
  <c r="D43" i="44" s="1"/>
  <c r="L44" i="48"/>
  <c r="B45" i="48" s="1"/>
  <c r="D45" i="48" s="1"/>
  <c r="N42" i="45"/>
  <c r="B43" i="45"/>
  <c r="D43" i="45" s="1"/>
  <c r="L44" i="49"/>
  <c r="B45" i="49" s="1"/>
  <c r="D45" i="49" s="1"/>
  <c r="F44" i="33"/>
  <c r="P4" i="33" s="1"/>
  <c r="B41" i="16"/>
  <c r="L41" i="17"/>
  <c r="N41" i="17" s="1"/>
  <c r="L46" i="58"/>
  <c r="L45" i="55"/>
  <c r="P62" i="54"/>
  <c r="R22" i="54"/>
  <c r="R23" i="54" s="1"/>
  <c r="R24" i="54" s="1"/>
  <c r="R25" i="54" s="1"/>
  <c r="R26" i="54" s="1"/>
  <c r="R27" i="54" s="1"/>
  <c r="R28" i="54" s="1"/>
  <c r="R29" i="54" s="1"/>
  <c r="R30" i="54" s="1"/>
  <c r="R31" i="54" s="1"/>
  <c r="R32" i="54" s="1"/>
  <c r="R33" i="54" s="1"/>
  <c r="R34" i="54" s="1"/>
  <c r="R35" i="54" s="1"/>
  <c r="R36" i="54" s="1"/>
  <c r="R37" i="54" s="1"/>
  <c r="R38" i="54" s="1"/>
  <c r="R39" i="54" s="1"/>
  <c r="R40" i="54" s="1"/>
  <c r="R41" i="54" s="1"/>
  <c r="R42" i="54" s="1"/>
  <c r="R43" i="54" s="1"/>
  <c r="P47" i="52"/>
  <c r="R22" i="52"/>
  <c r="R23" i="52" s="1"/>
  <c r="R24" i="52" s="1"/>
  <c r="R25" i="52" s="1"/>
  <c r="R26" i="52" s="1"/>
  <c r="R27" i="52" s="1"/>
  <c r="R28" i="52" s="1"/>
  <c r="R29" i="52" s="1"/>
  <c r="R30" i="52" s="1"/>
  <c r="R31" i="52" s="1"/>
  <c r="R32" i="52" s="1"/>
  <c r="R33" i="52" s="1"/>
  <c r="R34" i="52" s="1"/>
  <c r="R35" i="52" s="1"/>
  <c r="R36" i="52" s="1"/>
  <c r="R37" i="52" s="1"/>
  <c r="R38" i="52" s="1"/>
  <c r="R39" i="52" s="1"/>
  <c r="R40" i="52" s="1"/>
  <c r="R41" i="52" s="1"/>
  <c r="R42" i="52" s="1"/>
  <c r="R43" i="52" s="1"/>
  <c r="P6" i="51"/>
  <c r="P7" i="51" s="1"/>
  <c r="M32" i="79" s="1"/>
  <c r="P12" i="51"/>
  <c r="N47" i="50"/>
  <c r="N44" i="49"/>
  <c r="L46" i="47"/>
  <c r="B41" i="46"/>
  <c r="D41" i="46" s="1"/>
  <c r="N40" i="46"/>
  <c r="B43" i="42"/>
  <c r="D43" i="42" s="1"/>
  <c r="N42" i="42"/>
  <c r="L43" i="38"/>
  <c r="L43" i="40"/>
  <c r="P6" i="32"/>
  <c r="P7" i="32" s="1"/>
  <c r="M23" i="79" s="1"/>
  <c r="P12" i="32"/>
  <c r="N44" i="34"/>
  <c r="F33" i="28"/>
  <c r="P4" i="28" s="1"/>
  <c r="N40" i="16"/>
  <c r="D43" i="15"/>
  <c r="L43" i="15"/>
  <c r="P6" i="9"/>
  <c r="P7" i="9" s="1"/>
  <c r="M19" i="79" s="1"/>
  <c r="P12" i="9"/>
  <c r="L39" i="4"/>
  <c r="N38" i="4"/>
  <c r="B54" i="67" l="1"/>
  <c r="D54" i="67" s="1"/>
  <c r="L54" i="67"/>
  <c r="N54" i="67" s="1"/>
  <c r="F57" i="68"/>
  <c r="L56" i="68"/>
  <c r="L45" i="69"/>
  <c r="D45" i="69"/>
  <c r="L43" i="44"/>
  <c r="L44" i="43"/>
  <c r="B45" i="43" s="1"/>
  <c r="D45" i="43" s="1"/>
  <c r="N43" i="43"/>
  <c r="F47" i="47"/>
  <c r="N47" i="47"/>
  <c r="I31" i="72"/>
  <c r="K31" i="72" s="1"/>
  <c r="K32" i="79"/>
  <c r="I22" i="72"/>
  <c r="K22" i="72" s="1"/>
  <c r="K23" i="79"/>
  <c r="K19" i="79"/>
  <c r="I18" i="72"/>
  <c r="K18" i="72" s="1"/>
  <c r="K28" i="79"/>
  <c r="K27" i="72"/>
  <c r="I15" i="72"/>
  <c r="K15" i="72" s="1"/>
  <c r="K16" i="79"/>
  <c r="F61" i="68"/>
  <c r="F61" i="70"/>
  <c r="F29" i="65"/>
  <c r="P4" i="65" s="1"/>
  <c r="D42" i="59"/>
  <c r="L42" i="59"/>
  <c r="L46" i="57"/>
  <c r="N46" i="57" s="1"/>
  <c r="N44" i="56"/>
  <c r="L45" i="56"/>
  <c r="B46" i="56" s="1"/>
  <c r="D46" i="56" s="1"/>
  <c r="D41" i="16"/>
  <c r="P25" i="29"/>
  <c r="P27" i="29"/>
  <c r="P22" i="29"/>
  <c r="P23" i="29"/>
  <c r="P24" i="29"/>
  <c r="P26" i="29"/>
  <c r="P28" i="29"/>
  <c r="P29" i="29"/>
  <c r="P13" i="29"/>
  <c r="P14" i="29" s="1"/>
  <c r="P9" i="29"/>
  <c r="I16" i="79" s="1"/>
  <c r="L42" i="39"/>
  <c r="N41" i="39"/>
  <c r="N44" i="48"/>
  <c r="N44" i="43"/>
  <c r="L41" i="16"/>
  <c r="N41" i="16" s="1"/>
  <c r="N43" i="44"/>
  <c r="B44" i="44"/>
  <c r="D44" i="44" s="1"/>
  <c r="L43" i="45"/>
  <c r="N43" i="45" s="1"/>
  <c r="L45" i="49"/>
  <c r="N45" i="49" s="1"/>
  <c r="B42" i="17"/>
  <c r="D42" i="17" s="1"/>
  <c r="L41" i="46"/>
  <c r="B42" i="46" s="1"/>
  <c r="D42" i="46" s="1"/>
  <c r="B46" i="55"/>
  <c r="D46" i="55" s="1"/>
  <c r="N45" i="55"/>
  <c r="B47" i="58"/>
  <c r="D47" i="58" s="1"/>
  <c r="N46" i="58"/>
  <c r="P22" i="51"/>
  <c r="P23" i="51"/>
  <c r="P24" i="51"/>
  <c r="P25" i="51"/>
  <c r="P26" i="51"/>
  <c r="P27" i="51"/>
  <c r="P28" i="51"/>
  <c r="P30" i="51"/>
  <c r="P29" i="51"/>
  <c r="P31" i="51"/>
  <c r="P32" i="51"/>
  <c r="P33" i="51"/>
  <c r="P34" i="51"/>
  <c r="P35" i="51"/>
  <c r="P36" i="51"/>
  <c r="P37" i="51"/>
  <c r="P38" i="51"/>
  <c r="P39" i="51"/>
  <c r="P41" i="51"/>
  <c r="P40" i="51"/>
  <c r="P42" i="51"/>
  <c r="P43" i="51"/>
  <c r="P9" i="51"/>
  <c r="I32" i="79" s="1"/>
  <c r="P13" i="51"/>
  <c r="P14" i="51" s="1"/>
  <c r="P6" i="50"/>
  <c r="P7" i="50" s="1"/>
  <c r="M31" i="79" s="1"/>
  <c r="P12" i="50"/>
  <c r="L45" i="48"/>
  <c r="D47" i="47"/>
  <c r="N46" i="47"/>
  <c r="L43" i="42"/>
  <c r="N47" i="40"/>
  <c r="N47" i="38"/>
  <c r="P23" i="32"/>
  <c r="P22" i="32"/>
  <c r="P24" i="32"/>
  <c r="P25" i="32"/>
  <c r="P26" i="32"/>
  <c r="P27" i="32"/>
  <c r="P28" i="32"/>
  <c r="P29" i="32"/>
  <c r="P30" i="32"/>
  <c r="P31" i="32"/>
  <c r="P32" i="32"/>
  <c r="P33" i="32"/>
  <c r="P35" i="32"/>
  <c r="P34" i="32"/>
  <c r="P36" i="32"/>
  <c r="P37" i="32"/>
  <c r="P38" i="32"/>
  <c r="P39" i="32"/>
  <c r="P40" i="32"/>
  <c r="P6" i="34"/>
  <c r="P7" i="34" s="1"/>
  <c r="M25" i="79" s="1"/>
  <c r="P12" i="34"/>
  <c r="P9" i="32"/>
  <c r="I23" i="79" s="1"/>
  <c r="P13" i="32"/>
  <c r="P14" i="32" s="1"/>
  <c r="F33" i="30"/>
  <c r="P4" i="30" s="1"/>
  <c r="N43" i="15"/>
  <c r="B44" i="15"/>
  <c r="F35" i="12"/>
  <c r="P4" i="12" s="1"/>
  <c r="D35" i="11"/>
  <c r="B35" i="11"/>
  <c r="P22" i="9"/>
  <c r="P23" i="9"/>
  <c r="P24" i="9"/>
  <c r="P25" i="9"/>
  <c r="P26" i="9"/>
  <c r="P27" i="9"/>
  <c r="P28" i="9"/>
  <c r="P29" i="9"/>
  <c r="P30" i="9"/>
  <c r="P31" i="9"/>
  <c r="P9" i="9"/>
  <c r="I19" i="79" s="1"/>
  <c r="P13" i="9"/>
  <c r="P14" i="9" s="1"/>
  <c r="L40" i="4"/>
  <c r="N39" i="4"/>
  <c r="L55" i="67" l="1"/>
  <c r="N55" i="67"/>
  <c r="N56" i="68"/>
  <c r="N57" i="68"/>
  <c r="L57" i="68"/>
  <c r="B46" i="69"/>
  <c r="D46" i="69" s="1"/>
  <c r="L46" i="69"/>
  <c r="N46" i="69"/>
  <c r="N45" i="69"/>
  <c r="N42" i="39"/>
  <c r="N43" i="39"/>
  <c r="L46" i="56"/>
  <c r="B47" i="56" s="1"/>
  <c r="D47" i="56" s="1"/>
  <c r="L45" i="43"/>
  <c r="B46" i="43" s="1"/>
  <c r="D46" i="43" s="1"/>
  <c r="I30" i="72"/>
  <c r="K30" i="72" s="1"/>
  <c r="K31" i="79"/>
  <c r="I24" i="72"/>
  <c r="K24" i="72" s="1"/>
  <c r="K25" i="79"/>
  <c r="B47" i="57"/>
  <c r="D47" i="57" s="1"/>
  <c r="N62" i="66"/>
  <c r="D61" i="67"/>
  <c r="B61" i="67"/>
  <c r="N42" i="59"/>
  <c r="B43" i="59"/>
  <c r="N45" i="56"/>
  <c r="B42" i="16"/>
  <c r="L42" i="16" s="1"/>
  <c r="N42" i="16" s="1"/>
  <c r="N44" i="33"/>
  <c r="R22" i="29"/>
  <c r="R23" i="29" s="1"/>
  <c r="R24" i="29" s="1"/>
  <c r="R25" i="29" s="1"/>
  <c r="R26" i="29" s="1"/>
  <c r="R27" i="29" s="1"/>
  <c r="R28" i="29" s="1"/>
  <c r="R29" i="29" s="1"/>
  <c r="P33" i="29"/>
  <c r="F43" i="39"/>
  <c r="F47" i="39" s="1"/>
  <c r="P4" i="39" s="1"/>
  <c r="L47" i="58"/>
  <c r="B48" i="58" s="1"/>
  <c r="L44" i="44"/>
  <c r="B44" i="45"/>
  <c r="D44" i="45" s="1"/>
  <c r="B46" i="49"/>
  <c r="D46" i="49" s="1"/>
  <c r="L42" i="17"/>
  <c r="B43" i="17" s="1"/>
  <c r="D43" i="17" s="1"/>
  <c r="N35" i="12"/>
  <c r="N46" i="56"/>
  <c r="N41" i="46"/>
  <c r="L42" i="46"/>
  <c r="B43" i="46" s="1"/>
  <c r="D43" i="46" s="1"/>
  <c r="D44" i="15"/>
  <c r="L44" i="15"/>
  <c r="L46" i="55"/>
  <c r="L47" i="56"/>
  <c r="P22" i="50"/>
  <c r="P23" i="50"/>
  <c r="P24" i="50"/>
  <c r="P25" i="50"/>
  <c r="P27" i="50"/>
  <c r="P26" i="50"/>
  <c r="P28" i="50"/>
  <c r="P29" i="50"/>
  <c r="P30" i="50"/>
  <c r="P31" i="50"/>
  <c r="P33" i="50"/>
  <c r="P32" i="50"/>
  <c r="P34" i="50"/>
  <c r="P35" i="50"/>
  <c r="P36" i="50"/>
  <c r="P37" i="50"/>
  <c r="P39" i="50"/>
  <c r="P38" i="50"/>
  <c r="P40" i="50"/>
  <c r="P41" i="50"/>
  <c r="P42" i="50"/>
  <c r="P43" i="50"/>
  <c r="P9" i="50"/>
  <c r="I31" i="79" s="1"/>
  <c r="P13" i="50"/>
  <c r="P14" i="50" s="1"/>
  <c r="P47" i="51"/>
  <c r="R22" i="51"/>
  <c r="R23" i="51" s="1"/>
  <c r="R24" i="51" s="1"/>
  <c r="R25" i="51" s="1"/>
  <c r="R26" i="51" s="1"/>
  <c r="R27" i="51" s="1"/>
  <c r="R28" i="51" s="1"/>
  <c r="R29" i="51" s="1"/>
  <c r="R30" i="51" s="1"/>
  <c r="R31" i="51" s="1"/>
  <c r="R32" i="51" s="1"/>
  <c r="R33" i="51" s="1"/>
  <c r="R34" i="51" s="1"/>
  <c r="R35" i="51" s="1"/>
  <c r="R36" i="51" s="1"/>
  <c r="R37" i="51" s="1"/>
  <c r="R38" i="51" s="1"/>
  <c r="R39" i="51" s="1"/>
  <c r="R40" i="51" s="1"/>
  <c r="R41" i="51" s="1"/>
  <c r="R42" i="51" s="1"/>
  <c r="R43" i="51" s="1"/>
  <c r="B46" i="48"/>
  <c r="D46" i="48" s="1"/>
  <c r="N45" i="48"/>
  <c r="L47" i="47"/>
  <c r="B44" i="42"/>
  <c r="D44" i="42" s="1"/>
  <c r="N43" i="42"/>
  <c r="P6" i="38"/>
  <c r="P7" i="38" s="1"/>
  <c r="M27" i="79" s="1"/>
  <c r="P12" i="38"/>
  <c r="P6" i="40"/>
  <c r="P7" i="40" s="1"/>
  <c r="M29" i="79" s="1"/>
  <c r="P12" i="40"/>
  <c r="P22" i="34"/>
  <c r="P23" i="34"/>
  <c r="P24" i="34"/>
  <c r="P25" i="34"/>
  <c r="P26" i="34"/>
  <c r="P27" i="34"/>
  <c r="P28" i="34"/>
  <c r="P29" i="34"/>
  <c r="P30" i="34"/>
  <c r="P31" i="34"/>
  <c r="P32" i="34"/>
  <c r="P33" i="34"/>
  <c r="P34" i="34"/>
  <c r="P35" i="34"/>
  <c r="P36" i="34"/>
  <c r="P37" i="34"/>
  <c r="P38" i="34"/>
  <c r="P39" i="34"/>
  <c r="P40" i="34"/>
  <c r="P9" i="34"/>
  <c r="I25" i="79" s="1"/>
  <c r="P13" i="34"/>
  <c r="P14" i="34" s="1"/>
  <c r="P44" i="32"/>
  <c r="R22" i="32"/>
  <c r="R23" i="32" s="1"/>
  <c r="R24" i="32" s="1"/>
  <c r="R25" i="32" s="1"/>
  <c r="R26" i="32" s="1"/>
  <c r="R27" i="32" s="1"/>
  <c r="R28" i="32" s="1"/>
  <c r="R29" i="32" s="1"/>
  <c r="R30" i="32" s="1"/>
  <c r="R31" i="32" s="1"/>
  <c r="R32" i="32" s="1"/>
  <c r="R33" i="32" s="1"/>
  <c r="R34" i="32" s="1"/>
  <c r="R35" i="32" s="1"/>
  <c r="R36" i="32" s="1"/>
  <c r="R37" i="32" s="1"/>
  <c r="R38" i="32" s="1"/>
  <c r="R39" i="32" s="1"/>
  <c r="R40" i="32" s="1"/>
  <c r="N33" i="28"/>
  <c r="P35" i="9"/>
  <c r="R22" i="9"/>
  <c r="R23" i="9" s="1"/>
  <c r="R24" i="9" s="1"/>
  <c r="R25" i="9" s="1"/>
  <c r="R26" i="9" s="1"/>
  <c r="R27" i="9" s="1"/>
  <c r="R28" i="9" s="1"/>
  <c r="R29" i="9" s="1"/>
  <c r="R30" i="9" s="1"/>
  <c r="R31" i="9" s="1"/>
  <c r="L41" i="4"/>
  <c r="N40" i="4"/>
  <c r="F57" i="67" l="1"/>
  <c r="F61" i="67" s="1"/>
  <c r="L56" i="67"/>
  <c r="B47" i="69"/>
  <c r="D47" i="69" s="1"/>
  <c r="N45" i="43"/>
  <c r="L47" i="57"/>
  <c r="N47" i="57" s="1"/>
  <c r="B48" i="57"/>
  <c r="L43" i="39"/>
  <c r="N47" i="39" s="1"/>
  <c r="D61" i="68"/>
  <c r="B61" i="68"/>
  <c r="P6" i="66"/>
  <c r="P7" i="66" s="1"/>
  <c r="M67" i="79" s="1"/>
  <c r="P12" i="66"/>
  <c r="P4" i="67"/>
  <c r="N29" i="65"/>
  <c r="L43" i="59"/>
  <c r="D43" i="59"/>
  <c r="N47" i="58"/>
  <c r="D42" i="16"/>
  <c r="P12" i="33"/>
  <c r="P6" i="33"/>
  <c r="P7" i="33" s="1"/>
  <c r="M24" i="79" s="1"/>
  <c r="L46" i="49"/>
  <c r="B47" i="49" s="1"/>
  <c r="D47" i="49" s="1"/>
  <c r="N42" i="17"/>
  <c r="L44" i="45"/>
  <c r="N44" i="44"/>
  <c r="D45" i="44"/>
  <c r="B43" i="16"/>
  <c r="D43" i="16" s="1"/>
  <c r="N42" i="46"/>
  <c r="L43" i="46"/>
  <c r="B44" i="46" s="1"/>
  <c r="N44" i="15"/>
  <c r="D48" i="58"/>
  <c r="D62" i="58" s="1"/>
  <c r="B62" i="58"/>
  <c r="L48" i="58"/>
  <c r="D48" i="57"/>
  <c r="D62" i="57" s="1"/>
  <c r="B62" i="57"/>
  <c r="L48" i="57"/>
  <c r="B47" i="55"/>
  <c r="D47" i="55" s="1"/>
  <c r="N46" i="55"/>
  <c r="B48" i="56"/>
  <c r="L48" i="56" s="1"/>
  <c r="N47" i="56"/>
  <c r="P47" i="50"/>
  <c r="R22" i="50"/>
  <c r="R23" i="50" s="1"/>
  <c r="R24" i="50" s="1"/>
  <c r="R25" i="50" s="1"/>
  <c r="R26" i="50" s="1"/>
  <c r="R27" i="50" s="1"/>
  <c r="R28" i="50" s="1"/>
  <c r="R29" i="50" s="1"/>
  <c r="R30" i="50" s="1"/>
  <c r="R31" i="50" s="1"/>
  <c r="R32" i="50" s="1"/>
  <c r="R33" i="50" s="1"/>
  <c r="R34" i="50" s="1"/>
  <c r="R35" i="50" s="1"/>
  <c r="R36" i="50" s="1"/>
  <c r="R37" i="50" s="1"/>
  <c r="R38" i="50" s="1"/>
  <c r="R39" i="50" s="1"/>
  <c r="R40" i="50" s="1"/>
  <c r="R41" i="50" s="1"/>
  <c r="R42" i="50" s="1"/>
  <c r="R43" i="50" s="1"/>
  <c r="L46" i="48"/>
  <c r="N46" i="49"/>
  <c r="B48" i="47"/>
  <c r="L46" i="43"/>
  <c r="L44" i="42"/>
  <c r="P22" i="40"/>
  <c r="P23" i="40"/>
  <c r="P24" i="40"/>
  <c r="P25" i="40"/>
  <c r="P26" i="40"/>
  <c r="P28" i="40"/>
  <c r="P27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2" i="40"/>
  <c r="P41" i="40"/>
  <c r="P43" i="40"/>
  <c r="P9" i="40"/>
  <c r="I29" i="79" s="1"/>
  <c r="P13" i="40"/>
  <c r="P14" i="40" s="1"/>
  <c r="P22" i="38"/>
  <c r="P23" i="38"/>
  <c r="P24" i="38"/>
  <c r="P25" i="38"/>
  <c r="P27" i="38"/>
  <c r="P26" i="38"/>
  <c r="P29" i="38"/>
  <c r="P28" i="38"/>
  <c r="P30" i="38"/>
  <c r="P31" i="38"/>
  <c r="P32" i="38"/>
  <c r="P33" i="38"/>
  <c r="P34" i="38"/>
  <c r="P35" i="38"/>
  <c r="P36" i="38"/>
  <c r="P37" i="38"/>
  <c r="P38" i="38"/>
  <c r="P40" i="38"/>
  <c r="P39" i="38"/>
  <c r="P41" i="38"/>
  <c r="P42" i="38"/>
  <c r="P43" i="38"/>
  <c r="P9" i="38"/>
  <c r="I27" i="79" s="1"/>
  <c r="P13" i="38"/>
  <c r="P14" i="38" s="1"/>
  <c r="P44" i="34"/>
  <c r="R22" i="34"/>
  <c r="R23" i="34" s="1"/>
  <c r="R24" i="34" s="1"/>
  <c r="R25" i="34" s="1"/>
  <c r="R26" i="34" s="1"/>
  <c r="R27" i="34" s="1"/>
  <c r="R28" i="34" s="1"/>
  <c r="R29" i="34" s="1"/>
  <c r="R30" i="34" s="1"/>
  <c r="R31" i="34" s="1"/>
  <c r="R32" i="34" s="1"/>
  <c r="R33" i="34" s="1"/>
  <c r="R34" i="34" s="1"/>
  <c r="R35" i="34" s="1"/>
  <c r="R36" i="34" s="1"/>
  <c r="R37" i="34" s="1"/>
  <c r="R38" i="34" s="1"/>
  <c r="R39" i="34" s="1"/>
  <c r="R40" i="34" s="1"/>
  <c r="P6" i="28"/>
  <c r="P7" i="28" s="1"/>
  <c r="M15" i="79" s="1"/>
  <c r="P12" i="28"/>
  <c r="N33" i="30"/>
  <c r="L43" i="17"/>
  <c r="P6" i="12"/>
  <c r="P7" i="12" s="1"/>
  <c r="M21" i="79" s="1"/>
  <c r="P12" i="12"/>
  <c r="L42" i="4"/>
  <c r="N41" i="4"/>
  <c r="N56" i="67" l="1"/>
  <c r="N57" i="67"/>
  <c r="L57" i="67"/>
  <c r="L47" i="69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43" i="66"/>
  <c r="P44" i="66"/>
  <c r="P45" i="66"/>
  <c r="P47" i="66"/>
  <c r="P46" i="66"/>
  <c r="P49" i="66"/>
  <c r="P48" i="66"/>
  <c r="P50" i="66"/>
  <c r="P51" i="66"/>
  <c r="P52" i="66"/>
  <c r="P53" i="66"/>
  <c r="P55" i="66"/>
  <c r="P54" i="66"/>
  <c r="P56" i="66"/>
  <c r="P57" i="66"/>
  <c r="I67" i="72"/>
  <c r="K67" i="72" s="1"/>
  <c r="K67" i="79"/>
  <c r="I23" i="72"/>
  <c r="K23" i="72" s="1"/>
  <c r="K24" i="79"/>
  <c r="K21" i="79"/>
  <c r="I20" i="72"/>
  <c r="K20" i="72" s="1"/>
  <c r="K14" i="72"/>
  <c r="K27" i="79"/>
  <c r="K26" i="72"/>
  <c r="K15" i="79"/>
  <c r="P4" i="68"/>
  <c r="P22" i="66"/>
  <c r="D61" i="70"/>
  <c r="B61" i="70"/>
  <c r="P9" i="66"/>
  <c r="I67" i="79" s="1"/>
  <c r="P13" i="66"/>
  <c r="P14" i="66" s="1"/>
  <c r="P6" i="65"/>
  <c r="P7" i="65" s="1"/>
  <c r="M79" i="79" s="1"/>
  <c r="M80" i="79" s="1"/>
  <c r="N43" i="59"/>
  <c r="B44" i="59"/>
  <c r="D44" i="59" s="1"/>
  <c r="N43" i="46"/>
  <c r="L45" i="44"/>
  <c r="D46" i="44" s="1"/>
  <c r="D45" i="15"/>
  <c r="P6" i="39"/>
  <c r="P7" i="39" s="1"/>
  <c r="M28" i="79" s="1"/>
  <c r="P12" i="39"/>
  <c r="P9" i="33"/>
  <c r="I24" i="79" s="1"/>
  <c r="P13" i="33"/>
  <c r="P14" i="33" s="1"/>
  <c r="P31" i="33"/>
  <c r="P32" i="33"/>
  <c r="P33" i="33"/>
  <c r="P22" i="33"/>
  <c r="P35" i="33"/>
  <c r="P23" i="33"/>
  <c r="P34" i="33"/>
  <c r="P24" i="33"/>
  <c r="P36" i="33"/>
  <c r="P25" i="33"/>
  <c r="P37" i="33"/>
  <c r="P26" i="33"/>
  <c r="P38" i="33"/>
  <c r="P27" i="33"/>
  <c r="P39" i="33"/>
  <c r="P28" i="33"/>
  <c r="P40" i="33"/>
  <c r="P29" i="33"/>
  <c r="P30" i="33"/>
  <c r="B45" i="45"/>
  <c r="N44" i="45"/>
  <c r="L43" i="16"/>
  <c r="D44" i="46"/>
  <c r="L44" i="46"/>
  <c r="N44" i="46" s="1"/>
  <c r="L45" i="15"/>
  <c r="N45" i="15" s="1"/>
  <c r="L47" i="55"/>
  <c r="L49" i="57"/>
  <c r="N48" i="57"/>
  <c r="L49" i="58"/>
  <c r="N48" i="58"/>
  <c r="L49" i="56"/>
  <c r="N48" i="56"/>
  <c r="D48" i="56"/>
  <c r="D54" i="56" s="1"/>
  <c r="B54" i="56"/>
  <c r="L47" i="49"/>
  <c r="B47" i="48"/>
  <c r="D47" i="48" s="1"/>
  <c r="N46" i="48"/>
  <c r="D48" i="47"/>
  <c r="D62" i="47" s="1"/>
  <c r="B62" i="47"/>
  <c r="L48" i="47"/>
  <c r="B47" i="43"/>
  <c r="D47" i="43" s="1"/>
  <c r="N46" i="43"/>
  <c r="B45" i="42"/>
  <c r="D45" i="42" s="1"/>
  <c r="N44" i="42"/>
  <c r="P47" i="38"/>
  <c r="R22" i="38"/>
  <c r="R23" i="38" s="1"/>
  <c r="R24" i="38" s="1"/>
  <c r="R25" i="38" s="1"/>
  <c r="R26" i="38" s="1"/>
  <c r="R27" i="38" s="1"/>
  <c r="R28" i="38" s="1"/>
  <c r="R29" i="38" s="1"/>
  <c r="R30" i="38" s="1"/>
  <c r="R31" i="38" s="1"/>
  <c r="R32" i="38" s="1"/>
  <c r="R33" i="38" s="1"/>
  <c r="R34" i="38" s="1"/>
  <c r="R35" i="38" s="1"/>
  <c r="R36" i="38" s="1"/>
  <c r="R37" i="38" s="1"/>
  <c r="R38" i="38" s="1"/>
  <c r="R39" i="38" s="1"/>
  <c r="R40" i="38" s="1"/>
  <c r="R41" i="38" s="1"/>
  <c r="R42" i="38" s="1"/>
  <c r="R43" i="38" s="1"/>
  <c r="P47" i="40"/>
  <c r="R22" i="40"/>
  <c r="R23" i="40" s="1"/>
  <c r="R24" i="40" s="1"/>
  <c r="R25" i="40" s="1"/>
  <c r="R26" i="40" s="1"/>
  <c r="R27" i="40" s="1"/>
  <c r="R28" i="40" s="1"/>
  <c r="R29" i="40" s="1"/>
  <c r="R30" i="40" s="1"/>
  <c r="R31" i="40" s="1"/>
  <c r="R32" i="40" s="1"/>
  <c r="R33" i="40" s="1"/>
  <c r="R34" i="40" s="1"/>
  <c r="R35" i="40" s="1"/>
  <c r="R36" i="40" s="1"/>
  <c r="R37" i="40" s="1"/>
  <c r="R38" i="40" s="1"/>
  <c r="R39" i="40" s="1"/>
  <c r="R40" i="40" s="1"/>
  <c r="R41" i="40" s="1"/>
  <c r="R42" i="40" s="1"/>
  <c r="R43" i="40" s="1"/>
  <c r="P22" i="28"/>
  <c r="P23" i="28"/>
  <c r="P24" i="28"/>
  <c r="P25" i="28"/>
  <c r="P26" i="28"/>
  <c r="P27" i="28"/>
  <c r="P28" i="28"/>
  <c r="P29" i="28"/>
  <c r="P6" i="30"/>
  <c r="P7" i="30" s="1"/>
  <c r="M17" i="79" s="1"/>
  <c r="P12" i="30"/>
  <c r="P9" i="28"/>
  <c r="I15" i="79" s="1"/>
  <c r="P13" i="28"/>
  <c r="P14" i="28" s="1"/>
  <c r="B44" i="17"/>
  <c r="D44" i="17" s="1"/>
  <c r="N43" i="17"/>
  <c r="P22" i="12"/>
  <c r="P23" i="12"/>
  <c r="P24" i="12"/>
  <c r="P25" i="12"/>
  <c r="P26" i="12"/>
  <c r="P27" i="12"/>
  <c r="P28" i="12"/>
  <c r="P30" i="12"/>
  <c r="P29" i="12"/>
  <c r="P31" i="12"/>
  <c r="P9" i="12"/>
  <c r="I21" i="79" s="1"/>
  <c r="P13" i="12"/>
  <c r="P14" i="12" s="1"/>
  <c r="F35" i="11"/>
  <c r="P4" i="11" s="1"/>
  <c r="L43" i="4"/>
  <c r="N43" i="4" s="1"/>
  <c r="N42" i="4"/>
  <c r="B48" i="69" l="1"/>
  <c r="D48" i="69" s="1"/>
  <c r="L48" i="69"/>
  <c r="N48" i="69" s="1"/>
  <c r="N47" i="69"/>
  <c r="N45" i="44"/>
  <c r="K17" i="79"/>
  <c r="I16" i="72"/>
  <c r="K16" i="72" s="1"/>
  <c r="K29" i="79"/>
  <c r="K28" i="72"/>
  <c r="K79" i="72"/>
  <c r="P62" i="66"/>
  <c r="R22" i="66"/>
  <c r="R23" i="66" s="1"/>
  <c r="R24" i="66" s="1"/>
  <c r="R25" i="66" s="1"/>
  <c r="R26" i="66" s="1"/>
  <c r="R27" i="66" s="1"/>
  <c r="R28" i="66" s="1"/>
  <c r="R29" i="66" s="1"/>
  <c r="R30" i="66" s="1"/>
  <c r="R31" i="66" s="1"/>
  <c r="R32" i="66" s="1"/>
  <c r="R33" i="66" s="1"/>
  <c r="R34" i="66" s="1"/>
  <c r="R35" i="66" s="1"/>
  <c r="R36" i="66" s="1"/>
  <c r="R37" i="66" s="1"/>
  <c r="R38" i="66" s="1"/>
  <c r="R39" i="66" s="1"/>
  <c r="R40" i="66" s="1"/>
  <c r="R41" i="66" s="1"/>
  <c r="R42" i="66" s="1"/>
  <c r="R43" i="66" s="1"/>
  <c r="R44" i="66" s="1"/>
  <c r="R45" i="66" s="1"/>
  <c r="R46" i="66" s="1"/>
  <c r="R47" i="66" s="1"/>
  <c r="R48" i="66" s="1"/>
  <c r="R49" i="66" s="1"/>
  <c r="R50" i="66" s="1"/>
  <c r="R51" i="66" s="1"/>
  <c r="R52" i="66" s="1"/>
  <c r="R53" i="66" s="1"/>
  <c r="R54" i="66" s="1"/>
  <c r="R55" i="66" s="1"/>
  <c r="R56" i="66" s="1"/>
  <c r="R57" i="66" s="1"/>
  <c r="P4" i="70"/>
  <c r="N61" i="67"/>
  <c r="P22" i="65"/>
  <c r="P9" i="65"/>
  <c r="I79" i="79" s="1"/>
  <c r="L44" i="59"/>
  <c r="P28" i="39"/>
  <c r="P29" i="39"/>
  <c r="P30" i="39"/>
  <c r="P31" i="39"/>
  <c r="P33" i="39"/>
  <c r="P23" i="39"/>
  <c r="P34" i="39"/>
  <c r="P22" i="39"/>
  <c r="P36" i="39"/>
  <c r="P24" i="39"/>
  <c r="P35" i="39"/>
  <c r="P25" i="39"/>
  <c r="P37" i="39"/>
  <c r="P26" i="39"/>
  <c r="P38" i="39"/>
  <c r="P27" i="39"/>
  <c r="P39" i="39"/>
  <c r="P32" i="39"/>
  <c r="P40" i="39"/>
  <c r="P41" i="39"/>
  <c r="P42" i="39"/>
  <c r="P43" i="39"/>
  <c r="P9" i="39"/>
  <c r="I28" i="79" s="1"/>
  <c r="P13" i="39"/>
  <c r="P14" i="39" s="1"/>
  <c r="P44" i="33"/>
  <c r="R22" i="33"/>
  <c r="R23" i="33" s="1"/>
  <c r="R24" i="33" s="1"/>
  <c r="R25" i="33" s="1"/>
  <c r="R26" i="33" s="1"/>
  <c r="R27" i="33" s="1"/>
  <c r="R28" i="33" s="1"/>
  <c r="R29" i="33" s="1"/>
  <c r="R30" i="33" s="1"/>
  <c r="R31" i="33" s="1"/>
  <c r="R32" i="33" s="1"/>
  <c r="R33" i="33" s="1"/>
  <c r="R34" i="33" s="1"/>
  <c r="R35" i="33" s="1"/>
  <c r="R36" i="33" s="1"/>
  <c r="R37" i="33" s="1"/>
  <c r="R38" i="33" s="1"/>
  <c r="R39" i="33" s="1"/>
  <c r="R40" i="33" s="1"/>
  <c r="L46" i="44"/>
  <c r="D45" i="46"/>
  <c r="D45" i="45"/>
  <c r="L45" i="45"/>
  <c r="B44" i="16"/>
  <c r="L44" i="16" s="1"/>
  <c r="N43" i="16"/>
  <c r="L47" i="43"/>
  <c r="N47" i="43" s="1"/>
  <c r="L50" i="56"/>
  <c r="N49" i="56"/>
  <c r="B48" i="55"/>
  <c r="L48" i="55" s="1"/>
  <c r="N47" i="55"/>
  <c r="L50" i="58"/>
  <c r="N49" i="58"/>
  <c r="L50" i="57"/>
  <c r="N51" i="57" s="1"/>
  <c r="N49" i="57"/>
  <c r="L47" i="48"/>
  <c r="B48" i="49"/>
  <c r="N47" i="49"/>
  <c r="L49" i="47"/>
  <c r="N48" i="47"/>
  <c r="L45" i="42"/>
  <c r="P33" i="28"/>
  <c r="R22" i="28"/>
  <c r="R23" i="28" s="1"/>
  <c r="R24" i="28" s="1"/>
  <c r="R25" i="28" s="1"/>
  <c r="R26" i="28" s="1"/>
  <c r="R27" i="28" s="1"/>
  <c r="R28" i="28" s="1"/>
  <c r="R29" i="28" s="1"/>
  <c r="P9" i="30"/>
  <c r="I17" i="79" s="1"/>
  <c r="P13" i="30"/>
  <c r="P14" i="30" s="1"/>
  <c r="P22" i="30"/>
  <c r="P23" i="30"/>
  <c r="P25" i="30"/>
  <c r="P24" i="30"/>
  <c r="P26" i="30"/>
  <c r="P27" i="30"/>
  <c r="P28" i="30"/>
  <c r="P29" i="30"/>
  <c r="L44" i="17"/>
  <c r="P35" i="12"/>
  <c r="R22" i="12"/>
  <c r="R23" i="12" s="1"/>
  <c r="R24" i="12" s="1"/>
  <c r="R25" i="12" s="1"/>
  <c r="R26" i="12" s="1"/>
  <c r="R27" i="12" s="1"/>
  <c r="R28" i="12" s="1"/>
  <c r="R29" i="12" s="1"/>
  <c r="R30" i="12" s="1"/>
  <c r="R31" i="12" s="1"/>
  <c r="L44" i="4"/>
  <c r="B49" i="69" l="1"/>
  <c r="L49" i="69"/>
  <c r="N49" i="69" s="1"/>
  <c r="N50" i="56"/>
  <c r="N51" i="56"/>
  <c r="N50" i="58"/>
  <c r="N51" i="58"/>
  <c r="F47" i="44"/>
  <c r="N47" i="44"/>
  <c r="B29" i="62"/>
  <c r="D29" i="62"/>
  <c r="N61" i="68"/>
  <c r="P6" i="67"/>
  <c r="P7" i="67" s="1"/>
  <c r="M68" i="79" s="1"/>
  <c r="P12" i="67"/>
  <c r="P29" i="65"/>
  <c r="R22" i="65"/>
  <c r="F29" i="62"/>
  <c r="N44" i="59"/>
  <c r="B45" i="59"/>
  <c r="D45" i="59" s="1"/>
  <c r="L45" i="46"/>
  <c r="D46" i="46" s="1"/>
  <c r="D44" i="16"/>
  <c r="D46" i="15"/>
  <c r="P47" i="39"/>
  <c r="R22" i="39"/>
  <c r="R23" i="39" s="1"/>
  <c r="R24" i="39" s="1"/>
  <c r="R25" i="39" s="1"/>
  <c r="R26" i="39" s="1"/>
  <c r="R27" i="39" s="1"/>
  <c r="R28" i="39" s="1"/>
  <c r="R29" i="39" s="1"/>
  <c r="R30" i="39" s="1"/>
  <c r="R31" i="39" s="1"/>
  <c r="R32" i="39" s="1"/>
  <c r="R33" i="39" s="1"/>
  <c r="R34" i="39" s="1"/>
  <c r="R35" i="39" s="1"/>
  <c r="R36" i="39" s="1"/>
  <c r="R37" i="39" s="1"/>
  <c r="R38" i="39" s="1"/>
  <c r="R39" i="39" s="1"/>
  <c r="R40" i="39" s="1"/>
  <c r="R41" i="39" s="1"/>
  <c r="R42" i="39" s="1"/>
  <c r="R43" i="39" s="1"/>
  <c r="N46" i="44"/>
  <c r="B46" i="45"/>
  <c r="N45" i="45"/>
  <c r="L46" i="15"/>
  <c r="N47" i="15" s="1"/>
  <c r="B48" i="43"/>
  <c r="D48" i="43" s="1"/>
  <c r="D62" i="43" s="1"/>
  <c r="N44" i="16"/>
  <c r="D45" i="16"/>
  <c r="L45" i="16"/>
  <c r="L49" i="55"/>
  <c r="N49" i="55" s="1"/>
  <c r="D48" i="55"/>
  <c r="D62" i="55" s="1"/>
  <c r="B62" i="55"/>
  <c r="F51" i="57"/>
  <c r="F62" i="57" s="1"/>
  <c r="P4" i="57" s="1"/>
  <c r="N50" i="57"/>
  <c r="N48" i="55"/>
  <c r="F51" i="56"/>
  <c r="F54" i="56" s="1"/>
  <c r="P4" i="56" s="1"/>
  <c r="F51" i="58"/>
  <c r="F62" i="58" s="1"/>
  <c r="P4" i="58" s="1"/>
  <c r="D48" i="49"/>
  <c r="D62" i="49" s="1"/>
  <c r="B62" i="49"/>
  <c r="L48" i="49"/>
  <c r="B48" i="48"/>
  <c r="L48" i="48" s="1"/>
  <c r="N47" i="48"/>
  <c r="L50" i="47"/>
  <c r="N50" i="47" s="1"/>
  <c r="N49" i="47"/>
  <c r="B46" i="42"/>
  <c r="D46" i="42" s="1"/>
  <c r="N45" i="42"/>
  <c r="P33" i="30"/>
  <c r="R22" i="30"/>
  <c r="R23" i="30" s="1"/>
  <c r="R24" i="30" s="1"/>
  <c r="R25" i="30" s="1"/>
  <c r="R26" i="30" s="1"/>
  <c r="R27" i="30" s="1"/>
  <c r="R28" i="30" s="1"/>
  <c r="R29" i="30" s="1"/>
  <c r="B45" i="17"/>
  <c r="D45" i="17" s="1"/>
  <c r="N44" i="17"/>
  <c r="N35" i="11"/>
  <c r="F45" i="4"/>
  <c r="F46" i="4" s="1"/>
  <c r="P4" i="4" s="1"/>
  <c r="L45" i="4"/>
  <c r="N45" i="4" s="1"/>
  <c r="N44" i="4"/>
  <c r="B50" i="69" l="1"/>
  <c r="D50" i="69" s="1"/>
  <c r="L50" i="69"/>
  <c r="N50" i="69"/>
  <c r="D49" i="69"/>
  <c r="P23" i="67"/>
  <c r="P24" i="67"/>
  <c r="P25" i="67"/>
  <c r="P26" i="67"/>
  <c r="P27" i="67"/>
  <c r="P28" i="67"/>
  <c r="P29" i="67"/>
  <c r="P30" i="67"/>
  <c r="P31" i="67"/>
  <c r="P32" i="67"/>
  <c r="P33" i="67"/>
  <c r="P34" i="67"/>
  <c r="P35" i="67"/>
  <c r="P36" i="67"/>
  <c r="P37" i="67"/>
  <c r="P38" i="67"/>
  <c r="P39" i="67"/>
  <c r="P40" i="67"/>
  <c r="P41" i="67"/>
  <c r="P43" i="67"/>
  <c r="P42" i="67"/>
  <c r="P45" i="67"/>
  <c r="P44" i="67"/>
  <c r="P47" i="67"/>
  <c r="P46" i="67"/>
  <c r="P49" i="67"/>
  <c r="P48" i="67"/>
  <c r="P50" i="67"/>
  <c r="P51" i="67"/>
  <c r="P52" i="67"/>
  <c r="P53" i="67"/>
  <c r="P55" i="67"/>
  <c r="P54" i="67"/>
  <c r="P56" i="67"/>
  <c r="P57" i="67"/>
  <c r="P22" i="67"/>
  <c r="R22" i="67" s="1"/>
  <c r="R23" i="67" s="1"/>
  <c r="R24" i="67" s="1"/>
  <c r="P4" i="62"/>
  <c r="K68" i="79"/>
  <c r="I68" i="72"/>
  <c r="K68" i="72" s="1"/>
  <c r="B62" i="43"/>
  <c r="L45" i="59"/>
  <c r="P6" i="68"/>
  <c r="P7" i="68" s="1"/>
  <c r="M69" i="79" s="1"/>
  <c r="P12" i="68"/>
  <c r="N61" i="70"/>
  <c r="P9" i="67"/>
  <c r="I68" i="79" s="1"/>
  <c r="P13" i="67"/>
  <c r="P14" i="67" s="1"/>
  <c r="D29" i="63"/>
  <c r="B29" i="63"/>
  <c r="D46" i="45"/>
  <c r="N45" i="46"/>
  <c r="D47" i="15"/>
  <c r="F47" i="15"/>
  <c r="L47" i="15" s="1"/>
  <c r="L46" i="45"/>
  <c r="N46" i="45" s="1"/>
  <c r="N46" i="15"/>
  <c r="D47" i="44"/>
  <c r="L47" i="44"/>
  <c r="L45" i="17"/>
  <c r="N45" i="17" s="1"/>
  <c r="L48" i="43"/>
  <c r="L49" i="43" s="1"/>
  <c r="L51" i="58"/>
  <c r="N62" i="58" s="1"/>
  <c r="N45" i="16"/>
  <c r="L51" i="57"/>
  <c r="L51" i="56"/>
  <c r="F51" i="55"/>
  <c r="F62" i="55" s="1"/>
  <c r="P4" i="55" s="1"/>
  <c r="L50" i="55"/>
  <c r="L49" i="48"/>
  <c r="N49" i="48" s="1"/>
  <c r="L49" i="49"/>
  <c r="N49" i="49" s="1"/>
  <c r="N48" i="49"/>
  <c r="D48" i="48"/>
  <c r="D62" i="48" s="1"/>
  <c r="B62" i="48"/>
  <c r="N48" i="48"/>
  <c r="F62" i="47"/>
  <c r="P4" i="47" s="1"/>
  <c r="L46" i="46"/>
  <c r="L46" i="42"/>
  <c r="P6" i="11"/>
  <c r="P7" i="11" s="1"/>
  <c r="M20" i="79" s="1"/>
  <c r="P12" i="11"/>
  <c r="N46" i="4"/>
  <c r="R25" i="67" l="1"/>
  <c r="R26" i="67" s="1"/>
  <c r="R27" i="67" s="1"/>
  <c r="R28" i="67" s="1"/>
  <c r="R29" i="67" s="1"/>
  <c r="R30" i="67" s="1"/>
  <c r="R31" i="67" s="1"/>
  <c r="R32" i="67" s="1"/>
  <c r="R33" i="67" s="1"/>
  <c r="R34" i="67" s="1"/>
  <c r="R35" i="67" s="1"/>
  <c r="R36" i="67" s="1"/>
  <c r="R37" i="67" s="1"/>
  <c r="R38" i="67" s="1"/>
  <c r="R39" i="67" s="1"/>
  <c r="R40" i="67" s="1"/>
  <c r="R41" i="67" s="1"/>
  <c r="R42" i="67" s="1"/>
  <c r="R43" i="67" s="1"/>
  <c r="R44" i="67" s="1"/>
  <c r="R45" i="67" s="1"/>
  <c r="R46" i="67" s="1"/>
  <c r="R47" i="67" s="1"/>
  <c r="R48" i="67" s="1"/>
  <c r="R49" i="67" s="1"/>
  <c r="R50" i="67" s="1"/>
  <c r="R51" i="67" s="1"/>
  <c r="R52" i="67" s="1"/>
  <c r="R53" i="67" s="1"/>
  <c r="R54" i="67" s="1"/>
  <c r="R55" i="67" s="1"/>
  <c r="R56" i="67" s="1"/>
  <c r="R57" i="67" s="1"/>
  <c r="B51" i="69"/>
  <c r="L51" i="69"/>
  <c r="N51" i="69"/>
  <c r="P23" i="68"/>
  <c r="P24" i="68"/>
  <c r="P25" i="68"/>
  <c r="P26" i="68"/>
  <c r="P27" i="68"/>
  <c r="P28" i="68"/>
  <c r="P30" i="68"/>
  <c r="P29" i="68"/>
  <c r="P31" i="68"/>
  <c r="P32" i="68"/>
  <c r="P33" i="68"/>
  <c r="P34" i="68"/>
  <c r="P35" i="68"/>
  <c r="P36" i="68"/>
  <c r="P37" i="68"/>
  <c r="P39" i="68"/>
  <c r="P38" i="68"/>
  <c r="P41" i="68"/>
  <c r="P40" i="68"/>
  <c r="P42" i="68"/>
  <c r="P43" i="68"/>
  <c r="P44" i="68"/>
  <c r="P45" i="68"/>
  <c r="P46" i="68"/>
  <c r="P47" i="68"/>
  <c r="P48" i="68"/>
  <c r="P49" i="68"/>
  <c r="P51" i="68"/>
  <c r="P50" i="68"/>
  <c r="P53" i="68"/>
  <c r="P52" i="68"/>
  <c r="P54" i="68"/>
  <c r="P55" i="68"/>
  <c r="P56" i="68"/>
  <c r="P57" i="68"/>
  <c r="N50" i="55"/>
  <c r="N51" i="55"/>
  <c r="F47" i="46"/>
  <c r="N47" i="46"/>
  <c r="K69" i="79"/>
  <c r="I69" i="72"/>
  <c r="K69" i="72" s="1"/>
  <c r="I19" i="72"/>
  <c r="K19" i="72" s="1"/>
  <c r="K35" i="72" s="1"/>
  <c r="K20" i="79"/>
  <c r="B46" i="59"/>
  <c r="N45" i="59"/>
  <c r="B47" i="45"/>
  <c r="D47" i="45" s="1"/>
  <c r="D29" i="64"/>
  <c r="B29" i="64"/>
  <c r="P22" i="68"/>
  <c r="P9" i="68"/>
  <c r="I69" i="79" s="1"/>
  <c r="P13" i="68"/>
  <c r="P14" i="68" s="1"/>
  <c r="P61" i="67"/>
  <c r="P6" i="70"/>
  <c r="P7" i="70" s="1"/>
  <c r="M71" i="79" s="1"/>
  <c r="P12" i="70"/>
  <c r="F29" i="63"/>
  <c r="P4" i="63" s="1"/>
  <c r="N29" i="62"/>
  <c r="N48" i="43"/>
  <c r="D46" i="16"/>
  <c r="B46" i="17"/>
  <c r="D46" i="17" s="1"/>
  <c r="B48" i="44"/>
  <c r="B62" i="44" s="1"/>
  <c r="L46" i="16"/>
  <c r="N47" i="16" s="1"/>
  <c r="N49" i="43"/>
  <c r="B48" i="15"/>
  <c r="D47" i="16"/>
  <c r="P6" i="58"/>
  <c r="P7" i="58" s="1"/>
  <c r="M62" i="79" s="1"/>
  <c r="P12" i="58"/>
  <c r="N54" i="56"/>
  <c r="N62" i="57"/>
  <c r="L51" i="55"/>
  <c r="L50" i="49"/>
  <c r="L50" i="48"/>
  <c r="N51" i="48" s="1"/>
  <c r="L51" i="47"/>
  <c r="N51" i="47" s="1"/>
  <c r="D47" i="46"/>
  <c r="N46" i="46"/>
  <c r="L50" i="43"/>
  <c r="B47" i="42"/>
  <c r="D47" i="42" s="1"/>
  <c r="N46" i="42"/>
  <c r="D28" i="20"/>
  <c r="B28" i="20"/>
  <c r="P22" i="11"/>
  <c r="P23" i="11"/>
  <c r="P24" i="11"/>
  <c r="P25" i="11"/>
  <c r="P26" i="11"/>
  <c r="P27" i="11"/>
  <c r="P28" i="11"/>
  <c r="P29" i="11"/>
  <c r="P30" i="11"/>
  <c r="P31" i="11"/>
  <c r="P9" i="11"/>
  <c r="I20" i="79" s="1"/>
  <c r="I36" i="79" s="1"/>
  <c r="P13" i="11"/>
  <c r="P14" i="11" s="1"/>
  <c r="P13" i="4"/>
  <c r="P6" i="4"/>
  <c r="P7" i="4" s="1"/>
  <c r="P9" i="4" s="1"/>
  <c r="P14" i="4"/>
  <c r="B52" i="69" l="1"/>
  <c r="D52" i="69" s="1"/>
  <c r="D51" i="69"/>
  <c r="P23" i="70"/>
  <c r="P24" i="70"/>
  <c r="P25" i="70"/>
  <c r="P26" i="70"/>
  <c r="P27" i="70"/>
  <c r="P28" i="70"/>
  <c r="P29" i="70"/>
  <c r="P30" i="70"/>
  <c r="P31" i="70"/>
  <c r="P32" i="70"/>
  <c r="P33" i="70"/>
  <c r="P34" i="70"/>
  <c r="P35" i="70"/>
  <c r="P37" i="70"/>
  <c r="P36" i="70"/>
  <c r="P38" i="70"/>
  <c r="P39" i="70"/>
  <c r="P41" i="70"/>
  <c r="P40" i="70"/>
  <c r="P42" i="70"/>
  <c r="P43" i="70"/>
  <c r="P45" i="70"/>
  <c r="P44" i="70"/>
  <c r="P46" i="70"/>
  <c r="P47" i="70"/>
  <c r="P48" i="70"/>
  <c r="P49" i="70"/>
  <c r="P51" i="70"/>
  <c r="P50" i="70"/>
  <c r="P52" i="70"/>
  <c r="P53" i="70"/>
  <c r="P55" i="70"/>
  <c r="P54" i="70"/>
  <c r="P56" i="70"/>
  <c r="P57" i="70"/>
  <c r="P22" i="70"/>
  <c r="R22" i="70" s="1"/>
  <c r="R23" i="70" s="1"/>
  <c r="R24" i="70" s="1"/>
  <c r="R25" i="70" s="1"/>
  <c r="R26" i="70" s="1"/>
  <c r="R27" i="70" s="1"/>
  <c r="R28" i="70" s="1"/>
  <c r="R29" i="70" s="1"/>
  <c r="R30" i="70" s="1"/>
  <c r="R31" i="70" s="1"/>
  <c r="R32" i="70" s="1"/>
  <c r="R33" i="70" s="1"/>
  <c r="R34" i="70" s="1"/>
  <c r="R35" i="70" s="1"/>
  <c r="R36" i="70" s="1"/>
  <c r="R37" i="70" s="1"/>
  <c r="R38" i="70" s="1"/>
  <c r="R39" i="70" s="1"/>
  <c r="R40" i="70" s="1"/>
  <c r="R41" i="70" s="1"/>
  <c r="R42" i="70" s="1"/>
  <c r="R43" i="70" s="1"/>
  <c r="R44" i="70" s="1"/>
  <c r="R45" i="70" s="1"/>
  <c r="R46" i="70" s="1"/>
  <c r="R47" i="70" s="1"/>
  <c r="R48" i="70" s="1"/>
  <c r="R49" i="70" s="1"/>
  <c r="R50" i="70" s="1"/>
  <c r="R51" i="70" s="1"/>
  <c r="R52" i="70" s="1"/>
  <c r="R53" i="70" s="1"/>
  <c r="R54" i="70" s="1"/>
  <c r="R55" i="70" s="1"/>
  <c r="R56" i="70" s="1"/>
  <c r="R57" i="70" s="1"/>
  <c r="I35" i="72"/>
  <c r="F9" i="71" s="1"/>
  <c r="N50" i="49"/>
  <c r="N51" i="49"/>
  <c r="N50" i="43"/>
  <c r="N51" i="43"/>
  <c r="L47" i="45"/>
  <c r="B48" i="45" s="1"/>
  <c r="B62" i="45" s="1"/>
  <c r="I62" i="72"/>
  <c r="K62" i="72" s="1"/>
  <c r="K62" i="79"/>
  <c r="K71" i="79"/>
  <c r="I71" i="72"/>
  <c r="K71" i="72" s="1"/>
  <c r="F29" i="64"/>
  <c r="P4" i="64" s="1"/>
  <c r="D46" i="59"/>
  <c r="L46" i="59"/>
  <c r="P61" i="68"/>
  <c r="R22" i="68"/>
  <c r="R23" i="68" s="1"/>
  <c r="R24" i="68" s="1"/>
  <c r="R25" i="68" s="1"/>
  <c r="R26" i="68" s="1"/>
  <c r="R27" i="68" s="1"/>
  <c r="R28" i="68" s="1"/>
  <c r="R29" i="68" s="1"/>
  <c r="R30" i="68" s="1"/>
  <c r="R31" i="68" s="1"/>
  <c r="R32" i="68" s="1"/>
  <c r="R33" i="68" s="1"/>
  <c r="R34" i="68" s="1"/>
  <c r="R35" i="68" s="1"/>
  <c r="R36" i="68" s="1"/>
  <c r="R37" i="68" s="1"/>
  <c r="R38" i="68" s="1"/>
  <c r="R39" i="68" s="1"/>
  <c r="R40" i="68" s="1"/>
  <c r="R41" i="68" s="1"/>
  <c r="R42" i="68" s="1"/>
  <c r="R43" i="68" s="1"/>
  <c r="R44" i="68" s="1"/>
  <c r="R45" i="68" s="1"/>
  <c r="R46" i="68" s="1"/>
  <c r="R47" i="68" s="1"/>
  <c r="R48" i="68" s="1"/>
  <c r="R49" i="68" s="1"/>
  <c r="R50" i="68" s="1"/>
  <c r="R51" i="68" s="1"/>
  <c r="R52" i="68" s="1"/>
  <c r="R53" i="68" s="1"/>
  <c r="R54" i="68" s="1"/>
  <c r="R55" i="68" s="1"/>
  <c r="R56" i="68" s="1"/>
  <c r="R57" i="68" s="1"/>
  <c r="P9" i="70"/>
  <c r="I71" i="79" s="1"/>
  <c r="P13" i="70"/>
  <c r="P14" i="70" s="1"/>
  <c r="P6" i="62"/>
  <c r="P7" i="62" s="1"/>
  <c r="M76" i="79" s="1"/>
  <c r="N46" i="16"/>
  <c r="F47" i="16"/>
  <c r="L47" i="16" s="1"/>
  <c r="L46" i="17"/>
  <c r="B47" i="17" s="1"/>
  <c r="D47" i="17" s="1"/>
  <c r="D48" i="15"/>
  <c r="D62" i="15" s="1"/>
  <c r="B62" i="15"/>
  <c r="L48" i="15"/>
  <c r="N48" i="15" s="1"/>
  <c r="D48" i="44"/>
  <c r="D62" i="44" s="1"/>
  <c r="L48" i="44"/>
  <c r="N62" i="55"/>
  <c r="P6" i="56"/>
  <c r="P7" i="56" s="1"/>
  <c r="M60" i="79" s="1"/>
  <c r="P12" i="56"/>
  <c r="P9" i="58"/>
  <c r="I62" i="79" s="1"/>
  <c r="P13" i="58"/>
  <c r="P14" i="58" s="1"/>
  <c r="P22" i="58"/>
  <c r="P24" i="58"/>
  <c r="P23" i="58"/>
  <c r="P25" i="58"/>
  <c r="P26" i="58"/>
  <c r="P27" i="58"/>
  <c r="P28" i="58"/>
  <c r="P29" i="58"/>
  <c r="P30" i="58"/>
  <c r="P31" i="58"/>
  <c r="P32" i="58"/>
  <c r="P33" i="58"/>
  <c r="P34" i="58"/>
  <c r="P35" i="58"/>
  <c r="P36" i="58"/>
  <c r="P37" i="58"/>
  <c r="P39" i="58"/>
  <c r="P38" i="58"/>
  <c r="P40" i="58"/>
  <c r="P41" i="58"/>
  <c r="P42" i="58"/>
  <c r="P43" i="58"/>
  <c r="P44" i="58"/>
  <c r="P45" i="58"/>
  <c r="P46" i="58"/>
  <c r="P47" i="58"/>
  <c r="P48" i="58"/>
  <c r="P50" i="58"/>
  <c r="P49" i="58"/>
  <c r="P51" i="58"/>
  <c r="P6" i="57"/>
  <c r="P7" i="57" s="1"/>
  <c r="M61" i="79" s="1"/>
  <c r="P12" i="57"/>
  <c r="F51" i="49"/>
  <c r="F62" i="49" s="1"/>
  <c r="P4" i="49" s="1"/>
  <c r="F51" i="48"/>
  <c r="F62" i="48" s="1"/>
  <c r="P4" i="48" s="1"/>
  <c r="N50" i="48"/>
  <c r="N62" i="47"/>
  <c r="L47" i="46"/>
  <c r="F51" i="43"/>
  <c r="F62" i="43" s="1"/>
  <c r="P4" i="43" s="1"/>
  <c r="L47" i="42"/>
  <c r="P35" i="11"/>
  <c r="R22" i="11"/>
  <c r="R23" i="11" s="1"/>
  <c r="R24" i="11" s="1"/>
  <c r="R25" i="11" s="1"/>
  <c r="R26" i="11" s="1"/>
  <c r="R27" i="11" s="1"/>
  <c r="R28" i="11" s="1"/>
  <c r="R29" i="11" s="1"/>
  <c r="R30" i="11" s="1"/>
  <c r="R31" i="11" s="1"/>
  <c r="T22" i="4"/>
  <c r="V22" i="4" s="1"/>
  <c r="T23" i="4"/>
  <c r="T24" i="4"/>
  <c r="T25" i="4"/>
  <c r="T26" i="4"/>
  <c r="T27" i="4"/>
  <c r="T28" i="4"/>
  <c r="T29" i="4"/>
  <c r="T30" i="4"/>
  <c r="T31" i="4"/>
  <c r="T32" i="4"/>
  <c r="T33" i="4"/>
  <c r="P12" i="4"/>
  <c r="P22" i="4"/>
  <c r="P23" i="4"/>
  <c r="X23" i="4" s="1"/>
  <c r="P24" i="4"/>
  <c r="X24" i="4" s="1"/>
  <c r="P25" i="4"/>
  <c r="X25" i="4" s="1"/>
  <c r="P26" i="4"/>
  <c r="X26" i="4" s="1"/>
  <c r="P27" i="4"/>
  <c r="X27" i="4" s="1"/>
  <c r="P28" i="4"/>
  <c r="X28" i="4" s="1"/>
  <c r="P29" i="4"/>
  <c r="X29" i="4" s="1"/>
  <c r="P31" i="4"/>
  <c r="X31" i="4" s="1"/>
  <c r="P30" i="4"/>
  <c r="P32" i="4"/>
  <c r="X32" i="4" s="1"/>
  <c r="P33" i="4"/>
  <c r="P34" i="4"/>
  <c r="P35" i="4"/>
  <c r="P36" i="4"/>
  <c r="P37" i="4"/>
  <c r="P38" i="4"/>
  <c r="P39" i="4"/>
  <c r="P40" i="4"/>
  <c r="P41" i="4"/>
  <c r="P43" i="4"/>
  <c r="P42" i="4"/>
  <c r="P45" i="4"/>
  <c r="P44" i="4"/>
  <c r="L52" i="69" l="1"/>
  <c r="G9" i="71"/>
  <c r="H9" i="71" s="1"/>
  <c r="K36" i="79"/>
  <c r="L49" i="15"/>
  <c r="L50" i="15" s="1"/>
  <c r="N50" i="15" s="1"/>
  <c r="D48" i="45"/>
  <c r="D62" i="45" s="1"/>
  <c r="N47" i="45"/>
  <c r="L48" i="45"/>
  <c r="L49" i="45" s="1"/>
  <c r="L50" i="45" s="1"/>
  <c r="K61" i="79"/>
  <c r="I61" i="72"/>
  <c r="K61" i="72" s="1"/>
  <c r="I60" i="72"/>
  <c r="K60" i="72" s="1"/>
  <c r="K60" i="79"/>
  <c r="K76" i="72"/>
  <c r="B47" i="59"/>
  <c r="N46" i="59"/>
  <c r="P61" i="70"/>
  <c r="N29" i="63"/>
  <c r="P22" i="62"/>
  <c r="P23" i="62"/>
  <c r="P24" i="62"/>
  <c r="P25" i="62"/>
  <c r="P9" i="62"/>
  <c r="I76" i="79" s="1"/>
  <c r="B48" i="16"/>
  <c r="B62" i="16" s="1"/>
  <c r="N46" i="17"/>
  <c r="N48" i="44"/>
  <c r="L49" i="44"/>
  <c r="F62" i="15"/>
  <c r="P4" i="15" s="1"/>
  <c r="N49" i="15"/>
  <c r="L47" i="17"/>
  <c r="N47" i="17" s="1"/>
  <c r="L51" i="43"/>
  <c r="N62" i="43" s="1"/>
  <c r="P62" i="58"/>
  <c r="R22" i="58"/>
  <c r="R23" i="58" s="1"/>
  <c r="R24" i="58" s="1"/>
  <c r="R25" i="58" s="1"/>
  <c r="R26" i="58" s="1"/>
  <c r="R27" i="58" s="1"/>
  <c r="R28" i="58" s="1"/>
  <c r="R29" i="58" s="1"/>
  <c r="R30" i="58" s="1"/>
  <c r="R31" i="58" s="1"/>
  <c r="R32" i="58" s="1"/>
  <c r="R33" i="58" s="1"/>
  <c r="R34" i="58" s="1"/>
  <c r="R35" i="58" s="1"/>
  <c r="R36" i="58" s="1"/>
  <c r="R37" i="58" s="1"/>
  <c r="R38" i="58" s="1"/>
  <c r="R39" i="58" s="1"/>
  <c r="R40" i="58" s="1"/>
  <c r="R41" i="58" s="1"/>
  <c r="R42" i="58" s="1"/>
  <c r="R43" i="58" s="1"/>
  <c r="R44" i="58" s="1"/>
  <c r="R45" i="58" s="1"/>
  <c r="R46" i="58" s="1"/>
  <c r="R47" i="58" s="1"/>
  <c r="R48" i="58" s="1"/>
  <c r="R49" i="58" s="1"/>
  <c r="R50" i="58" s="1"/>
  <c r="R51" i="58" s="1"/>
  <c r="P22" i="57"/>
  <c r="P23" i="57"/>
  <c r="P25" i="57"/>
  <c r="P24" i="57"/>
  <c r="P27" i="57"/>
  <c r="P26" i="57"/>
  <c r="P28" i="57"/>
  <c r="P29" i="57"/>
  <c r="P30" i="57"/>
  <c r="P32" i="57"/>
  <c r="P31" i="57"/>
  <c r="P33" i="57"/>
  <c r="P34" i="57"/>
  <c r="P35" i="57"/>
  <c r="P36" i="57"/>
  <c r="P37" i="57"/>
  <c r="P38" i="57"/>
  <c r="P39" i="57"/>
  <c r="P40" i="57"/>
  <c r="P41" i="57"/>
  <c r="P43" i="57"/>
  <c r="P42" i="57"/>
  <c r="P45" i="57"/>
  <c r="P44" i="57"/>
  <c r="P46" i="57"/>
  <c r="P47" i="57"/>
  <c r="P48" i="57"/>
  <c r="P49" i="57"/>
  <c r="P50" i="57"/>
  <c r="P51" i="57"/>
  <c r="P9" i="56"/>
  <c r="I60" i="79" s="1"/>
  <c r="P13" i="56"/>
  <c r="P14" i="56" s="1"/>
  <c r="P9" i="57"/>
  <c r="I61" i="79" s="1"/>
  <c r="P13" i="57"/>
  <c r="P14" i="57" s="1"/>
  <c r="P6" i="55"/>
  <c r="P7" i="55" s="1"/>
  <c r="M59" i="79" s="1"/>
  <c r="P12" i="55"/>
  <c r="P22" i="56"/>
  <c r="P23" i="56"/>
  <c r="P24" i="56"/>
  <c r="P25" i="56"/>
  <c r="P26" i="56"/>
  <c r="P27" i="56"/>
  <c r="P28" i="56"/>
  <c r="P29" i="56"/>
  <c r="P30" i="56"/>
  <c r="P31" i="56"/>
  <c r="P32" i="56"/>
  <c r="P33" i="56"/>
  <c r="P34" i="56"/>
  <c r="P35" i="56"/>
  <c r="P36" i="56"/>
  <c r="P37" i="56"/>
  <c r="P38" i="56"/>
  <c r="P39" i="56"/>
  <c r="P40" i="56"/>
  <c r="P41" i="56"/>
  <c r="P42" i="56"/>
  <c r="P43" i="56"/>
  <c r="P44" i="56"/>
  <c r="P45" i="56"/>
  <c r="P46" i="56"/>
  <c r="P47" i="56"/>
  <c r="P48" i="56"/>
  <c r="P50" i="56"/>
  <c r="P49" i="56"/>
  <c r="P51" i="56"/>
  <c r="L51" i="49"/>
  <c r="L51" i="48"/>
  <c r="P6" i="47"/>
  <c r="P7" i="47" s="1"/>
  <c r="M51" i="79" s="1"/>
  <c r="P12" i="47"/>
  <c r="B48" i="46"/>
  <c r="B48" i="42"/>
  <c r="L48" i="42" s="1"/>
  <c r="N48" i="42" s="1"/>
  <c r="N47" i="42"/>
  <c r="F28" i="20"/>
  <c r="P4" i="20" s="1"/>
  <c r="X30" i="4"/>
  <c r="R22" i="4"/>
  <c r="X22" i="4"/>
  <c r="X33" i="4"/>
  <c r="V23" i="4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B53" i="69" l="1"/>
  <c r="L53" i="69"/>
  <c r="N53" i="69"/>
  <c r="N52" i="69"/>
  <c r="N50" i="45"/>
  <c r="N51" i="45"/>
  <c r="N48" i="45"/>
  <c r="N49" i="45"/>
  <c r="I59" i="72"/>
  <c r="K59" i="72" s="1"/>
  <c r="K59" i="79"/>
  <c r="K51" i="79"/>
  <c r="I51" i="72"/>
  <c r="K51" i="72" s="1"/>
  <c r="F51" i="45"/>
  <c r="F62" i="45" s="1"/>
  <c r="P4" i="45" s="1"/>
  <c r="N29" i="64"/>
  <c r="L47" i="59"/>
  <c r="D47" i="59"/>
  <c r="P6" i="63"/>
  <c r="P7" i="63" s="1"/>
  <c r="M77" i="79" s="1"/>
  <c r="P29" i="62"/>
  <c r="R22" i="62"/>
  <c r="R23" i="62" s="1"/>
  <c r="R24" i="62" s="1"/>
  <c r="R25" i="62" s="1"/>
  <c r="L48" i="16"/>
  <c r="N48" i="16" s="1"/>
  <c r="D48" i="16"/>
  <c r="D62" i="16" s="1"/>
  <c r="L51" i="15"/>
  <c r="N51" i="15" s="1"/>
  <c r="N49" i="44"/>
  <c r="L50" i="44"/>
  <c r="F62" i="44" s="1"/>
  <c r="P4" i="44" s="1"/>
  <c r="B48" i="17"/>
  <c r="L48" i="17" s="1"/>
  <c r="N48" i="17" s="1"/>
  <c r="P9" i="55"/>
  <c r="I59" i="79" s="1"/>
  <c r="P13" i="55"/>
  <c r="P14" i="55" s="1"/>
  <c r="P54" i="56"/>
  <c r="R22" i="56"/>
  <c r="R23" i="56" s="1"/>
  <c r="R24" i="56" s="1"/>
  <c r="R25" i="56" s="1"/>
  <c r="R26" i="56" s="1"/>
  <c r="R27" i="56" s="1"/>
  <c r="R28" i="56" s="1"/>
  <c r="R29" i="56" s="1"/>
  <c r="R30" i="56" s="1"/>
  <c r="R31" i="56" s="1"/>
  <c r="R32" i="56" s="1"/>
  <c r="R33" i="56" s="1"/>
  <c r="R34" i="56" s="1"/>
  <c r="R35" i="56" s="1"/>
  <c r="R36" i="56" s="1"/>
  <c r="R37" i="56" s="1"/>
  <c r="R38" i="56" s="1"/>
  <c r="R39" i="56" s="1"/>
  <c r="R40" i="56" s="1"/>
  <c r="R41" i="56" s="1"/>
  <c r="R42" i="56" s="1"/>
  <c r="R43" i="56" s="1"/>
  <c r="R44" i="56" s="1"/>
  <c r="R45" i="56" s="1"/>
  <c r="R46" i="56" s="1"/>
  <c r="R47" i="56" s="1"/>
  <c r="R48" i="56" s="1"/>
  <c r="R49" i="56" s="1"/>
  <c r="R50" i="56" s="1"/>
  <c r="R51" i="56" s="1"/>
  <c r="P22" i="55"/>
  <c r="P23" i="55"/>
  <c r="P24" i="55"/>
  <c r="P25" i="55"/>
  <c r="P26" i="55"/>
  <c r="P27" i="55"/>
  <c r="P28" i="55"/>
  <c r="P29" i="55"/>
  <c r="P30" i="55"/>
  <c r="P32" i="55"/>
  <c r="P31" i="55"/>
  <c r="P33" i="55"/>
  <c r="P34" i="55"/>
  <c r="P35" i="55"/>
  <c r="P36" i="55"/>
  <c r="P37" i="55"/>
  <c r="P38" i="55"/>
  <c r="P39" i="55"/>
  <c r="P41" i="55"/>
  <c r="P40" i="55"/>
  <c r="P42" i="55"/>
  <c r="P43" i="55"/>
  <c r="P44" i="55"/>
  <c r="P45" i="55"/>
  <c r="P46" i="55"/>
  <c r="P47" i="55"/>
  <c r="P49" i="55"/>
  <c r="P48" i="55"/>
  <c r="P50" i="55"/>
  <c r="P51" i="55"/>
  <c r="R22" i="57"/>
  <c r="R23" i="57" s="1"/>
  <c r="R24" i="57" s="1"/>
  <c r="R25" i="57" s="1"/>
  <c r="R26" i="57" s="1"/>
  <c r="R27" i="57" s="1"/>
  <c r="R28" i="57" s="1"/>
  <c r="R29" i="57" s="1"/>
  <c r="R30" i="57" s="1"/>
  <c r="R31" i="57" s="1"/>
  <c r="R32" i="57" s="1"/>
  <c r="R33" i="57" s="1"/>
  <c r="R34" i="57" s="1"/>
  <c r="R35" i="57" s="1"/>
  <c r="R36" i="57" s="1"/>
  <c r="R37" i="57" s="1"/>
  <c r="R38" i="57" s="1"/>
  <c r="R39" i="57" s="1"/>
  <c r="R40" i="57" s="1"/>
  <c r="R41" i="57" s="1"/>
  <c r="R42" i="57" s="1"/>
  <c r="R43" i="57" s="1"/>
  <c r="R44" i="57" s="1"/>
  <c r="R45" i="57" s="1"/>
  <c r="R46" i="57" s="1"/>
  <c r="R47" i="57" s="1"/>
  <c r="R48" i="57" s="1"/>
  <c r="R49" i="57" s="1"/>
  <c r="R50" i="57" s="1"/>
  <c r="R51" i="57" s="1"/>
  <c r="P62" i="57"/>
  <c r="N62" i="49"/>
  <c r="N62" i="48"/>
  <c r="P22" i="47"/>
  <c r="P23" i="47"/>
  <c r="P24" i="47"/>
  <c r="P25" i="47"/>
  <c r="P26" i="47"/>
  <c r="P27" i="47"/>
  <c r="P29" i="47"/>
  <c r="P28" i="47"/>
  <c r="P30" i="47"/>
  <c r="P31" i="47"/>
  <c r="P32" i="47"/>
  <c r="P33" i="47"/>
  <c r="P34" i="47"/>
  <c r="P35" i="47"/>
  <c r="P36" i="47"/>
  <c r="P37" i="47"/>
  <c r="P38" i="47"/>
  <c r="P39" i="47"/>
  <c r="P40" i="47"/>
  <c r="P41" i="47"/>
  <c r="P42" i="47"/>
  <c r="P44" i="47"/>
  <c r="P43" i="47"/>
  <c r="P45" i="47"/>
  <c r="P46" i="47"/>
  <c r="P47" i="47"/>
  <c r="P48" i="47"/>
  <c r="P50" i="47"/>
  <c r="P49" i="47"/>
  <c r="P51" i="47"/>
  <c r="P9" i="47"/>
  <c r="I51" i="79" s="1"/>
  <c r="P13" i="47"/>
  <c r="P14" i="47" s="1"/>
  <c r="D48" i="46"/>
  <c r="D62" i="46" s="1"/>
  <c r="B62" i="46"/>
  <c r="L48" i="46"/>
  <c r="P6" i="43"/>
  <c r="P7" i="43" s="1"/>
  <c r="M54" i="79" s="1"/>
  <c r="P12" i="43"/>
  <c r="L49" i="42"/>
  <c r="D48" i="42"/>
  <c r="D62" i="42" s="1"/>
  <c r="B62" i="42"/>
  <c r="Z22" i="4"/>
  <c r="R23" i="4"/>
  <c r="B54" i="69" l="1"/>
  <c r="D54" i="69" s="1"/>
  <c r="L54" i="69"/>
  <c r="N54" i="69"/>
  <c r="D53" i="69"/>
  <c r="D61" i="69" s="1"/>
  <c r="B61" i="69"/>
  <c r="L51" i="45"/>
  <c r="K54" i="79"/>
  <c r="I54" i="72"/>
  <c r="K54" i="72" s="1"/>
  <c r="K77" i="72"/>
  <c r="N50" i="44"/>
  <c r="B48" i="59"/>
  <c r="N47" i="59"/>
  <c r="P6" i="64"/>
  <c r="P7" i="64" s="1"/>
  <c r="M78" i="79" s="1"/>
  <c r="P22" i="63"/>
  <c r="P23" i="63"/>
  <c r="P24" i="63"/>
  <c r="P25" i="63"/>
  <c r="P9" i="63"/>
  <c r="I77" i="79" s="1"/>
  <c r="N62" i="45"/>
  <c r="L51" i="44"/>
  <c r="N51" i="44" s="1"/>
  <c r="L49" i="16"/>
  <c r="L50" i="16" s="1"/>
  <c r="N50" i="16" s="1"/>
  <c r="B62" i="17"/>
  <c r="N62" i="15"/>
  <c r="D48" i="17"/>
  <c r="D62" i="17" s="1"/>
  <c r="L49" i="17"/>
  <c r="F51" i="17" s="1"/>
  <c r="F62" i="17" s="1"/>
  <c r="P62" i="55"/>
  <c r="R22" i="55"/>
  <c r="R23" i="55" s="1"/>
  <c r="R24" i="55" s="1"/>
  <c r="R25" i="55" s="1"/>
  <c r="R26" i="55" s="1"/>
  <c r="R27" i="55" s="1"/>
  <c r="R28" i="55" s="1"/>
  <c r="R29" i="55" s="1"/>
  <c r="R30" i="55" s="1"/>
  <c r="R31" i="55" s="1"/>
  <c r="R32" i="55" s="1"/>
  <c r="R33" i="55" s="1"/>
  <c r="R34" i="55" s="1"/>
  <c r="R35" i="55" s="1"/>
  <c r="R36" i="55" s="1"/>
  <c r="R37" i="55" s="1"/>
  <c r="R38" i="55" s="1"/>
  <c r="R39" i="55" s="1"/>
  <c r="R40" i="55" s="1"/>
  <c r="R41" i="55" s="1"/>
  <c r="R42" i="55" s="1"/>
  <c r="R43" i="55" s="1"/>
  <c r="R44" i="55" s="1"/>
  <c r="R45" i="55" s="1"/>
  <c r="R46" i="55" s="1"/>
  <c r="R47" i="55" s="1"/>
  <c r="R48" i="55" s="1"/>
  <c r="R49" i="55" s="1"/>
  <c r="R50" i="55" s="1"/>
  <c r="R51" i="55" s="1"/>
  <c r="P6" i="48"/>
  <c r="P7" i="48" s="1"/>
  <c r="M56" i="79" s="1"/>
  <c r="P12" i="48"/>
  <c r="P6" i="49"/>
  <c r="P7" i="49" s="1"/>
  <c r="M57" i="79" s="1"/>
  <c r="P12" i="49"/>
  <c r="P62" i="47"/>
  <c r="R22" i="47"/>
  <c r="R23" i="47" s="1"/>
  <c r="R24" i="47" s="1"/>
  <c r="R25" i="47" s="1"/>
  <c r="R26" i="47" s="1"/>
  <c r="R27" i="47" s="1"/>
  <c r="R28" i="47" s="1"/>
  <c r="R29" i="47" s="1"/>
  <c r="R30" i="47" s="1"/>
  <c r="R31" i="47" s="1"/>
  <c r="R32" i="47" s="1"/>
  <c r="R33" i="47" s="1"/>
  <c r="R34" i="47" s="1"/>
  <c r="R35" i="47" s="1"/>
  <c r="R36" i="47" s="1"/>
  <c r="R37" i="47" s="1"/>
  <c r="R38" i="47" s="1"/>
  <c r="R39" i="47" s="1"/>
  <c r="R40" i="47" s="1"/>
  <c r="R41" i="47" s="1"/>
  <c r="R42" i="47" s="1"/>
  <c r="R43" i="47" s="1"/>
  <c r="R44" i="47" s="1"/>
  <c r="R45" i="47" s="1"/>
  <c r="R46" i="47" s="1"/>
  <c r="R47" i="47" s="1"/>
  <c r="R48" i="47" s="1"/>
  <c r="R49" i="47" s="1"/>
  <c r="R50" i="47" s="1"/>
  <c r="R51" i="47" s="1"/>
  <c r="L49" i="46"/>
  <c r="N48" i="46"/>
  <c r="P22" i="43"/>
  <c r="P23" i="43"/>
  <c r="P24" i="43"/>
  <c r="P25" i="43"/>
  <c r="P26" i="43"/>
  <c r="P27" i="43"/>
  <c r="P28" i="43"/>
  <c r="P29" i="43"/>
  <c r="P30" i="43"/>
  <c r="P32" i="43"/>
  <c r="P31" i="43"/>
  <c r="P33" i="43"/>
  <c r="P34" i="43"/>
  <c r="P35" i="43"/>
  <c r="P36" i="43"/>
  <c r="P37" i="43"/>
  <c r="P38" i="43"/>
  <c r="P39" i="43"/>
  <c r="P40" i="43"/>
  <c r="P42" i="43"/>
  <c r="P41" i="43"/>
  <c r="P43" i="43"/>
  <c r="P44" i="43"/>
  <c r="P45" i="43"/>
  <c r="P46" i="43"/>
  <c r="P47" i="43"/>
  <c r="P48" i="43"/>
  <c r="P49" i="43"/>
  <c r="P50" i="43"/>
  <c r="P51" i="43"/>
  <c r="P9" i="43"/>
  <c r="I54" i="79" s="1"/>
  <c r="P13" i="43"/>
  <c r="P14" i="43" s="1"/>
  <c r="F51" i="42"/>
  <c r="F62" i="42" s="1"/>
  <c r="P4" i="42" s="1"/>
  <c r="L50" i="42"/>
  <c r="N49" i="42"/>
  <c r="N28" i="20"/>
  <c r="Z23" i="4"/>
  <c r="R24" i="4"/>
  <c r="L55" i="69" l="1"/>
  <c r="N55" i="69"/>
  <c r="N62" i="44"/>
  <c r="P6" i="44" s="1"/>
  <c r="P7" i="44" s="1"/>
  <c r="M49" i="79" s="1"/>
  <c r="N50" i="42"/>
  <c r="N51" i="42"/>
  <c r="P4" i="17"/>
  <c r="K57" i="79"/>
  <c r="I57" i="72"/>
  <c r="K57" i="72" s="1"/>
  <c r="K56" i="79"/>
  <c r="I56" i="72"/>
  <c r="K56" i="72" s="1"/>
  <c r="K78" i="72"/>
  <c r="P22" i="64"/>
  <c r="P23" i="64"/>
  <c r="P24" i="64"/>
  <c r="P25" i="64"/>
  <c r="P9" i="64"/>
  <c r="I78" i="79" s="1"/>
  <c r="D48" i="59"/>
  <c r="D62" i="59" s="1"/>
  <c r="B62" i="59"/>
  <c r="L48" i="59"/>
  <c r="P29" i="63"/>
  <c r="R22" i="63"/>
  <c r="R23" i="63" s="1"/>
  <c r="R24" i="63" s="1"/>
  <c r="R25" i="63" s="1"/>
  <c r="P6" i="45"/>
  <c r="P7" i="45" s="1"/>
  <c r="P12" i="45"/>
  <c r="N49" i="16"/>
  <c r="F62" i="16"/>
  <c r="P4" i="16" s="1"/>
  <c r="L50" i="17"/>
  <c r="N49" i="17"/>
  <c r="P6" i="15"/>
  <c r="P7" i="15" s="1"/>
  <c r="M47" i="79" s="1"/>
  <c r="P12" i="15"/>
  <c r="P9" i="49"/>
  <c r="I57" i="79" s="1"/>
  <c r="P13" i="49"/>
  <c r="P14" i="49" s="1"/>
  <c r="P22" i="48"/>
  <c r="P23" i="48"/>
  <c r="P24" i="48"/>
  <c r="P25" i="48"/>
  <c r="P27" i="48"/>
  <c r="P26" i="48"/>
  <c r="P28" i="48"/>
  <c r="P29" i="48"/>
  <c r="P30" i="48"/>
  <c r="P31" i="48"/>
  <c r="P32" i="48"/>
  <c r="P33" i="48"/>
  <c r="P34" i="48"/>
  <c r="P35" i="48"/>
  <c r="P37" i="48"/>
  <c r="P36" i="48"/>
  <c r="P39" i="48"/>
  <c r="P38" i="48"/>
  <c r="P40" i="48"/>
  <c r="P42" i="48"/>
  <c r="P41" i="48"/>
  <c r="P43" i="48"/>
  <c r="P44" i="48"/>
  <c r="P45" i="48"/>
  <c r="P46" i="48"/>
  <c r="P47" i="48"/>
  <c r="P49" i="48"/>
  <c r="P48" i="48"/>
  <c r="P50" i="48"/>
  <c r="P51" i="48"/>
  <c r="P22" i="49"/>
  <c r="P23" i="49"/>
  <c r="P24" i="49"/>
  <c r="P25" i="49"/>
  <c r="P26" i="49"/>
  <c r="P27" i="49"/>
  <c r="P28" i="49"/>
  <c r="P29" i="49"/>
  <c r="P30" i="49"/>
  <c r="P31" i="49"/>
  <c r="P32" i="49"/>
  <c r="P33" i="49"/>
  <c r="P34" i="49"/>
  <c r="P35" i="49"/>
  <c r="P36" i="49"/>
  <c r="P37" i="49"/>
  <c r="P38" i="49"/>
  <c r="P39" i="49"/>
  <c r="P40" i="49"/>
  <c r="P41" i="49"/>
  <c r="P43" i="49"/>
  <c r="P42" i="49"/>
  <c r="P45" i="49"/>
  <c r="P44" i="49"/>
  <c r="P46" i="49"/>
  <c r="P47" i="49"/>
  <c r="P49" i="49"/>
  <c r="P48" i="49"/>
  <c r="P50" i="49"/>
  <c r="P51" i="49"/>
  <c r="P9" i="48"/>
  <c r="I56" i="79" s="1"/>
  <c r="P13" i="48"/>
  <c r="P14" i="48" s="1"/>
  <c r="L50" i="46"/>
  <c r="N50" i="46" s="1"/>
  <c r="N49" i="46"/>
  <c r="P12" i="44"/>
  <c r="P62" i="43"/>
  <c r="R22" i="43"/>
  <c r="R23" i="43" s="1"/>
  <c r="R24" i="43" s="1"/>
  <c r="R25" i="43" s="1"/>
  <c r="R26" i="43" s="1"/>
  <c r="R27" i="43" s="1"/>
  <c r="R28" i="43" s="1"/>
  <c r="R29" i="43" s="1"/>
  <c r="R30" i="43" s="1"/>
  <c r="R31" i="43" s="1"/>
  <c r="R32" i="43" s="1"/>
  <c r="R33" i="43" s="1"/>
  <c r="R34" i="43" s="1"/>
  <c r="R35" i="43" s="1"/>
  <c r="R36" i="43" s="1"/>
  <c r="R37" i="43" s="1"/>
  <c r="R38" i="43" s="1"/>
  <c r="R39" i="43" s="1"/>
  <c r="R40" i="43" s="1"/>
  <c r="R41" i="43" s="1"/>
  <c r="R42" i="43" s="1"/>
  <c r="R43" i="43" s="1"/>
  <c r="R44" i="43" s="1"/>
  <c r="R45" i="43" s="1"/>
  <c r="R46" i="43" s="1"/>
  <c r="R47" i="43" s="1"/>
  <c r="R48" i="43" s="1"/>
  <c r="R49" i="43" s="1"/>
  <c r="R50" i="43" s="1"/>
  <c r="R51" i="43" s="1"/>
  <c r="L51" i="42"/>
  <c r="P6" i="20"/>
  <c r="P7" i="20" s="1"/>
  <c r="M75" i="79" s="1"/>
  <c r="L51" i="17"/>
  <c r="Z24" i="4"/>
  <c r="R25" i="4"/>
  <c r="L56" i="69" l="1"/>
  <c r="N56" i="69"/>
  <c r="F57" i="69"/>
  <c r="F61" i="69" s="1"/>
  <c r="P4" i="69" s="1"/>
  <c r="N50" i="17"/>
  <c r="N51" i="17"/>
  <c r="K55" i="79"/>
  <c r="I55" i="72"/>
  <c r="K55" i="72" s="1"/>
  <c r="I49" i="72"/>
  <c r="K49" i="72" s="1"/>
  <c r="K49" i="79"/>
  <c r="K47" i="79"/>
  <c r="I47" i="72"/>
  <c r="K47" i="72" s="1"/>
  <c r="K75" i="72"/>
  <c r="K80" i="72" s="1"/>
  <c r="L49" i="59"/>
  <c r="N49" i="59" s="1"/>
  <c r="N48" i="59"/>
  <c r="P29" i="64"/>
  <c r="R22" i="64"/>
  <c r="R23" i="64" s="1"/>
  <c r="R24" i="64" s="1"/>
  <c r="R25" i="64" s="1"/>
  <c r="P33" i="45"/>
  <c r="P44" i="45"/>
  <c r="P23" i="45"/>
  <c r="P38" i="45"/>
  <c r="P50" i="45"/>
  <c r="P27" i="45"/>
  <c r="P30" i="45"/>
  <c r="P32" i="45"/>
  <c r="P22" i="45"/>
  <c r="P34" i="45"/>
  <c r="P46" i="45"/>
  <c r="P36" i="45"/>
  <c r="P25" i="45"/>
  <c r="P26" i="45"/>
  <c r="P40" i="45"/>
  <c r="P29" i="45"/>
  <c r="P41" i="45"/>
  <c r="P31" i="45"/>
  <c r="P24" i="45"/>
  <c r="P35" i="45"/>
  <c r="P47" i="45"/>
  <c r="P48" i="45"/>
  <c r="P49" i="45"/>
  <c r="P37" i="45"/>
  <c r="P39" i="45"/>
  <c r="P28" i="45"/>
  <c r="P43" i="45"/>
  <c r="P45" i="45"/>
  <c r="P42" i="45"/>
  <c r="P51" i="45"/>
  <c r="P13" i="45"/>
  <c r="P14" i="45" s="1"/>
  <c r="P9" i="45"/>
  <c r="I55" i="79" s="1"/>
  <c r="L51" i="16"/>
  <c r="N51" i="16" s="1"/>
  <c r="N62" i="16" s="1"/>
  <c r="P6" i="16" s="1"/>
  <c r="P25" i="15"/>
  <c r="P39" i="15"/>
  <c r="P42" i="15"/>
  <c r="P32" i="15"/>
  <c r="P31" i="15"/>
  <c r="P33" i="15"/>
  <c r="P35" i="15"/>
  <c r="P23" i="15"/>
  <c r="P24" i="15"/>
  <c r="P26" i="15"/>
  <c r="P27" i="15"/>
  <c r="P38" i="15"/>
  <c r="P28" i="15"/>
  <c r="P41" i="15"/>
  <c r="P29" i="15"/>
  <c r="P40" i="15"/>
  <c r="P30" i="15"/>
  <c r="P43" i="15"/>
  <c r="P22" i="15"/>
  <c r="P34" i="15"/>
  <c r="P36" i="15"/>
  <c r="P37" i="15"/>
  <c r="P44" i="15"/>
  <c r="P45" i="15"/>
  <c r="P47" i="15"/>
  <c r="P46" i="15"/>
  <c r="P50" i="15"/>
  <c r="P48" i="15"/>
  <c r="P49" i="15"/>
  <c r="P51" i="15"/>
  <c r="P13" i="15"/>
  <c r="P14" i="15" s="1"/>
  <c r="P9" i="15"/>
  <c r="I47" i="79" s="1"/>
  <c r="R22" i="48"/>
  <c r="R23" i="48" s="1"/>
  <c r="R24" i="48" s="1"/>
  <c r="R25" i="48" s="1"/>
  <c r="R26" i="48" s="1"/>
  <c r="R27" i="48" s="1"/>
  <c r="R28" i="48" s="1"/>
  <c r="R29" i="48" s="1"/>
  <c r="R30" i="48" s="1"/>
  <c r="R31" i="48" s="1"/>
  <c r="R32" i="48" s="1"/>
  <c r="R33" i="48" s="1"/>
  <c r="R34" i="48" s="1"/>
  <c r="R35" i="48" s="1"/>
  <c r="R36" i="48" s="1"/>
  <c r="R37" i="48" s="1"/>
  <c r="R38" i="48" s="1"/>
  <c r="R39" i="48" s="1"/>
  <c r="R40" i="48" s="1"/>
  <c r="R41" i="48" s="1"/>
  <c r="R42" i="48" s="1"/>
  <c r="R43" i="48" s="1"/>
  <c r="R44" i="48" s="1"/>
  <c r="R45" i="48" s="1"/>
  <c r="R46" i="48" s="1"/>
  <c r="R47" i="48" s="1"/>
  <c r="R48" i="48" s="1"/>
  <c r="R49" i="48" s="1"/>
  <c r="R50" i="48" s="1"/>
  <c r="R51" i="48" s="1"/>
  <c r="P62" i="48"/>
  <c r="P62" i="49"/>
  <c r="R22" i="49"/>
  <c r="R23" i="49" s="1"/>
  <c r="R24" i="49" s="1"/>
  <c r="R25" i="49" s="1"/>
  <c r="R26" i="49" s="1"/>
  <c r="R27" i="49" s="1"/>
  <c r="R28" i="49" s="1"/>
  <c r="R29" i="49" s="1"/>
  <c r="R30" i="49" s="1"/>
  <c r="R31" i="49" s="1"/>
  <c r="R32" i="49" s="1"/>
  <c r="R33" i="49" s="1"/>
  <c r="R34" i="49" s="1"/>
  <c r="R35" i="49" s="1"/>
  <c r="R36" i="49" s="1"/>
  <c r="R37" i="49" s="1"/>
  <c r="R38" i="49" s="1"/>
  <c r="R39" i="49" s="1"/>
  <c r="R40" i="49" s="1"/>
  <c r="R41" i="49" s="1"/>
  <c r="R42" i="49" s="1"/>
  <c r="R43" i="49" s="1"/>
  <c r="R44" i="49" s="1"/>
  <c r="R45" i="49" s="1"/>
  <c r="R46" i="49" s="1"/>
  <c r="R47" i="49" s="1"/>
  <c r="R48" i="49" s="1"/>
  <c r="R49" i="49" s="1"/>
  <c r="R50" i="49" s="1"/>
  <c r="R51" i="49" s="1"/>
  <c r="F62" i="46"/>
  <c r="P4" i="46" s="1"/>
  <c r="P22" i="44"/>
  <c r="P23" i="44"/>
  <c r="P24" i="44"/>
  <c r="P26" i="44"/>
  <c r="P25" i="44"/>
  <c r="P27" i="44"/>
  <c r="P28" i="44"/>
  <c r="P29" i="44"/>
  <c r="P30" i="44"/>
  <c r="P31" i="44"/>
  <c r="P32" i="44"/>
  <c r="P34" i="44"/>
  <c r="P33" i="44"/>
  <c r="P36" i="44"/>
  <c r="P35" i="44"/>
  <c r="P38" i="44"/>
  <c r="P37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9" i="44"/>
  <c r="I49" i="79" s="1"/>
  <c r="P13" i="44"/>
  <c r="P14" i="44" s="1"/>
  <c r="N62" i="42"/>
  <c r="P22" i="20"/>
  <c r="P23" i="20"/>
  <c r="P24" i="20"/>
  <c r="P25" i="20"/>
  <c r="P9" i="20"/>
  <c r="I75" i="79" s="1"/>
  <c r="I80" i="79" s="1"/>
  <c r="N62" i="17"/>
  <c r="R26" i="4"/>
  <c r="Z25" i="4"/>
  <c r="N61" i="69" l="1"/>
  <c r="L57" i="69"/>
  <c r="N57" i="69"/>
  <c r="I80" i="72"/>
  <c r="F16" i="71" s="1"/>
  <c r="L50" i="59"/>
  <c r="N51" i="59" s="1"/>
  <c r="N50" i="59"/>
  <c r="R22" i="45"/>
  <c r="R23" i="45" s="1"/>
  <c r="R24" i="45" s="1"/>
  <c r="R25" i="45" s="1"/>
  <c r="R26" i="45" s="1"/>
  <c r="R27" i="45" s="1"/>
  <c r="R28" i="45" s="1"/>
  <c r="R29" i="45" s="1"/>
  <c r="R30" i="45" s="1"/>
  <c r="R31" i="45" s="1"/>
  <c r="R32" i="45" s="1"/>
  <c r="R33" i="45" s="1"/>
  <c r="R34" i="45" s="1"/>
  <c r="R35" i="45" s="1"/>
  <c r="R36" i="45" s="1"/>
  <c r="R37" i="45" s="1"/>
  <c r="R38" i="45" s="1"/>
  <c r="R39" i="45" s="1"/>
  <c r="R40" i="45" s="1"/>
  <c r="R41" i="45" s="1"/>
  <c r="R42" i="45" s="1"/>
  <c r="R43" i="45" s="1"/>
  <c r="R44" i="45" s="1"/>
  <c r="R45" i="45" s="1"/>
  <c r="R46" i="45" s="1"/>
  <c r="R47" i="45" s="1"/>
  <c r="R48" i="45" s="1"/>
  <c r="R49" i="45" s="1"/>
  <c r="R50" i="45" s="1"/>
  <c r="R51" i="45" s="1"/>
  <c r="P62" i="45"/>
  <c r="P7" i="16"/>
  <c r="P12" i="16"/>
  <c r="P62" i="15"/>
  <c r="R22" i="15"/>
  <c r="R23" i="15" s="1"/>
  <c r="R24" i="15" s="1"/>
  <c r="R25" i="15" s="1"/>
  <c r="R26" i="15" s="1"/>
  <c r="R27" i="15" s="1"/>
  <c r="R28" i="15" s="1"/>
  <c r="R29" i="15" s="1"/>
  <c r="R30" i="15" s="1"/>
  <c r="R31" i="15" s="1"/>
  <c r="R32" i="15" s="1"/>
  <c r="R33" i="15" s="1"/>
  <c r="R34" i="15" s="1"/>
  <c r="R35" i="15" s="1"/>
  <c r="R36" i="15" s="1"/>
  <c r="R37" i="15" s="1"/>
  <c r="R38" i="15" s="1"/>
  <c r="R39" i="15" s="1"/>
  <c r="R40" i="15" s="1"/>
  <c r="R41" i="15" s="1"/>
  <c r="R42" i="15" s="1"/>
  <c r="R43" i="15" s="1"/>
  <c r="R44" i="15" s="1"/>
  <c r="R45" i="15" s="1"/>
  <c r="R46" i="15" s="1"/>
  <c r="R47" i="15" s="1"/>
  <c r="R48" i="15" s="1"/>
  <c r="R49" i="15" s="1"/>
  <c r="R50" i="15" s="1"/>
  <c r="R51" i="15" s="1"/>
  <c r="L51" i="46"/>
  <c r="N51" i="46" s="1"/>
  <c r="P62" i="44"/>
  <c r="R22" i="44"/>
  <c r="R23" i="44" s="1"/>
  <c r="R24" i="44" s="1"/>
  <c r="R25" i="44" s="1"/>
  <c r="R26" i="44" s="1"/>
  <c r="R27" i="44" s="1"/>
  <c r="R28" i="44" s="1"/>
  <c r="R29" i="44" s="1"/>
  <c r="R30" i="44" s="1"/>
  <c r="R31" i="44" s="1"/>
  <c r="R32" i="44" s="1"/>
  <c r="R33" i="44" s="1"/>
  <c r="R34" i="44" s="1"/>
  <c r="R35" i="44" s="1"/>
  <c r="R36" i="44" s="1"/>
  <c r="R37" i="44" s="1"/>
  <c r="R38" i="44" s="1"/>
  <c r="R39" i="44" s="1"/>
  <c r="R40" i="44" s="1"/>
  <c r="R41" i="44" s="1"/>
  <c r="R42" i="44" s="1"/>
  <c r="R43" i="44" s="1"/>
  <c r="R44" i="44" s="1"/>
  <c r="R45" i="44" s="1"/>
  <c r="R46" i="44" s="1"/>
  <c r="R47" i="44" s="1"/>
  <c r="R48" i="44" s="1"/>
  <c r="R49" i="44" s="1"/>
  <c r="R50" i="44" s="1"/>
  <c r="R51" i="44" s="1"/>
  <c r="P6" i="42"/>
  <c r="P7" i="42" s="1"/>
  <c r="M53" i="79" s="1"/>
  <c r="P12" i="42"/>
  <c r="P28" i="20"/>
  <c r="R22" i="20"/>
  <c r="R23" i="20" s="1"/>
  <c r="R24" i="20" s="1"/>
  <c r="R25" i="20" s="1"/>
  <c r="P6" i="17"/>
  <c r="P7" i="17" s="1"/>
  <c r="P12" i="17"/>
  <c r="R27" i="4"/>
  <c r="Z26" i="4"/>
  <c r="P6" i="69" l="1"/>
  <c r="P7" i="69" s="1"/>
  <c r="P12" i="69"/>
  <c r="P57" i="69"/>
  <c r="G16" i="71"/>
  <c r="H16" i="71" s="1"/>
  <c r="K80" i="79"/>
  <c r="K53" i="79"/>
  <c r="I53" i="72"/>
  <c r="K53" i="72" s="1"/>
  <c r="K48" i="79"/>
  <c r="I48" i="72"/>
  <c r="K48" i="72" s="1"/>
  <c r="M48" i="79"/>
  <c r="M55" i="79"/>
  <c r="F51" i="59"/>
  <c r="F62" i="59" s="1"/>
  <c r="P4" i="59" s="1"/>
  <c r="L51" i="59"/>
  <c r="N62" i="59" s="1"/>
  <c r="P6" i="59" s="1"/>
  <c r="P7" i="59" s="1"/>
  <c r="M63" i="79" s="1"/>
  <c r="P26" i="16"/>
  <c r="P38" i="16"/>
  <c r="P37" i="16"/>
  <c r="P39" i="16"/>
  <c r="P28" i="16"/>
  <c r="P43" i="16"/>
  <c r="P25" i="16"/>
  <c r="P27" i="16"/>
  <c r="P40" i="16"/>
  <c r="P41" i="16"/>
  <c r="P42" i="16"/>
  <c r="P23" i="16"/>
  <c r="P31" i="16"/>
  <c r="P33" i="16"/>
  <c r="P22" i="16"/>
  <c r="P36" i="16"/>
  <c r="P29" i="16"/>
  <c r="P30" i="16"/>
  <c r="P32" i="16"/>
  <c r="P34" i="16"/>
  <c r="P35" i="16"/>
  <c r="P24" i="16"/>
  <c r="P44" i="16"/>
  <c r="P45" i="16"/>
  <c r="P46" i="16"/>
  <c r="P47" i="16"/>
  <c r="P48" i="16"/>
  <c r="P50" i="16"/>
  <c r="P49" i="16"/>
  <c r="P51" i="16"/>
  <c r="P9" i="16"/>
  <c r="I48" i="79" s="1"/>
  <c r="P13" i="16"/>
  <c r="P14" i="16" s="1"/>
  <c r="N62" i="46"/>
  <c r="P22" i="42"/>
  <c r="P23" i="42"/>
  <c r="P24" i="42"/>
  <c r="P25" i="42"/>
  <c r="P26" i="42"/>
  <c r="P27" i="42"/>
  <c r="P28" i="42"/>
  <c r="P29" i="42"/>
  <c r="P30" i="42"/>
  <c r="P31" i="42"/>
  <c r="P32" i="42"/>
  <c r="P33" i="42"/>
  <c r="P34" i="42"/>
  <c r="P35" i="42"/>
  <c r="P36" i="42"/>
  <c r="P37" i="42"/>
  <c r="P38" i="42"/>
  <c r="P39" i="42"/>
  <c r="P40" i="42"/>
  <c r="P41" i="42"/>
  <c r="P42" i="42"/>
  <c r="P43" i="42"/>
  <c r="P44" i="42"/>
  <c r="P45" i="42"/>
  <c r="P46" i="42"/>
  <c r="P48" i="42"/>
  <c r="P47" i="42"/>
  <c r="P50" i="42"/>
  <c r="P49" i="42"/>
  <c r="P51" i="42"/>
  <c r="P9" i="42"/>
  <c r="I53" i="79" s="1"/>
  <c r="P13" i="42"/>
  <c r="P14" i="42" s="1"/>
  <c r="P22" i="17"/>
  <c r="P23" i="17"/>
  <c r="P25" i="17"/>
  <c r="P24" i="17"/>
  <c r="P26" i="17"/>
  <c r="P28" i="17"/>
  <c r="P27" i="17"/>
  <c r="P29" i="17"/>
  <c r="P30" i="17"/>
  <c r="P31" i="17"/>
  <c r="P32" i="17"/>
  <c r="P33" i="17"/>
  <c r="P34" i="17"/>
  <c r="P35" i="17"/>
  <c r="P36" i="17"/>
  <c r="P37" i="17"/>
  <c r="P38" i="17"/>
  <c r="P39" i="17"/>
  <c r="P41" i="17"/>
  <c r="P40" i="17"/>
  <c r="P42" i="17"/>
  <c r="P43" i="17"/>
  <c r="P44" i="17"/>
  <c r="P45" i="17"/>
  <c r="P46" i="17"/>
  <c r="P48" i="17"/>
  <c r="P47" i="17"/>
  <c r="P50" i="17"/>
  <c r="P49" i="17"/>
  <c r="P51" i="17"/>
  <c r="P9" i="17"/>
  <c r="I39" i="79" s="1"/>
  <c r="P13" i="17"/>
  <c r="P14" i="17" s="1"/>
  <c r="Z27" i="4"/>
  <c r="R28" i="4"/>
  <c r="P27" i="69" l="1"/>
  <c r="P39" i="69"/>
  <c r="P23" i="69"/>
  <c r="P36" i="69"/>
  <c r="P24" i="69"/>
  <c r="P38" i="69"/>
  <c r="I70" i="72"/>
  <c r="K70" i="72" s="1"/>
  <c r="K72" i="72" s="1"/>
  <c r="I72" i="72" s="1"/>
  <c r="F15" i="71" s="1"/>
  <c r="P28" i="69"/>
  <c r="P40" i="69"/>
  <c r="P45" i="69"/>
  <c r="P31" i="69"/>
  <c r="P44" i="69"/>
  <c r="P33" i="69"/>
  <c r="P22" i="69"/>
  <c r="P51" i="69"/>
  <c r="K70" i="79"/>
  <c r="P29" i="69"/>
  <c r="P41" i="69"/>
  <c r="P46" i="69"/>
  <c r="P47" i="69"/>
  <c r="P34" i="69"/>
  <c r="P49" i="69"/>
  <c r="P25" i="69"/>
  <c r="P30" i="69"/>
  <c r="P43" i="69"/>
  <c r="P42" i="69"/>
  <c r="P32" i="69"/>
  <c r="P48" i="69"/>
  <c r="P35" i="69"/>
  <c r="P50" i="69"/>
  <c r="P37" i="69"/>
  <c r="P26" i="69"/>
  <c r="P52" i="69"/>
  <c r="P53" i="69"/>
  <c r="P54" i="69"/>
  <c r="P55" i="69"/>
  <c r="P56" i="69"/>
  <c r="M70" i="79"/>
  <c r="M72" i="79" s="1"/>
  <c r="P9" i="69"/>
  <c r="I70" i="79" s="1"/>
  <c r="I72" i="79" s="1"/>
  <c r="P13" i="69"/>
  <c r="P14" i="69" s="1"/>
  <c r="P12" i="59"/>
  <c r="P37" i="59" s="1"/>
  <c r="F11" i="71"/>
  <c r="G11" i="71" s="1"/>
  <c r="H11" i="71" s="1"/>
  <c r="K39" i="72"/>
  <c r="P39" i="59"/>
  <c r="P28" i="59"/>
  <c r="P13" i="59"/>
  <c r="P9" i="59"/>
  <c r="I63" i="79" s="1"/>
  <c r="P62" i="16"/>
  <c r="R22" i="16"/>
  <c r="R23" i="16" s="1"/>
  <c r="R24" i="16" s="1"/>
  <c r="R25" i="16" s="1"/>
  <c r="R26" i="16" s="1"/>
  <c r="R27" i="16" s="1"/>
  <c r="R28" i="16" s="1"/>
  <c r="R29" i="16" s="1"/>
  <c r="R30" i="16" s="1"/>
  <c r="R31" i="16" s="1"/>
  <c r="R32" i="16" s="1"/>
  <c r="R33" i="16" s="1"/>
  <c r="R34" i="16" s="1"/>
  <c r="R35" i="16" s="1"/>
  <c r="R36" i="16" s="1"/>
  <c r="R37" i="16" s="1"/>
  <c r="R38" i="16" s="1"/>
  <c r="R39" i="16" s="1"/>
  <c r="R40" i="16" s="1"/>
  <c r="R41" i="16" s="1"/>
  <c r="R42" i="16" s="1"/>
  <c r="R43" i="16" s="1"/>
  <c r="R44" i="16" s="1"/>
  <c r="R45" i="16" s="1"/>
  <c r="R46" i="16" s="1"/>
  <c r="R47" i="16" s="1"/>
  <c r="R48" i="16" s="1"/>
  <c r="R49" i="16" s="1"/>
  <c r="R50" i="16" s="1"/>
  <c r="R51" i="16" s="1"/>
  <c r="P6" i="46"/>
  <c r="P7" i="46" s="1"/>
  <c r="M50" i="79" s="1"/>
  <c r="P12" i="46"/>
  <c r="P62" i="42"/>
  <c r="R22" i="42"/>
  <c r="R23" i="42" s="1"/>
  <c r="R24" i="42" s="1"/>
  <c r="R25" i="42" s="1"/>
  <c r="R26" i="42" s="1"/>
  <c r="R27" i="42" s="1"/>
  <c r="R28" i="42" s="1"/>
  <c r="R29" i="42" s="1"/>
  <c r="R30" i="42" s="1"/>
  <c r="R31" i="42" s="1"/>
  <c r="R32" i="42" s="1"/>
  <c r="R33" i="42" s="1"/>
  <c r="R34" i="42" s="1"/>
  <c r="R35" i="42" s="1"/>
  <c r="R36" i="42" s="1"/>
  <c r="R37" i="42" s="1"/>
  <c r="R38" i="42" s="1"/>
  <c r="R39" i="42" s="1"/>
  <c r="R40" i="42" s="1"/>
  <c r="R41" i="42" s="1"/>
  <c r="R42" i="42" s="1"/>
  <c r="R43" i="42" s="1"/>
  <c r="R44" i="42" s="1"/>
  <c r="R45" i="42" s="1"/>
  <c r="R46" i="42" s="1"/>
  <c r="R47" i="42" s="1"/>
  <c r="R48" i="42" s="1"/>
  <c r="R49" i="42" s="1"/>
  <c r="R50" i="42" s="1"/>
  <c r="R51" i="42" s="1"/>
  <c r="P62" i="17"/>
  <c r="R22" i="17"/>
  <c r="R23" i="17" s="1"/>
  <c r="R24" i="17" s="1"/>
  <c r="R25" i="17" s="1"/>
  <c r="R26" i="17" s="1"/>
  <c r="R27" i="17" s="1"/>
  <c r="R28" i="17" s="1"/>
  <c r="R29" i="17" s="1"/>
  <c r="R30" i="17" s="1"/>
  <c r="R31" i="17" s="1"/>
  <c r="R32" i="17" s="1"/>
  <c r="R33" i="17" s="1"/>
  <c r="R34" i="17" s="1"/>
  <c r="R35" i="17" s="1"/>
  <c r="R36" i="17" s="1"/>
  <c r="R37" i="17" s="1"/>
  <c r="R38" i="17" s="1"/>
  <c r="R39" i="17" s="1"/>
  <c r="R40" i="17" s="1"/>
  <c r="R41" i="17" s="1"/>
  <c r="R42" i="17" s="1"/>
  <c r="R43" i="17" s="1"/>
  <c r="R44" i="17" s="1"/>
  <c r="R45" i="17" s="1"/>
  <c r="R46" i="17" s="1"/>
  <c r="R47" i="17" s="1"/>
  <c r="R48" i="17" s="1"/>
  <c r="R49" i="17" s="1"/>
  <c r="R50" i="17" s="1"/>
  <c r="R51" i="17" s="1"/>
  <c r="R29" i="4"/>
  <c r="Z28" i="4"/>
  <c r="P61" i="69" l="1"/>
  <c r="R22" i="69"/>
  <c r="R23" i="69" s="1"/>
  <c r="R24" i="69" s="1"/>
  <c r="R25" i="69" s="1"/>
  <c r="R26" i="69" s="1"/>
  <c r="R27" i="69" s="1"/>
  <c r="R28" i="69" s="1"/>
  <c r="R29" i="69" s="1"/>
  <c r="R30" i="69" s="1"/>
  <c r="R31" i="69" s="1"/>
  <c r="R32" i="69" s="1"/>
  <c r="R33" i="69" s="1"/>
  <c r="R34" i="69" s="1"/>
  <c r="R35" i="69" s="1"/>
  <c r="R36" i="69" s="1"/>
  <c r="R37" i="69" s="1"/>
  <c r="R38" i="69" s="1"/>
  <c r="R39" i="69" s="1"/>
  <c r="R40" i="69" s="1"/>
  <c r="R41" i="69" s="1"/>
  <c r="R42" i="69" s="1"/>
  <c r="R43" i="69" s="1"/>
  <c r="R44" i="69" s="1"/>
  <c r="R45" i="69" s="1"/>
  <c r="R46" i="69" s="1"/>
  <c r="R47" i="69" s="1"/>
  <c r="R48" i="69" s="1"/>
  <c r="R49" i="69" s="1"/>
  <c r="R50" i="69" s="1"/>
  <c r="R51" i="69" s="1"/>
  <c r="R52" i="69" s="1"/>
  <c r="R53" i="69" s="1"/>
  <c r="R54" i="69" s="1"/>
  <c r="R55" i="69" s="1"/>
  <c r="R56" i="69" s="1"/>
  <c r="R57" i="69" s="1"/>
  <c r="K72" i="79"/>
  <c r="G15" i="71"/>
  <c r="H15" i="71" s="1"/>
  <c r="P27" i="59"/>
  <c r="P14" i="59"/>
  <c r="P42" i="59"/>
  <c r="P46" i="59"/>
  <c r="P45" i="59"/>
  <c r="P50" i="59"/>
  <c r="P40" i="59"/>
  <c r="P43" i="59"/>
  <c r="P38" i="59"/>
  <c r="P24" i="59"/>
  <c r="P31" i="59"/>
  <c r="P51" i="59"/>
  <c r="P29" i="59"/>
  <c r="P22" i="59"/>
  <c r="P26" i="59"/>
  <c r="P41" i="59"/>
  <c r="P44" i="59"/>
  <c r="P36" i="59"/>
  <c r="P34" i="59"/>
  <c r="P30" i="59"/>
  <c r="P35" i="59"/>
  <c r="P47" i="59"/>
  <c r="P33" i="59"/>
  <c r="P49" i="59"/>
  <c r="P48" i="59"/>
  <c r="P25" i="59"/>
  <c r="P23" i="59"/>
  <c r="P32" i="59"/>
  <c r="I63" i="72"/>
  <c r="K63" i="72" s="1"/>
  <c r="K63" i="79"/>
  <c r="I50" i="72"/>
  <c r="K50" i="72" s="1"/>
  <c r="K64" i="72" s="1"/>
  <c r="K50" i="79"/>
  <c r="R22" i="59"/>
  <c r="R23" i="59" s="1"/>
  <c r="P22" i="46"/>
  <c r="P23" i="46"/>
  <c r="P24" i="46"/>
  <c r="P25" i="46"/>
  <c r="P26" i="46"/>
  <c r="P27" i="46"/>
  <c r="P28" i="46"/>
  <c r="P29" i="46"/>
  <c r="P30" i="46"/>
  <c r="P31" i="46"/>
  <c r="P32" i="46"/>
  <c r="P33" i="46"/>
  <c r="P34" i="46"/>
  <c r="P35" i="46"/>
  <c r="P36" i="46"/>
  <c r="P37" i="46"/>
  <c r="P38" i="46"/>
  <c r="P39" i="46"/>
  <c r="P40" i="46"/>
  <c r="P41" i="46"/>
  <c r="P42" i="46"/>
  <c r="P43" i="46"/>
  <c r="P44" i="46"/>
  <c r="P45" i="46"/>
  <c r="P46" i="46"/>
  <c r="P47" i="46"/>
  <c r="P48" i="46"/>
  <c r="P50" i="46"/>
  <c r="P49" i="46"/>
  <c r="P51" i="46"/>
  <c r="P9" i="46"/>
  <c r="I50" i="79" s="1"/>
  <c r="I64" i="79" s="1"/>
  <c r="P13" i="46"/>
  <c r="P14" i="46" s="1"/>
  <c r="Z29" i="4"/>
  <c r="R30" i="4"/>
  <c r="I64" i="72" l="1"/>
  <c r="F13" i="71" s="1"/>
  <c r="R24" i="59"/>
  <c r="R25" i="59" s="1"/>
  <c r="R26" i="59" s="1"/>
  <c r="R27" i="59" s="1"/>
  <c r="R28" i="59" s="1"/>
  <c r="R29" i="59" s="1"/>
  <c r="R30" i="59" s="1"/>
  <c r="R31" i="59" s="1"/>
  <c r="R32" i="59" s="1"/>
  <c r="R33" i="59" s="1"/>
  <c r="R34" i="59" s="1"/>
  <c r="R35" i="59" s="1"/>
  <c r="R36" i="59" s="1"/>
  <c r="R37" i="59" s="1"/>
  <c r="R38" i="59" s="1"/>
  <c r="R39" i="59" s="1"/>
  <c r="R40" i="59" s="1"/>
  <c r="R41" i="59" s="1"/>
  <c r="R42" i="59" s="1"/>
  <c r="R43" i="59" s="1"/>
  <c r="R44" i="59" s="1"/>
  <c r="R45" i="59" s="1"/>
  <c r="R46" i="59" s="1"/>
  <c r="R47" i="59" s="1"/>
  <c r="R48" i="59" s="1"/>
  <c r="R49" i="59" s="1"/>
  <c r="R50" i="59" s="1"/>
  <c r="R51" i="59" s="1"/>
  <c r="P62" i="59"/>
  <c r="P62" i="46"/>
  <c r="R22" i="46"/>
  <c r="R23" i="46" s="1"/>
  <c r="R24" i="46" s="1"/>
  <c r="R25" i="46" s="1"/>
  <c r="R26" i="46" s="1"/>
  <c r="R27" i="46" s="1"/>
  <c r="R28" i="46" s="1"/>
  <c r="R29" i="46" s="1"/>
  <c r="R30" i="46" s="1"/>
  <c r="R31" i="46" s="1"/>
  <c r="R32" i="46" s="1"/>
  <c r="R33" i="46" s="1"/>
  <c r="R34" i="46" s="1"/>
  <c r="R35" i="46" s="1"/>
  <c r="R36" i="46" s="1"/>
  <c r="R37" i="46" s="1"/>
  <c r="R38" i="46" s="1"/>
  <c r="R39" i="46" s="1"/>
  <c r="R40" i="46" s="1"/>
  <c r="R41" i="46" s="1"/>
  <c r="R42" i="46" s="1"/>
  <c r="R43" i="46" s="1"/>
  <c r="R44" i="46" s="1"/>
  <c r="R45" i="46" s="1"/>
  <c r="R46" i="46" s="1"/>
  <c r="R47" i="46" s="1"/>
  <c r="R48" i="46" s="1"/>
  <c r="R49" i="46" s="1"/>
  <c r="R50" i="46" s="1"/>
  <c r="R51" i="46" s="1"/>
  <c r="Z30" i="4"/>
  <c r="R31" i="4"/>
  <c r="G13" i="71" l="1"/>
  <c r="K64" i="79"/>
  <c r="Z31" i="4"/>
  <c r="R32" i="4"/>
  <c r="H13" i="71" l="1"/>
  <c r="H17" i="71" s="1"/>
  <c r="G17" i="71"/>
  <c r="Z32" i="4"/>
  <c r="R33" i="4"/>
  <c r="Z33" i="4" l="1"/>
  <c r="R34" i="4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</calcChain>
</file>

<file path=xl/sharedStrings.xml><?xml version="1.0" encoding="utf-8"?>
<sst xmlns="http://schemas.openxmlformats.org/spreadsheetml/2006/main" count="8603" uniqueCount="218">
  <si>
    <t>GULF POWER</t>
  </si>
  <si>
    <t>Interim Net Salvage</t>
  </si>
  <si>
    <t>Terminal Net Salvage</t>
  </si>
  <si>
    <t>Average Net Salvage</t>
  </si>
  <si>
    <t>Average Age Survivors</t>
  </si>
  <si>
    <t>Average Remaining Life</t>
  </si>
  <si>
    <t>Average Service Life</t>
  </si>
  <si>
    <t>Book Reserve Ratio</t>
  </si>
  <si>
    <t xml:space="preserve">Theoretical Reserve </t>
  </si>
  <si>
    <t>Interim Retmt. Ratio</t>
  </si>
  <si>
    <t>Interim Addition Factor</t>
  </si>
  <si>
    <t>Depreciation Rate</t>
  </si>
  <si>
    <t>COR Rate</t>
  </si>
  <si>
    <t>Life Rate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</si>
  <si>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</si>
  <si>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</si>
  <si>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</si>
  <si>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</si>
  <si>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</si>
  <si>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</si>
  <si>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</si>
  <si>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</si>
  <si>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</si>
  <si>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</si>
  <si>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INTERIM</t>
  </si>
  <si>
    <t>TERMINAL</t>
  </si>
  <si>
    <t>ENDING</t>
  </si>
  <si>
    <t>AVERAGE</t>
  </si>
  <si>
    <t>DEPREC.</t>
  </si>
  <si>
    <t>YEAR</t>
  </si>
  <si>
    <t>RETMTS</t>
  </si>
  <si>
    <t>NET SALV.</t>
  </si>
  <si>
    <t>RETMTS.</t>
  </si>
  <si>
    <t>ADDITIONS</t>
  </si>
  <si>
    <t>BALANCE</t>
  </si>
  <si>
    <t>AMOUNT</t>
  </si>
  <si>
    <t>RESERVE</t>
  </si>
  <si>
    <t>$</t>
  </si>
  <si>
    <t>TOTALS</t>
  </si>
  <si>
    <t xml:space="preserve"> </t>
  </si>
  <si>
    <t>Crist Plant</t>
  </si>
  <si>
    <t>PRODUCTION</t>
  </si>
  <si>
    <t>Land</t>
  </si>
  <si>
    <t>Daniel Plant</t>
  </si>
  <si>
    <t>Scholz Plant</t>
  </si>
  <si>
    <t>ACCOUNT 341-STRUCTURES AND IMPROVEMENTS</t>
  </si>
  <si>
    <t>IRC tab</t>
  </si>
  <si>
    <t>OTHER PRODUCTION</t>
  </si>
  <si>
    <t>Dismantling</t>
  </si>
  <si>
    <t>PERDIDO LANDFILL</t>
  </si>
  <si>
    <t>Data tab</t>
  </si>
  <si>
    <t>[11]</t>
  </si>
  <si>
    <t>[12]</t>
  </si>
  <si>
    <t>[13]</t>
  </si>
  <si>
    <t>[14]</t>
  </si>
  <si>
    <t>LIFE DEPR</t>
  </si>
  <si>
    <t>ENDING LIFE</t>
  </si>
  <si>
    <t>COR DEPR</t>
  </si>
  <si>
    <t>ENDING COR</t>
  </si>
  <si>
    <t>Existing IRR</t>
  </si>
  <si>
    <t>Production</t>
  </si>
  <si>
    <t xml:space="preserve">Proposed IRR </t>
  </si>
  <si>
    <t>Generating Unit</t>
  </si>
  <si>
    <t>Plant Account</t>
  </si>
  <si>
    <t>Vintage Year</t>
  </si>
  <si>
    <t>Amount</t>
  </si>
  <si>
    <t>41104 SP-Crist 4-FERC 312, 314, 315, 317</t>
  </si>
  <si>
    <t>312 - Boiler Plant Equipment</t>
  </si>
  <si>
    <t>314 - Turbogenerator Units</t>
  </si>
  <si>
    <t>315 - Accessory Electric Equipment</t>
  </si>
  <si>
    <t>41105 SP-Crist 5-FERC 312, 314, 315, 317</t>
  </si>
  <si>
    <t>41106 SP-Crist 6-FERC 312, 314, 315, 317</t>
  </si>
  <si>
    <t>311 - Structures and Improvements</t>
  </si>
  <si>
    <t>41107 SP-Crist 7-FERC 312, 314, 315, 317</t>
  </si>
  <si>
    <t>41108 SP-Crist Commn A-FERC 310-317</t>
  </si>
  <si>
    <t>316 - Misc Power Plant Equipment</t>
  </si>
  <si>
    <t>41111 SP-Scholz 1-FERC 312, 314, 315, 317</t>
  </si>
  <si>
    <t>41112 SP-Scholz 2-FERC 312, 314, 315, 317</t>
  </si>
  <si>
    <t>41113 SP-Scholz Common-FERC 310-317</t>
  </si>
  <si>
    <t>41141 SP-Daniel 1-50% Owned-311-317</t>
  </si>
  <si>
    <t>41142 SP-Daniel 2-50% Owned-311-317</t>
  </si>
  <si>
    <t>41143 SP-Daniel 1-2 Common-50% 310-317</t>
  </si>
  <si>
    <t>310.1 - Land Rights</t>
  </si>
  <si>
    <t>41146 SP-Daniel RR Track-50% Owned-FERC 311 Only</t>
  </si>
  <si>
    <t>41148 SP-Daniel 1-4 Common-20% 310-317</t>
  </si>
  <si>
    <t>41149 SP-Daniel 1-4 Common-37.5%-310-317</t>
  </si>
  <si>
    <t>41161 SP-Schr Common A-12.5%-310-317</t>
  </si>
  <si>
    <t>41162 SP-Schr Common B-6.25%-310-317</t>
  </si>
  <si>
    <t>41163 SP-Schr 3-25% Owned 311-317</t>
  </si>
  <si>
    <t>Generating Plant</t>
  </si>
  <si>
    <t>Age</t>
  </si>
  <si>
    <t>$ x Age</t>
  </si>
  <si>
    <t>Avg Age</t>
  </si>
  <si>
    <t>Crist</t>
  </si>
  <si>
    <t>Scholz</t>
  </si>
  <si>
    <t>Daniel</t>
  </si>
  <si>
    <t>Scherer</t>
  </si>
  <si>
    <t>Gen Plant and Account</t>
  </si>
  <si>
    <t>Avg Age tab</t>
  </si>
  <si>
    <t>IRR tab</t>
  </si>
  <si>
    <t>ACCOUNT 311 - Structures and Improvements</t>
  </si>
  <si>
    <t>ACCOUNT 312 - Boiler Plant Equipment</t>
  </si>
  <si>
    <t>ACOUNT 314 - Turbogenerator Units</t>
  </si>
  <si>
    <t>ACCOUNT 315 - Accessory Electric Equipment Total</t>
  </si>
  <si>
    <t>ACCOUNT 316 - Misc Power Plant Equipment Total</t>
  </si>
  <si>
    <t>Plant</t>
  </si>
  <si>
    <t>Gen Unit</t>
  </si>
  <si>
    <t>Amort</t>
  </si>
  <si>
    <t>312.BC: Boiler Plant - Base Coal 5 Yr</t>
  </si>
  <si>
    <t>316.5: 5/23-yr Amortizable property</t>
  </si>
  <si>
    <t>316.7: 7/23-yr Amortizable property</t>
  </si>
  <si>
    <t>ARO</t>
  </si>
  <si>
    <t>317: ARO Steam Prod</t>
  </si>
  <si>
    <t xml:space="preserve">Common </t>
  </si>
  <si>
    <t>311: Structures and Improvements</t>
  </si>
  <si>
    <t>312: Boiler Plant Equipment</t>
  </si>
  <si>
    <t>314: Turbogenerator Units</t>
  </si>
  <si>
    <t>315: Accessory Electric Equipment</t>
  </si>
  <si>
    <t>316: Misc Power Plant Equipment</t>
  </si>
  <si>
    <t>310: Land</t>
  </si>
  <si>
    <t>Unit 4</t>
  </si>
  <si>
    <t>Unit 5</t>
  </si>
  <si>
    <t>Unit 6</t>
  </si>
  <si>
    <t>Unit 7</t>
  </si>
  <si>
    <t>311.CL: Cooling Lake - 23 Yr</t>
  </si>
  <si>
    <t>316.CL: Cooling Lake - 23 Yr</t>
  </si>
  <si>
    <t>310.1: Land Rights</t>
  </si>
  <si>
    <t>310.1CL: Cooling Lake - 23 Yr</t>
  </si>
  <si>
    <t>Rail</t>
  </si>
  <si>
    <t>311.RT: Rail Track System</t>
  </si>
  <si>
    <t>Unit 1</t>
  </si>
  <si>
    <t>Unit 2</t>
  </si>
  <si>
    <t>Combined</t>
  </si>
  <si>
    <t>Ending 2016 Plant</t>
  </si>
  <si>
    <t>Common</t>
  </si>
  <si>
    <t>Rail Track</t>
  </si>
  <si>
    <t>Ending 2016 Accum Depreciation</t>
  </si>
  <si>
    <t>Crist Plant-Unit 4</t>
  </si>
  <si>
    <t>Crist Plant - Unit 4</t>
  </si>
  <si>
    <t>Crist Plant - Unit 5</t>
  </si>
  <si>
    <t>Crist Plant - Unit 6</t>
  </si>
  <si>
    <t>Crist Plant - Unit 7</t>
  </si>
  <si>
    <t>Crist Plant - Common</t>
  </si>
  <si>
    <t>Daniel Plant - Unit 1</t>
  </si>
  <si>
    <t>Daniel Plant - Unit 2</t>
  </si>
  <si>
    <t>Daniel Plant - Common</t>
  </si>
  <si>
    <t>Scherer Plant</t>
  </si>
  <si>
    <t>NS</t>
  </si>
  <si>
    <t>Computation of Composite Accual Rate</t>
  </si>
  <si>
    <t>As of December 31, 2016</t>
  </si>
  <si>
    <t>Proposed</t>
  </si>
  <si>
    <t>Annual</t>
  </si>
  <si>
    <t>Accrual</t>
  </si>
  <si>
    <t>Account</t>
  </si>
  <si>
    <t>Description</t>
  </si>
  <si>
    <t>Plant Balance</t>
  </si>
  <si>
    <t>Book Reserve</t>
  </si>
  <si>
    <t>Rate</t>
  </si>
  <si>
    <t>Accessory Electric Equipment</t>
  </si>
  <si>
    <t>Structures and Improvements</t>
  </si>
  <si>
    <t>COMPARISON OF DEPRECIATION ACCRUAL RATES AT DECEMBER 31, 2016</t>
  </si>
  <si>
    <t>Existing</t>
  </si>
  <si>
    <t xml:space="preserve">Plant  </t>
  </si>
  <si>
    <t>In Service</t>
  </si>
  <si>
    <t>Rates</t>
  </si>
  <si>
    <t>Difference</t>
  </si>
  <si>
    <t>Comparison of Reserve and Accrual Rate</t>
  </si>
  <si>
    <t>Whole</t>
  </si>
  <si>
    <t>Life</t>
  </si>
  <si>
    <t>Book</t>
  </si>
  <si>
    <t>Theoretical</t>
  </si>
  <si>
    <t>Reserve</t>
  </si>
  <si>
    <t>RL</t>
  </si>
  <si>
    <t>For Production Plant</t>
  </si>
  <si>
    <t>Unit</t>
  </si>
  <si>
    <t>Acct</t>
  </si>
  <si>
    <t>Boiler Plant Equipment</t>
  </si>
  <si>
    <t>Turbogenerator Equipment</t>
  </si>
  <si>
    <t>Structures and Improvement</t>
  </si>
  <si>
    <t>Miscellaneous Power Plant Equipment</t>
  </si>
  <si>
    <t>Total Crist</t>
  </si>
  <si>
    <t>Rail Car</t>
  </si>
  <si>
    <t>Total Daniel</t>
  </si>
  <si>
    <t>SCHERER PLANT</t>
  </si>
  <si>
    <t>SCHOLZ PLANT</t>
  </si>
  <si>
    <t>Total Scherer</t>
  </si>
  <si>
    <t>Total Scholz</t>
  </si>
  <si>
    <t>Daniel RR Track</t>
  </si>
  <si>
    <t>Land Rights</t>
  </si>
  <si>
    <t>Easements</t>
  </si>
  <si>
    <t>ACCOUNT 310.1 - Land Rights</t>
  </si>
  <si>
    <t>Daniel Easement</t>
  </si>
  <si>
    <t>Depr Group</t>
  </si>
  <si>
    <t>Crist 4</t>
  </si>
  <si>
    <t>Crist 5</t>
  </si>
  <si>
    <t>Crist 7</t>
  </si>
  <si>
    <t>Crist 6</t>
  </si>
  <si>
    <t>Crist Common</t>
  </si>
  <si>
    <t>Daniel 1</t>
  </si>
  <si>
    <t>Daniel 2</t>
  </si>
  <si>
    <t>Daniel Common</t>
  </si>
  <si>
    <t>Daniel RR</t>
  </si>
  <si>
    <t>312 - Boiler Plant Equipment Total</t>
  </si>
  <si>
    <t>314 - Turbogenerator Units Total</t>
  </si>
  <si>
    <t>315 - Accessory Electric Equipment Total</t>
  </si>
  <si>
    <t>311 - Structures and Improvements Total</t>
  </si>
  <si>
    <t>316 - Misc Power Plant Equipment Total</t>
  </si>
  <si>
    <t>310.1 - Land Rights Total</t>
  </si>
  <si>
    <t>Proposed IRC</t>
  </si>
  <si>
    <t>Existing IRC</t>
  </si>
  <si>
    <t>All Units except Scherer</t>
  </si>
  <si>
    <t>Dismantlement</t>
  </si>
  <si>
    <t>Total Daniel Plant</t>
  </si>
  <si>
    <t>Total Crist Plant</t>
  </si>
  <si>
    <t>Total Scherer Plant</t>
  </si>
  <si>
    <t>Total Scholz Plant</t>
  </si>
  <si>
    <t>Fully Accrued</t>
  </si>
  <si>
    <t>For Steam Production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</si>
</sst>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000%"/>
    <numFmt numFmtId="169" formatCode="_([$€-2]* #,##0.00_);_([$€-2]* \(#,##0.00\);_([$€-2]* &quot;-&quot;??_)"/>
    <numFmt numFmtId="170" formatCode="0.0_)\%;\(0.0\)\%;0.0_)\%;@_)_%"/>
    <numFmt numFmtId="171" formatCode="#,##0.0_)_%;\(#,##0.0\)_%;0.0_)_%;@_)_%"/>
    <numFmt numFmtId="172" formatCode="#,##0.0_);\(#,##0.0\);#,##0.0_);@_)"/>
    <numFmt numFmtId="173" formatCode="#,##0.0_);\(#,##0.0\)"/>
    <numFmt numFmtId="174" formatCode="&quot;$&quot;_(#,##0.00_);&quot;$&quot;\(#,##0.00\);&quot;$&quot;_(0.00_);@_)"/>
    <numFmt numFmtId="175" formatCode="&quot;$&quot;_(#,##0.00_);&quot;$&quot;\(#,##0.00\)"/>
    <numFmt numFmtId="176" formatCode="#,##0.00_);\(#,##0.00\);0.00_);@_)"/>
    <numFmt numFmtId="177" formatCode="&quot;£&quot;_(#,##0.00_);&quot;£&quot;\(#,##0.00\)"/>
    <numFmt numFmtId="178" formatCode="\€_(#,##0.00_);\€\(#,##0.00\);\€_(0.00_);@_)"/>
    <numFmt numFmtId="179" formatCode="0.000000"/>
    <numFmt numFmtId="180" formatCode="#,##0_)\x;\(#,##0\)\x;0_)\x;@_)_x"/>
    <numFmt numFmtId="181" formatCode="0.E+00"/>
    <numFmt numFmtId="182" formatCode="#,##0.0_)\x;\(#,##0.0\)\x"/>
    <numFmt numFmtId="183" formatCode="#,##0_)_x;\(#,##0\)_x;0_)_x;@_)_x"/>
    <numFmt numFmtId="184" formatCode="0.0.E+00"/>
    <numFmt numFmtId="185" formatCode="#,##0.0_)_x;\(#,##0.0\)_x"/>
    <numFmt numFmtId="186" formatCode="0.0_)\%;\(0.0\)\%"/>
    <numFmt numFmtId="187" formatCode="&quot;$&quot;#,##0.0_);\(&quot;$&quot;#,##0.0\)"/>
    <numFmt numFmtId="188" formatCode="#,##0.0_)_%;\(#,##0.0\)_%"/>
    <numFmt numFmtId="189" formatCode="yyyy"/>
    <numFmt numFmtId="190" formatCode="m\-d\-yy"/>
    <numFmt numFmtId="191" formatCode="#,##0.0\ \ \ _);\(#,##0.0\)"/>
    <numFmt numFmtId="192" formatCode="#,##0;\-#,##0;&quot;-&quot;"/>
    <numFmt numFmtId="193" formatCode=";;;\(@\)"/>
    <numFmt numFmtId="194" formatCode="0.000_)"/>
    <numFmt numFmtId="195" formatCode="_ * #,##0.00_ ;_ * \-#,##0.00_ ;_ * &quot;-&quot;??_ ;_ @_ "/>
    <numFmt numFmtId="196" formatCode="&quot;$&quot;#,##0\ ;\(&quot;$&quot;#,##0\)"/>
    <numFmt numFmtId="197" formatCode="0."/>
    <numFmt numFmtId="198" formatCode="_-* #,##0.0_-;\-* #,##0.0_-;_-* &quot;-&quot;??_-;_-@_-"/>
    <numFmt numFmtId="199" formatCode="#,##0.00&quot; $&quot;;\-#,##0.00&quot; $&quot;"/>
    <numFmt numFmtId="200" formatCode="#,##0.0\x_);\(#,##0.0\x\);#,##0.0\x_);@_)"/>
    <numFmt numFmtId="201" formatCode="0.00_)"/>
    <numFmt numFmtId="202" formatCode="0.0_)"/>
    <numFmt numFmtId="203" formatCode="_(* #,##0_);_(* \(#,##0\);_(* &quot;&quot;_);_(@_)"/>
    <numFmt numFmtId="204" formatCode="0%_);\(0%\)"/>
    <numFmt numFmtId="205" formatCode="_(* #,##0.00%_);[Red]_(* \-#,##0.00%_);[Green]_(* 0.00%_);_(@_)_%"/>
    <numFmt numFmtId="206" formatCode="#,##0.0\%_);\(#,##0.0\%\);#,##0.0\%_);@_)"/>
    <numFmt numFmtId="207" formatCode="_(* #,##0,_);_(* \(#,##0,\);_(* &quot;-   &quot;_);_(@_)"/>
    <numFmt numFmtId="208" formatCode="_(* #,##0.0,_);_(* \(#,##0.0,\);_(* &quot;-   &quot;_);_(@_)"/>
    <numFmt numFmtId="209" formatCode="General_)"/>
    <numFmt numFmtId="210" formatCode="0.000%"/>
    <numFmt numFmtId="211" formatCode="0.0"/>
    <numFmt numFmtId="212" formatCode="&quot;$&quot;#,##0.00;\(&quot;$&quot;#,##0.00\)"/>
    <numFmt numFmtId="213" formatCode="#,##0.0000000000_);\(#,##0.0000000000\)"/>
  </numFmts>
  <fonts count="1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?? ??"/>
      <family val="1"/>
      <charset val="128"/>
    </font>
    <font>
      <sz val="9"/>
      <color indexed="10"/>
      <name val="Geneva"/>
    </font>
    <font>
      <sz val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Tms Rmn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2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1"/>
      <name val="Tms Rmn"/>
      <family val="1"/>
    </font>
    <font>
      <sz val="12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??"/>
      <family val="3"/>
      <charset val="129"/>
    </font>
    <font>
      <sz val="8"/>
      <name val="Helvetica-Narrow"/>
    </font>
    <font>
      <sz val="12"/>
      <name val="Times New Roman"/>
      <family val="1"/>
    </font>
    <font>
      <sz val="10"/>
      <color indexed="16"/>
      <name val="MS Serif"/>
      <family val="1"/>
    </font>
    <font>
      <sz val="12"/>
      <name val="SWIS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i/>
      <sz val="11"/>
      <color indexed="55"/>
      <name val="Arial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u/>
      <sz val="14"/>
      <name val="Arial Narrow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7"/>
      <name val="MS Sans Serif"/>
      <family val="2"/>
    </font>
    <font>
      <sz val="12"/>
      <color indexed="37"/>
      <name val="swiss"/>
    </font>
    <font>
      <b/>
      <sz val="10"/>
      <color indexed="37"/>
      <name val="Arial MT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8"/>
      <name val="Palatino"/>
      <family val="1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2"/>
      <color indexed="12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0"/>
      <name val="Tahoma"/>
      <family val="2"/>
      <charset val="204"/>
    </font>
    <font>
      <sz val="12"/>
      <name val="Helv"/>
    </font>
    <font>
      <sz val="10"/>
      <name val="Century Gothic"/>
      <family val="2"/>
    </font>
    <font>
      <sz val="12"/>
      <name val="Arial MT"/>
    </font>
    <font>
      <sz val="10"/>
      <name val="MS Sans Serif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4"/>
      <name val="B Times Bold"/>
    </font>
    <font>
      <sz val="10"/>
      <name val="C Helvetica Condensed"/>
    </font>
    <font>
      <sz val="10"/>
      <color indexed="55"/>
      <name val="Arial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sz val="11"/>
      <color indexed="8"/>
      <name val="Arial"/>
      <family val="2"/>
    </font>
    <font>
      <sz val="8"/>
      <name val="Helv"/>
    </font>
    <font>
      <u/>
      <sz val="12"/>
      <name val="B Times Bold"/>
    </font>
    <font>
      <u/>
      <sz val="10"/>
      <name val="B Times Bold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9"/>
      <name val="Arial"/>
      <family val="2"/>
    </font>
    <font>
      <sz val="10"/>
      <color indexed="14"/>
      <name val="MS Sans Serif"/>
      <family val="2"/>
    </font>
    <font>
      <sz val="7"/>
      <name val="Times New Roman"/>
      <family val="1"/>
    </font>
    <font>
      <sz val="5.5"/>
      <name val="Small Fonts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8"/>
      <color indexed="12"/>
      <name val="Arial"/>
      <family val="2"/>
    </font>
    <font>
      <sz val="10"/>
      <name val="ＭＳ 明朝"/>
      <family val="1"/>
      <charset val="12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9" fillId="0" borderId="0"/>
    <xf numFmtId="0" fontId="27" fillId="0" borderId="0">
      <alignment vertical="top"/>
    </xf>
    <xf numFmtId="169" fontId="28" fillId="0" borderId="0"/>
    <xf numFmtId="169" fontId="22" fillId="0" borderId="0"/>
    <xf numFmtId="0" fontId="25" fillId="0" borderId="0"/>
    <xf numFmtId="169" fontId="22" fillId="0" borderId="0"/>
    <xf numFmtId="0" fontId="27" fillId="0" borderId="0">
      <alignment vertical="top"/>
    </xf>
    <xf numFmtId="0" fontId="27" fillId="0" borderId="0">
      <alignment vertical="top"/>
    </xf>
    <xf numFmtId="43" fontId="22" fillId="0" borderId="0" applyFont="0" applyFill="0" applyBorder="0" applyAlignment="0" applyProtection="0"/>
    <xf numFmtId="0" fontId="27" fillId="0" borderId="0">
      <alignment vertical="top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9" fillId="0" borderId="0"/>
    <xf numFmtId="0" fontId="29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39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33" borderId="0" applyNumberFormat="0" applyFont="0" applyAlignment="0" applyProtection="0"/>
    <xf numFmtId="0" fontId="22" fillId="33" borderId="0" applyNumberFormat="0" applyFont="0" applyAlignment="0" applyProtection="0"/>
    <xf numFmtId="0" fontId="22" fillId="33" borderId="0" applyNumberFormat="0" applyFont="0" applyAlignment="0" applyProtection="0"/>
    <xf numFmtId="0" fontId="22" fillId="33" borderId="0" applyNumberFormat="0" applyFont="0" applyAlignment="0" applyProtection="0"/>
    <xf numFmtId="0" fontId="22" fillId="33" borderId="0" applyNumberFormat="0" applyFont="0" applyAlignment="0" applyProtection="0"/>
    <xf numFmtId="0" fontId="22" fillId="33" borderId="0" applyNumberFormat="0" applyFont="0" applyAlignment="0" applyProtection="0"/>
    <xf numFmtId="0" fontId="22" fillId="33" borderId="0" applyNumberFormat="0" applyFont="0" applyAlignment="0" applyProtection="0"/>
    <xf numFmtId="0" fontId="22" fillId="33" borderId="0" applyNumberFormat="0" applyFont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22" fillId="0" borderId="0" applyFont="0" applyFill="0" applyBorder="0" applyProtection="0">
      <alignment horizontal="right"/>
    </xf>
    <xf numFmtId="183" fontId="22" fillId="0" borderId="0" applyFont="0" applyFill="0" applyBorder="0" applyProtection="0">
      <alignment horizontal="right"/>
    </xf>
    <xf numFmtId="183" fontId="22" fillId="0" borderId="0" applyFont="0" applyFill="0" applyBorder="0" applyProtection="0">
      <alignment horizontal="right"/>
    </xf>
    <xf numFmtId="183" fontId="22" fillId="0" borderId="0" applyFont="0" applyFill="0" applyBorder="0" applyProtection="0">
      <alignment horizontal="right"/>
    </xf>
    <xf numFmtId="183" fontId="22" fillId="0" borderId="0" applyFont="0" applyFill="0" applyBorder="0" applyProtection="0">
      <alignment horizontal="right"/>
    </xf>
    <xf numFmtId="183" fontId="22" fillId="0" borderId="0" applyFont="0" applyFill="0" applyBorder="0" applyProtection="0">
      <alignment horizontal="right"/>
    </xf>
    <xf numFmtId="183" fontId="22" fillId="0" borderId="0" applyFont="0" applyFill="0" applyBorder="0" applyProtection="0">
      <alignment horizontal="right"/>
    </xf>
    <xf numFmtId="183" fontId="22" fillId="0" borderId="0" applyFont="0" applyFill="0" applyBorder="0" applyProtection="0">
      <alignment horizontal="right"/>
    </xf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9" fontId="22" fillId="0" borderId="0"/>
    <xf numFmtId="0" fontId="27" fillId="0" borderId="0">
      <alignment vertical="top"/>
    </xf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27" fillId="0" borderId="0">
      <alignment vertical="top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7" fillId="0" borderId="0">
      <alignment vertical="top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Protection="0">
      <alignment horizontal="center"/>
    </xf>
    <xf numFmtId="0" fontId="34" fillId="0" borderId="12" applyNumberFormat="0" applyFill="0" applyProtection="0">
      <alignment horizontal="center"/>
    </xf>
    <xf numFmtId="0" fontId="34" fillId="0" borderId="12" applyNumberFormat="0" applyFill="0" applyProtection="0">
      <alignment horizontal="center"/>
    </xf>
    <xf numFmtId="0" fontId="22" fillId="0" borderId="13" applyNumberFormat="0" applyFont="0" applyFill="0" applyAlignment="0" applyProtection="0"/>
    <xf numFmtId="0" fontId="22" fillId="0" borderId="13" applyNumberFormat="0" applyFont="0" applyFill="0" applyAlignment="0" applyProtection="0"/>
    <xf numFmtId="0" fontId="22" fillId="0" borderId="13" applyNumberFormat="0" applyFont="0" applyFill="0" applyAlignment="0" applyProtection="0"/>
    <xf numFmtId="0" fontId="22" fillId="0" borderId="13" applyNumberFormat="0" applyFont="0" applyFill="0" applyAlignment="0" applyProtection="0"/>
    <xf numFmtId="0" fontId="22" fillId="0" borderId="13" applyNumberFormat="0" applyFont="0" applyFill="0" applyAlignment="0" applyProtection="0"/>
    <xf numFmtId="0" fontId="22" fillId="0" borderId="13" applyNumberFormat="0" applyFont="0" applyFill="0" applyAlignment="0" applyProtection="0"/>
    <xf numFmtId="0" fontId="22" fillId="0" borderId="13" applyNumberFormat="0" applyFont="0" applyFill="0" applyAlignment="0" applyProtection="0"/>
    <xf numFmtId="0" fontId="22" fillId="0" borderId="13" applyNumberFormat="0" applyFont="0" applyFill="0" applyAlignment="0" applyProtection="0"/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7" fillId="0" borderId="0">
      <alignment vertical="top"/>
    </xf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3" borderId="0" applyNumberFormat="0" applyBorder="0" applyAlignment="0" applyProtection="0"/>
    <xf numFmtId="0" fontId="37" fillId="43" borderId="0" applyNumberFormat="0" applyBorder="0" applyAlignment="0" applyProtection="0"/>
    <xf numFmtId="0" fontId="37" fillId="37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34" borderId="0" applyNumberFormat="0" applyBorder="0" applyAlignment="0" applyProtection="0"/>
    <xf numFmtId="0" fontId="37" fillId="38" borderId="0" applyNumberFormat="0" applyBorder="0" applyAlignment="0" applyProtection="0"/>
    <xf numFmtId="0" fontId="37" fillId="44" borderId="0" applyNumberFormat="0" applyBorder="0" applyAlignment="0" applyProtection="0"/>
    <xf numFmtId="0" fontId="38" fillId="42" borderId="0" applyNumberFormat="0" applyBorder="0" applyAlignment="0" applyProtection="0"/>
    <xf numFmtId="0" fontId="39" fillId="45" borderId="0" applyNumberFormat="0" applyBorder="0" applyAlignment="0" applyProtection="0"/>
    <xf numFmtId="0" fontId="38" fillId="46" borderId="0" applyNumberFormat="0" applyBorder="0" applyAlignment="0" applyProtection="0"/>
    <xf numFmtId="0" fontId="39" fillId="36" borderId="0" applyNumberFormat="0" applyBorder="0" applyAlignment="0" applyProtection="0"/>
    <xf numFmtId="0" fontId="38" fillId="44" borderId="0" applyNumberFormat="0" applyBorder="0" applyAlignment="0" applyProtection="0"/>
    <xf numFmtId="0" fontId="39" fillId="43" borderId="0" applyNumberFormat="0" applyBorder="0" applyAlignment="0" applyProtection="0"/>
    <xf numFmtId="0" fontId="38" fillId="37" borderId="0" applyNumberFormat="0" applyBorder="0" applyAlignment="0" applyProtection="0"/>
    <xf numFmtId="0" fontId="39" fillId="47" borderId="0" applyNumberFormat="0" applyBorder="0" applyAlignment="0" applyProtection="0"/>
    <xf numFmtId="0" fontId="38" fillId="42" borderId="0" applyNumberFormat="0" applyBorder="0" applyAlignment="0" applyProtection="0"/>
    <xf numFmtId="0" fontId="39" fillId="48" borderId="0" applyNumberFormat="0" applyBorder="0" applyAlignment="0" applyProtection="0"/>
    <xf numFmtId="0" fontId="38" fillId="36" borderId="0" applyNumberFormat="0" applyBorder="0" applyAlignment="0" applyProtection="0"/>
    <xf numFmtId="0" fontId="39" fillId="49" borderId="0" applyNumberFormat="0" applyBorder="0" applyAlignment="0" applyProtection="0"/>
    <xf numFmtId="0" fontId="38" fillId="50" borderId="0" applyNumberFormat="0" applyBorder="0" applyAlignment="0" applyProtection="0"/>
    <xf numFmtId="0" fontId="39" fillId="51" borderId="0" applyNumberFormat="0" applyBorder="0" applyAlignment="0" applyProtection="0"/>
    <xf numFmtId="0" fontId="38" fillId="46" borderId="0" applyNumberFormat="0" applyBorder="0" applyAlignment="0" applyProtection="0"/>
    <xf numFmtId="0" fontId="39" fillId="52" borderId="0" applyNumberFormat="0" applyBorder="0" applyAlignment="0" applyProtection="0"/>
    <xf numFmtId="0" fontId="38" fillId="44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47" borderId="0" applyNumberFormat="0" applyBorder="0" applyAlignment="0" applyProtection="0"/>
    <xf numFmtId="0" fontId="38" fillId="48" borderId="0" applyNumberFormat="0" applyBorder="0" applyAlignment="0" applyProtection="0"/>
    <xf numFmtId="0" fontId="39" fillId="48" borderId="0" applyNumberFormat="0" applyBorder="0" applyAlignment="0" applyProtection="0"/>
    <xf numFmtId="0" fontId="38" fillId="52" borderId="0" applyNumberFormat="0" applyBorder="0" applyAlignment="0" applyProtection="0"/>
    <xf numFmtId="0" fontId="39" fillId="46" borderId="0" applyNumberFormat="0" applyBorder="0" applyAlignment="0" applyProtection="0"/>
    <xf numFmtId="190" fontId="40" fillId="55" borderId="14">
      <alignment horizontal="center" vertical="center"/>
    </xf>
    <xf numFmtId="190" fontId="40" fillId="55" borderId="14">
      <alignment horizontal="center" vertical="center"/>
    </xf>
    <xf numFmtId="190" fontId="40" fillId="55" borderId="14">
      <alignment horizontal="center" vertical="center"/>
    </xf>
    <xf numFmtId="191" fontId="41" fillId="0" borderId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169" fontId="43" fillId="37" borderId="0" applyNumberFormat="0" applyBorder="0" applyAlignment="0" applyProtection="0"/>
    <xf numFmtId="0" fontId="42" fillId="37" borderId="0" applyNumberFormat="0" applyBorder="0" applyAlignment="0" applyProtection="0"/>
    <xf numFmtId="0" fontId="41" fillId="0" borderId="15" applyNumberFormat="0" applyFont="0" applyFill="0" applyAlignment="0" applyProtection="0"/>
    <xf numFmtId="0" fontId="41" fillId="0" borderId="15" applyNumberFormat="0" applyFont="0" applyFill="0" applyAlignment="0" applyProtection="0"/>
    <xf numFmtId="0" fontId="41" fillId="0" borderId="16" applyNumberFormat="0" applyFont="0" applyFill="0" applyAlignment="0" applyProtection="0"/>
    <xf numFmtId="0" fontId="41" fillId="0" borderId="16" applyNumberFormat="0" applyFont="0" applyFill="0" applyAlignment="0" applyProtection="0"/>
    <xf numFmtId="192" fontId="27" fillId="0" borderId="0" applyFill="0" applyBorder="0" applyAlignment="0"/>
    <xf numFmtId="192" fontId="27" fillId="0" borderId="0" applyFill="0" applyBorder="0" applyAlignment="0"/>
    <xf numFmtId="192" fontId="27" fillId="0" borderId="0" applyFill="0" applyBorder="0" applyAlignment="0"/>
    <xf numFmtId="0" fontId="44" fillId="56" borderId="17" applyNumberFormat="0" applyAlignment="0" applyProtection="0"/>
    <xf numFmtId="0" fontId="45" fillId="57" borderId="17" applyNumberFormat="0" applyAlignment="0" applyProtection="0"/>
    <xf numFmtId="0" fontId="36" fillId="0" borderId="0"/>
    <xf numFmtId="0" fontId="46" fillId="58" borderId="18" applyNumberFormat="0" applyAlignment="0" applyProtection="0"/>
    <xf numFmtId="0" fontId="46" fillId="58" borderId="18" applyNumberFormat="0" applyAlignment="0" applyProtection="0"/>
    <xf numFmtId="169" fontId="47" fillId="58" borderId="18" applyNumberFormat="0" applyAlignment="0" applyProtection="0"/>
    <xf numFmtId="0" fontId="47" fillId="58" borderId="18" applyNumberFormat="0" applyAlignment="0" applyProtection="0"/>
    <xf numFmtId="0" fontId="47" fillId="58" borderId="18" applyNumberFormat="0" applyAlignment="0" applyProtection="0"/>
    <xf numFmtId="169" fontId="47" fillId="58" borderId="18" applyNumberFormat="0" applyAlignment="0" applyProtection="0"/>
    <xf numFmtId="169" fontId="47" fillId="58" borderId="18" applyNumberFormat="0" applyAlignment="0" applyProtection="0"/>
    <xf numFmtId="193" fontId="48" fillId="0" borderId="0">
      <alignment horizontal="center" wrapText="1"/>
    </xf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37" fontId="36" fillId="0" borderId="0"/>
    <xf numFmtId="40" fontId="22" fillId="0" borderId="0" applyBorder="0" applyProtection="0"/>
    <xf numFmtId="40" fontId="22" fillId="0" borderId="0" applyBorder="0" applyProtection="0"/>
    <xf numFmtId="37" fontId="36" fillId="0" borderId="0"/>
    <xf numFmtId="37" fontId="27" fillId="0" borderId="0"/>
    <xf numFmtId="37" fontId="27" fillId="0" borderId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95" fontId="51" fillId="0" borderId="0" applyFont="0" applyFill="0" applyBorder="0" applyAlignment="0" applyProtection="0"/>
    <xf numFmtId="37" fontId="22" fillId="0" borderId="0" applyFont="0" applyFill="0" applyBorder="0" applyAlignment="0" applyProtection="0"/>
    <xf numFmtId="3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19" fillId="0" borderId="0" applyFont="0" applyFill="0" applyBorder="0" applyAlignment="0" applyProtection="0"/>
    <xf numFmtId="4" fontId="52" fillId="0" borderId="0"/>
    <xf numFmtId="0" fontId="53" fillId="0" borderId="0" applyNumberFormat="0" applyAlignment="0">
      <alignment horizontal="left"/>
    </xf>
    <xf numFmtId="0" fontId="54" fillId="0" borderId="0"/>
    <xf numFmtId="0" fontId="54" fillId="0" borderId="0"/>
    <xf numFmtId="0" fontId="54" fillId="0" borderId="0"/>
    <xf numFmtId="0" fontId="54" fillId="0" borderId="0"/>
    <xf numFmtId="7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6" fontId="55" fillId="0" borderId="0">
      <protection locked="0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0" fontId="56" fillId="0" borderId="0"/>
    <xf numFmtId="197" fontId="57" fillId="0" borderId="0"/>
    <xf numFmtId="0" fontId="58" fillId="0" borderId="0" applyNumberFormat="0" applyAlignment="0">
      <alignment horizontal="left"/>
    </xf>
    <xf numFmtId="37" fontId="36" fillId="0" borderId="0"/>
    <xf numFmtId="169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98" fontId="22" fillId="0" borderId="0">
      <protection locked="0"/>
    </xf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198" fontId="22" fillId="0" borderId="0">
      <protection locked="0"/>
    </xf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169" fontId="61" fillId="39" borderId="0" applyNumberFormat="0" applyBorder="0" applyAlignment="0" applyProtection="0"/>
    <xf numFmtId="0" fontId="61" fillId="39" borderId="0" applyNumberFormat="0" applyBorder="0" applyAlignment="0" applyProtection="0"/>
    <xf numFmtId="9" fontId="62" fillId="59" borderId="0" applyNumberFormat="0" applyFill="0" applyBorder="0" applyAlignment="0" applyProtection="0"/>
    <xf numFmtId="38" fontId="30" fillId="60" borderId="0" applyNumberFormat="0" applyBorder="0" applyAlignment="0" applyProtection="0"/>
    <xf numFmtId="38" fontId="30" fillId="60" borderId="0" applyNumberFormat="0" applyBorder="0" applyAlignment="0" applyProtection="0"/>
    <xf numFmtId="0" fontId="63" fillId="0" borderId="0" applyNumberFormat="0" applyFill="0" applyBorder="0" applyAlignment="0" applyProtection="0"/>
    <xf numFmtId="0" fontId="23" fillId="0" borderId="19" applyNumberFormat="0" applyAlignment="0" applyProtection="0">
      <alignment horizontal="left" vertical="center"/>
    </xf>
    <xf numFmtId="0" fontId="23" fillId="0" borderId="19" applyNumberFormat="0" applyAlignment="0" applyProtection="0">
      <alignment horizontal="left" vertical="center"/>
    </xf>
    <xf numFmtId="0" fontId="23" fillId="0" borderId="10">
      <alignment horizontal="left" vertical="center"/>
    </xf>
    <xf numFmtId="0" fontId="23" fillId="0" borderId="10">
      <alignment horizontal="left" vertical="center"/>
    </xf>
    <xf numFmtId="14" fontId="40" fillId="61" borderId="15">
      <alignment horizontal="center" vertical="center" wrapText="1"/>
    </xf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68" fillId="0" borderId="23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199" fontId="22" fillId="0" borderId="0">
      <protection locked="0"/>
    </xf>
    <xf numFmtId="0" fontId="69" fillId="0" borderId="0"/>
    <xf numFmtId="37" fontId="36" fillId="0" borderId="0"/>
    <xf numFmtId="0" fontId="70" fillId="0" borderId="24" applyNumberFormat="0" applyFill="0" applyAlignment="0" applyProtection="0"/>
    <xf numFmtId="10" fontId="30" fillId="62" borderId="25" applyNumberFormat="0" applyBorder="0" applyAlignment="0" applyProtection="0"/>
    <xf numFmtId="10" fontId="30" fillId="62" borderId="25" applyNumberFormat="0" applyBorder="0" applyAlignment="0" applyProtection="0"/>
    <xf numFmtId="0" fontId="71" fillId="33" borderId="17" applyNumberFormat="0" applyAlignment="0" applyProtection="0"/>
    <xf numFmtId="0" fontId="71" fillId="33" borderId="17" applyNumberFormat="0" applyAlignment="0" applyProtection="0"/>
    <xf numFmtId="169" fontId="71" fillId="40" borderId="17" applyNumberFormat="0" applyAlignment="0" applyProtection="0"/>
    <xf numFmtId="0" fontId="71" fillId="40" borderId="17" applyNumberFormat="0" applyAlignment="0" applyProtection="0"/>
    <xf numFmtId="0" fontId="71" fillId="40" borderId="17" applyNumberFormat="0" applyAlignment="0" applyProtection="0"/>
    <xf numFmtId="169" fontId="71" fillId="40" borderId="17" applyNumberFormat="0" applyAlignment="0" applyProtection="0"/>
    <xf numFmtId="169" fontId="71" fillId="40" borderId="17" applyNumberFormat="0" applyAlignment="0" applyProtection="0"/>
    <xf numFmtId="0" fontId="71" fillId="40" borderId="17" applyNumberFormat="0" applyAlignment="0" applyProtection="0"/>
    <xf numFmtId="0" fontId="71" fillId="40" borderId="17" applyNumberFormat="0" applyAlignment="0" applyProtection="0"/>
    <xf numFmtId="169" fontId="72" fillId="0" borderId="0"/>
    <xf numFmtId="169" fontId="72" fillId="0" borderId="0"/>
    <xf numFmtId="169" fontId="72" fillId="0" borderId="0"/>
    <xf numFmtId="0" fontId="73" fillId="63" borderId="26" applyNumberFormat="0" applyBorder="0" applyAlignment="0" applyProtection="0"/>
    <xf numFmtId="0" fontId="74" fillId="64" borderId="0" applyNumberFormat="0"/>
    <xf numFmtId="0" fontId="75" fillId="0" borderId="27" applyNumberFormat="0" applyFill="0" applyAlignment="0" applyProtection="0"/>
    <xf numFmtId="0" fontId="76" fillId="0" borderId="28" applyNumberFormat="0" applyFill="0" applyAlignment="0" applyProtection="0"/>
    <xf numFmtId="14" fontId="36" fillId="0" borderId="0">
      <alignment horizontal="center"/>
    </xf>
    <xf numFmtId="37" fontId="36" fillId="0" borderId="25">
      <alignment horizontal="right"/>
    </xf>
    <xf numFmtId="37" fontId="36" fillId="0" borderId="0">
      <alignment horizontal="center"/>
    </xf>
    <xf numFmtId="37" fontId="36" fillId="0" borderId="0">
      <alignment horizontal="center"/>
    </xf>
    <xf numFmtId="17" fontId="36" fillId="0" borderId="0">
      <alignment horizontal="center"/>
    </xf>
    <xf numFmtId="200" fontId="77" fillId="0" borderId="0" applyFont="0" applyFill="0" applyBorder="0" applyProtection="0">
      <alignment horizontal="right"/>
    </xf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169" fontId="79" fillId="33" borderId="0" applyNumberFormat="0" applyBorder="0" applyAlignment="0" applyProtection="0"/>
    <xf numFmtId="0" fontId="79" fillId="33" borderId="0" applyNumberFormat="0" applyBorder="0" applyAlignment="0" applyProtection="0"/>
    <xf numFmtId="37" fontId="80" fillId="0" borderId="0"/>
    <xf numFmtId="37" fontId="80" fillId="0" borderId="0"/>
    <xf numFmtId="37" fontId="80" fillId="0" borderId="0"/>
    <xf numFmtId="37" fontId="80" fillId="0" borderId="0"/>
    <xf numFmtId="201" fontId="81" fillId="0" borderId="0"/>
    <xf numFmtId="37" fontId="82" fillId="0" borderId="0"/>
    <xf numFmtId="37" fontId="83" fillId="0" borderId="0"/>
    <xf numFmtId="201" fontId="82" fillId="0" borderId="29"/>
    <xf numFmtId="202" fontId="84" fillId="0" borderId="25" applyNumberFormat="0" applyBorder="0">
      <protection locked="0"/>
    </xf>
    <xf numFmtId="202" fontId="84" fillId="0" borderId="25" applyNumberFormat="0" applyBorder="0">
      <protection locked="0"/>
    </xf>
    <xf numFmtId="202" fontId="84" fillId="0" borderId="25" applyNumberFormat="0" applyBorder="0">
      <protection locked="0"/>
    </xf>
    <xf numFmtId="169" fontId="85" fillId="0" borderId="0" applyNumberFormat="0" applyAlignment="0">
      <alignment horizontal="center"/>
    </xf>
    <xf numFmtId="169" fontId="85" fillId="0" borderId="0" applyNumberFormat="0" applyAlignment="0">
      <alignment horizontal="center"/>
    </xf>
    <xf numFmtId="202" fontId="86" fillId="0" borderId="0" applyNumberFormat="0" applyAlignment="0"/>
    <xf numFmtId="202" fontId="87" fillId="0" borderId="0" applyNumberFormat="0"/>
    <xf numFmtId="0" fontId="22" fillId="0" borderId="0"/>
    <xf numFmtId="0" fontId="22" fillId="0" borderId="0"/>
    <xf numFmtId="0" fontId="50" fillId="0" borderId="0" applyNumberFormat="0" applyFill="0" applyBorder="0" applyAlignment="0" applyProtection="0"/>
    <xf numFmtId="0" fontId="22" fillId="0" borderId="0"/>
    <xf numFmtId="169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37" fillId="0" borderId="0"/>
    <xf numFmtId="169" fontId="37" fillId="0" borderId="0"/>
    <xf numFmtId="0" fontId="50" fillId="0" borderId="0"/>
    <xf numFmtId="169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2" fillId="0" borderId="0"/>
    <xf numFmtId="0" fontId="22" fillId="0" borderId="0"/>
    <xf numFmtId="0" fontId="22" fillId="0" borderId="0"/>
    <xf numFmtId="169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44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44" fontId="22" fillId="0" borderId="0"/>
    <xf numFmtId="0" fontId="22" fillId="0" borderId="0"/>
    <xf numFmtId="44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top"/>
    </xf>
    <xf numFmtId="0" fontId="22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/>
    <xf numFmtId="0" fontId="22" fillId="0" borderId="0">
      <alignment vertical="top"/>
    </xf>
    <xf numFmtId="169" fontId="22" fillId="0" borderId="0"/>
    <xf numFmtId="0" fontId="22" fillId="0" borderId="0">
      <alignment vertical="top"/>
    </xf>
    <xf numFmtId="0" fontId="22" fillId="0" borderId="0"/>
    <xf numFmtId="0" fontId="50" fillId="0" borderId="0"/>
    <xf numFmtId="0" fontId="22" fillId="0" borderId="0"/>
    <xf numFmtId="169" fontId="22" fillId="0" borderId="0"/>
    <xf numFmtId="169" fontId="22" fillId="0" borderId="0"/>
    <xf numFmtId="0" fontId="88" fillId="0" borderId="0"/>
    <xf numFmtId="44" fontId="22" fillId="0" borderId="0"/>
    <xf numFmtId="0" fontId="88" fillId="0" borderId="0"/>
    <xf numFmtId="44" fontId="2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169" fontId="37" fillId="0" borderId="0"/>
    <xf numFmtId="169" fontId="37" fillId="0" borderId="0"/>
    <xf numFmtId="0" fontId="22" fillId="0" borderId="0"/>
    <xf numFmtId="169" fontId="37" fillId="0" borderId="0"/>
    <xf numFmtId="39" fontId="89" fillId="0" borderId="0"/>
    <xf numFmtId="169" fontId="37" fillId="0" borderId="0"/>
    <xf numFmtId="169" fontId="37" fillId="0" borderId="0"/>
    <xf numFmtId="0" fontId="22" fillId="0" borderId="0"/>
    <xf numFmtId="169" fontId="37" fillId="0" borderId="0"/>
    <xf numFmtId="0" fontId="37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37" fontId="22" fillId="0" borderId="0"/>
    <xf numFmtId="37" fontId="22" fillId="0" borderId="0"/>
    <xf numFmtId="37" fontId="22" fillId="0" borderId="0"/>
    <xf numFmtId="169" fontId="22" fillId="0" borderId="0"/>
    <xf numFmtId="37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2" fillId="0" borderId="0"/>
    <xf numFmtId="3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169" fontId="22" fillId="0" borderId="0"/>
    <xf numFmtId="0" fontId="22" fillId="0" borderId="0"/>
    <xf numFmtId="0" fontId="90" fillId="0" borderId="0"/>
    <xf numFmtId="0" fontId="50" fillId="0" borderId="0"/>
    <xf numFmtId="169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/>
    <xf numFmtId="169" fontId="37" fillId="0" borderId="0"/>
    <xf numFmtId="169" fontId="37" fillId="0" borderId="0"/>
    <xf numFmtId="0" fontId="37" fillId="0" borderId="0"/>
    <xf numFmtId="169" fontId="37" fillId="0" borderId="0"/>
    <xf numFmtId="0" fontId="91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169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169" fontId="22" fillId="0" borderId="0"/>
    <xf numFmtId="0" fontId="92" fillId="0" borderId="0"/>
    <xf numFmtId="0" fontId="22" fillId="0" borderId="0"/>
    <xf numFmtId="169" fontId="22" fillId="0" borderId="0"/>
    <xf numFmtId="169" fontId="22" fillId="0" borderId="0"/>
    <xf numFmtId="0" fontId="50" fillId="0" borderId="0" applyNumberFormat="0" applyFill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93" fillId="0" borderId="0" applyNumberForma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169" fontId="22" fillId="0" borderId="0"/>
    <xf numFmtId="0" fontId="24" fillId="0" borderId="0"/>
    <xf numFmtId="0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169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02" fontId="82" fillId="0" borderId="25"/>
    <xf numFmtId="202" fontId="82" fillId="0" borderId="25"/>
    <xf numFmtId="202" fontId="82" fillId="0" borderId="25"/>
    <xf numFmtId="202" fontId="72" fillId="0" borderId="0" applyNumberFormat="0" applyProtection="0"/>
    <xf numFmtId="0" fontId="37" fillId="8" borderId="8" applyNumberFormat="0" applyFont="0" applyAlignment="0" applyProtection="0"/>
    <xf numFmtId="0" fontId="22" fillId="38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38" borderId="30" applyNumberFormat="0" applyFont="0" applyAlignment="0" applyProtection="0"/>
    <xf numFmtId="0" fontId="1" fillId="8" borderId="8" applyNumberFormat="0" applyFont="0" applyAlignment="0" applyProtection="0"/>
    <xf numFmtId="0" fontId="37" fillId="38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38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38" borderId="30" applyNumberFormat="0" applyFont="0" applyAlignment="0" applyProtection="0"/>
    <xf numFmtId="0" fontId="37" fillId="8" borderId="8" applyNumberFormat="0" applyFont="0" applyAlignment="0" applyProtection="0"/>
    <xf numFmtId="0" fontId="22" fillId="38" borderId="30" applyNumberFormat="0" applyFont="0" applyAlignment="0" applyProtection="0"/>
    <xf numFmtId="0" fontId="22" fillId="38" borderId="30" applyNumberFormat="0" applyFont="0" applyAlignment="0" applyProtection="0"/>
    <xf numFmtId="0" fontId="22" fillId="38" borderId="30" applyNumberFormat="0" applyFont="0" applyAlignment="0" applyProtection="0"/>
    <xf numFmtId="0" fontId="22" fillId="38" borderId="30" applyNumberFormat="0" applyFont="0" applyAlignment="0" applyProtection="0"/>
    <xf numFmtId="0" fontId="22" fillId="38" borderId="30" applyNumberFormat="0" applyFont="0" applyAlignment="0" applyProtection="0"/>
    <xf numFmtId="203" fontId="22" fillId="0" borderId="0"/>
    <xf numFmtId="203" fontId="22" fillId="0" borderId="0"/>
    <xf numFmtId="203" fontId="22" fillId="0" borderId="0"/>
    <xf numFmtId="203" fontId="22" fillId="0" borderId="0"/>
    <xf numFmtId="203" fontId="22" fillId="0" borderId="0"/>
    <xf numFmtId="203" fontId="22" fillId="0" borderId="0"/>
    <xf numFmtId="203" fontId="22" fillId="0" borderId="0"/>
    <xf numFmtId="203" fontId="22" fillId="0" borderId="0"/>
    <xf numFmtId="37" fontId="89" fillId="65" borderId="25" applyNumberFormat="0" applyFont="0" applyFill="0" applyAlignment="0" applyProtection="0"/>
    <xf numFmtId="0" fontId="94" fillId="56" borderId="31" applyNumberFormat="0" applyAlignment="0" applyProtection="0"/>
    <xf numFmtId="0" fontId="94" fillId="57" borderId="31" applyNumberFormat="0" applyAlignment="0" applyProtection="0"/>
    <xf numFmtId="0" fontId="95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0" fontId="97" fillId="0" borderId="0">
      <alignment horizontal="centerContinuous"/>
    </xf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0" fontId="30" fillId="0" borderId="0"/>
    <xf numFmtId="37" fontId="36" fillId="0" borderId="0"/>
    <xf numFmtId="37" fontId="36" fillId="0" borderId="0" applyFont="0" applyFill="0" applyBorder="0" applyAlignment="0" applyProtection="0"/>
    <xf numFmtId="10" fontId="22" fillId="0" borderId="0" applyFont="0" applyFill="0" applyBorder="0" applyAlignment="0" applyProtection="0"/>
    <xf numFmtId="205" fontId="98" fillId="0" borderId="0" applyFont="0" applyFill="0" applyBorder="0" applyAlignment="0" applyProtection="0"/>
    <xf numFmtId="205" fontId="98" fillId="0" borderId="0" applyFont="0" applyFill="0" applyBorder="0" applyAlignment="0" applyProtection="0"/>
    <xf numFmtId="10" fontId="22" fillId="0" borderId="0" applyFont="0" applyFill="0" applyBorder="0" applyAlignment="0" applyProtection="0"/>
    <xf numFmtId="166" fontId="99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06" fontId="41" fillId="0" borderId="0" applyFont="0" applyFill="0" applyBorder="0" applyProtection="0">
      <alignment horizontal="right"/>
    </xf>
    <xf numFmtId="37" fontId="36" fillId="0" borderId="0"/>
    <xf numFmtId="37" fontId="36" fillId="0" borderId="0"/>
    <xf numFmtId="0" fontId="92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15" fontId="92" fillId="0" borderId="0" applyFont="0" applyFill="0" applyBorder="0" applyAlignment="0" applyProtection="0"/>
    <xf numFmtId="15" fontId="92" fillId="0" borderId="0" applyFont="0" applyFill="0" applyBorder="0" applyAlignment="0" applyProtection="0"/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100" fillId="0" borderId="15">
      <alignment horizontal="center"/>
    </xf>
    <xf numFmtId="0" fontId="100" fillId="0" borderId="15">
      <alignment horizontal="center"/>
    </xf>
    <xf numFmtId="0" fontId="100" fillId="0" borderId="15">
      <alignment horizontal="center"/>
    </xf>
    <xf numFmtId="0" fontId="100" fillId="0" borderId="15">
      <alignment horizontal="center"/>
    </xf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0" fontId="92" fillId="66" borderId="0" applyNumberFormat="0" applyFont="0" applyBorder="0" applyAlignment="0" applyProtection="0"/>
    <xf numFmtId="0" fontId="92" fillId="66" borderId="0" applyNumberFormat="0" applyFont="0" applyBorder="0" applyAlignment="0" applyProtection="0"/>
    <xf numFmtId="0" fontId="92" fillId="66" borderId="0" applyNumberFormat="0" applyFont="0" applyBorder="0" applyAlignment="0" applyProtection="0"/>
    <xf numFmtId="0" fontId="92" fillId="66" borderId="0" applyNumberFormat="0" applyFont="0" applyBorder="0" applyAlignment="0" applyProtection="0"/>
    <xf numFmtId="0" fontId="101" fillId="0" borderId="32"/>
    <xf numFmtId="0" fontId="101" fillId="0" borderId="32"/>
    <xf numFmtId="0" fontId="101" fillId="0" borderId="32"/>
    <xf numFmtId="0" fontId="101" fillId="0" borderId="32"/>
    <xf numFmtId="9" fontId="102" fillId="0" borderId="0" applyNumberFormat="0" applyFill="0" applyBorder="0" applyAlignment="0" applyProtection="0"/>
    <xf numFmtId="165" fontId="52" fillId="0" borderId="0"/>
    <xf numFmtId="14" fontId="103" fillId="0" borderId="0" applyNumberFormat="0" applyFill="0" applyBorder="0" applyAlignment="0" applyProtection="0">
      <alignment horizontal="left"/>
    </xf>
    <xf numFmtId="0" fontId="104" fillId="0" borderId="0"/>
    <xf numFmtId="0" fontId="105" fillId="0" borderId="0"/>
    <xf numFmtId="0" fontId="51" fillId="67" borderId="0" applyNumberFormat="0" applyFont="0" applyBorder="0" applyAlignment="0" applyProtection="0"/>
    <xf numFmtId="0" fontId="106" fillId="68" borderId="0" applyNumberFormat="0" applyFont="0" applyBorder="0" applyAlignment="0" applyProtection="0">
      <alignment horizontal="center"/>
    </xf>
    <xf numFmtId="0" fontId="107" fillId="0" borderId="0"/>
    <xf numFmtId="0" fontId="27" fillId="0" borderId="0">
      <alignment vertical="top"/>
    </xf>
    <xf numFmtId="179" fontId="22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9" fillId="0" borderId="0"/>
    <xf numFmtId="0" fontId="108" fillId="0" borderId="0"/>
    <xf numFmtId="0" fontId="109" fillId="0" borderId="33"/>
    <xf numFmtId="0" fontId="109" fillId="0" borderId="33"/>
    <xf numFmtId="0" fontId="109" fillId="0" borderId="33"/>
    <xf numFmtId="0" fontId="109" fillId="0" borderId="33"/>
    <xf numFmtId="40" fontId="110" fillId="0" borderId="0" applyBorder="0">
      <alignment horizontal="right"/>
    </xf>
    <xf numFmtId="0" fontId="111" fillId="0" borderId="0" applyFill="0" applyBorder="0" applyProtection="0">
      <alignment horizontal="center" vertical="center"/>
    </xf>
    <xf numFmtId="169" fontId="112" fillId="0" borderId="0"/>
    <xf numFmtId="169" fontId="112" fillId="0" borderId="0"/>
    <xf numFmtId="169" fontId="112" fillId="0" borderId="0"/>
    <xf numFmtId="0" fontId="111" fillId="0" borderId="0" applyFill="0" applyBorder="0" applyProtection="0"/>
    <xf numFmtId="0" fontId="40" fillId="0" borderId="0" applyFill="0" applyBorder="0" applyProtection="0">
      <alignment horizontal="left"/>
    </xf>
    <xf numFmtId="0" fontId="113" fillId="0" borderId="0" applyFill="0" applyBorder="0" applyProtection="0">
      <alignment horizontal="left" vertical="top"/>
    </xf>
    <xf numFmtId="0" fontId="114" fillId="0" borderId="0">
      <alignment horizontal="centerContinuous" vertical="center" wrapText="1"/>
    </xf>
    <xf numFmtId="38" fontId="41" fillId="0" borderId="34" applyBorder="0" applyAlignment="0" applyProtection="0">
      <alignment horizontal="center"/>
    </xf>
    <xf numFmtId="38" fontId="41" fillId="0" borderId="34" applyBorder="0" applyAlignment="0" applyProtection="0">
      <alignment horizontal="center"/>
    </xf>
    <xf numFmtId="38" fontId="41" fillId="0" borderId="34" applyBorder="0" applyAlignment="0" applyProtection="0">
      <alignment horizontal="center"/>
    </xf>
    <xf numFmtId="38" fontId="41" fillId="0" borderId="34" applyBorder="0" applyAlignment="0" applyProtection="0">
      <alignment horizontal="center"/>
    </xf>
    <xf numFmtId="38" fontId="41" fillId="0" borderId="34" applyBorder="0" applyAlignment="0" applyProtection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07" fontId="22" fillId="0" borderId="0">
      <alignment wrapText="1"/>
    </xf>
    <xf numFmtId="207" fontId="22" fillId="0" borderId="0">
      <alignment wrapText="1"/>
    </xf>
    <xf numFmtId="207" fontId="22" fillId="0" borderId="0">
      <alignment wrapText="1"/>
    </xf>
    <xf numFmtId="207" fontId="22" fillId="0" borderId="0">
      <alignment wrapText="1"/>
    </xf>
    <xf numFmtId="207" fontId="22" fillId="0" borderId="0">
      <alignment wrapText="1"/>
    </xf>
    <xf numFmtId="207" fontId="22" fillId="0" borderId="0">
      <alignment wrapText="1"/>
    </xf>
    <xf numFmtId="207" fontId="22" fillId="0" borderId="0">
      <alignment wrapText="1"/>
    </xf>
    <xf numFmtId="207" fontId="22" fillId="0" borderId="0">
      <alignment wrapText="1"/>
    </xf>
    <xf numFmtId="208" fontId="22" fillId="0" borderId="0">
      <alignment wrapText="1"/>
    </xf>
    <xf numFmtId="208" fontId="22" fillId="0" borderId="0">
      <alignment wrapText="1"/>
    </xf>
    <xf numFmtId="208" fontId="22" fillId="0" borderId="0">
      <alignment wrapText="1"/>
    </xf>
    <xf numFmtId="208" fontId="22" fillId="0" borderId="0">
      <alignment wrapText="1"/>
    </xf>
    <xf numFmtId="208" fontId="22" fillId="0" borderId="0">
      <alignment wrapText="1"/>
    </xf>
    <xf numFmtId="208" fontId="22" fillId="0" borderId="0">
      <alignment wrapText="1"/>
    </xf>
    <xf numFmtId="208" fontId="22" fillId="0" borderId="0">
      <alignment wrapText="1"/>
    </xf>
    <xf numFmtId="208" fontId="22" fillId="0" borderId="0">
      <alignment wrapText="1"/>
    </xf>
    <xf numFmtId="0" fontId="115" fillId="0" borderId="0" applyFill="0" applyBorder="0" applyProtection="0">
      <alignment horizontal="left" vertical="top"/>
    </xf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35" applyNumberFormat="0" applyFill="0" applyAlignment="0" applyProtection="0"/>
    <xf numFmtId="0" fontId="22" fillId="0" borderId="36" applyNumberFormat="0" applyFont="0" applyFill="0" applyAlignment="0" applyProtection="0"/>
    <xf numFmtId="0" fontId="22" fillId="0" borderId="36" applyNumberFormat="0" applyFont="0" applyFill="0" applyAlignment="0" applyProtection="0"/>
    <xf numFmtId="0" fontId="22" fillId="0" borderId="36" applyNumberFormat="0" applyFont="0" applyFill="0" applyAlignment="0" applyProtection="0"/>
    <xf numFmtId="0" fontId="22" fillId="0" borderId="36" applyNumberFormat="0" applyFont="0" applyFill="0" applyAlignment="0" applyProtection="0"/>
    <xf numFmtId="0" fontId="22" fillId="0" borderId="36" applyNumberFormat="0" applyFont="0" applyFill="0" applyAlignment="0" applyProtection="0"/>
    <xf numFmtId="0" fontId="22" fillId="0" borderId="36" applyNumberFormat="0" applyFont="0" applyFill="0" applyAlignment="0" applyProtection="0"/>
    <xf numFmtId="0" fontId="22" fillId="0" borderId="36" applyNumberFormat="0" applyFont="0" applyFill="0" applyAlignment="0" applyProtection="0"/>
    <xf numFmtId="209" fontId="119" fillId="0" borderId="0">
      <alignment horizontal="left"/>
      <protection locked="0"/>
    </xf>
    <xf numFmtId="0" fontId="120" fillId="0" borderId="0" applyNumberFormat="0" applyFont="0" applyFill="0"/>
    <xf numFmtId="37" fontId="30" fillId="69" borderId="0" applyNumberFormat="0" applyBorder="0" applyAlignment="0" applyProtection="0"/>
    <xf numFmtId="37" fontId="30" fillId="69" borderId="0" applyNumberFormat="0" applyBorder="0" applyAlignment="0" applyProtection="0"/>
    <xf numFmtId="37" fontId="30" fillId="0" borderId="0"/>
    <xf numFmtId="37" fontId="30" fillId="0" borderId="0"/>
    <xf numFmtId="37" fontId="30" fillId="0" borderId="0"/>
    <xf numFmtId="3" fontId="121" fillId="0" borderId="24" applyProtection="0"/>
    <xf numFmtId="14" fontId="106" fillId="0" borderId="0" applyNumberFormat="0" applyFont="0" applyBorder="0" applyAlignment="0" applyProtection="0">
      <alignment horizontal="center"/>
    </xf>
    <xf numFmtId="0" fontId="75" fillId="0" borderId="0" applyNumberFormat="0" applyFill="0" applyBorder="0" applyAlignment="0" applyProtection="0"/>
    <xf numFmtId="37" fontId="36" fillId="0" borderId="0">
      <alignment horizontal="center"/>
    </xf>
    <xf numFmtId="169" fontId="122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50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3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27" fillId="0" borderId="0"/>
  </cellStyleXfs>
  <cellXfs count="137">
    <xf numFmtId="0" fontId="0" fillId="0" borderId="0" xfId="0"/>
    <xf numFmtId="0" fontId="26" fillId="0" borderId="0" xfId="51" applyFont="1" applyFill="1" applyAlignment="1">
      <alignment horizontal="center"/>
    </xf>
    <xf numFmtId="0" fontId="25" fillId="0" borderId="0" xfId="51" applyFill="1" applyAlignment="1">
      <alignment horizontal="center"/>
    </xf>
    <xf numFmtId="165" fontId="26" fillId="0" borderId="0" xfId="55" applyNumberFormat="1" applyFont="1" applyFill="1" applyAlignment="1">
      <alignment horizontal="center"/>
    </xf>
    <xf numFmtId="165" fontId="1" fillId="0" borderId="0" xfId="1" applyNumberFormat="1" applyFill="1"/>
    <xf numFmtId="165" fontId="26" fillId="0" borderId="0" xfId="46" applyNumberFormat="1" applyFont="1" applyFill="1" applyAlignment="1">
      <alignment horizontal="center"/>
    </xf>
    <xf numFmtId="165" fontId="1" fillId="0" borderId="0" xfId="1" applyNumberFormat="1"/>
    <xf numFmtId="0" fontId="0" fillId="0" borderId="0" xfId="0" applyFill="1"/>
    <xf numFmtId="165" fontId="22" fillId="0" borderId="0" xfId="55" applyNumberFormat="1" applyFill="1" applyAlignment="1">
      <alignment horizontal="center"/>
    </xf>
    <xf numFmtId="0" fontId="18" fillId="0" borderId="0" xfId="0" applyFont="1"/>
    <xf numFmtId="14" fontId="18" fillId="0" borderId="0" xfId="0" applyNumberFormat="1" applyFont="1" applyFill="1"/>
    <xf numFmtId="0" fontId="26" fillId="0" borderId="0" xfId="51" applyFont="1" applyFill="1" applyBorder="1" applyAlignment="1">
      <alignment horizontal="center"/>
    </xf>
    <xf numFmtId="165" fontId="22" fillId="0" borderId="0" xfId="46" applyNumberFormat="1" applyFill="1" applyAlignment="1">
      <alignment horizontal="center"/>
    </xf>
    <xf numFmtId="0" fontId="0" fillId="0" borderId="0" xfId="0"/>
    <xf numFmtId="168" fontId="20" fillId="0" borderId="0" xfId="3" applyNumberFormat="1" applyFont="1" applyFill="1"/>
    <xf numFmtId="165" fontId="18" fillId="0" borderId="10" xfId="1" applyNumberFormat="1" applyFont="1" applyFill="1" applyBorder="1"/>
    <xf numFmtId="10" fontId="18" fillId="0" borderId="0" xfId="3" applyNumberFormat="1" applyFont="1" applyFill="1"/>
    <xf numFmtId="165" fontId="18" fillId="0" borderId="0" xfId="1" applyNumberFormat="1" applyFont="1" applyFill="1"/>
    <xf numFmtId="165" fontId="18" fillId="0" borderId="0" xfId="1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43" fontId="18" fillId="0" borderId="0" xfId="1" applyFont="1" applyFill="1"/>
    <xf numFmtId="0" fontId="21" fillId="0" borderId="0" xfId="0" applyFont="1" applyFill="1" applyAlignment="1">
      <alignment horizontal="center"/>
    </xf>
    <xf numFmtId="165" fontId="19" fillId="0" borderId="0" xfId="1" applyNumberFormat="1" applyFont="1" applyFill="1"/>
    <xf numFmtId="0" fontId="18" fillId="0" borderId="0" xfId="0" applyFont="1" applyFill="1"/>
    <xf numFmtId="166" fontId="18" fillId="0" borderId="0" xfId="3" applyNumberFormat="1" applyFont="1" applyFill="1"/>
    <xf numFmtId="167" fontId="18" fillId="0" borderId="0" xfId="1" applyNumberFormat="1" applyFont="1" applyFill="1"/>
    <xf numFmtId="0" fontId="16" fillId="0" borderId="0" xfId="0" applyFont="1"/>
    <xf numFmtId="165" fontId="21" fillId="0" borderId="0" xfId="1" applyNumberFormat="1" applyFont="1" applyFill="1" applyAlignment="1">
      <alignment horizontal="center"/>
    </xf>
    <xf numFmtId="168" fontId="19" fillId="0" borderId="0" xfId="3" applyNumberFormat="1" applyFont="1" applyFill="1"/>
    <xf numFmtId="0" fontId="0" fillId="0" borderId="0" xfId="0"/>
    <xf numFmtId="10" fontId="0" fillId="0" borderId="0" xfId="0" applyNumberFormat="1"/>
    <xf numFmtId="0" fontId="16" fillId="0" borderId="25" xfId="0" applyFont="1" applyBorder="1" applyAlignment="1">
      <alignment horizontal="center"/>
    </xf>
    <xf numFmtId="164" fontId="16" fillId="0" borderId="25" xfId="2" applyNumberFormat="1" applyFont="1" applyBorder="1" applyAlignment="1">
      <alignment horizontal="center"/>
    </xf>
    <xf numFmtId="189" fontId="16" fillId="0" borderId="2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5" fontId="22" fillId="0" borderId="0" xfId="1" applyNumberFormat="1" applyFont="1"/>
    <xf numFmtId="168" fontId="20" fillId="0" borderId="0" xfId="3" applyNumberFormat="1" applyFont="1" applyFill="1"/>
    <xf numFmtId="165" fontId="18" fillId="0" borderId="10" xfId="1" applyNumberFormat="1" applyFont="1" applyFill="1" applyBorder="1"/>
    <xf numFmtId="10" fontId="18" fillId="0" borderId="0" xfId="3" applyNumberFormat="1" applyFont="1" applyFill="1"/>
    <xf numFmtId="165" fontId="18" fillId="0" borderId="0" xfId="1" applyNumberFormat="1" applyFont="1" applyFill="1"/>
    <xf numFmtId="165" fontId="18" fillId="0" borderId="0" xfId="1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43" fontId="18" fillId="0" borderId="0" xfId="1" applyFont="1" applyFill="1"/>
    <xf numFmtId="0" fontId="21" fillId="0" borderId="0" xfId="0" applyFont="1" applyFill="1" applyAlignment="1">
      <alignment horizontal="center"/>
    </xf>
    <xf numFmtId="165" fontId="19" fillId="0" borderId="0" xfId="1" applyNumberFormat="1" applyFont="1" applyFill="1"/>
    <xf numFmtId="0" fontId="18" fillId="0" borderId="0" xfId="0" applyFont="1" applyFill="1"/>
    <xf numFmtId="166" fontId="18" fillId="0" borderId="0" xfId="3" applyNumberFormat="1" applyFont="1" applyFill="1"/>
    <xf numFmtId="167" fontId="18" fillId="0" borderId="0" xfId="1" applyNumberFormat="1" applyFont="1" applyFill="1"/>
    <xf numFmtId="165" fontId="21" fillId="0" borderId="0" xfId="1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168" fontId="19" fillId="0" borderId="0" xfId="3" applyNumberFormat="1" applyFont="1" applyFill="1"/>
    <xf numFmtId="0" fontId="16" fillId="0" borderId="0" xfId="0" applyFont="1" applyFill="1"/>
    <xf numFmtId="39" fontId="0" fillId="0" borderId="0" xfId="0" applyNumberFormat="1" applyFill="1"/>
    <xf numFmtId="0" fontId="16" fillId="0" borderId="0" xfId="0" pivotButton="1" applyFont="1"/>
    <xf numFmtId="0" fontId="0" fillId="0" borderId="0" xfId="0"/>
    <xf numFmtId="39" fontId="0" fillId="0" borderId="0" xfId="0" applyNumberFormat="1"/>
    <xf numFmtId="0" fontId="0" fillId="0" borderId="0" xfId="0"/>
    <xf numFmtId="39" fontId="0" fillId="0" borderId="0" xfId="0" applyNumberFormat="1"/>
    <xf numFmtId="0" fontId="0" fillId="0" borderId="0" xfId="0"/>
    <xf numFmtId="39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0" fillId="0" borderId="0" xfId="0"/>
    <xf numFmtId="39" fontId="0" fillId="0" borderId="0" xfId="0" applyNumberFormat="1"/>
    <xf numFmtId="0" fontId="0" fillId="0" borderId="0" xfId="0" applyBorder="1"/>
    <xf numFmtId="0" fontId="23" fillId="0" borderId="0" xfId="0" applyFont="1" applyAlignment="1">
      <alignment horizontal="center"/>
    </xf>
    <xf numFmtId="0" fontId="124" fillId="0" borderId="0" xfId="0" applyFont="1" applyAlignment="1">
      <alignment horizontal="center"/>
    </xf>
    <xf numFmtId="0" fontId="124" fillId="0" borderId="0" xfId="0" applyFont="1" applyFill="1" applyAlignment="1">
      <alignment horizontal="center"/>
    </xf>
    <xf numFmtId="0" fontId="125" fillId="0" borderId="0" xfId="0" applyFont="1" applyAlignment="1">
      <alignment horizontal="center"/>
    </xf>
    <xf numFmtId="39" fontId="23" fillId="0" borderId="0" xfId="0" applyNumberFormat="1" applyFont="1" applyAlignment="1">
      <alignment horizontal="center"/>
    </xf>
    <xf numFmtId="10" fontId="23" fillId="0" borderId="0" xfId="0" applyNumberFormat="1" applyFont="1" applyBorder="1" applyAlignment="1">
      <alignment horizontal="center"/>
    </xf>
    <xf numFmtId="10" fontId="23" fillId="0" borderId="0" xfId="0" applyNumberFormat="1" applyFont="1" applyFill="1" applyBorder="1" applyAlignment="1">
      <alignment horizontal="center"/>
    </xf>
    <xf numFmtId="14" fontId="23" fillId="0" borderId="0" xfId="0" applyNumberFormat="1" applyFont="1" applyBorder="1" applyAlignment="1">
      <alignment horizontal="center"/>
    </xf>
    <xf numFmtId="39" fontId="23" fillId="0" borderId="0" xfId="0" applyNumberFormat="1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14" fontId="23" fillId="0" borderId="38" xfId="0" applyNumberFormat="1" applyFont="1" applyBorder="1" applyAlignment="1">
      <alignment horizontal="center"/>
    </xf>
    <xf numFmtId="10" fontId="23" fillId="0" borderId="38" xfId="0" applyNumberFormat="1" applyFont="1" applyBorder="1" applyAlignment="1">
      <alignment horizontal="center"/>
    </xf>
    <xf numFmtId="10" fontId="23" fillId="0" borderId="38" xfId="0" applyNumberFormat="1" applyFont="1" applyFill="1" applyBorder="1" applyAlignment="1">
      <alignment horizontal="center"/>
    </xf>
    <xf numFmtId="39" fontId="23" fillId="0" borderId="38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/>
    <xf numFmtId="0" fontId="125" fillId="0" borderId="0" xfId="0" applyFont="1"/>
    <xf numFmtId="37" fontId="125" fillId="0" borderId="0" xfId="0" applyNumberFormat="1" applyFont="1"/>
    <xf numFmtId="10" fontId="125" fillId="0" borderId="0" xfId="0" applyNumberFormat="1" applyFont="1"/>
    <xf numFmtId="0" fontId="123" fillId="0" borderId="0" xfId="0" applyFont="1"/>
    <xf numFmtId="37" fontId="125" fillId="0" borderId="10" xfId="0" applyNumberFormat="1" applyFont="1" applyBorder="1"/>
    <xf numFmtId="0" fontId="125" fillId="0" borderId="10" xfId="0" applyFont="1" applyBorder="1"/>
    <xf numFmtId="39" fontId="125" fillId="0" borderId="10" xfId="0" applyNumberFormat="1" applyFont="1" applyBorder="1"/>
    <xf numFmtId="39" fontId="125" fillId="0" borderId="0" xfId="0" applyNumberFormat="1" applyFont="1"/>
    <xf numFmtId="210" fontId="0" fillId="0" borderId="0" xfId="0" applyNumberFormat="1"/>
    <xf numFmtId="210" fontId="0" fillId="0" borderId="0" xfId="0" applyNumberFormat="1" applyBorder="1"/>
    <xf numFmtId="212" fontId="0" fillId="0" borderId="0" xfId="0" applyNumberFormat="1"/>
    <xf numFmtId="0" fontId="37" fillId="0" borderId="30" xfId="1511" applyFont="1" applyFill="1" applyBorder="1" applyAlignment="1">
      <alignment wrapText="1"/>
    </xf>
    <xf numFmtId="0" fontId="118" fillId="0" borderId="30" xfId="1511" applyFont="1" applyFill="1" applyBorder="1" applyAlignment="1">
      <alignment wrapText="1"/>
    </xf>
    <xf numFmtId="212" fontId="37" fillId="0" borderId="30" xfId="1511" applyNumberFormat="1" applyFont="1" applyFill="1" applyBorder="1" applyAlignment="1">
      <alignment horizontal="right" wrapText="1"/>
    </xf>
    <xf numFmtId="0" fontId="37" fillId="0" borderId="30" xfId="1511" applyFont="1" applyFill="1" applyBorder="1" applyAlignment="1">
      <alignment horizontal="right" wrapText="1"/>
    </xf>
    <xf numFmtId="7" fontId="0" fillId="0" borderId="0" xfId="0" applyNumberFormat="1"/>
    <xf numFmtId="0" fontId="0" fillId="0" borderId="0" xfId="0" applyFill="1" applyBorder="1"/>
    <xf numFmtId="0" fontId="50" fillId="0" borderId="0" xfId="1507"/>
    <xf numFmtId="0" fontId="50" fillId="0" borderId="0" xfId="1507" applyFont="1" applyFill="1"/>
    <xf numFmtId="211" fontId="50" fillId="0" borderId="0" xfId="1510" quotePrefix="1" applyNumberFormat="1" applyFont="1" applyFill="1" applyAlignment="1">
      <alignment horizontal="center"/>
    </xf>
    <xf numFmtId="0" fontId="125" fillId="0" borderId="0" xfId="0" applyFont="1" applyBorder="1"/>
    <xf numFmtId="0" fontId="124" fillId="0" borderId="0" xfId="0" applyFont="1" applyBorder="1"/>
    <xf numFmtId="0" fontId="124" fillId="0" borderId="0" xfId="0" applyFont="1" applyBorder="1" applyAlignment="1">
      <alignment horizontal="center"/>
    </xf>
    <xf numFmtId="0" fontId="124" fillId="0" borderId="38" xfId="0" applyFont="1" applyBorder="1"/>
    <xf numFmtId="0" fontId="124" fillId="0" borderId="38" xfId="0" applyFont="1" applyBorder="1" applyAlignment="1">
      <alignment horizontal="center"/>
    </xf>
    <xf numFmtId="0" fontId="125" fillId="0" borderId="38" xfId="0" applyFont="1" applyBorder="1"/>
    <xf numFmtId="0" fontId="124" fillId="0" borderId="38" xfId="0" applyFont="1" applyFill="1" applyBorder="1" applyAlignment="1">
      <alignment horizontal="center"/>
    </xf>
    <xf numFmtId="0" fontId="126" fillId="0" borderId="0" xfId="0" applyFont="1"/>
    <xf numFmtId="210" fontId="125" fillId="0" borderId="0" xfId="0" applyNumberFormat="1" applyFont="1" applyBorder="1"/>
    <xf numFmtId="39" fontId="125" fillId="0" borderId="0" xfId="0" applyNumberFormat="1" applyFont="1" applyBorder="1"/>
    <xf numFmtId="10" fontId="125" fillId="0" borderId="0" xfId="0" applyNumberFormat="1" applyFont="1" applyBorder="1"/>
    <xf numFmtId="0" fontId="124" fillId="0" borderId="0" xfId="0" applyFont="1"/>
    <xf numFmtId="0" fontId="126" fillId="0" borderId="0" xfId="0" applyFont="1" applyAlignment="1">
      <alignment horizontal="center"/>
    </xf>
    <xf numFmtId="39" fontId="124" fillId="0" borderId="0" xfId="0" applyNumberFormat="1" applyFont="1" applyBorder="1"/>
    <xf numFmtId="210" fontId="124" fillId="0" borderId="0" xfId="0" applyNumberFormat="1" applyFont="1" applyAlignment="1">
      <alignment horizontal="center"/>
    </xf>
    <xf numFmtId="210" fontId="125" fillId="0" borderId="0" xfId="0" applyNumberFormat="1" applyFont="1"/>
    <xf numFmtId="0" fontId="124" fillId="0" borderId="37" xfId="0" applyFont="1" applyBorder="1"/>
    <xf numFmtId="210" fontId="124" fillId="0" borderId="37" xfId="0" applyNumberFormat="1" applyFont="1" applyBorder="1" applyAlignment="1">
      <alignment horizontal="center"/>
    </xf>
    <xf numFmtId="0" fontId="124" fillId="0" borderId="37" xfId="0" applyFont="1" applyBorder="1" applyAlignment="1">
      <alignment horizontal="center"/>
    </xf>
    <xf numFmtId="210" fontId="124" fillId="0" borderId="0" xfId="0" applyNumberFormat="1" applyFont="1" applyBorder="1" applyAlignment="1">
      <alignment horizontal="center"/>
    </xf>
    <xf numFmtId="210" fontId="124" fillId="0" borderId="38" xfId="0" applyNumberFormat="1" applyFont="1" applyBorder="1" applyAlignment="1">
      <alignment horizontal="center"/>
    </xf>
    <xf numFmtId="39" fontId="124" fillId="0" borderId="10" xfId="0" applyNumberFormat="1" applyFont="1" applyBorder="1"/>
    <xf numFmtId="0" fontId="124" fillId="0" borderId="10" xfId="0" applyFont="1" applyBorder="1"/>
    <xf numFmtId="210" fontId="124" fillId="0" borderId="0" xfId="0" applyNumberFormat="1" applyFont="1"/>
    <xf numFmtId="43" fontId="0" fillId="0" borderId="0" xfId="0" applyNumberFormat="1"/>
    <xf numFmtId="43" fontId="0" fillId="0" borderId="38" xfId="1" applyFont="1" applyBorder="1"/>
    <xf numFmtId="43" fontId="125" fillId="0" borderId="0" xfId="1" applyFont="1" applyBorder="1"/>
    <xf numFmtId="43" fontId="125" fillId="0" borderId="10" xfId="1" applyFont="1" applyBorder="1"/>
    <xf numFmtId="213" fontId="0" fillId="0" borderId="0" xfId="0" applyNumberFormat="1"/>
    <xf numFmtId="166" fontId="125" fillId="0" borderId="0" xfId="0" applyNumberFormat="1" applyFont="1"/>
    <xf numFmtId="166" fontId="125" fillId="0" borderId="10" xfId="0" applyNumberFormat="1" applyFont="1" applyBorder="1"/>
    <xf numFmtId="166" fontId="125" fillId="0" borderId="0" xfId="0" applyNumberFormat="1" applyFont="1" applyBorder="1"/>
    <xf numFmtId="164" fontId="1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23" fillId="0" borderId="0" xfId="0" applyFont="1" applyAlignment="1"/>
  </cellXfs>
  <cellStyles count="1512">
    <cellStyle name="_x0013_" xfId="50"/>
    <cellStyle name=" 1" xfId="48"/>
    <cellStyle name=" 1 2" xfId="56"/>
    <cellStyle name=" 1 2 2" xfId="54"/>
    <cellStyle name=" 1 3" xfId="53"/>
    <cellStyle name="_x0013_ 2" xfId="52"/>
    <cellStyle name="??_HB_diagram-HHH" xfId="49"/>
    <cellStyle name="_ Other Current Expense" xfId="47"/>
    <cellStyle name="_%(SignOnly)" xfId="57"/>
    <cellStyle name="_%(SignOnly) 2" xfId="58"/>
    <cellStyle name="_%(SignOnly) 2 2" xfId="59"/>
    <cellStyle name="_%(SignOnly) 2 2 2" xfId="60"/>
    <cellStyle name="_%(SignOnly) 2 3" xfId="61"/>
    <cellStyle name="_%(SignOnly) 3" xfId="62"/>
    <cellStyle name="_%(SignOnly) 3 2" xfId="63"/>
    <cellStyle name="_%(SignOnly) 4" xfId="64"/>
    <cellStyle name="_%(SignSpaceOnly)" xfId="65"/>
    <cellStyle name="_%(SignSpaceOnly) 2" xfId="66"/>
    <cellStyle name="_%(SignSpaceOnly) 2 2" xfId="67"/>
    <cellStyle name="_%(SignSpaceOnly) 2 2 2" xfId="68"/>
    <cellStyle name="_%(SignSpaceOnly) 2 3" xfId="69"/>
    <cellStyle name="_%(SignSpaceOnly) 3" xfId="70"/>
    <cellStyle name="_%(SignSpaceOnly) 3 2" xfId="71"/>
    <cellStyle name="_%(SignSpaceOnly) 4" xfId="72"/>
    <cellStyle name="_05-2009 - Capital Expense Reconciliation" xfId="73"/>
    <cellStyle name="_1st Quarter 2009 10-Q - Regulatory Liability Reconciliation_from Neil" xfId="74"/>
    <cellStyle name="_Book200 Acq Adj by Plant Acct (w Alloc %)" xfId="75"/>
    <cellStyle name="_BS RMEC Total Depr Apr 2012 YTD" xfId="76"/>
    <cellStyle name="_Calpine DRAFT" xfId="77"/>
    <cellStyle name="_Calpine DRAFT 2" xfId="78"/>
    <cellStyle name="_Calpine DRAFT 2 2" xfId="79"/>
    <cellStyle name="_Calpine DRAFT 3" xfId="80"/>
    <cellStyle name="_Cash Flow May 09" xfId="81"/>
    <cellStyle name="_Cash Flow Reconciliations_Final Draft" xfId="82"/>
    <cellStyle name="_Cash Flow Reconciliations_Final Draft (4)" xfId="83"/>
    <cellStyle name="_Cash Flow Reconciliations_Final Draft (4) 2" xfId="84"/>
    <cellStyle name="_Cash Flow Reconciliations_Final Draft (4) 2 2" xfId="85"/>
    <cellStyle name="_Cash Flow Reconciliations_Final Draft (4) 2 2 2" xfId="86"/>
    <cellStyle name="_Cash Flow Reconciliations_Final Draft (4) 2 3" xfId="87"/>
    <cellStyle name="_Cash Flow Reconciliations_Final Draft (4) 3" xfId="88"/>
    <cellStyle name="_Cash Flow Reconciliations_Final Draft (4) 3 2" xfId="89"/>
    <cellStyle name="_Cash Flow Reconciliations_Final Draft (4) 4" xfId="90"/>
    <cellStyle name="_Cash Flow Reconciliations_Final Draft (5)" xfId="91"/>
    <cellStyle name="_Cash Flow Reconciliations_Final Draft (5) 2" xfId="92"/>
    <cellStyle name="_Cash Flow Reconciliations_Final Draft (5) 2 2" xfId="93"/>
    <cellStyle name="_Cash Flow Reconciliations_Final Draft (5) 2 2 2" xfId="94"/>
    <cellStyle name="_Cash Flow Reconciliations_Final Draft (5) 2 3" xfId="95"/>
    <cellStyle name="_Cash Flow Reconciliations_Final Draft (5) 3" xfId="96"/>
    <cellStyle name="_Cash Flow Reconciliations_Final Draft (5) 3 2" xfId="97"/>
    <cellStyle name="_Cash Flow Reconciliations_Final Draft (5) 4" xfId="98"/>
    <cellStyle name="_Cash Flow Reconciliations_Final Draft 2" xfId="99"/>
    <cellStyle name="_Cash Flow Reconciliations_Final Draft 2 2" xfId="100"/>
    <cellStyle name="_Cash Flow Reconciliations_Final Draft 2 2 2" xfId="101"/>
    <cellStyle name="_Cash Flow Reconciliations_Final Draft 2 3" xfId="102"/>
    <cellStyle name="_Cash Flow Reconciliations_Final Draft 3" xfId="103"/>
    <cellStyle name="_Cash Flow Reconciliations_Final Draft 3 2" xfId="104"/>
    <cellStyle name="_Cash Flow Reconciliations_Final Draft 3 2 2" xfId="105"/>
    <cellStyle name="_Cash Flow Reconciliations_Final Draft 3 3" xfId="106"/>
    <cellStyle name="_Cash Flow Reconciliations_Final Draft 4" xfId="107"/>
    <cellStyle name="_Cash Flow Reconciliations_Final Draft 4 2" xfId="108"/>
    <cellStyle name="_Cash Flow Reconciliations_Final Draft 5" xfId="109"/>
    <cellStyle name="_Cash Flow Reconciliations_Final Draft 6" xfId="110"/>
    <cellStyle name="_Cash Flow Reconciliations_Final Draft 7" xfId="111"/>
    <cellStyle name="_Comma" xfId="112"/>
    <cellStyle name="_Comma 2" xfId="113"/>
    <cellStyle name="_Comma 2 2" xfId="114"/>
    <cellStyle name="_Comma 2 2 2" xfId="115"/>
    <cellStyle name="_Comma 2 3" xfId="116"/>
    <cellStyle name="_Comma 3" xfId="117"/>
    <cellStyle name="_Comma 3 2" xfId="118"/>
    <cellStyle name="_Comma 4" xfId="119"/>
    <cellStyle name="_Comma_Model 03_21_02 Base Case No Weights" xfId="120"/>
    <cellStyle name="_Comma_Model 03_21_02 Base Case No Weights 2" xfId="121"/>
    <cellStyle name="_Comma_Model 03_21_02 Base Case No Weights 2 2" xfId="122"/>
    <cellStyle name="_Comma_Model 03_21_02 Base Case No Weights 2 2 2" xfId="123"/>
    <cellStyle name="_Comma_Model 03_21_02 Base Case No Weights 2 3" xfId="124"/>
    <cellStyle name="_Comma_Model 03_21_02 Base Case No Weights 3" xfId="125"/>
    <cellStyle name="_Comma_Model 03_21_02 Base Case No Weights 3 2" xfId="126"/>
    <cellStyle name="_Comma_Model 03_21_02 Base Case No Weights 4" xfId="127"/>
    <cellStyle name="_Currency" xfId="128"/>
    <cellStyle name="_Currency 2" xfId="129"/>
    <cellStyle name="_Currency 2 2" xfId="130"/>
    <cellStyle name="_Currency 2 2 2" xfId="131"/>
    <cellStyle name="_Currency 2 3" xfId="132"/>
    <cellStyle name="_Currency 3" xfId="133"/>
    <cellStyle name="_Currency 3 2" xfId="134"/>
    <cellStyle name="_Currency 4" xfId="135"/>
    <cellStyle name="_Currency_Model 03_21_02 Base Case No Weights" xfId="136"/>
    <cellStyle name="_Currency_Model 03_21_02 Base Case No Weights 2" xfId="137"/>
    <cellStyle name="_Currency_Model 03_21_02 Base Case No Weights 2 2" xfId="138"/>
    <cellStyle name="_Currency_Model 03_21_02 Base Case No Weights 2 2 2" xfId="139"/>
    <cellStyle name="_Currency_Model 03_21_02 Base Case No Weights 2 3" xfId="140"/>
    <cellStyle name="_Currency_Model 03_21_02 Base Case No Weights 3" xfId="141"/>
    <cellStyle name="_Currency_Model 03_21_02 Base Case No Weights 3 2" xfId="142"/>
    <cellStyle name="_Currency_Model 03_21_02 Base Case No Weights 4" xfId="143"/>
    <cellStyle name="_CurrencySpace" xfId="144"/>
    <cellStyle name="_CurrencySpace 2" xfId="145"/>
    <cellStyle name="_CurrencySpace 2 2" xfId="146"/>
    <cellStyle name="_CurrencySpace 2 2 2" xfId="147"/>
    <cellStyle name="_CurrencySpace 2 3" xfId="148"/>
    <cellStyle name="_CurrencySpace 3" xfId="149"/>
    <cellStyle name="_CurrencySpace 3 2" xfId="150"/>
    <cellStyle name="_CurrencySpace 4" xfId="151"/>
    <cellStyle name="_CurrencySpace_15 yr pricing model -at risk" xfId="152"/>
    <cellStyle name="_CurrencySpace_15 yr pricing model -at risk 2" xfId="153"/>
    <cellStyle name="_CurrencySpace_15 yr pricing model -at risk 2 2" xfId="154"/>
    <cellStyle name="_CurrencySpace_15 yr pricing model -at risk 2 2 2" xfId="155"/>
    <cellStyle name="_CurrencySpace_15 yr pricing model -at risk 2 3" xfId="156"/>
    <cellStyle name="_CurrencySpace_15 yr pricing model -at risk 3" xfId="157"/>
    <cellStyle name="_CurrencySpace_15 yr pricing model -at risk 3 2" xfId="158"/>
    <cellStyle name="_CurrencySpace_15 yr pricing model -at risk 4" xfId="159"/>
    <cellStyle name="_CurrencySpace_Model 03_21_02 Base Case No Weights" xfId="160"/>
    <cellStyle name="_CurrencySpace_Model 03_21_02 Base Case No Weights 2" xfId="161"/>
    <cellStyle name="_CurrencySpace_Model 03_21_02 Base Case No Weights 2 2" xfId="162"/>
    <cellStyle name="_CurrencySpace_Model 03_21_02 Base Case No Weights 2 2 2" xfId="163"/>
    <cellStyle name="_CurrencySpace_Model 03_21_02 Base Case No Weights 2 3" xfId="164"/>
    <cellStyle name="_CurrencySpace_Model 03_21_02 Base Case No Weights 3" xfId="165"/>
    <cellStyle name="_CurrencySpace_Model 03_21_02 Base Case No Weights 3 2" xfId="166"/>
    <cellStyle name="_CurrencySpace_Model 03_21_02 Base Case No Weights 4" xfId="167"/>
    <cellStyle name="_Dollar" xfId="168"/>
    <cellStyle name="_Draft Proposed" xfId="169"/>
    <cellStyle name="_Euro" xfId="170"/>
    <cellStyle name="_Euro 2" xfId="171"/>
    <cellStyle name="_Euro 2 2" xfId="172"/>
    <cellStyle name="_Euro 2 2 2" xfId="173"/>
    <cellStyle name="_Euro 2 3" xfId="174"/>
    <cellStyle name="_Euro 3" xfId="175"/>
    <cellStyle name="_Euro 3 2" xfId="176"/>
    <cellStyle name="_Euro 4" xfId="177"/>
    <cellStyle name="_FERC Filing Purchase Price Tie-out (acquisition adjustment) 6-21-11" xfId="178"/>
    <cellStyle name="_FERC Filing Purchase Price Tie-out (acquisition adjustment) 6-21-11 2" xfId="179"/>
    <cellStyle name="_FERC Filing Purchase Price Tie-out (acquisition adjustment) 6-21-11 2 2" xfId="180"/>
    <cellStyle name="_FERC Filing Purchase Price Tie-out (acquisition adjustment) 6-21-11 3" xfId="181"/>
    <cellStyle name="_GS Model2_11" xfId="182"/>
    <cellStyle name="_GS Model2_11 2" xfId="183"/>
    <cellStyle name="_GS Model2_11 2 2" xfId="184"/>
    <cellStyle name="_GS Model2_11 2 2 2" xfId="185"/>
    <cellStyle name="_GS Model2_11 2 3" xfId="186"/>
    <cellStyle name="_GS Model2_11 3" xfId="187"/>
    <cellStyle name="_GS Model2_11 3 2" xfId="188"/>
    <cellStyle name="_GS Model2_11 4" xfId="189"/>
    <cellStyle name="_Heading" xfId="190"/>
    <cellStyle name="_Heading_Model 03_21_02 Base Case No Weights" xfId="191"/>
    <cellStyle name="_Heading_Model 03_21_02 Base Case No Weights 2" xfId="192"/>
    <cellStyle name="_Highlight" xfId="193"/>
    <cellStyle name="_Highlight 2" xfId="194"/>
    <cellStyle name="_Highlight 2 2" xfId="195"/>
    <cellStyle name="_Highlight 2 2 2" xfId="196"/>
    <cellStyle name="_Highlight 2 3" xfId="197"/>
    <cellStyle name="_Highlight 3" xfId="198"/>
    <cellStyle name="_Highlight 3 2" xfId="199"/>
    <cellStyle name="_Highlight 4" xfId="200"/>
    <cellStyle name="_Multiple" xfId="201"/>
    <cellStyle name="_Multiple 2" xfId="202"/>
    <cellStyle name="_Multiple 2 2" xfId="203"/>
    <cellStyle name="_Multiple 2 2 2" xfId="204"/>
    <cellStyle name="_Multiple 2 3" xfId="205"/>
    <cellStyle name="_Multiple 3" xfId="206"/>
    <cellStyle name="_Multiple 3 2" xfId="207"/>
    <cellStyle name="_Multiple 4" xfId="208"/>
    <cellStyle name="_Multiple_GS Model2_11" xfId="209"/>
    <cellStyle name="_Multiple_GS Model2_11 2" xfId="210"/>
    <cellStyle name="_Multiple_GS Model2_11 2 2" xfId="211"/>
    <cellStyle name="_Multiple_GS Model2_11 2 2 2" xfId="212"/>
    <cellStyle name="_Multiple_GS Model2_11 2 3" xfId="213"/>
    <cellStyle name="_Multiple_GS Model2_11 3" xfId="214"/>
    <cellStyle name="_Multiple_GS Model2_11 3 2" xfId="215"/>
    <cellStyle name="_Multiple_GS Model2_11 4" xfId="216"/>
    <cellStyle name="_Multiple_Model 03_21_02 Base Case No Weights" xfId="217"/>
    <cellStyle name="_Multiple_Model 03_21_02 Base Case No Weights 2" xfId="218"/>
    <cellStyle name="_Multiple_Model 03_21_02 Base Case No Weights 2 2" xfId="219"/>
    <cellStyle name="_Multiple_Model 03_21_02 Base Case No Weights 2 2 2" xfId="220"/>
    <cellStyle name="_Multiple_Model 03_21_02 Base Case No Weights 2 3" xfId="221"/>
    <cellStyle name="_Multiple_Model 03_21_02 Base Case No Weights 3" xfId="222"/>
    <cellStyle name="_Multiple_Model 03_21_02 Base Case No Weights 3 2" xfId="223"/>
    <cellStyle name="_Multiple_Model 03_21_02 Base Case No Weights 4" xfId="224"/>
    <cellStyle name="_MultipleSpace" xfId="225"/>
    <cellStyle name="_MultipleSpace 2" xfId="226"/>
    <cellStyle name="_MultipleSpace 2 2" xfId="227"/>
    <cellStyle name="_MultipleSpace 2 2 2" xfId="228"/>
    <cellStyle name="_MultipleSpace 2 3" xfId="229"/>
    <cellStyle name="_MultipleSpace 3" xfId="230"/>
    <cellStyle name="_MultipleSpace 3 2" xfId="231"/>
    <cellStyle name="_MultipleSpace 4" xfId="232"/>
    <cellStyle name="_MultipleSpace_GS Model2_11" xfId="233"/>
    <cellStyle name="_MultipleSpace_GS Model2_11 2" xfId="234"/>
    <cellStyle name="_MultipleSpace_GS Model2_11 2 2" xfId="235"/>
    <cellStyle name="_MultipleSpace_GS Model2_11 2 2 2" xfId="236"/>
    <cellStyle name="_MultipleSpace_GS Model2_11 2 3" xfId="237"/>
    <cellStyle name="_MultipleSpace_GS Model2_11 3" xfId="238"/>
    <cellStyle name="_MultipleSpace_GS Model2_11 3 2" xfId="239"/>
    <cellStyle name="_MultipleSpace_GS Model2_11 4" xfId="240"/>
    <cellStyle name="_MultipleSpace_Model 03_21_02 Base Case No Weights" xfId="241"/>
    <cellStyle name="_MultipleSpace_Model 03_21_02 Base Case No Weights 2" xfId="242"/>
    <cellStyle name="_MultipleSpace_Model 03_21_02 Base Case No Weights 2 2" xfId="243"/>
    <cellStyle name="_MultipleSpace_Model 03_21_02 Base Case No Weights 2 2 2" xfId="244"/>
    <cellStyle name="_MultipleSpace_Model 03_21_02 Base Case No Weights 2 3" xfId="245"/>
    <cellStyle name="_MultipleSpace_Model 03_21_02 Base Case No Weights 3" xfId="246"/>
    <cellStyle name="_MultipleSpace_Model 03_21_02 Base Case No Weights 3 2" xfId="247"/>
    <cellStyle name="_MultipleSpace_Model 03_21_02 Base Case No Weights 4" xfId="248"/>
    <cellStyle name="_x0013__Ocotillo" xfId="249"/>
    <cellStyle name="_Pension Funding-Contributions April 2009" xfId="250"/>
    <cellStyle name="_Percent" xfId="251"/>
    <cellStyle name="_Percent 2" xfId="252"/>
    <cellStyle name="_Percent 2 2" xfId="253"/>
    <cellStyle name="_Percent 2 2 2" xfId="254"/>
    <cellStyle name="_Percent 2 3" xfId="255"/>
    <cellStyle name="_Percent 3" xfId="256"/>
    <cellStyle name="_Percent 3 2" xfId="257"/>
    <cellStyle name="_Percent 4" xfId="258"/>
    <cellStyle name="_Percent_GS Model2_11" xfId="259"/>
    <cellStyle name="_Percent_GS Model2_11 2" xfId="260"/>
    <cellStyle name="_Percent_GS Model2_11 2 2" xfId="261"/>
    <cellStyle name="_Percent_GS Model2_11 2 2 2" xfId="262"/>
    <cellStyle name="_Percent_GS Model2_11 2 3" xfId="263"/>
    <cellStyle name="_Percent_GS Model2_11 3" xfId="264"/>
    <cellStyle name="_Percent_GS Model2_11 3 2" xfId="265"/>
    <cellStyle name="_Percent_GS Model2_11 4" xfId="266"/>
    <cellStyle name="_PercentSpace" xfId="267"/>
    <cellStyle name="_PercentSpace 2" xfId="268"/>
    <cellStyle name="_PercentSpace 2 2" xfId="269"/>
    <cellStyle name="_PercentSpace 2 2 2" xfId="270"/>
    <cellStyle name="_PercentSpace 2 3" xfId="271"/>
    <cellStyle name="_PercentSpace 3" xfId="272"/>
    <cellStyle name="_PercentSpace 3 2" xfId="273"/>
    <cellStyle name="_PercentSpace 4" xfId="274"/>
    <cellStyle name="_PercentSpace_GS Model2_11" xfId="275"/>
    <cellStyle name="_PercentSpace_GS Model2_11 2" xfId="276"/>
    <cellStyle name="_PercentSpace_GS Model2_11 2 2" xfId="277"/>
    <cellStyle name="_PercentSpace_GS Model2_11 2 2 2" xfId="278"/>
    <cellStyle name="_PercentSpace_GS Model2_11 2 3" xfId="279"/>
    <cellStyle name="_PercentSpace_GS Model2_11 3" xfId="280"/>
    <cellStyle name="_PercentSpace_GS Model2_11 3 2" xfId="281"/>
    <cellStyle name="_PercentSpace_GS Model2_11 4" xfId="282"/>
    <cellStyle name="_Prepayments and Other Reconciliation - March 2009_from Maggie" xfId="283"/>
    <cellStyle name="_prestemp" xfId="284"/>
    <cellStyle name="_prestemp 2" xfId="285"/>
    <cellStyle name="_prestemp 2 2" xfId="286"/>
    <cellStyle name="_prestemp 2 2 2" xfId="287"/>
    <cellStyle name="_prestemp 2 3" xfId="288"/>
    <cellStyle name="_prestemp 3" xfId="289"/>
    <cellStyle name="_prestemp 3 2" xfId="290"/>
    <cellStyle name="_prestemp 4" xfId="291"/>
    <cellStyle name="_Q - Other Current Liabs" xfId="292"/>
    <cellStyle name="_Q - Other Current Liabs 2" xfId="293"/>
    <cellStyle name="_Q - Other Current Liabs 2 2" xfId="294"/>
    <cellStyle name="_Q - Other Current Liabs 2 2 2" xfId="295"/>
    <cellStyle name="_Q - Other Current Liabs 2 3" xfId="296"/>
    <cellStyle name="_Q - Other Current Liabs 3" xfId="297"/>
    <cellStyle name="_Q - Other Current Liabs 3 2" xfId="298"/>
    <cellStyle name="_Q - Other Current Liabs 4" xfId="299"/>
    <cellStyle name="_Revised Cash Flow - Sent  to D&amp;T 2.5.09" xfId="300"/>
    <cellStyle name="_SPS Utility Cash Flow and Bal Sht 04-30-09" xfId="301"/>
    <cellStyle name="_SPS Utility Cash Flow and Bal Sht 04-30-09 2" xfId="302"/>
    <cellStyle name="_SPS Utility Cash Flow and Bal Sht 04-30-09 2 2" xfId="303"/>
    <cellStyle name="_SPS Utility Cash Flow and Bal Sht 04-30-09 2 2 2" xfId="304"/>
    <cellStyle name="_SPS Utility Cash Flow and Bal Sht 04-30-09 2 3" xfId="305"/>
    <cellStyle name="_SPS Utility Cash Flow and Bal Sht 04-30-09 3" xfId="306"/>
    <cellStyle name="_SPS Utility Cash Flow and Bal Sht 04-30-09 3 2" xfId="307"/>
    <cellStyle name="_SPS Utility Cash Flow and Bal Sht 04-30-09 4" xfId="308"/>
    <cellStyle name="_SubHeading" xfId="309"/>
    <cellStyle name="_SubHeading_Model 03_21_02 Base Case No Weights" xfId="310"/>
    <cellStyle name="_SubHeading_Model 03_21_02 Base Case No Weights 2" xfId="311"/>
    <cellStyle name="_Summary Check" xfId="312"/>
    <cellStyle name="_Summary Check 2" xfId="313"/>
    <cellStyle name="_Summary Check 2 2" xfId="314"/>
    <cellStyle name="_Summary Check 2 2 2" xfId="315"/>
    <cellStyle name="_Summary Check 2 3" xfId="316"/>
    <cellStyle name="_Summary Check 3" xfId="317"/>
    <cellStyle name="_Summary Check 3 2" xfId="318"/>
    <cellStyle name="_Summary Check 4" xfId="319"/>
    <cellStyle name="_Table" xfId="320"/>
    <cellStyle name="_Table 2" xfId="321"/>
    <cellStyle name="_Table_Model 03_21_02 Base Case No Weights" xfId="322"/>
    <cellStyle name="_TableHead" xfId="323"/>
    <cellStyle name="_TableHead 2" xfId="324"/>
    <cellStyle name="_TableHead_Model 03_21_02 Base Case No Weights" xfId="325"/>
    <cellStyle name="_TableRowBorder" xfId="326"/>
    <cellStyle name="_TableRowBorder 2" xfId="327"/>
    <cellStyle name="_TableRowBorder 2 2" xfId="328"/>
    <cellStyle name="_TableRowBorder 2 2 2" xfId="329"/>
    <cellStyle name="_TableRowBorder 2 3" xfId="330"/>
    <cellStyle name="_TableRowBorder 3" xfId="331"/>
    <cellStyle name="_TableRowBorder 3 2" xfId="332"/>
    <cellStyle name="_TableRowBorder 4" xfId="333"/>
    <cellStyle name="_TableRowHead" xfId="334"/>
    <cellStyle name="_TableRowHead 2" xfId="335"/>
    <cellStyle name="_TableRowHead_Model 03_21_02 Base Case No Weights" xfId="336"/>
    <cellStyle name="_TableRowHead_Pricing Calculator7" xfId="337"/>
    <cellStyle name="_TableSuperHead" xfId="338"/>
    <cellStyle name="_TableSuperHead_Model 03_21_02 Base Case No Weights" xfId="339"/>
    <cellStyle name="_TableSuperHead_Model 03_21_02 Base Case No Weights 2" xfId="340"/>
    <cellStyle name="_U - Other LT Liabilities" xfId="341"/>
    <cellStyle name="_U - Other LT Liabilities 2" xfId="342"/>
    <cellStyle name="_U - Other LT Liabilities 2 2" xfId="343"/>
    <cellStyle name="_U - Other LT Liabilities 2 2 2" xfId="344"/>
    <cellStyle name="_U - Other LT Liabilities 2 3" xfId="345"/>
    <cellStyle name="_U - Other LT Liabilities 3" xfId="346"/>
    <cellStyle name="_U - Other LT Liabilities 3 2" xfId="347"/>
    <cellStyle name="_U - Other LT Liabilities 4" xfId="348"/>
    <cellStyle name="_Xcel Cash Flow 6-30-09" xfId="349"/>
    <cellStyle name="~Capacity (0)" xfId="350"/>
    <cellStyle name="~Capacity (1)" xfId="351"/>
    <cellStyle name="~Escalation" xfId="352"/>
    <cellStyle name="~Gas (0)" xfId="353"/>
    <cellStyle name="~Gas Price" xfId="354"/>
    <cellStyle name="~Power (0)" xfId="355"/>
    <cellStyle name="~Power Price" xfId="356"/>
    <cellStyle name="_x0010_“+ˆÉ•?pý¤" xfId="357"/>
    <cellStyle name="_x0010_“+ˆÉ•?pý¤ 2" xfId="358"/>
    <cellStyle name="20% - Accent1" xfId="22" builtinId="30" customBuiltin="1"/>
    <cellStyle name="20% - Accent1 2" xfId="359"/>
    <cellStyle name="20% - Accent1 3" xfId="360"/>
    <cellStyle name="20% - Accent2" xfId="26" builtinId="34" customBuiltin="1"/>
    <cellStyle name="20% - Accent2 2" xfId="361"/>
    <cellStyle name="20% - Accent2 3" xfId="362"/>
    <cellStyle name="20% - Accent3" xfId="30" builtinId="38" customBuiltin="1"/>
    <cellStyle name="20% - Accent3 2" xfId="363"/>
    <cellStyle name="20% - Accent3 3" xfId="364"/>
    <cellStyle name="20% - Accent4" xfId="34" builtinId="42" customBuiltin="1"/>
    <cellStyle name="20% - Accent4 2" xfId="365"/>
    <cellStyle name="20% - Accent4 3" xfId="366"/>
    <cellStyle name="20% - Accent5" xfId="38" builtinId="46" customBuiltin="1"/>
    <cellStyle name="20% - Accent5 2" xfId="367"/>
    <cellStyle name="20% - Accent6" xfId="42" builtinId="50" customBuiltin="1"/>
    <cellStyle name="20% - Accent6 2" xfId="368"/>
    <cellStyle name="20% - Accent6 3" xfId="369"/>
    <cellStyle name="40% - Accent1" xfId="23" builtinId="31" customBuiltin="1"/>
    <cellStyle name="40% - Accent1 2" xfId="370"/>
    <cellStyle name="40% - Accent1 3" xfId="371"/>
    <cellStyle name="40% - Accent2" xfId="27" builtinId="35" customBuiltin="1"/>
    <cellStyle name="40% - Accent2 2" xfId="372"/>
    <cellStyle name="40% - Accent3" xfId="31" builtinId="39" customBuiltin="1"/>
    <cellStyle name="40% - Accent3 2" xfId="373"/>
    <cellStyle name="40% - Accent3 3" xfId="374"/>
    <cellStyle name="40% - Accent4" xfId="35" builtinId="43" customBuiltin="1"/>
    <cellStyle name="40% - Accent4 2" xfId="375"/>
    <cellStyle name="40% - Accent4 3" xfId="376"/>
    <cellStyle name="40% - Accent5" xfId="39" builtinId="47" customBuiltin="1"/>
    <cellStyle name="40% - Accent5 2" xfId="377"/>
    <cellStyle name="40% - Accent5 3" xfId="378"/>
    <cellStyle name="40% - Accent6" xfId="43" builtinId="51" customBuiltin="1"/>
    <cellStyle name="40% - Accent6 2" xfId="379"/>
    <cellStyle name="40% - Accent6 3" xfId="380"/>
    <cellStyle name="60% - Accent1" xfId="24" builtinId="32" customBuiltin="1"/>
    <cellStyle name="60% - Accent1 2" xfId="381"/>
    <cellStyle name="60% - Accent1 3" xfId="382"/>
    <cellStyle name="60% - Accent2" xfId="28" builtinId="36" customBuiltin="1"/>
    <cellStyle name="60% - Accent2 2" xfId="383"/>
    <cellStyle name="60% - Accent2 3" xfId="384"/>
    <cellStyle name="60% - Accent3" xfId="32" builtinId="40" customBuiltin="1"/>
    <cellStyle name="60% - Accent3 2" xfId="385"/>
    <cellStyle name="60% - Accent3 3" xfId="386"/>
    <cellStyle name="60% - Accent4" xfId="36" builtinId="44" customBuiltin="1"/>
    <cellStyle name="60% - Accent4 2" xfId="387"/>
    <cellStyle name="60% - Accent4 3" xfId="388"/>
    <cellStyle name="60% - Accent5" xfId="40" builtinId="48" customBuiltin="1"/>
    <cellStyle name="60% - Accent5 2" xfId="389"/>
    <cellStyle name="60% - Accent5 3" xfId="390"/>
    <cellStyle name="60% - Accent6" xfId="44" builtinId="52" customBuiltin="1"/>
    <cellStyle name="60% - Accent6 2" xfId="391"/>
    <cellStyle name="60% - Accent6 3" xfId="392"/>
    <cellStyle name="Accent1" xfId="21" builtinId="29" customBuiltin="1"/>
    <cellStyle name="Accent1 2" xfId="393"/>
    <cellStyle name="Accent1 3" xfId="394"/>
    <cellStyle name="Accent2" xfId="25" builtinId="33" customBuiltin="1"/>
    <cellStyle name="Accent2 2" xfId="395"/>
    <cellStyle name="Accent2 3" xfId="396"/>
    <cellStyle name="Accent3" xfId="29" builtinId="37" customBuiltin="1"/>
    <cellStyle name="Accent3 2" xfId="397"/>
    <cellStyle name="Accent3 3" xfId="398"/>
    <cellStyle name="Accent4" xfId="33" builtinId="41" customBuiltin="1"/>
    <cellStyle name="Accent4 2" xfId="399"/>
    <cellStyle name="Accent4 3" xfId="400"/>
    <cellStyle name="Accent5" xfId="37" builtinId="45" customBuiltin="1"/>
    <cellStyle name="Accent5 2" xfId="401"/>
    <cellStyle name="Accent5 3" xfId="402"/>
    <cellStyle name="Accent6" xfId="41" builtinId="49" customBuiltin="1"/>
    <cellStyle name="Accent6 2" xfId="403"/>
    <cellStyle name="Accent6 3" xfId="404"/>
    <cellStyle name="Actual Date" xfId="405"/>
    <cellStyle name="Actual Date 2" xfId="406"/>
    <cellStyle name="Actual Date 3" xfId="407"/>
    <cellStyle name="adjusted" xfId="408"/>
    <cellStyle name="Bad" xfId="10" builtinId="27" customBuiltin="1"/>
    <cellStyle name="Bad 2" xfId="409"/>
    <cellStyle name="Bad 2 2" xfId="410"/>
    <cellStyle name="Bad 2 3" xfId="411"/>
    <cellStyle name="Bad 3" xfId="412"/>
    <cellStyle name="Border Heavy" xfId="413"/>
    <cellStyle name="Border Heavy 2" xfId="414"/>
    <cellStyle name="Border Thin" xfId="415"/>
    <cellStyle name="Border Thin 2" xfId="416"/>
    <cellStyle name="Calc Currency (0)" xfId="417"/>
    <cellStyle name="Calc Currency (0) 2" xfId="418"/>
    <cellStyle name="Calc Currency (0) 3" xfId="419"/>
    <cellStyle name="Calculation" xfId="14" builtinId="22" customBuiltin="1"/>
    <cellStyle name="Calculation 2" xfId="420"/>
    <cellStyle name="Calculation 3" xfId="421"/>
    <cellStyle name="Cancel" xfId="422"/>
    <cellStyle name="Check Cell" xfId="16" builtinId="23" customBuiltin="1"/>
    <cellStyle name="Check Cell 2" xfId="423"/>
    <cellStyle name="Check Cell 2 2" xfId="424"/>
    <cellStyle name="Check Cell 2 3" xfId="425"/>
    <cellStyle name="Check Cell 3" xfId="426"/>
    <cellStyle name="Check Cell 3 2" xfId="427"/>
    <cellStyle name="Check Cell 3 3" xfId="428"/>
    <cellStyle name="Check Cell 3 4" xfId="429"/>
    <cellStyle name="Column.Head" xfId="430"/>
    <cellStyle name="Comma" xfId="1" builtinId="3"/>
    <cellStyle name="Comma  - Style1" xfId="431"/>
    <cellStyle name="Comma  - Style2" xfId="432"/>
    <cellStyle name="Comma  - Style3" xfId="433"/>
    <cellStyle name="Comma  - Style4" xfId="434"/>
    <cellStyle name="Comma  - Style5" xfId="435"/>
    <cellStyle name="Comma  - Style6" xfId="436"/>
    <cellStyle name="Comma  - Style7" xfId="437"/>
    <cellStyle name="Comma  - Style8" xfId="438"/>
    <cellStyle name="Comma [0] 2" xfId="439"/>
    <cellStyle name="Comma [0] 2 2" xfId="440"/>
    <cellStyle name="Comma [0] 2 2 2" xfId="441"/>
    <cellStyle name="Comma [0] 2 3" xfId="442"/>
    <cellStyle name="Comma [0] 3" xfId="443"/>
    <cellStyle name="Comma [0] 3 2" xfId="444"/>
    <cellStyle name="Comma [0] 4" xfId="445"/>
    <cellStyle name="Comma [0] 5" xfId="446"/>
    <cellStyle name="Comma [0] 6" xfId="447"/>
    <cellStyle name="Comma [1]" xfId="448"/>
    <cellStyle name="Comma [2]" xfId="449"/>
    <cellStyle name="Comma [2] 2" xfId="450"/>
    <cellStyle name="Comma [3]" xfId="451"/>
    <cellStyle name="Comma 0 [0]" xfId="452"/>
    <cellStyle name="Comma 0 [0] 2" xfId="453"/>
    <cellStyle name="Comma 10" xfId="454"/>
    <cellStyle name="Comma 11" xfId="455"/>
    <cellStyle name="Comma 12" xfId="456"/>
    <cellStyle name="Comma 12 2" xfId="457"/>
    <cellStyle name="Comma 12 3" xfId="458"/>
    <cellStyle name="Comma 13" xfId="459"/>
    <cellStyle name="Comma 13 2" xfId="460"/>
    <cellStyle name="Comma 13 3" xfId="461"/>
    <cellStyle name="Comma 14" xfId="462"/>
    <cellStyle name="Comma 15" xfId="463"/>
    <cellStyle name="Comma 15 2" xfId="464"/>
    <cellStyle name="Comma 16" xfId="465"/>
    <cellStyle name="Comma 16 2" xfId="466"/>
    <cellStyle name="Comma 17" xfId="467"/>
    <cellStyle name="Comma 18" xfId="468"/>
    <cellStyle name="Comma 19" xfId="469"/>
    <cellStyle name="Comma 2" xfId="470"/>
    <cellStyle name="Comma 2 2" xfId="471"/>
    <cellStyle name="Comma 2 2 2" xfId="472"/>
    <cellStyle name="Comma 2 2 2 2" xfId="473"/>
    <cellStyle name="Comma 2 2 2 3" xfId="474"/>
    <cellStyle name="Comma 2 2 3" xfId="475"/>
    <cellStyle name="Comma 2 3" xfId="476"/>
    <cellStyle name="Comma 2 4" xfId="477"/>
    <cellStyle name="Comma 2 5" xfId="478"/>
    <cellStyle name="Comma 2_BB Abatement (2)" xfId="479"/>
    <cellStyle name="Comma 20" xfId="480"/>
    <cellStyle name="Comma 21" xfId="481"/>
    <cellStyle name="Comma 22" xfId="482"/>
    <cellStyle name="Comma 23" xfId="483"/>
    <cellStyle name="Comma 24" xfId="484"/>
    <cellStyle name="Comma 25" xfId="485"/>
    <cellStyle name="Comma 26" xfId="486"/>
    <cellStyle name="Comma 27" xfId="487"/>
    <cellStyle name="Comma 28" xfId="488"/>
    <cellStyle name="Comma 29" xfId="489"/>
    <cellStyle name="Comma 3" xfId="490"/>
    <cellStyle name="Comma 3 2" xfId="491"/>
    <cellStyle name="Comma 3 2 2" xfId="492"/>
    <cellStyle name="Comma 3 2 3" xfId="493"/>
    <cellStyle name="Comma 3 3" xfId="494"/>
    <cellStyle name="Comma 3 4" xfId="495"/>
    <cellStyle name="Comma 3 5" xfId="496"/>
    <cellStyle name="Comma 30" xfId="497"/>
    <cellStyle name="Comma 31" xfId="498"/>
    <cellStyle name="Comma 32" xfId="499"/>
    <cellStyle name="Comma 33" xfId="500"/>
    <cellStyle name="Comma 34" xfId="501"/>
    <cellStyle name="Comma 35" xfId="502"/>
    <cellStyle name="Comma 36" xfId="503"/>
    <cellStyle name="Comma 37" xfId="504"/>
    <cellStyle name="Comma 38" xfId="505"/>
    <cellStyle name="Comma 39" xfId="506"/>
    <cellStyle name="Comma 4" xfId="507"/>
    <cellStyle name="Comma 4 2" xfId="508"/>
    <cellStyle name="Comma 4 2 2" xfId="509"/>
    <cellStyle name="Comma 4 3" xfId="510"/>
    <cellStyle name="Comma 4 4" xfId="511"/>
    <cellStyle name="Comma 40" xfId="512"/>
    <cellStyle name="Comma 41" xfId="513"/>
    <cellStyle name="Comma 42" xfId="514"/>
    <cellStyle name="Comma 43" xfId="515"/>
    <cellStyle name="Comma 44" xfId="516"/>
    <cellStyle name="Comma 45" xfId="517"/>
    <cellStyle name="Comma 46" xfId="518"/>
    <cellStyle name="Comma 47" xfId="519"/>
    <cellStyle name="Comma 48" xfId="520"/>
    <cellStyle name="Comma 49" xfId="521"/>
    <cellStyle name="Comma 5" xfId="522"/>
    <cellStyle name="Comma 5 2" xfId="523"/>
    <cellStyle name="Comma 5 2 2" xfId="524"/>
    <cellStyle name="Comma 5 2 3" xfId="525"/>
    <cellStyle name="Comma 5 3" xfId="526"/>
    <cellStyle name="Comma 5 4" xfId="527"/>
    <cellStyle name="Comma 50" xfId="528"/>
    <cellStyle name="Comma 51" xfId="529"/>
    <cellStyle name="Comma 52" xfId="530"/>
    <cellStyle name="Comma 53" xfId="531"/>
    <cellStyle name="Comma 54" xfId="532"/>
    <cellStyle name="Comma 55" xfId="533"/>
    <cellStyle name="Comma 56" xfId="534"/>
    <cellStyle name="Comma 57" xfId="535"/>
    <cellStyle name="Comma 58" xfId="536"/>
    <cellStyle name="Comma 59" xfId="537"/>
    <cellStyle name="Comma 6" xfId="538"/>
    <cellStyle name="Comma 6 2" xfId="539"/>
    <cellStyle name="Comma 60" xfId="540"/>
    <cellStyle name="Comma 61" xfId="541"/>
    <cellStyle name="Comma 62" xfId="46"/>
    <cellStyle name="Comma 63" xfId="55"/>
    <cellStyle name="Comma 64" xfId="1504"/>
    <cellStyle name="Comma 65" xfId="1506"/>
    <cellStyle name="Comma 66" xfId="1508"/>
    <cellStyle name="Comma 7" xfId="542"/>
    <cellStyle name="Comma 8" xfId="543"/>
    <cellStyle name="Comma 9" xfId="544"/>
    <cellStyle name="Comma0" xfId="545"/>
    <cellStyle name="Comma0 2" xfId="546"/>
    <cellStyle name="Comma0 2 2" xfId="547"/>
    <cellStyle name="Comma0 2 2 2" xfId="548"/>
    <cellStyle name="Comma0 2 3" xfId="549"/>
    <cellStyle name="Comma0 3" xfId="550"/>
    <cellStyle name="Comma0 3 2" xfId="551"/>
    <cellStyle name="Comma0 4" xfId="552"/>
    <cellStyle name="Comma0 5" xfId="553"/>
    <cellStyle name="Comma0 6" xfId="554"/>
    <cellStyle name="ConvVer" xfId="555"/>
    <cellStyle name="Copied" xfId="556"/>
    <cellStyle name="COSS" xfId="557"/>
    <cellStyle name="COSS 2" xfId="558"/>
    <cellStyle name="COSS 2 2" xfId="559"/>
    <cellStyle name="COSS 3" xfId="560"/>
    <cellStyle name="Currency" xfId="2" builtinId="4"/>
    <cellStyle name="Currency [2]" xfId="561"/>
    <cellStyle name="Currency [3]" xfId="562"/>
    <cellStyle name="Currency 10" xfId="1509"/>
    <cellStyle name="Currency 2" xfId="563"/>
    <cellStyle name="Currency 2 2" xfId="564"/>
    <cellStyle name="Currency 2 3" xfId="565"/>
    <cellStyle name="Currency 2 4" xfId="566"/>
    <cellStyle name="Currency 3" xfId="567"/>
    <cellStyle name="Currency 3 2" xfId="568"/>
    <cellStyle name="Currency 3 3" xfId="569"/>
    <cellStyle name="Currency 4" xfId="570"/>
    <cellStyle name="Currency 5" xfId="571"/>
    <cellStyle name="Currency 6" xfId="572"/>
    <cellStyle name="Currency 7" xfId="573"/>
    <cellStyle name="Currency 8" xfId="574"/>
    <cellStyle name="Currency 9" xfId="575"/>
    <cellStyle name="Currency0" xfId="576"/>
    <cellStyle name="Currency0 2" xfId="577"/>
    <cellStyle name="Currency0 2 2" xfId="578"/>
    <cellStyle name="Currency0 2 2 2" xfId="579"/>
    <cellStyle name="Currency0 2 3" xfId="580"/>
    <cellStyle name="Currency0 2 4" xfId="581"/>
    <cellStyle name="Currency0 2 5" xfId="582"/>
    <cellStyle name="Currency0 3" xfId="583"/>
    <cellStyle name="Currency0 3 2" xfId="584"/>
    <cellStyle name="Currency0 4" xfId="585"/>
    <cellStyle name="Currency0 5" xfId="586"/>
    <cellStyle name="Currency0 6" xfId="587"/>
    <cellStyle name="Date" xfId="588"/>
    <cellStyle name="Date 2" xfId="589"/>
    <cellStyle name="Date 2 2" xfId="590"/>
    <cellStyle name="Date 2 2 2" xfId="591"/>
    <cellStyle name="Date 2 3" xfId="592"/>
    <cellStyle name="Date 3" xfId="593"/>
    <cellStyle name="Date 3 2" xfId="594"/>
    <cellStyle name="Date 4" xfId="595"/>
    <cellStyle name="decimal" xfId="596"/>
    <cellStyle name="Dot" xfId="597"/>
    <cellStyle name="Entered" xfId="598"/>
    <cellStyle name="Escalation" xfId="599"/>
    <cellStyle name="Euro" xfId="600"/>
    <cellStyle name="Explanatory Text" xfId="19" builtinId="53" customBuiltin="1"/>
    <cellStyle name="Explanatory Text 2" xfId="601"/>
    <cellStyle name="Fixed" xfId="602"/>
    <cellStyle name="Fixed 2" xfId="603"/>
    <cellStyle name="Fixed 2 2" xfId="604"/>
    <cellStyle name="Fixed 2 2 2" xfId="605"/>
    <cellStyle name="Fixed 2 3" xfId="606"/>
    <cellStyle name="Fixed 2 4" xfId="607"/>
    <cellStyle name="Fixed 2 5" xfId="608"/>
    <cellStyle name="Fixed 3" xfId="609"/>
    <cellStyle name="Fixed 3 2" xfId="610"/>
    <cellStyle name="Fixed 4" xfId="611"/>
    <cellStyle name="Good" xfId="9" builtinId="26" customBuiltin="1"/>
    <cellStyle name="Good 2" xfId="612"/>
    <cellStyle name="Good 2 2" xfId="613"/>
    <cellStyle name="Good 2 3" xfId="614"/>
    <cellStyle name="Good 3" xfId="615"/>
    <cellStyle name="GrayCell" xfId="616"/>
    <cellStyle name="Grey" xfId="617"/>
    <cellStyle name="Grey 2" xfId="618"/>
    <cellStyle name="HEADER" xfId="619"/>
    <cellStyle name="Header1" xfId="620"/>
    <cellStyle name="Header1 2" xfId="621"/>
    <cellStyle name="Header2" xfId="622"/>
    <cellStyle name="Header2 2" xfId="623"/>
    <cellStyle name="Heading" xfId="624"/>
    <cellStyle name="Heading 1" xfId="5" builtinId="16" customBuiltin="1"/>
    <cellStyle name="Heading 1 2" xfId="625"/>
    <cellStyle name="Heading 1 3" xfId="626"/>
    <cellStyle name="Heading 2" xfId="6" builtinId="17" customBuiltin="1"/>
    <cellStyle name="Heading 2 2" xfId="627"/>
    <cellStyle name="Heading 2 3" xfId="628"/>
    <cellStyle name="Heading 3" xfId="7" builtinId="18" customBuiltin="1"/>
    <cellStyle name="Heading 3 2" xfId="629"/>
    <cellStyle name="Heading 3 3" xfId="630"/>
    <cellStyle name="Heading 4" xfId="8" builtinId="19" customBuiltin="1"/>
    <cellStyle name="Heading 4 2" xfId="631"/>
    <cellStyle name="Heading 4 3" xfId="632"/>
    <cellStyle name="Heading1" xfId="633"/>
    <cellStyle name="Heading1 2" xfId="634"/>
    <cellStyle name="Heading1 2 2" xfId="635"/>
    <cellStyle name="Heading1 2 2 2" xfId="636"/>
    <cellStyle name="Heading1 2 3" xfId="637"/>
    <cellStyle name="Heading1 3" xfId="638"/>
    <cellStyle name="Heading1 3 2" xfId="639"/>
    <cellStyle name="Heading1 4" xfId="640"/>
    <cellStyle name="Heading2" xfId="641"/>
    <cellStyle name="Heading2 2" xfId="642"/>
    <cellStyle name="Heading2 2 2" xfId="643"/>
    <cellStyle name="Heading2 2 2 2" xfId="644"/>
    <cellStyle name="Heading2 2 3" xfId="645"/>
    <cellStyle name="Heading2 3" xfId="646"/>
    <cellStyle name="Heading2 3 2" xfId="647"/>
    <cellStyle name="Heading2 4" xfId="648"/>
    <cellStyle name="HEADINGS" xfId="649"/>
    <cellStyle name="Hidden" xfId="650"/>
    <cellStyle name="HIGHLIGHT" xfId="651"/>
    <cellStyle name="Input" xfId="12" builtinId="20" customBuiltin="1"/>
    <cellStyle name="Input [yellow]" xfId="652"/>
    <cellStyle name="Input [yellow] 2" xfId="653"/>
    <cellStyle name="Input 2" xfId="654"/>
    <cellStyle name="Input 2 2" xfId="655"/>
    <cellStyle name="Input 2 3" xfId="656"/>
    <cellStyle name="Input 3" xfId="657"/>
    <cellStyle name="Input 3 2" xfId="658"/>
    <cellStyle name="Input 3 3" xfId="659"/>
    <cellStyle name="Input 3 4" xfId="660"/>
    <cellStyle name="Input 4" xfId="661"/>
    <cellStyle name="Input 5" xfId="662"/>
    <cellStyle name="input data" xfId="663"/>
    <cellStyle name="input data 2" xfId="664"/>
    <cellStyle name="input data_Ocotillo" xfId="665"/>
    <cellStyle name="INPUTS" xfId="666"/>
    <cellStyle name="Inputs2" xfId="667"/>
    <cellStyle name="Linked Cell" xfId="15" builtinId="24" customBuiltin="1"/>
    <cellStyle name="Linked Cell 2" xfId="668"/>
    <cellStyle name="Linked Cell 3" xfId="669"/>
    <cellStyle name="m/d/yy" xfId="670"/>
    <cellStyle name="Month" xfId="671"/>
    <cellStyle name="Month-long" xfId="672"/>
    <cellStyle name="Month-short" xfId="673"/>
    <cellStyle name="Mon-yr" xfId="674"/>
    <cellStyle name="Multiple" xfId="675"/>
    <cellStyle name="Neutral" xfId="11" builtinId="28" customBuiltin="1"/>
    <cellStyle name="Neutral 2" xfId="676"/>
    <cellStyle name="Neutral 2 2" xfId="677"/>
    <cellStyle name="Neutral 2 3" xfId="678"/>
    <cellStyle name="Neutral 3" xfId="679"/>
    <cellStyle name="no dec" xfId="680"/>
    <cellStyle name="no dec 2" xfId="681"/>
    <cellStyle name="no dec 2 2" xfId="682"/>
    <cellStyle name="no dec 3" xfId="683"/>
    <cellStyle name="Normal" xfId="0" builtinId="0"/>
    <cellStyle name="Normal - Style1" xfId="684"/>
    <cellStyle name="Normal - Style1 2" xfId="685"/>
    <cellStyle name="Normal - Style2" xfId="686"/>
    <cellStyle name="Normal + box" xfId="687"/>
    <cellStyle name="Normal + cyan" xfId="688"/>
    <cellStyle name="Normal + cyan 2" xfId="689"/>
    <cellStyle name="Normal + cyan 3" xfId="690"/>
    <cellStyle name="normal + link" xfId="691"/>
    <cellStyle name="normal + link 2" xfId="692"/>
    <cellStyle name="normal + link2" xfId="693"/>
    <cellStyle name="Normal + red" xfId="694"/>
    <cellStyle name="Normal 10" xfId="695"/>
    <cellStyle name="Normal 10 2" xfId="696"/>
    <cellStyle name="Normal 10 3" xfId="697"/>
    <cellStyle name="Normal 10 3 2" xfId="698"/>
    <cellStyle name="Normal 10 4" xfId="699"/>
    <cellStyle name="Normal 100" xfId="700"/>
    <cellStyle name="Normal 101" xfId="701"/>
    <cellStyle name="Normal 102" xfId="702"/>
    <cellStyle name="Normal 103" xfId="703"/>
    <cellStyle name="Normal 104" xfId="704"/>
    <cellStyle name="Normal 105" xfId="705"/>
    <cellStyle name="Normal 106" xfId="706"/>
    <cellStyle name="Normal 107" xfId="707"/>
    <cellStyle name="Normal 108" xfId="708"/>
    <cellStyle name="Normal 109" xfId="709"/>
    <cellStyle name="Normal 11" xfId="710"/>
    <cellStyle name="Normal 11 2" xfId="711"/>
    <cellStyle name="Normal 11 2 2" xfId="712"/>
    <cellStyle name="Normal 11 2 3" xfId="713"/>
    <cellStyle name="Normal 11 3" xfId="714"/>
    <cellStyle name="Normal 11 4" xfId="715"/>
    <cellStyle name="Normal 11 5" xfId="716"/>
    <cellStyle name="Normal 110" xfId="717"/>
    <cellStyle name="Normal 111" xfId="718"/>
    <cellStyle name="Normal 112" xfId="719"/>
    <cellStyle name="Normal 113" xfId="720"/>
    <cellStyle name="Normal 114" xfId="721"/>
    <cellStyle name="Normal 115" xfId="722"/>
    <cellStyle name="Normal 116" xfId="723"/>
    <cellStyle name="Normal 117" xfId="724"/>
    <cellStyle name="Normal 118" xfId="725"/>
    <cellStyle name="Normal 119" xfId="726"/>
    <cellStyle name="Normal 12" xfId="727"/>
    <cellStyle name="Normal 12 2" xfId="728"/>
    <cellStyle name="Normal 12 3" xfId="729"/>
    <cellStyle name="Normal 12 3 2" xfId="730"/>
    <cellStyle name="Normal 120" xfId="731"/>
    <cellStyle name="Normal 121" xfId="732"/>
    <cellStyle name="Normal 122" xfId="733"/>
    <cellStyle name="Normal 123" xfId="734"/>
    <cellStyle name="Normal 124" xfId="735"/>
    <cellStyle name="Normal 125" xfId="736"/>
    <cellStyle name="Normal 126" xfId="737"/>
    <cellStyle name="Normal 127" xfId="738"/>
    <cellStyle name="Normal 128" xfId="739"/>
    <cellStyle name="Normal 129" xfId="740"/>
    <cellStyle name="Normal 13" xfId="741"/>
    <cellStyle name="Normal 13 2" xfId="742"/>
    <cellStyle name="Normal 13 3" xfId="743"/>
    <cellStyle name="Normal 13 4" xfId="744"/>
    <cellStyle name="Normal 13 5" xfId="745"/>
    <cellStyle name="Normal 13 6" xfId="746"/>
    <cellStyle name="Normal 130" xfId="747"/>
    <cellStyle name="Normal 131" xfId="748"/>
    <cellStyle name="Normal 132" xfId="749"/>
    <cellStyle name="Normal 133" xfId="750"/>
    <cellStyle name="Normal 134" xfId="751"/>
    <cellStyle name="Normal 135" xfId="752"/>
    <cellStyle name="Normal 136" xfId="753"/>
    <cellStyle name="Normal 137" xfId="754"/>
    <cellStyle name="Normal 138" xfId="755"/>
    <cellStyle name="Normal 139" xfId="756"/>
    <cellStyle name="Normal 14" xfId="757"/>
    <cellStyle name="Normal 14 2" xfId="758"/>
    <cellStyle name="Normal 14 3" xfId="759"/>
    <cellStyle name="Normal 140" xfId="760"/>
    <cellStyle name="Normal 141" xfId="761"/>
    <cellStyle name="Normal 142" xfId="762"/>
    <cellStyle name="Normal 143" xfId="763"/>
    <cellStyle name="Normal 144" xfId="764"/>
    <cellStyle name="Normal 145" xfId="765"/>
    <cellStyle name="Normal 146" xfId="766"/>
    <cellStyle name="Normal 147" xfId="767"/>
    <cellStyle name="Normal 148" xfId="768"/>
    <cellStyle name="Normal 149" xfId="769"/>
    <cellStyle name="Normal 15" xfId="770"/>
    <cellStyle name="Normal 15 2" xfId="771"/>
    <cellStyle name="Normal 15 3" xfId="772"/>
    <cellStyle name="Normal 15 4" xfId="773"/>
    <cellStyle name="Normal 150" xfId="774"/>
    <cellStyle name="Normal 151" xfId="775"/>
    <cellStyle name="Normal 152" xfId="776"/>
    <cellStyle name="Normal 153" xfId="777"/>
    <cellStyle name="Normal 154" xfId="778"/>
    <cellStyle name="Normal 155" xfId="779"/>
    <cellStyle name="Normal 156" xfId="780"/>
    <cellStyle name="Normal 157" xfId="781"/>
    <cellStyle name="Normal 158" xfId="782"/>
    <cellStyle name="Normal 159" xfId="783"/>
    <cellStyle name="Normal 16" xfId="784"/>
    <cellStyle name="Normal 160" xfId="785"/>
    <cellStyle name="Normal 161" xfId="786"/>
    <cellStyle name="Normal 162" xfId="787"/>
    <cellStyle name="Normal 163" xfId="788"/>
    <cellStyle name="Normal 164" xfId="789"/>
    <cellStyle name="Normal 165" xfId="790"/>
    <cellStyle name="Normal 166" xfId="791"/>
    <cellStyle name="Normal 167" xfId="792"/>
    <cellStyle name="Normal 168" xfId="793"/>
    <cellStyle name="Normal 169" xfId="794"/>
    <cellStyle name="Normal 17" xfId="795"/>
    <cellStyle name="Normal 17 2" xfId="796"/>
    <cellStyle name="Normal 170" xfId="797"/>
    <cellStyle name="Normal 171" xfId="798"/>
    <cellStyle name="Normal 172" xfId="799"/>
    <cellStyle name="Normal 173" xfId="800"/>
    <cellStyle name="Normal 174" xfId="801"/>
    <cellStyle name="Normal 175" xfId="802"/>
    <cellStyle name="Normal 176" xfId="803"/>
    <cellStyle name="Normal 177" xfId="804"/>
    <cellStyle name="Normal 178" xfId="805"/>
    <cellStyle name="Normal 179" xfId="806"/>
    <cellStyle name="Normal 18" xfId="807"/>
    <cellStyle name="Normal 18 2" xfId="808"/>
    <cellStyle name="Normal 18 3" xfId="809"/>
    <cellStyle name="Normal 180" xfId="810"/>
    <cellStyle name="Normal 181" xfId="811"/>
    <cellStyle name="Normal 182" xfId="812"/>
    <cellStyle name="Normal 183" xfId="813"/>
    <cellStyle name="Normal 184" xfId="814"/>
    <cellStyle name="Normal 185" xfId="815"/>
    <cellStyle name="Normal 186" xfId="816"/>
    <cellStyle name="Normal 187" xfId="817"/>
    <cellStyle name="Normal 188" xfId="818"/>
    <cellStyle name="Normal 189" xfId="819"/>
    <cellStyle name="Normal 19" xfId="820"/>
    <cellStyle name="Normal 19 2" xfId="821"/>
    <cellStyle name="Normal 19 3" xfId="822"/>
    <cellStyle name="Normal 190" xfId="823"/>
    <cellStyle name="Normal 191" xfId="824"/>
    <cellStyle name="Normal 192" xfId="825"/>
    <cellStyle name="Normal 193" xfId="826"/>
    <cellStyle name="Normal 194" xfId="827"/>
    <cellStyle name="Normal 195" xfId="828"/>
    <cellStyle name="Normal 196" xfId="829"/>
    <cellStyle name="Normal 197" xfId="830"/>
    <cellStyle name="Normal 198" xfId="831"/>
    <cellStyle name="Normal 199" xfId="832"/>
    <cellStyle name="Normal 2" xfId="45"/>
    <cellStyle name="Normal 2 10" xfId="833"/>
    <cellStyle name="Normal 2 11" xfId="834"/>
    <cellStyle name="Normal 2 12" xfId="835"/>
    <cellStyle name="Normal 2 2" xfId="836"/>
    <cellStyle name="Normal 2 2 2" xfId="837"/>
    <cellStyle name="Normal 2 2 2 2" xfId="838"/>
    <cellStyle name="Normal 2 2 2 2 2" xfId="839"/>
    <cellStyle name="Normal 2 2 2 3" xfId="840"/>
    <cellStyle name="Normal 2 2 3" xfId="841"/>
    <cellStyle name="Normal 2 2 4" xfId="842"/>
    <cellStyle name="Normal 2 2_PSC_p. 230ab 182.2 Reg Asset 2012" xfId="843"/>
    <cellStyle name="Normal 2 3" xfId="844"/>
    <cellStyle name="Normal 2 3 2" xfId="845"/>
    <cellStyle name="Normal 2 3 2 2" xfId="846"/>
    <cellStyle name="Normal 2 3 3" xfId="847"/>
    <cellStyle name="Normal 2 3 4" xfId="848"/>
    <cellStyle name="Normal 2 4" xfId="849"/>
    <cellStyle name="Normal 2 4 2" xfId="850"/>
    <cellStyle name="Normal 2 4 3" xfId="851"/>
    <cellStyle name="Normal 2 4 4" xfId="852"/>
    <cellStyle name="Normal 2 5" xfId="853"/>
    <cellStyle name="Normal 2 5 2" xfId="854"/>
    <cellStyle name="Normal 2 5 3" xfId="855"/>
    <cellStyle name="Normal 2 5 4" xfId="856"/>
    <cellStyle name="Normal 2 6" xfId="857"/>
    <cellStyle name="Normal 2 7" xfId="858"/>
    <cellStyle name="Normal 2 8" xfId="859"/>
    <cellStyle name="Normal 2 9" xfId="860"/>
    <cellStyle name="Normal 2_Arapahoe-Cherokee-Ft Lupton-FSV-Xcel_140128" xfId="861"/>
    <cellStyle name="Normal 20" xfId="862"/>
    <cellStyle name="Normal 20 2" xfId="863"/>
    <cellStyle name="Normal 20 3" xfId="864"/>
    <cellStyle name="Normal 200" xfId="865"/>
    <cellStyle name="Normal 201" xfId="866"/>
    <cellStyle name="Normal 202" xfId="867"/>
    <cellStyle name="Normal 203" xfId="868"/>
    <cellStyle name="Normal 204" xfId="869"/>
    <cellStyle name="Normal 205" xfId="870"/>
    <cellStyle name="Normal 206" xfId="871"/>
    <cellStyle name="Normal 207" xfId="872"/>
    <cellStyle name="Normal 208" xfId="873"/>
    <cellStyle name="Normal 209" xfId="874"/>
    <cellStyle name="Normal 21" xfId="875"/>
    <cellStyle name="Normal 21 2" xfId="876"/>
    <cellStyle name="Normal 210" xfId="877"/>
    <cellStyle name="Normal 211" xfId="878"/>
    <cellStyle name="Normal 212" xfId="879"/>
    <cellStyle name="Normal 213" xfId="880"/>
    <cellStyle name="Normal 214" xfId="881"/>
    <cellStyle name="Normal 215" xfId="882"/>
    <cellStyle name="Normal 216" xfId="883"/>
    <cellStyle name="Normal 217" xfId="884"/>
    <cellStyle name="Normal 218" xfId="885"/>
    <cellStyle name="Normal 219" xfId="886"/>
    <cellStyle name="Normal 22" xfId="887"/>
    <cellStyle name="Normal 22 2" xfId="888"/>
    <cellStyle name="Normal 220" xfId="889"/>
    <cellStyle name="Normal 221" xfId="890"/>
    <cellStyle name="Normal 222" xfId="891"/>
    <cellStyle name="Normal 223" xfId="892"/>
    <cellStyle name="Normal 224" xfId="893"/>
    <cellStyle name="Normal 225" xfId="894"/>
    <cellStyle name="Normal 226" xfId="895"/>
    <cellStyle name="Normal 227" xfId="896"/>
    <cellStyle name="Normal 228" xfId="897"/>
    <cellStyle name="Normal 229" xfId="898"/>
    <cellStyle name="Normal 23" xfId="899"/>
    <cellStyle name="Normal 23 2" xfId="900"/>
    <cellStyle name="Normal 230" xfId="901"/>
    <cellStyle name="Normal 231" xfId="902"/>
    <cellStyle name="Normal 232" xfId="903"/>
    <cellStyle name="Normal 233" xfId="904"/>
    <cellStyle name="Normal 234" xfId="905"/>
    <cellStyle name="Normal 235" xfId="906"/>
    <cellStyle name="Normal 236" xfId="907"/>
    <cellStyle name="Normal 237" xfId="908"/>
    <cellStyle name="Normal 238" xfId="909"/>
    <cellStyle name="Normal 239" xfId="910"/>
    <cellStyle name="Normal 24" xfId="911"/>
    <cellStyle name="Normal 24 2" xfId="912"/>
    <cellStyle name="Normal 240" xfId="913"/>
    <cellStyle name="Normal 241" xfId="914"/>
    <cellStyle name="Normal 242" xfId="915"/>
    <cellStyle name="Normal 243" xfId="916"/>
    <cellStyle name="Normal 244" xfId="917"/>
    <cellStyle name="Normal 245" xfId="918"/>
    <cellStyle name="Normal 246" xfId="919"/>
    <cellStyle name="Normal 247" xfId="920"/>
    <cellStyle name="Normal 248" xfId="921"/>
    <cellStyle name="Normal 249" xfId="922"/>
    <cellStyle name="Normal 25" xfId="923"/>
    <cellStyle name="Normal 25 2" xfId="924"/>
    <cellStyle name="Normal 250" xfId="925"/>
    <cellStyle name="Normal 251" xfId="926"/>
    <cellStyle name="Normal 252" xfId="927"/>
    <cellStyle name="Normal 253" xfId="928"/>
    <cellStyle name="Normal 254" xfId="929"/>
    <cellStyle name="Normal 255" xfId="930"/>
    <cellStyle name="Normal 256" xfId="931"/>
    <cellStyle name="Normal 257" xfId="932"/>
    <cellStyle name="Normal 258" xfId="51"/>
    <cellStyle name="Normal 258 2" xfId="1501"/>
    <cellStyle name="Normal 259" xfId="933"/>
    <cellStyle name="Normal 26" xfId="934"/>
    <cellStyle name="Normal 26 2" xfId="935"/>
    <cellStyle name="Normal 260" xfId="936"/>
    <cellStyle name="Normal 261" xfId="1498"/>
    <cellStyle name="Normal 262" xfId="1499"/>
    <cellStyle name="Normal 263" xfId="1500"/>
    <cellStyle name="Normal 264" xfId="1503"/>
    <cellStyle name="Normal 265" xfId="1505"/>
    <cellStyle name="Normal 266" xfId="1507"/>
    <cellStyle name="Normal 27" xfId="937"/>
    <cellStyle name="Normal 27 2" xfId="938"/>
    <cellStyle name="Normal 28" xfId="939"/>
    <cellStyle name="Normal 28 2" xfId="940"/>
    <cellStyle name="Normal 29" xfId="941"/>
    <cellStyle name="Normal 29 2" xfId="942"/>
    <cellStyle name="Normal 3" xfId="943"/>
    <cellStyle name="Normal 3 2" xfId="944"/>
    <cellStyle name="Normal 3 2 2" xfId="945"/>
    <cellStyle name="Normal 3 2 3" xfId="946"/>
    <cellStyle name="Normal 3 2 4" xfId="947"/>
    <cellStyle name="Normal 3 2 5" xfId="948"/>
    <cellStyle name="Normal 3 3" xfId="949"/>
    <cellStyle name="Normal 3 3 2" xfId="950"/>
    <cellStyle name="Normal 3 4" xfId="951"/>
    <cellStyle name="Normal 3 5" xfId="952"/>
    <cellStyle name="Normal 3 6" xfId="953"/>
    <cellStyle name="Normal 3_Hydro Proposed Expense" xfId="954"/>
    <cellStyle name="Normal 30" xfId="955"/>
    <cellStyle name="Normal 30 2" xfId="956"/>
    <cellStyle name="Normal 31" xfId="957"/>
    <cellStyle name="Normal 31 2" xfId="958"/>
    <cellStyle name="Normal 32" xfId="959"/>
    <cellStyle name="Normal 32 2" xfId="960"/>
    <cellStyle name="Normal 33" xfId="961"/>
    <cellStyle name="Normal 33 2" xfId="962"/>
    <cellStyle name="Normal 34" xfId="963"/>
    <cellStyle name="Normal 34 2" xfId="964"/>
    <cellStyle name="Normal 35" xfId="965"/>
    <cellStyle name="Normal 35 2" xfId="966"/>
    <cellStyle name="Normal 36" xfId="967"/>
    <cellStyle name="Normal 36 2" xfId="968"/>
    <cellStyle name="Normal 37" xfId="969"/>
    <cellStyle name="Normal 38" xfId="970"/>
    <cellStyle name="Normal 39" xfId="971"/>
    <cellStyle name="Normal 4" xfId="972"/>
    <cellStyle name="Normal 4 2" xfId="973"/>
    <cellStyle name="Normal 4 2 2" xfId="974"/>
    <cellStyle name="Normal 4 2 3" xfId="975"/>
    <cellStyle name="Normal 4 2 4" xfId="976"/>
    <cellStyle name="Normal 4 3" xfId="977"/>
    <cellStyle name="Normal 4 4" xfId="978"/>
    <cellStyle name="Normal 4 4 2" xfId="979"/>
    <cellStyle name="Normal 4 5" xfId="980"/>
    <cellStyle name="Normal 4 6" xfId="981"/>
    <cellStyle name="Normal 4 7" xfId="982"/>
    <cellStyle name="Normal 4 8" xfId="983"/>
    <cellStyle name="Normal 4_ARO calc 2009 PI 1 2 Est Cash Flow" xfId="984"/>
    <cellStyle name="Normal 40" xfId="985"/>
    <cellStyle name="Normal 41" xfId="986"/>
    <cellStyle name="Normal 42" xfId="987"/>
    <cellStyle name="Normal 43" xfId="988"/>
    <cellStyle name="Normal 44" xfId="989"/>
    <cellStyle name="Normal 45" xfId="990"/>
    <cellStyle name="Normal 46" xfId="991"/>
    <cellStyle name="Normal 47" xfId="992"/>
    <cellStyle name="Normal 48" xfId="993"/>
    <cellStyle name="Normal 49" xfId="994"/>
    <cellStyle name="Normal 5" xfId="995"/>
    <cellStyle name="Normal 5 2" xfId="996"/>
    <cellStyle name="Normal 5 2 2" xfId="997"/>
    <cellStyle name="Normal 5 2 3" xfId="998"/>
    <cellStyle name="Normal 5 2 4" xfId="999"/>
    <cellStyle name="Normal 5 3" xfId="1000"/>
    <cellStyle name="Normal 5 4" xfId="1001"/>
    <cellStyle name="Normal 5 4 2" xfId="1002"/>
    <cellStyle name="Normal 5 5" xfId="1003"/>
    <cellStyle name="Normal 5_ARO calc 2009 PI 1 2 Est Cash Flow" xfId="1004"/>
    <cellStyle name="Normal 50" xfId="1005"/>
    <cellStyle name="Normal 51" xfId="1006"/>
    <cellStyle name="Normal 52" xfId="1007"/>
    <cellStyle name="Normal 53" xfId="1008"/>
    <cellStyle name="Normal 54" xfId="1009"/>
    <cellStyle name="Normal 55" xfId="1010"/>
    <cellStyle name="Normal 56" xfId="1011"/>
    <cellStyle name="Normal 57" xfId="1012"/>
    <cellStyle name="Normal 58" xfId="1013"/>
    <cellStyle name="Normal 59" xfId="1014"/>
    <cellStyle name="Normal 6" xfId="1015"/>
    <cellStyle name="Normal 6 10" xfId="1016"/>
    <cellStyle name="Normal 6 11" xfId="1017"/>
    <cellStyle name="Normal 6 12" xfId="1018"/>
    <cellStyle name="Normal 6 13" xfId="1019"/>
    <cellStyle name="Normal 6 2" xfId="1020"/>
    <cellStyle name="Normal 6 2 2" xfId="1021"/>
    <cellStyle name="Normal 6 2 2 2" xfId="1022"/>
    <cellStyle name="Normal 6 2 2 3" xfId="1023"/>
    <cellStyle name="Normal 6 2 3" xfId="1024"/>
    <cellStyle name="Normal 6 2 4" xfId="1025"/>
    <cellStyle name="Normal 6 2 5" xfId="1026"/>
    <cellStyle name="Normal 6 2_Ocotillo" xfId="1027"/>
    <cellStyle name="Normal 6 3" xfId="1028"/>
    <cellStyle name="Normal 6 3 2" xfId="1029"/>
    <cellStyle name="Normal 6 3 2 2" xfId="1030"/>
    <cellStyle name="Normal 6 3 2 3" xfId="1031"/>
    <cellStyle name="Normal 6 3 3" xfId="1032"/>
    <cellStyle name="Normal 6 3 4" xfId="1033"/>
    <cellStyle name="Normal 6 3_Ocotillo" xfId="1034"/>
    <cellStyle name="Normal 6 4" xfId="1035"/>
    <cellStyle name="Normal 6 4 2" xfId="1036"/>
    <cellStyle name="Normal 6 4 2 2" xfId="1037"/>
    <cellStyle name="Normal 6 4 2 3" xfId="1038"/>
    <cellStyle name="Normal 6 4 3" xfId="1039"/>
    <cellStyle name="Normal 6 4 4" xfId="1040"/>
    <cellStyle name="Normal 6 4_Ocotillo" xfId="1041"/>
    <cellStyle name="Normal 6 5" xfId="1042"/>
    <cellStyle name="Normal 6 5 2" xfId="1043"/>
    <cellStyle name="Normal 6 5 2 2" xfId="1044"/>
    <cellStyle name="Normal 6 5 2 3" xfId="1045"/>
    <cellStyle name="Normal 6 5 3" xfId="1046"/>
    <cellStyle name="Normal 6 5 3 2" xfId="1047"/>
    <cellStyle name="Normal 6 5 3 3" xfId="1048"/>
    <cellStyle name="Normal 6 5 4" xfId="1049"/>
    <cellStyle name="Normal 6 5 5" xfId="1050"/>
    <cellStyle name="Normal 6 5_Ocotillo" xfId="1051"/>
    <cellStyle name="Normal 6 6" xfId="1052"/>
    <cellStyle name="Normal 6 6 2" xfId="1053"/>
    <cellStyle name="Normal 6 6 3" xfId="1054"/>
    <cellStyle name="Normal 6 7" xfId="1055"/>
    <cellStyle name="Normal 6 7 2" xfId="1056"/>
    <cellStyle name="Normal 6 7 3" xfId="1057"/>
    <cellStyle name="Normal 6 8" xfId="1058"/>
    <cellStyle name="Normal 6 8 2" xfId="1059"/>
    <cellStyle name="Normal 6 8 3" xfId="1060"/>
    <cellStyle name="Normal 6 9" xfId="1061"/>
    <cellStyle name="Normal 6 9 2" xfId="1062"/>
    <cellStyle name="Normal 6 9 3" xfId="1063"/>
    <cellStyle name="Normal 6_Ocotillo" xfId="1064"/>
    <cellStyle name="Normal 60" xfId="1065"/>
    <cellStyle name="Normal 61" xfId="1066"/>
    <cellStyle name="Normal 62" xfId="1067"/>
    <cellStyle name="Normal 63" xfId="1068"/>
    <cellStyle name="Normal 64" xfId="1069"/>
    <cellStyle name="Normal 64 2" xfId="1070"/>
    <cellStyle name="Normal 65" xfId="1071"/>
    <cellStyle name="Normal 65 2" xfId="1072"/>
    <cellStyle name="Normal 66" xfId="1073"/>
    <cellStyle name="Normal 66 2" xfId="1074"/>
    <cellStyle name="Normal 67" xfId="1075"/>
    <cellStyle name="Normal 67 2" xfId="1076"/>
    <cellStyle name="Normal 68" xfId="1077"/>
    <cellStyle name="Normal 68 2" xfId="1078"/>
    <cellStyle name="Normal 69" xfId="1079"/>
    <cellStyle name="Normal 69 2" xfId="1080"/>
    <cellStyle name="Normal 7" xfId="1081"/>
    <cellStyle name="Normal 7 2" xfId="1082"/>
    <cellStyle name="Normal 7 2 2" xfId="1083"/>
    <cellStyle name="Normal 7 2 3" xfId="1084"/>
    <cellStyle name="Normal 7 3" xfId="1085"/>
    <cellStyle name="Normal 7 3 2" xfId="1086"/>
    <cellStyle name="Normal 7 4" xfId="1087"/>
    <cellStyle name="Normal 7_Ocotillo" xfId="1088"/>
    <cellStyle name="Normal 70" xfId="1089"/>
    <cellStyle name="Normal 70 2" xfId="1090"/>
    <cellStyle name="Normal 71" xfId="1091"/>
    <cellStyle name="Normal 71 2" xfId="1092"/>
    <cellStyle name="Normal 72" xfId="1093"/>
    <cellStyle name="Normal 72 2" xfId="1094"/>
    <cellStyle name="Normal 73" xfId="1095"/>
    <cellStyle name="Normal 73 2" xfId="1096"/>
    <cellStyle name="Normal 74" xfId="1097"/>
    <cellStyle name="Normal 74 2" xfId="1098"/>
    <cellStyle name="Normal 75" xfId="1099"/>
    <cellStyle name="Normal 75 2" xfId="1100"/>
    <cellStyle name="Normal 76" xfId="1101"/>
    <cellStyle name="Normal 76 2" xfId="1102"/>
    <cellStyle name="Normal 77" xfId="1103"/>
    <cellStyle name="Normal 77 2" xfId="1104"/>
    <cellStyle name="Normal 78" xfId="1105"/>
    <cellStyle name="Normal 78 2" xfId="1106"/>
    <cellStyle name="Normal 78 3" xfId="1502"/>
    <cellStyle name="Normal 79" xfId="1107"/>
    <cellStyle name="Normal 8" xfId="1108"/>
    <cellStyle name="Normal 8 2" xfId="1109"/>
    <cellStyle name="Normal 8 2 2" xfId="1110"/>
    <cellStyle name="Normal 8 2 3" xfId="1111"/>
    <cellStyle name="Normal 8 3" xfId="1112"/>
    <cellStyle name="Normal 8 3 2" xfId="1113"/>
    <cellStyle name="Normal 8 3 3" xfId="1114"/>
    <cellStyle name="Normal 8 3 4" xfId="1115"/>
    <cellStyle name="Normal 8 4" xfId="1116"/>
    <cellStyle name="Normal 8_Ocotillo" xfId="1117"/>
    <cellStyle name="Normal 80" xfId="1118"/>
    <cellStyle name="Normal 81" xfId="1119"/>
    <cellStyle name="Normal 82" xfId="1120"/>
    <cellStyle name="Normal 83" xfId="1121"/>
    <cellStyle name="Normal 84" xfId="1122"/>
    <cellStyle name="Normal 85" xfId="1123"/>
    <cellStyle name="Normal 86" xfId="1124"/>
    <cellStyle name="Normal 87" xfId="1125"/>
    <cellStyle name="Normal 88" xfId="1126"/>
    <cellStyle name="Normal 89" xfId="1127"/>
    <cellStyle name="Normal 9" xfId="1128"/>
    <cellStyle name="Normal 9 2" xfId="1129"/>
    <cellStyle name="Normal 9 2 2" xfId="1130"/>
    <cellStyle name="Normal 9 3" xfId="1131"/>
    <cellStyle name="Normal 9 3 2" xfId="1132"/>
    <cellStyle name="Normal 9 4" xfId="1133"/>
    <cellStyle name="Normal 9_Tab 9 Reserve by Unit" xfId="1134"/>
    <cellStyle name="Normal 90" xfId="1135"/>
    <cellStyle name="Normal 91" xfId="1136"/>
    <cellStyle name="Normal 92" xfId="1137"/>
    <cellStyle name="Normal 93" xfId="1138"/>
    <cellStyle name="Normal 94" xfId="1139"/>
    <cellStyle name="Normal 95" xfId="1140"/>
    <cellStyle name="Normal 96" xfId="1141"/>
    <cellStyle name="Normal 97" xfId="1142"/>
    <cellStyle name="Normal 98" xfId="1143"/>
    <cellStyle name="Normal 99" xfId="1144"/>
    <cellStyle name="Normal_Avg Age v2" xfId="1511"/>
    <cellStyle name="Normal+border" xfId="1145"/>
    <cellStyle name="Normal+border 2" xfId="1146"/>
    <cellStyle name="Normal+border 3" xfId="1147"/>
    <cellStyle name="Normal+shade" xfId="1148"/>
    <cellStyle name="Note" xfId="18" builtinId="10" customBuiltin="1"/>
    <cellStyle name="Note 2" xfId="1149"/>
    <cellStyle name="Note 2 2" xfId="1150"/>
    <cellStyle name="Note 2 2 2" xfId="1151"/>
    <cellStyle name="Note 2 2 2 2" xfId="1152"/>
    <cellStyle name="Note 2 2 2 2 2" xfId="1153"/>
    <cellStyle name="Note 2 2 2 2_Tab 9 Reserve by Unit" xfId="1154"/>
    <cellStyle name="Note 2 2 2 3" xfId="1155"/>
    <cellStyle name="Note 2 2 2_Tab 9 Reserve by Unit" xfId="1156"/>
    <cellStyle name="Note 2 2 3" xfId="1157"/>
    <cellStyle name="Note 2 2 3 2" xfId="1158"/>
    <cellStyle name="Note 2 2 3_Tab 9 Reserve by Unit" xfId="1159"/>
    <cellStyle name="Note 2 2 4" xfId="1160"/>
    <cellStyle name="Note 2 2 5" xfId="1161"/>
    <cellStyle name="Note 2 2_Tab 9 Reserve by Unit" xfId="1162"/>
    <cellStyle name="Note 2 3" xfId="1163"/>
    <cellStyle name="Note 3" xfId="1164"/>
    <cellStyle name="Note 3 2" xfId="1165"/>
    <cellStyle name="Note 3 2 2" xfId="1166"/>
    <cellStyle name="Note 3 3" xfId="1167"/>
    <cellStyle name="Note 4" xfId="1168"/>
    <cellStyle name="nozero" xfId="1169"/>
    <cellStyle name="nozero 2" xfId="1170"/>
    <cellStyle name="nozero 2 2" xfId="1171"/>
    <cellStyle name="nozero 2 2 2" xfId="1172"/>
    <cellStyle name="nozero 2 3" xfId="1173"/>
    <cellStyle name="nozero 3" xfId="1174"/>
    <cellStyle name="nozero 3 2" xfId="1175"/>
    <cellStyle name="nozero 4" xfId="1176"/>
    <cellStyle name="Outlined" xfId="1177"/>
    <cellStyle name="Output" xfId="13" builtinId="21" customBuiltin="1"/>
    <cellStyle name="Output 2" xfId="1178"/>
    <cellStyle name="Output 3" xfId="1179"/>
    <cellStyle name="Page Heading Large" xfId="1180"/>
    <cellStyle name="Page Heading Small" xfId="1181"/>
    <cellStyle name="Page Title" xfId="1182"/>
    <cellStyle name="Percent" xfId="3" builtinId="5"/>
    <cellStyle name="Percent (0)" xfId="1183"/>
    <cellStyle name="Percent (0) 2" xfId="1184"/>
    <cellStyle name="Percent (0) 2 2" xfId="1185"/>
    <cellStyle name="Percent (0) 3" xfId="1186"/>
    <cellStyle name="Percent (0) 3 2" xfId="1187"/>
    <cellStyle name="Percent (0) 3 2 2" xfId="1188"/>
    <cellStyle name="Percent (0) 3 3" xfId="1189"/>
    <cellStyle name="Percent (0) 4" xfId="1190"/>
    <cellStyle name="Percent [.00%]" xfId="1191"/>
    <cellStyle name="Percent [0]" xfId="1192"/>
    <cellStyle name="Percent [1]" xfId="1193"/>
    <cellStyle name="Percent [2]" xfId="1194"/>
    <cellStyle name="Percent [2] 2" xfId="1195"/>
    <cellStyle name="Percent [2] 2 2" xfId="1196"/>
    <cellStyle name="Percent [2] 2 3" xfId="1197"/>
    <cellStyle name="Percent 1" xfId="1198"/>
    <cellStyle name="Percent 10" xfId="1199"/>
    <cellStyle name="Percent 100" xfId="1200"/>
    <cellStyle name="Percent 101" xfId="1201"/>
    <cellStyle name="Percent 102" xfId="1202"/>
    <cellStyle name="Percent 103" xfId="1203"/>
    <cellStyle name="Percent 104" xfId="1204"/>
    <cellStyle name="Percent 105" xfId="1205"/>
    <cellStyle name="Percent 106" xfId="1206"/>
    <cellStyle name="Percent 107" xfId="1207"/>
    <cellStyle name="Percent 108" xfId="1208"/>
    <cellStyle name="Percent 109" xfId="1209"/>
    <cellStyle name="Percent 11" xfId="1210"/>
    <cellStyle name="Percent 110" xfId="1211"/>
    <cellStyle name="Percent 111" xfId="1212"/>
    <cellStyle name="Percent 112" xfId="1213"/>
    <cellStyle name="Percent 113" xfId="1214"/>
    <cellStyle name="Percent 114" xfId="1215"/>
    <cellStyle name="Percent 115" xfId="1216"/>
    <cellStyle name="Percent 116" xfId="1217"/>
    <cellStyle name="Percent 117" xfId="1218"/>
    <cellStyle name="Percent 118" xfId="1219"/>
    <cellStyle name="Percent 119" xfId="1220"/>
    <cellStyle name="Percent 12" xfId="1221"/>
    <cellStyle name="Percent 120" xfId="1222"/>
    <cellStyle name="Percent 121" xfId="1223"/>
    <cellStyle name="Percent 122" xfId="1224"/>
    <cellStyle name="Percent 123" xfId="1225"/>
    <cellStyle name="Percent 124" xfId="1226"/>
    <cellStyle name="Percent 125" xfId="1227"/>
    <cellStyle name="Percent 126" xfId="1228"/>
    <cellStyle name="Percent 127" xfId="1229"/>
    <cellStyle name="Percent 128" xfId="1230"/>
    <cellStyle name="Percent 129" xfId="1231"/>
    <cellStyle name="Percent 13" xfId="1232"/>
    <cellStyle name="Percent 130" xfId="1233"/>
    <cellStyle name="Percent 131" xfId="1234"/>
    <cellStyle name="Percent 132" xfId="1235"/>
    <cellStyle name="Percent 133" xfId="1236"/>
    <cellStyle name="Percent 134" xfId="1237"/>
    <cellStyle name="Percent 135" xfId="1238"/>
    <cellStyle name="Percent 136" xfId="1239"/>
    <cellStyle name="Percent 137" xfId="1240"/>
    <cellStyle name="Percent 138" xfId="1241"/>
    <cellStyle name="Percent 139" xfId="1242"/>
    <cellStyle name="Percent 14" xfId="1243"/>
    <cellStyle name="Percent 140" xfId="1244"/>
    <cellStyle name="Percent 141" xfId="1245"/>
    <cellStyle name="Percent 142" xfId="1246"/>
    <cellStyle name="Percent 143" xfId="1247"/>
    <cellStyle name="Percent 144" xfId="1248"/>
    <cellStyle name="Percent 145" xfId="1249"/>
    <cellStyle name="Percent 146" xfId="1250"/>
    <cellStyle name="Percent 147" xfId="1251"/>
    <cellStyle name="Percent 148" xfId="1252"/>
    <cellStyle name="Percent 149" xfId="1253"/>
    <cellStyle name="Percent 15" xfId="1254"/>
    <cellStyle name="Percent 150" xfId="1255"/>
    <cellStyle name="Percent 151" xfId="1256"/>
    <cellStyle name="Percent 152" xfId="1257"/>
    <cellStyle name="Percent 153" xfId="1258"/>
    <cellStyle name="Percent 154" xfId="1259"/>
    <cellStyle name="Percent 155" xfId="1510"/>
    <cellStyle name="Percent 16" xfId="1260"/>
    <cellStyle name="Percent 17" xfId="1261"/>
    <cellStyle name="Percent 18" xfId="1262"/>
    <cellStyle name="Percent 19" xfId="1263"/>
    <cellStyle name="Percent 2" xfId="1264"/>
    <cellStyle name="Percent 2 2" xfId="1265"/>
    <cellStyle name="Percent 2 2 2" xfId="1266"/>
    <cellStyle name="Percent 2 3" xfId="1267"/>
    <cellStyle name="Percent 2 3 2" xfId="1268"/>
    <cellStyle name="Percent 2 3 3" xfId="1269"/>
    <cellStyle name="Percent 2 4" xfId="1270"/>
    <cellStyle name="Percent 2 5" xfId="1271"/>
    <cellStyle name="Percent 2 6" xfId="1272"/>
    <cellStyle name="Percent 2 7" xfId="1273"/>
    <cellStyle name="Percent 20" xfId="1274"/>
    <cellStyle name="Percent 21" xfId="1275"/>
    <cellStyle name="Percent 22" xfId="1276"/>
    <cellStyle name="Percent 23" xfId="1277"/>
    <cellStyle name="Percent 24" xfId="1278"/>
    <cellStyle name="Percent 25" xfId="1279"/>
    <cellStyle name="Percent 26" xfId="1280"/>
    <cellStyle name="Percent 27" xfId="1281"/>
    <cellStyle name="Percent 28" xfId="1282"/>
    <cellStyle name="Percent 29" xfId="1283"/>
    <cellStyle name="Percent 3" xfId="1284"/>
    <cellStyle name="Percent 3 2" xfId="1285"/>
    <cellStyle name="Percent 3 2 2" xfId="1286"/>
    <cellStyle name="Percent 3 2 2 2" xfId="1287"/>
    <cellStyle name="Percent 3 2 2 3" xfId="1288"/>
    <cellStyle name="Percent 3 2 3" xfId="1289"/>
    <cellStyle name="Percent 3 2 4" xfId="1290"/>
    <cellStyle name="Percent 3 2 5" xfId="1291"/>
    <cellStyle name="Percent 3 2 6" xfId="1292"/>
    <cellStyle name="Percent 3 3" xfId="1293"/>
    <cellStyle name="Percent 3 3 2" xfId="1294"/>
    <cellStyle name="Percent 3 3 3" xfId="1295"/>
    <cellStyle name="Percent 3 4" xfId="1296"/>
    <cellStyle name="Percent 3 4 2" xfId="1297"/>
    <cellStyle name="Percent 3 4 3" xfId="1298"/>
    <cellStyle name="Percent 3 5" xfId="1299"/>
    <cellStyle name="Percent 3 6" xfId="1300"/>
    <cellStyle name="Percent 3 7" xfId="1301"/>
    <cellStyle name="Percent 3 8" xfId="1302"/>
    <cellStyle name="Percent 30" xfId="1303"/>
    <cellStyle name="Percent 31" xfId="1304"/>
    <cellStyle name="Percent 32" xfId="1305"/>
    <cellStyle name="Percent 33" xfId="1306"/>
    <cellStyle name="Percent 34" xfId="1307"/>
    <cellStyle name="Percent 35" xfId="1308"/>
    <cellStyle name="Percent 36" xfId="1309"/>
    <cellStyle name="Percent 37" xfId="1310"/>
    <cellStyle name="Percent 38" xfId="1311"/>
    <cellStyle name="Percent 39" xfId="1312"/>
    <cellStyle name="Percent 4" xfId="1313"/>
    <cellStyle name="Percent 4 2" xfId="1314"/>
    <cellStyle name="Percent 40" xfId="1315"/>
    <cellStyle name="Percent 41" xfId="1316"/>
    <cellStyle name="Percent 42" xfId="1317"/>
    <cellStyle name="Percent 43" xfId="1318"/>
    <cellStyle name="Percent 44" xfId="1319"/>
    <cellStyle name="Percent 45" xfId="1320"/>
    <cellStyle name="Percent 46" xfId="1321"/>
    <cellStyle name="Percent 47" xfId="1322"/>
    <cellStyle name="Percent 48" xfId="1323"/>
    <cellStyle name="Percent 49" xfId="1324"/>
    <cellStyle name="Percent 5" xfId="1325"/>
    <cellStyle name="Percent 50" xfId="1326"/>
    <cellStyle name="Percent 51" xfId="1327"/>
    <cellStyle name="Percent 52" xfId="1328"/>
    <cellStyle name="Percent 53" xfId="1329"/>
    <cellStyle name="Percent 54" xfId="1330"/>
    <cellStyle name="Percent 55" xfId="1331"/>
    <cellStyle name="Percent 56" xfId="1332"/>
    <cellStyle name="Percent 57" xfId="1333"/>
    <cellStyle name="Percent 58" xfId="1334"/>
    <cellStyle name="Percent 59" xfId="1335"/>
    <cellStyle name="Percent 6" xfId="1336"/>
    <cellStyle name="Percent 6 2" xfId="1337"/>
    <cellStyle name="Percent 6 2 2" xfId="1338"/>
    <cellStyle name="Percent 6 3" xfId="1339"/>
    <cellStyle name="Percent 60" xfId="1340"/>
    <cellStyle name="Percent 61" xfId="1341"/>
    <cellStyle name="Percent 62" xfId="1342"/>
    <cellStyle name="Percent 63" xfId="1343"/>
    <cellStyle name="Percent 64" xfId="1344"/>
    <cellStyle name="Percent 65" xfId="1345"/>
    <cellStyle name="Percent 66" xfId="1346"/>
    <cellStyle name="Percent 67" xfId="1347"/>
    <cellStyle name="Percent 68" xfId="1348"/>
    <cellStyle name="Percent 69" xfId="1349"/>
    <cellStyle name="Percent 7" xfId="1350"/>
    <cellStyle name="Percent 7 2" xfId="1351"/>
    <cellStyle name="Percent 7 2 2" xfId="1352"/>
    <cellStyle name="Percent 7 3" xfId="1353"/>
    <cellStyle name="Percent 70" xfId="1354"/>
    <cellStyle name="Percent 71" xfId="1355"/>
    <cellStyle name="Percent 72" xfId="1356"/>
    <cellStyle name="Percent 73" xfId="1357"/>
    <cellStyle name="Percent 74" xfId="1358"/>
    <cellStyle name="Percent 75" xfId="1359"/>
    <cellStyle name="Percent 76" xfId="1360"/>
    <cellStyle name="Percent 77" xfId="1361"/>
    <cellStyle name="Percent 78" xfId="1362"/>
    <cellStyle name="Percent 79" xfId="1363"/>
    <cellStyle name="Percent 8" xfId="1364"/>
    <cellStyle name="Percent 8 2" xfId="1365"/>
    <cellStyle name="Percent 80" xfId="1366"/>
    <cellStyle name="Percent 81" xfId="1367"/>
    <cellStyle name="Percent 82" xfId="1368"/>
    <cellStyle name="Percent 83" xfId="1369"/>
    <cellStyle name="Percent 84" xfId="1370"/>
    <cellStyle name="Percent 85" xfId="1371"/>
    <cellStyle name="Percent 86" xfId="1372"/>
    <cellStyle name="Percent 87" xfId="1373"/>
    <cellStyle name="Percent 88" xfId="1374"/>
    <cellStyle name="Percent 89" xfId="1375"/>
    <cellStyle name="Percent 9" xfId="1376"/>
    <cellStyle name="Percent 90" xfId="1377"/>
    <cellStyle name="Percent 91" xfId="1378"/>
    <cellStyle name="Percent 92" xfId="1379"/>
    <cellStyle name="Percent 93" xfId="1380"/>
    <cellStyle name="Percent 94" xfId="1381"/>
    <cellStyle name="Percent 95" xfId="1382"/>
    <cellStyle name="Percent 96" xfId="1383"/>
    <cellStyle name="Percent 97" xfId="1384"/>
    <cellStyle name="Percent 98" xfId="1385"/>
    <cellStyle name="Percent 99" xfId="1386"/>
    <cellStyle name="Percent Hard" xfId="1387"/>
    <cellStyle name="Power Price" xfId="1388"/>
    <cellStyle name="Present Value" xfId="1389"/>
    <cellStyle name="PSChar" xfId="1390"/>
    <cellStyle name="PSChar 2" xfId="1391"/>
    <cellStyle name="PSChar 2 2" xfId="1392"/>
    <cellStyle name="PSChar 3" xfId="1393"/>
    <cellStyle name="PSDate" xfId="1394"/>
    <cellStyle name="PSDate 2" xfId="1395"/>
    <cellStyle name="PSDate 2 2" xfId="1396"/>
    <cellStyle name="PSDate 3" xfId="1397"/>
    <cellStyle name="PSDec" xfId="1398"/>
    <cellStyle name="PSDec 2" xfId="1399"/>
    <cellStyle name="PSDec 2 2" xfId="1400"/>
    <cellStyle name="PSDec 3" xfId="1401"/>
    <cellStyle name="PSHeading" xfId="1402"/>
    <cellStyle name="PSHeading 2" xfId="1403"/>
    <cellStyle name="PSHeading 2 2" xfId="1404"/>
    <cellStyle name="PSHeading 3" xfId="1405"/>
    <cellStyle name="PSInt" xfId="1406"/>
    <cellStyle name="PSInt 2" xfId="1407"/>
    <cellStyle name="PSInt 2 2" xfId="1408"/>
    <cellStyle name="PSInt 3" xfId="1409"/>
    <cellStyle name="PSSpacer" xfId="1410"/>
    <cellStyle name="PSSpacer 2" xfId="1411"/>
    <cellStyle name="PSSpacer 2 2" xfId="1412"/>
    <cellStyle name="PSSpacer 3" xfId="1413"/>
    <cellStyle name="RangeBelow" xfId="1414"/>
    <cellStyle name="RangeBelow 2" xfId="1415"/>
    <cellStyle name="RangeBelow 2 2" xfId="1416"/>
    <cellStyle name="RangeBelow 3" xfId="1417"/>
    <cellStyle name="Regular" xfId="1418"/>
    <cellStyle name="Reports" xfId="1419"/>
    <cellStyle name="RevList" xfId="1420"/>
    <cellStyle name="Section Heading-Large" xfId="1421"/>
    <cellStyle name="Section Heading-Small" xfId="1422"/>
    <cellStyle name="Shaded" xfId="1423"/>
    <cellStyle name="Shading" xfId="1424"/>
    <cellStyle name="SMALL HEADINGS" xfId="1425"/>
    <cellStyle name="Style 1" xfId="1426"/>
    <cellStyle name="Style 1 2" xfId="1427"/>
    <cellStyle name="Style 1 3" xfId="1428"/>
    <cellStyle name="Style 1 3 2" xfId="1429"/>
    <cellStyle name="Style 1 4" xfId="1430"/>
    <cellStyle name="Style 1_ Other Current Expense" xfId="1431"/>
    <cellStyle name="SUB HEADING" xfId="1432"/>
    <cellStyle name="SubRoutine" xfId="1433"/>
    <cellStyle name="SubRoutine 2" xfId="1434"/>
    <cellStyle name="SubRoutine 2 2" xfId="1435"/>
    <cellStyle name="SubRoutine 3" xfId="1436"/>
    <cellStyle name="Subtotal" xfId="1437"/>
    <cellStyle name="Table Col Head" xfId="1438"/>
    <cellStyle name="table lookup" xfId="1439"/>
    <cellStyle name="table lookup 2" xfId="1440"/>
    <cellStyle name="table lookup_Ocotillo" xfId="1441"/>
    <cellStyle name="Table Sub Head" xfId="1442"/>
    <cellStyle name="Table Title" xfId="1443"/>
    <cellStyle name="Table Units" xfId="1444"/>
    <cellStyle name="Tabs" xfId="1445"/>
    <cellStyle name="Test" xfId="1446"/>
    <cellStyle name="Test 2" xfId="1447"/>
    <cellStyle name="Test 2 2" xfId="1448"/>
    <cellStyle name="Test 2 3" xfId="1449"/>
    <cellStyle name="Test 3" xfId="1450"/>
    <cellStyle name="þ(Î'_x000c_ïþ÷_x000c_âþÖ_x0006__x0002_Þ”_x0013__x0007__x0001__x0001_" xfId="1451"/>
    <cellStyle name="þ(Î'_x000c_ïþ÷_x000c_âþÖ_x0006__x0002_Þ”_x0013__x0007__x0001__x0001_ 2" xfId="1452"/>
    <cellStyle name="þ(Î'_x000c_ïþ÷_x000c_âþÖ_x0006__x0002_Þ”_x0013__x0007__x0001__x0001_ 2 2" xfId="1453"/>
    <cellStyle name="þ(Î'_x000c_ïþ÷_x000c_âþÖ_x0006__x0002_Þ”_x0013__x0007__x0001__x0001_ 2 2 2" xfId="1454"/>
    <cellStyle name="þ(Î'_x000c_ïþ÷_x000c_âþÖ_x0006__x0002_Þ”_x0013__x0007__x0001__x0001_ 2 3" xfId="1455"/>
    <cellStyle name="þ(Î'_x000c_ïþ÷_x000c_âþÖ_x0006__x0002_Þ”_x0013__x0007__x0001__x0001_ 3" xfId="1456"/>
    <cellStyle name="þ(Î'_x000c_ïþ÷_x000c_âþÖ_x0006__x0002_Þ”_x0013__x0007__x0001__x0001_ 3 2" xfId="1457"/>
    <cellStyle name="þ(Î'_x000c_ïþ÷_x000c_âþÖ_x0006__x0002_Þ”_x0013__x0007__x0001__x0001_ 4" xfId="1458"/>
    <cellStyle name="Thousands" xfId="1459"/>
    <cellStyle name="Thousands 2" xfId="1460"/>
    <cellStyle name="Thousands 2 2" xfId="1461"/>
    <cellStyle name="Thousands 2 2 2" xfId="1462"/>
    <cellStyle name="Thousands 2 3" xfId="1463"/>
    <cellStyle name="Thousands 3" xfId="1464"/>
    <cellStyle name="Thousands 3 2" xfId="1465"/>
    <cellStyle name="Thousands 4" xfId="1466"/>
    <cellStyle name="Thousands1" xfId="1467"/>
    <cellStyle name="Thousands1 2" xfId="1468"/>
    <cellStyle name="Thousands1 2 2" xfId="1469"/>
    <cellStyle name="Thousands1 2 2 2" xfId="1470"/>
    <cellStyle name="Thousands1 2 3" xfId="1471"/>
    <cellStyle name="Thousands1 3" xfId="1472"/>
    <cellStyle name="Thousands1 3 2" xfId="1473"/>
    <cellStyle name="Thousands1 4" xfId="1474"/>
    <cellStyle name="Tickmark" xfId="1475"/>
    <cellStyle name="Title" xfId="4" builtinId="15" customBuiltin="1"/>
    <cellStyle name="Title 2" xfId="1476"/>
    <cellStyle name="Title 3" xfId="1477"/>
    <cellStyle name="Total" xfId="20" builtinId="25" customBuiltin="1"/>
    <cellStyle name="Total 2" xfId="1478"/>
    <cellStyle name="Total 3" xfId="1479"/>
    <cellStyle name="Total 3 2" xfId="1480"/>
    <cellStyle name="Total 3 2 2" xfId="1481"/>
    <cellStyle name="Total 3 3" xfId="1482"/>
    <cellStyle name="Total 4" xfId="1483"/>
    <cellStyle name="Total 4 2" xfId="1484"/>
    <cellStyle name="Total 5" xfId="1485"/>
    <cellStyle name="ubordinated Debt" xfId="1486"/>
    <cellStyle name="UNITS" xfId="1487"/>
    <cellStyle name="Unprot" xfId="1488"/>
    <cellStyle name="Unprot 2" xfId="1489"/>
    <cellStyle name="Unprot$" xfId="1490"/>
    <cellStyle name="Unprot$ 2" xfId="1491"/>
    <cellStyle name="Unprot$ 3" xfId="1492"/>
    <cellStyle name="Unprotect" xfId="1493"/>
    <cellStyle name="UNSHADED" xfId="1494"/>
    <cellStyle name="Warning Text" xfId="17" builtinId="11" customBuiltin="1"/>
    <cellStyle name="Warning Text 2" xfId="1495"/>
    <cellStyle name="Year" xfId="1496"/>
    <cellStyle name="標準_HB_diagram-HHH" xfId="1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61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chards\AppData\Local\Microsoft\Windows\Temporary%20Internet%20Files\Content.Outlook\Y88FCYWI\Gulf%20Power%20Other%20Produ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\Southern%20Company\Gulf%20Power\Accrual\OTher%20PRoduction%20accrual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R "/>
      <sheetName val="Interim Rremoval Cost %"/>
      <sheetName val="Pace 343"/>
      <sheetName val="Pace 344"/>
      <sheetName val="Pace 345"/>
      <sheetName val="Perdido 341"/>
      <sheetName val="Perdido 342"/>
      <sheetName val="Perdido 343"/>
      <sheetName val="Perdido 345"/>
      <sheetName val="Perdido 346"/>
      <sheetName val="Smith CT 341"/>
      <sheetName val="Smith CT 342"/>
      <sheetName val="Smith CT 343"/>
      <sheetName val="Smith CT 344"/>
      <sheetName val="Smith CT 345"/>
      <sheetName val="Smith CT 346"/>
      <sheetName val="Smith U3 CC 341"/>
      <sheetName val="Smith U3 CC 342"/>
      <sheetName val="Smith U3 CC 343"/>
      <sheetName val="Smith U3 CC 344"/>
      <sheetName val="Smith U3 CC 345"/>
      <sheetName val="Smith U3 CC 346"/>
      <sheetName val="Average Age"/>
      <sheetName val="Terminal Dates"/>
      <sheetName val="Other Production Summary"/>
    </sheetNames>
    <sheetDataSet>
      <sheetData sheetId="0"/>
      <sheetData sheetId="1">
        <row r="4">
          <cell r="D4">
            <v>-0.25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4">
          <cell r="C14">
            <v>1045759.92</v>
          </cell>
          <cell r="E14">
            <v>17.7</v>
          </cell>
          <cell r="G14">
            <v>186903.52020000006</v>
          </cell>
          <cell r="I14">
            <v>124602.34680000003</v>
          </cell>
          <cell r="K14">
            <v>311505.86700000009</v>
          </cell>
          <cell r="M14">
            <v>1.5E-3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ge"/>
      <sheetName val="343 Pace"/>
      <sheetName val="344 Pace"/>
      <sheetName val="345 Pace"/>
      <sheetName val="341 Perdido"/>
      <sheetName val="342 Perdido"/>
      <sheetName val="343 Perdido"/>
      <sheetName val="345 Perdido"/>
      <sheetName val="346 Perdido"/>
      <sheetName val="341 Smith CT"/>
      <sheetName val="342 Smith CT"/>
      <sheetName val="343 Smith CT"/>
      <sheetName val="344 Smith CT"/>
      <sheetName val="345 Smith CT"/>
      <sheetName val="346 Smith CT"/>
      <sheetName val="341 Smith CC"/>
      <sheetName val="342 Smith CC"/>
      <sheetName val="343 Smith CC"/>
      <sheetName val="344 Smith CC"/>
      <sheetName val="345 Smith CC"/>
      <sheetName val="346 Smith CC"/>
      <sheetName val="IRR and Int Ret %"/>
      <sheetName val="Composite Accr by Plt"/>
      <sheetName val="Comparison Accr"/>
      <sheetName val="WL vs R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>
        <row r="1">
          <cell r="A1" t="str">
            <v>GULF POWER</v>
          </cell>
        </row>
        <row r="5">
          <cell r="A5" t="str">
            <v>As of December 31, 2016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55"/>
  <sheetViews>
    <sheetView tabSelected="1" workbookViewId="0">
      <selection activeCell="V22" sqref="V22"/>
    </sheetView>
  </sheetViews>
  <sheetFormatPr defaultRowHeight="15"/>
  <cols>
    <col min="1" max="1" width="11.28515625" style="13" bestFit="1" customWidth="1"/>
    <col min="2" max="2" width="22.5703125" style="13" customWidth="1"/>
    <col min="3" max="3" width="4.5703125" style="13" customWidth="1"/>
    <col min="4" max="4" width="17.28515625" style="13" customWidth="1"/>
    <col min="5" max="5" width="2" style="13" customWidth="1"/>
    <col min="6" max="6" width="14" style="13" bestFit="1" customWidth="1"/>
    <col min="7" max="7" width="3.28515625" style="13" customWidth="1"/>
    <col min="8" max="10" width="9.28515625" style="13" bestFit="1" customWidth="1"/>
    <col min="11" max="11" width="2.28515625" style="13" customWidth="1"/>
    <col min="12" max="12" width="14" style="13" bestFit="1" customWidth="1"/>
    <col min="13" max="13" width="1.5703125" style="13" customWidth="1"/>
    <col min="14" max="14" width="16.7109375" style="13" customWidth="1"/>
    <col min="15" max="15" width="3" style="13" customWidth="1"/>
    <col min="16" max="16" width="14.7109375" style="13" customWidth="1"/>
    <col min="17" max="17" width="2.85546875" style="13" customWidth="1"/>
    <col min="18" max="18" width="14.7109375" style="13" customWidth="1"/>
    <col min="19" max="19" width="2.85546875" style="13" customWidth="1"/>
    <col min="20" max="20" width="14.85546875" style="13" customWidth="1"/>
    <col min="21" max="21" width="1.42578125" style="13" customWidth="1"/>
    <col min="22" max="22" width="15.140625" style="13" customWidth="1"/>
    <col min="23" max="23" width="1.5703125" style="13" customWidth="1"/>
    <col min="24" max="24" width="14.5703125" style="13" customWidth="1"/>
    <col min="25" max="25" width="1.140625" style="13" customWidth="1"/>
    <col min="26" max="26" width="16.42578125" style="13" customWidth="1"/>
    <col min="27" max="16384" width="9.140625" style="13"/>
  </cols>
  <sheetData>
    <row r="1" spans="1:26">
      <c r="A1" s="23"/>
      <c r="B1" s="22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3"/>
      <c r="T1" s="23"/>
      <c r="U1" s="23"/>
      <c r="V1" s="23"/>
      <c r="W1" s="9"/>
    </row>
    <row r="2" spans="1:26">
      <c r="A2" s="23"/>
      <c r="B2" s="22" t="s">
        <v>45</v>
      </c>
      <c r="C2" s="17"/>
      <c r="D2" s="17"/>
      <c r="E2" s="17"/>
      <c r="F2" s="17"/>
      <c r="G2" s="17"/>
      <c r="H2" s="17"/>
      <c r="I2" s="17"/>
      <c r="J2" s="17"/>
      <c r="K2" s="17"/>
      <c r="L2" s="22" t="s">
        <v>1</v>
      </c>
      <c r="M2" s="17"/>
      <c r="N2" s="17"/>
      <c r="O2" s="17"/>
      <c r="P2" s="24">
        <f>+'[1]Interim Rremoval Cost %'!D4</f>
        <v>-0.25</v>
      </c>
      <c r="Q2" s="17"/>
      <c r="R2" s="17" t="s">
        <v>46</v>
      </c>
      <c r="S2" s="23"/>
      <c r="T2" s="23"/>
      <c r="U2" s="23"/>
      <c r="V2" s="23"/>
      <c r="W2" s="9"/>
    </row>
    <row r="3" spans="1:26">
      <c r="A3" s="23"/>
      <c r="B3" s="22" t="s">
        <v>47</v>
      </c>
      <c r="C3" s="17"/>
      <c r="D3" s="17"/>
      <c r="E3" s="17"/>
      <c r="F3" s="17"/>
      <c r="G3" s="17"/>
      <c r="H3" s="17"/>
      <c r="I3" s="17"/>
      <c r="J3" s="17"/>
      <c r="K3" s="17"/>
      <c r="L3" s="22" t="s">
        <v>2</v>
      </c>
      <c r="M3" s="17"/>
      <c r="N3" s="17"/>
      <c r="O3" s="17"/>
      <c r="P3" s="24">
        <v>0</v>
      </c>
      <c r="Q3" s="17"/>
      <c r="R3" s="17" t="s">
        <v>48</v>
      </c>
      <c r="S3" s="23"/>
      <c r="T3" s="23"/>
      <c r="U3" s="23"/>
      <c r="V3" s="23"/>
      <c r="W3" s="9"/>
    </row>
    <row r="4" spans="1:26">
      <c r="A4" s="23"/>
      <c r="B4" s="22" t="s">
        <v>49</v>
      </c>
      <c r="C4" s="17"/>
      <c r="D4" s="17"/>
      <c r="E4" s="17"/>
      <c r="F4" s="17"/>
      <c r="G4" s="17"/>
      <c r="H4" s="17"/>
      <c r="I4" s="17"/>
      <c r="J4" s="17"/>
      <c r="K4" s="17"/>
      <c r="L4" s="22" t="s">
        <v>3</v>
      </c>
      <c r="M4" s="17"/>
      <c r="N4" s="17"/>
      <c r="O4" s="17"/>
      <c r="P4" s="24">
        <f>(D46+H46)/(B46+F46)</f>
        <v>-3.3548207157702145E-3</v>
      </c>
      <c r="Q4" s="17"/>
      <c r="R4" s="17"/>
      <c r="S4" s="23"/>
      <c r="T4" s="23"/>
      <c r="U4" s="23"/>
      <c r="V4" s="23"/>
      <c r="W4" s="9"/>
    </row>
    <row r="5" spans="1:26">
      <c r="A5" s="23"/>
      <c r="B5" s="17"/>
      <c r="C5" s="17"/>
      <c r="D5" s="17"/>
      <c r="E5" s="17"/>
      <c r="F5" s="17"/>
      <c r="G5" s="17"/>
      <c r="H5" s="17"/>
      <c r="I5" s="17"/>
      <c r="J5" s="17"/>
      <c r="K5" s="17"/>
      <c r="L5" s="22" t="s">
        <v>4</v>
      </c>
      <c r="M5" s="17"/>
      <c r="N5" s="17"/>
      <c r="O5" s="17"/>
      <c r="P5" s="20">
        <f>'[1]Other Production Summary'!E14</f>
        <v>17.7</v>
      </c>
      <c r="Q5" s="17"/>
      <c r="R5" s="17" t="s">
        <v>50</v>
      </c>
      <c r="S5" s="23"/>
      <c r="T5" s="23"/>
      <c r="U5" s="23"/>
      <c r="V5" s="23"/>
      <c r="W5" s="9"/>
    </row>
    <row r="6" spans="1:26">
      <c r="A6" s="23"/>
      <c r="B6" s="17"/>
      <c r="C6" s="17"/>
      <c r="D6" s="17"/>
      <c r="E6" s="17"/>
      <c r="F6" s="17"/>
      <c r="G6" s="17"/>
      <c r="H6" s="17"/>
      <c r="I6" s="17"/>
      <c r="J6" s="17"/>
      <c r="K6" s="17"/>
      <c r="L6" s="22" t="s">
        <v>5</v>
      </c>
      <c r="M6" s="17"/>
      <c r="N6" s="17"/>
      <c r="O6" s="17"/>
      <c r="P6" s="20">
        <f>N46/(L21+J46)</f>
        <v>11.405930726797997</v>
      </c>
      <c r="Q6" s="17"/>
      <c r="R6" s="17"/>
      <c r="S6" s="23"/>
      <c r="T6" s="23"/>
      <c r="U6" s="23"/>
      <c r="V6" s="23"/>
      <c r="W6" s="9"/>
    </row>
    <row r="7" spans="1:26">
      <c r="A7" s="23"/>
      <c r="B7" s="17"/>
      <c r="C7" s="17"/>
      <c r="D7" s="17"/>
      <c r="E7" s="17"/>
      <c r="F7" s="17"/>
      <c r="G7" s="17"/>
      <c r="H7" s="17"/>
      <c r="I7" s="17"/>
      <c r="J7" s="17"/>
      <c r="K7" s="17"/>
      <c r="L7" s="22" t="s">
        <v>6</v>
      </c>
      <c r="M7" s="17"/>
      <c r="N7" s="17"/>
      <c r="O7" s="17"/>
      <c r="P7" s="20">
        <f>P5+P6</f>
        <v>29.105930726797997</v>
      </c>
      <c r="Q7" s="17"/>
      <c r="R7" s="17"/>
      <c r="S7" s="23"/>
      <c r="T7" s="23"/>
      <c r="U7" s="23"/>
      <c r="V7" s="23"/>
      <c r="W7" s="9"/>
    </row>
    <row r="8" spans="1:26">
      <c r="A8" s="23"/>
      <c r="B8" s="17"/>
      <c r="C8" s="17"/>
      <c r="D8" s="17"/>
      <c r="E8" s="17"/>
      <c r="F8" s="17"/>
      <c r="G8" s="17"/>
      <c r="H8" s="17"/>
      <c r="I8" s="17"/>
      <c r="J8" s="17"/>
      <c r="K8" s="17"/>
      <c r="L8" s="22" t="s">
        <v>7</v>
      </c>
      <c r="M8" s="17"/>
      <c r="N8" s="17"/>
      <c r="O8" s="17"/>
      <c r="P8" s="24">
        <f>+R21/L21</f>
        <v>0.17872507506311777</v>
      </c>
      <c r="Q8" s="17"/>
      <c r="R8" s="17"/>
      <c r="S8" s="23"/>
      <c r="T8" s="23"/>
      <c r="U8" s="23"/>
      <c r="V8" s="23"/>
      <c r="W8" s="9"/>
    </row>
    <row r="9" spans="1:26">
      <c r="A9" s="23"/>
      <c r="B9" s="17"/>
      <c r="C9" s="17"/>
      <c r="D9" s="17"/>
      <c r="E9" s="17"/>
      <c r="F9" s="17"/>
      <c r="G9" s="17"/>
      <c r="H9" s="17"/>
      <c r="I9" s="17"/>
      <c r="J9" s="17"/>
      <c r="K9" s="17"/>
      <c r="L9" s="22" t="s">
        <v>8</v>
      </c>
      <c r="M9" s="17"/>
      <c r="N9" s="17"/>
      <c r="O9" s="17"/>
      <c r="P9" s="17">
        <f>((P5/P7)*((1-P4))*L21)</f>
        <v>638084.66817272047</v>
      </c>
      <c r="Q9" s="17"/>
      <c r="R9" s="17"/>
      <c r="S9" s="23"/>
      <c r="T9" s="23"/>
      <c r="U9" s="23"/>
      <c r="V9" s="23"/>
      <c r="W9" s="9"/>
    </row>
    <row r="10" spans="1:26">
      <c r="A10" s="23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22" t="s">
        <v>9</v>
      </c>
      <c r="M10" s="17"/>
      <c r="N10" s="17"/>
      <c r="O10" s="17"/>
      <c r="P10" s="16">
        <f>'[1]Other Production Summary'!M14</f>
        <v>1.5E-3</v>
      </c>
      <c r="Q10" s="17"/>
      <c r="R10" s="17" t="s">
        <v>50</v>
      </c>
      <c r="S10" s="23"/>
      <c r="T10" s="23"/>
      <c r="U10" s="23"/>
      <c r="V10" s="23"/>
      <c r="W10" s="9"/>
    </row>
    <row r="11" spans="1:26">
      <c r="A11" s="2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22" t="s">
        <v>10</v>
      </c>
      <c r="M11" s="17"/>
      <c r="N11" s="17"/>
      <c r="O11" s="17"/>
      <c r="P11" s="25">
        <v>0</v>
      </c>
      <c r="Q11" s="17"/>
      <c r="R11" s="17"/>
      <c r="S11" s="23"/>
      <c r="T11" s="23"/>
      <c r="U11" s="23"/>
      <c r="V11" s="23"/>
      <c r="W11" s="9"/>
    </row>
    <row r="12" spans="1:26">
      <c r="A12" s="23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22" t="s">
        <v>11</v>
      </c>
      <c r="M12" s="17"/>
      <c r="N12" s="17"/>
      <c r="O12" s="17"/>
      <c r="P12" s="28">
        <f>P13+P14</f>
        <v>6.1852005987820362E-2</v>
      </c>
      <c r="Q12" s="17"/>
      <c r="R12" s="17"/>
      <c r="S12" s="23"/>
      <c r="T12" s="23"/>
      <c r="U12" s="23"/>
      <c r="V12" s="23"/>
      <c r="W12" s="9"/>
    </row>
    <row r="13" spans="1:26">
      <c r="A13" s="2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22" t="s">
        <v>13</v>
      </c>
      <c r="M13" s="6"/>
      <c r="N13" s="6"/>
      <c r="O13" s="6"/>
      <c r="P13" s="28">
        <f>(L21-R21)/N46</f>
        <v>7.2004200674944827E-2</v>
      </c>
      <c r="Q13" s="17"/>
      <c r="R13" s="17"/>
      <c r="S13" s="23"/>
      <c r="T13" s="23"/>
      <c r="U13" s="23"/>
      <c r="V13" s="23"/>
      <c r="W13" s="9"/>
    </row>
    <row r="14" spans="1:26">
      <c r="A14" s="2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22" t="s">
        <v>12</v>
      </c>
      <c r="M14" s="17"/>
      <c r="N14" s="17"/>
      <c r="O14" s="17"/>
      <c r="P14" s="28">
        <f>-(+D46+H46+V21)/N46</f>
        <v>-1.0152194687124463E-2</v>
      </c>
      <c r="Q14" s="17"/>
      <c r="R14" s="17"/>
      <c r="S14" s="23"/>
      <c r="T14" s="23"/>
      <c r="U14" s="23"/>
      <c r="V14" s="23"/>
      <c r="W14" s="9"/>
    </row>
    <row r="15" spans="1:26">
      <c r="A15" s="2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2"/>
      <c r="M15" s="17"/>
      <c r="N15" s="17"/>
      <c r="O15" s="17"/>
      <c r="P15" s="14"/>
      <c r="Q15" s="17"/>
      <c r="R15" s="17"/>
      <c r="S15" s="23"/>
      <c r="T15" s="23"/>
      <c r="U15" s="23"/>
      <c r="V15" s="23"/>
      <c r="W15" s="9"/>
    </row>
    <row r="16" spans="1:26">
      <c r="A16" s="19" t="s">
        <v>14</v>
      </c>
      <c r="B16" s="18" t="s">
        <v>15</v>
      </c>
      <c r="C16" s="18"/>
      <c r="D16" s="18" t="s">
        <v>16</v>
      </c>
      <c r="E16" s="18"/>
      <c r="F16" s="18" t="s">
        <v>17</v>
      </c>
      <c r="G16" s="18"/>
      <c r="H16" s="18" t="s">
        <v>18</v>
      </c>
      <c r="I16" s="18"/>
      <c r="J16" s="18" t="s">
        <v>19</v>
      </c>
      <c r="K16" s="17"/>
      <c r="L16" s="18" t="s">
        <v>20</v>
      </c>
      <c r="M16" s="17"/>
      <c r="N16" s="18" t="s">
        <v>21</v>
      </c>
      <c r="O16" s="18"/>
      <c r="P16" s="18" t="s">
        <v>22</v>
      </c>
      <c r="Q16" s="18"/>
      <c r="R16" s="18" t="s">
        <v>23</v>
      </c>
      <c r="S16" s="18"/>
      <c r="T16" s="2" t="s">
        <v>51</v>
      </c>
      <c r="U16" s="2"/>
      <c r="V16" s="2" t="s">
        <v>52</v>
      </c>
      <c r="W16" s="2"/>
      <c r="X16" s="2" t="s">
        <v>53</v>
      </c>
      <c r="Y16" s="2"/>
      <c r="Z16" s="2" t="s">
        <v>54</v>
      </c>
    </row>
    <row r="17" spans="1:26">
      <c r="A17" s="19"/>
      <c r="B17" s="18" t="s">
        <v>24</v>
      </c>
      <c r="C17" s="18"/>
      <c r="D17" s="18" t="s">
        <v>24</v>
      </c>
      <c r="E17" s="18"/>
      <c r="F17" s="18" t="s">
        <v>25</v>
      </c>
      <c r="G17" s="18"/>
      <c r="H17" s="18" t="s">
        <v>25</v>
      </c>
      <c r="I17" s="18"/>
      <c r="J17" s="18" t="s">
        <v>24</v>
      </c>
      <c r="K17" s="17"/>
      <c r="L17" s="18" t="s">
        <v>26</v>
      </c>
      <c r="M17" s="17"/>
      <c r="N17" s="18" t="s">
        <v>27</v>
      </c>
      <c r="O17" s="18"/>
      <c r="P17" s="12" t="s">
        <v>55</v>
      </c>
      <c r="Q17" s="19"/>
      <c r="R17" s="8" t="s">
        <v>56</v>
      </c>
      <c r="S17" s="18"/>
      <c r="T17" s="2" t="s">
        <v>57</v>
      </c>
      <c r="U17" s="2"/>
      <c r="V17" s="2" t="s">
        <v>58</v>
      </c>
      <c r="W17" s="2"/>
      <c r="X17" s="2" t="s">
        <v>28</v>
      </c>
      <c r="Y17" s="2"/>
      <c r="Z17" s="2" t="s">
        <v>26</v>
      </c>
    </row>
    <row r="18" spans="1:26">
      <c r="A18" s="21" t="s">
        <v>29</v>
      </c>
      <c r="B18" s="27" t="s">
        <v>30</v>
      </c>
      <c r="C18" s="27"/>
      <c r="D18" s="27" t="s">
        <v>31</v>
      </c>
      <c r="E18" s="27"/>
      <c r="F18" s="27" t="s">
        <v>32</v>
      </c>
      <c r="G18" s="27"/>
      <c r="H18" s="27" t="s">
        <v>31</v>
      </c>
      <c r="I18" s="27"/>
      <c r="J18" s="27" t="s">
        <v>33</v>
      </c>
      <c r="K18" s="17"/>
      <c r="L18" s="27" t="s">
        <v>34</v>
      </c>
      <c r="M18" s="17"/>
      <c r="N18" s="27" t="s">
        <v>34</v>
      </c>
      <c r="O18" s="27"/>
      <c r="P18" s="5" t="s">
        <v>35</v>
      </c>
      <c r="Q18" s="21"/>
      <c r="R18" s="3" t="s">
        <v>36</v>
      </c>
      <c r="S18" s="27"/>
      <c r="T18" s="1" t="s">
        <v>35</v>
      </c>
      <c r="U18" s="1"/>
      <c r="V18" s="1" t="s">
        <v>36</v>
      </c>
      <c r="W18" s="1"/>
      <c r="X18" s="1" t="s">
        <v>35</v>
      </c>
      <c r="Y18" s="1"/>
      <c r="Z18" s="11" t="s">
        <v>36</v>
      </c>
    </row>
    <row r="19" spans="1:26">
      <c r="A19" s="23"/>
      <c r="B19" s="18" t="s">
        <v>37</v>
      </c>
      <c r="C19" s="17"/>
      <c r="D19" s="18" t="s">
        <v>37</v>
      </c>
      <c r="E19" s="17"/>
      <c r="F19" s="18" t="s">
        <v>37</v>
      </c>
      <c r="G19" s="17"/>
      <c r="H19" s="18" t="s">
        <v>37</v>
      </c>
      <c r="I19" s="17"/>
      <c r="J19" s="18" t="s">
        <v>37</v>
      </c>
      <c r="K19" s="17"/>
      <c r="L19" s="18" t="s">
        <v>37</v>
      </c>
      <c r="M19" s="17"/>
      <c r="N19" s="18" t="s">
        <v>37</v>
      </c>
      <c r="O19" s="17"/>
      <c r="P19" s="19" t="s">
        <v>37</v>
      </c>
      <c r="Q19" s="19"/>
      <c r="R19" s="19" t="s">
        <v>37</v>
      </c>
      <c r="S19" s="18"/>
      <c r="T19" s="2" t="s">
        <v>37</v>
      </c>
      <c r="U19" s="2"/>
      <c r="V19" s="2" t="s">
        <v>37</v>
      </c>
      <c r="W19" s="2"/>
      <c r="X19" s="2" t="s">
        <v>37</v>
      </c>
      <c r="Y19" s="2"/>
      <c r="Z19" s="2" t="s">
        <v>37</v>
      </c>
    </row>
    <row r="20" spans="1:26">
      <c r="A20" s="23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V20" s="23"/>
      <c r="W20" s="9"/>
    </row>
    <row r="21" spans="1:26">
      <c r="A21" s="10">
        <v>42735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>
        <f>'[1]Other Production Summary'!C14</f>
        <v>1045759.92</v>
      </c>
      <c r="M21" s="17"/>
      <c r="N21" s="17"/>
      <c r="O21" s="17"/>
      <c r="P21" s="17"/>
      <c r="Q21" s="17"/>
      <c r="R21" s="17">
        <f>'[1]Other Production Summary'!G14</f>
        <v>186903.52020000006</v>
      </c>
      <c r="S21" s="17"/>
      <c r="V21" s="17">
        <f>'[1]Other Production Summary'!I14</f>
        <v>124602.34680000003</v>
      </c>
      <c r="W21" s="9"/>
      <c r="Z21" s="17">
        <f>'[1]Other Production Summary'!K14</f>
        <v>311505.86700000009</v>
      </c>
    </row>
    <row r="22" spans="1:26">
      <c r="A22" s="23">
        <v>2017</v>
      </c>
      <c r="B22" s="17">
        <f t="shared" ref="B22:B30" si="0">L21*$P$10</f>
        <v>1568.6398800000002</v>
      </c>
      <c r="C22" s="17"/>
      <c r="D22" s="17">
        <f t="shared" ref="D22:D42" si="1">B22*$P$2</f>
        <v>-392.15997000000004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>L21+J22-B22-F22</f>
        <v>1044191.28012</v>
      </c>
      <c r="M22" s="17"/>
      <c r="N22" s="17">
        <f>(L21+L22)/2</f>
        <v>1044975.6000600001</v>
      </c>
      <c r="O22" s="17"/>
      <c r="P22" s="17">
        <f>+N22*P$13</f>
        <v>75242.632807141126</v>
      </c>
      <c r="Q22" s="17"/>
      <c r="R22" s="17">
        <f>R21+P22-B22-F22</f>
        <v>260577.5131271412</v>
      </c>
      <c r="S22" s="17"/>
      <c r="T22" s="17">
        <f>N22*$P$14</f>
        <v>-10608.795735103831</v>
      </c>
      <c r="V22" s="17">
        <f>V21+T22+D22+H22</f>
        <v>113601.3910948962</v>
      </c>
      <c r="W22" s="17"/>
      <c r="X22" s="17">
        <f>P22+T22</f>
        <v>64633.837072037291</v>
      </c>
      <c r="Y22" s="17"/>
      <c r="Z22" s="17">
        <f>R22+V22</f>
        <v>374178.90422203741</v>
      </c>
    </row>
    <row r="23" spans="1:26">
      <c r="A23" s="23">
        <f t="shared" ref="A23:A45" si="2">A22+1</f>
        <v>2018</v>
      </c>
      <c r="B23" s="17">
        <f t="shared" si="0"/>
        <v>1566.2869201800002</v>
      </c>
      <c r="C23" s="17"/>
      <c r="D23" s="17">
        <f t="shared" si="1"/>
        <v>-391.57173004500004</v>
      </c>
      <c r="E23" s="17"/>
      <c r="F23" s="17"/>
      <c r="G23" s="17"/>
      <c r="H23" s="17"/>
      <c r="I23" s="17"/>
      <c r="J23" s="17">
        <f t="shared" ref="J23:J45" si="3">B23*$P$11</f>
        <v>0</v>
      </c>
      <c r="K23" s="17"/>
      <c r="L23" s="17">
        <f t="shared" ref="L23:L45" si="4">L22+J23-B23-F23</f>
        <v>1042624.99319982</v>
      </c>
      <c r="M23" s="17"/>
      <c r="N23" s="17">
        <f t="shared" ref="N23:N45" si="5">(L22+L23)/2</f>
        <v>1043408.13665991</v>
      </c>
      <c r="O23" s="17"/>
      <c r="P23" s="17">
        <f t="shared" ref="P23:P45" si="6">+N23*P$13</f>
        <v>75129.768857930409</v>
      </c>
      <c r="Q23" s="17"/>
      <c r="R23" s="17">
        <f t="shared" ref="R23:R45" si="7">R22+P23-B23-F23</f>
        <v>334140.99506489158</v>
      </c>
      <c r="S23" s="17"/>
      <c r="T23" s="17">
        <f t="shared" ref="T23:T33" si="8">N23*$P$14</f>
        <v>-10592.882541501174</v>
      </c>
      <c r="V23" s="17">
        <f t="shared" ref="V23:V33" si="9">V22+T23+D23+H23</f>
        <v>102616.93682335001</v>
      </c>
      <c r="W23" s="9"/>
      <c r="X23" s="17">
        <f t="shared" ref="X23:X33" si="10">P23+T23</f>
        <v>64536.886316429234</v>
      </c>
      <c r="Z23" s="17">
        <f t="shared" ref="Z23:Z33" si="11">R23+V23</f>
        <v>436757.93188824161</v>
      </c>
    </row>
    <row r="24" spans="1:26">
      <c r="A24" s="23">
        <f t="shared" si="2"/>
        <v>2019</v>
      </c>
      <c r="B24" s="17">
        <f t="shared" si="0"/>
        <v>1563.9374897997302</v>
      </c>
      <c r="C24" s="17"/>
      <c r="D24" s="17">
        <f t="shared" si="1"/>
        <v>-390.98437244993255</v>
      </c>
      <c r="E24" s="17"/>
      <c r="F24" s="17"/>
      <c r="G24" s="17"/>
      <c r="H24" s="17"/>
      <c r="I24" s="17"/>
      <c r="J24" s="17">
        <f t="shared" si="3"/>
        <v>0</v>
      </c>
      <c r="K24" s="17"/>
      <c r="L24" s="17">
        <f t="shared" si="4"/>
        <v>1041061.0557100204</v>
      </c>
      <c r="M24" s="17"/>
      <c r="N24" s="17">
        <f t="shared" si="5"/>
        <v>1041843.0244549202</v>
      </c>
      <c r="O24" s="17"/>
      <c r="P24" s="17">
        <f t="shared" si="6"/>
        <v>75017.074204643519</v>
      </c>
      <c r="Q24" s="17"/>
      <c r="R24" s="17">
        <f t="shared" si="7"/>
        <v>407594.13177973538</v>
      </c>
      <c r="S24" s="17"/>
      <c r="T24" s="17">
        <f t="shared" si="8"/>
        <v>-10576.993217688923</v>
      </c>
      <c r="V24" s="17">
        <f t="shared" si="9"/>
        <v>91648.95923321115</v>
      </c>
      <c r="W24" s="9"/>
      <c r="X24" s="17">
        <f t="shared" si="10"/>
        <v>64440.080986954592</v>
      </c>
      <c r="Z24" s="17">
        <f t="shared" si="11"/>
        <v>499243.09101294656</v>
      </c>
    </row>
    <row r="25" spans="1:26">
      <c r="A25" s="23">
        <f t="shared" si="2"/>
        <v>2020</v>
      </c>
      <c r="B25" s="17">
        <f t="shared" si="0"/>
        <v>1561.5915835650305</v>
      </c>
      <c r="C25" s="17"/>
      <c r="D25" s="17">
        <f t="shared" si="1"/>
        <v>-390.39789589125763</v>
      </c>
      <c r="E25" s="17"/>
      <c r="F25" s="17"/>
      <c r="G25" s="17"/>
      <c r="H25" s="17"/>
      <c r="I25" s="17"/>
      <c r="J25" s="17">
        <f t="shared" si="3"/>
        <v>0</v>
      </c>
      <c r="K25" s="17"/>
      <c r="L25" s="17">
        <f t="shared" si="4"/>
        <v>1039499.4641264554</v>
      </c>
      <c r="M25" s="17"/>
      <c r="N25" s="17">
        <f t="shared" si="5"/>
        <v>1040280.2599182378</v>
      </c>
      <c r="O25" s="17"/>
      <c r="P25" s="17">
        <f t="shared" si="6"/>
        <v>74904.548593336556</v>
      </c>
      <c r="Q25" s="17"/>
      <c r="R25" s="17">
        <f t="shared" si="7"/>
        <v>480937.08878950687</v>
      </c>
      <c r="S25" s="17"/>
      <c r="T25" s="17">
        <f t="shared" si="8"/>
        <v>-10561.127727862389</v>
      </c>
      <c r="V25" s="17">
        <f t="shared" si="9"/>
        <v>80697.433609457497</v>
      </c>
      <c r="W25" s="9"/>
      <c r="X25" s="17">
        <f t="shared" si="10"/>
        <v>64343.420865474167</v>
      </c>
      <c r="Z25" s="17">
        <f t="shared" si="11"/>
        <v>561634.52239896439</v>
      </c>
    </row>
    <row r="26" spans="1:26">
      <c r="A26" s="23">
        <f t="shared" si="2"/>
        <v>2021</v>
      </c>
      <c r="B26" s="17">
        <f t="shared" si="0"/>
        <v>1559.2491961896831</v>
      </c>
      <c r="C26" s="17"/>
      <c r="D26" s="17">
        <f t="shared" si="1"/>
        <v>-389.81229904742077</v>
      </c>
      <c r="E26" s="17"/>
      <c r="F26" s="17"/>
      <c r="G26" s="17"/>
      <c r="H26" s="17"/>
      <c r="I26" s="17"/>
      <c r="J26" s="17">
        <f t="shared" si="3"/>
        <v>0</v>
      </c>
      <c r="K26" s="17"/>
      <c r="L26" s="17">
        <f t="shared" si="4"/>
        <v>1037940.2149302657</v>
      </c>
      <c r="M26" s="17"/>
      <c r="N26" s="17">
        <f t="shared" si="5"/>
        <v>1038719.8395283605</v>
      </c>
      <c r="O26" s="17"/>
      <c r="P26" s="17">
        <f t="shared" si="6"/>
        <v>74792.19177044656</v>
      </c>
      <c r="Q26" s="17"/>
      <c r="R26" s="17">
        <f t="shared" si="7"/>
        <v>554170.03136376373</v>
      </c>
      <c r="S26" s="17"/>
      <c r="T26" s="17">
        <f t="shared" si="8"/>
        <v>-10545.286036270596</v>
      </c>
      <c r="V26" s="17">
        <f t="shared" si="9"/>
        <v>69762.335274139477</v>
      </c>
      <c r="W26" s="9"/>
      <c r="X26" s="17">
        <f t="shared" si="10"/>
        <v>64246.905734175962</v>
      </c>
      <c r="Z26" s="17">
        <f t="shared" si="11"/>
        <v>623932.36663790327</v>
      </c>
    </row>
    <row r="27" spans="1:26">
      <c r="A27" s="23">
        <f t="shared" si="2"/>
        <v>2022</v>
      </c>
      <c r="B27" s="17">
        <f t="shared" si="0"/>
        <v>1556.9103223953985</v>
      </c>
      <c r="C27" s="17"/>
      <c r="D27" s="17">
        <f t="shared" si="1"/>
        <v>-389.22758059884961</v>
      </c>
      <c r="E27" s="17"/>
      <c r="F27" s="17"/>
      <c r="G27" s="17"/>
      <c r="H27" s="17"/>
      <c r="I27" s="17"/>
      <c r="J27" s="17">
        <f t="shared" si="3"/>
        <v>0</v>
      </c>
      <c r="K27" s="17"/>
      <c r="L27" s="17">
        <f t="shared" si="4"/>
        <v>1036383.3046078703</v>
      </c>
      <c r="M27" s="17"/>
      <c r="N27" s="17">
        <f t="shared" si="5"/>
        <v>1037161.759769068</v>
      </c>
      <c r="O27" s="17"/>
      <c r="P27" s="17">
        <f t="shared" si="6"/>
        <v>74680.003482790882</v>
      </c>
      <c r="Q27" s="17"/>
      <c r="R27" s="17">
        <f t="shared" si="7"/>
        <v>627293.12452415924</v>
      </c>
      <c r="S27" s="17"/>
      <c r="T27" s="17">
        <f t="shared" si="8"/>
        <v>-10529.468107216191</v>
      </c>
      <c r="V27" s="17">
        <f t="shared" si="9"/>
        <v>58843.63958632444</v>
      </c>
      <c r="W27" s="9"/>
      <c r="X27" s="17">
        <f t="shared" si="10"/>
        <v>64150.535375574691</v>
      </c>
      <c r="Z27" s="17">
        <f t="shared" si="11"/>
        <v>686136.76411048369</v>
      </c>
    </row>
    <row r="28" spans="1:26">
      <c r="A28" s="23">
        <f t="shared" si="2"/>
        <v>2023</v>
      </c>
      <c r="B28" s="17">
        <f t="shared" si="0"/>
        <v>1554.5749569118054</v>
      </c>
      <c r="C28" s="17"/>
      <c r="D28" s="17">
        <f t="shared" si="1"/>
        <v>-388.64373922795136</v>
      </c>
      <c r="E28" s="17"/>
      <c r="F28" s="17"/>
      <c r="G28" s="17"/>
      <c r="H28" s="17"/>
      <c r="I28" s="17"/>
      <c r="J28" s="17">
        <f t="shared" si="3"/>
        <v>0</v>
      </c>
      <c r="K28" s="17"/>
      <c r="L28" s="17">
        <f t="shared" si="4"/>
        <v>1034828.7296509584</v>
      </c>
      <c r="M28" s="17"/>
      <c r="N28" s="17">
        <f t="shared" si="5"/>
        <v>1035606.0171294144</v>
      </c>
      <c r="O28" s="17"/>
      <c r="P28" s="17">
        <f t="shared" si="6"/>
        <v>74567.983477566697</v>
      </c>
      <c r="Q28" s="17"/>
      <c r="R28" s="17">
        <f t="shared" si="7"/>
        <v>700306.53304481413</v>
      </c>
      <c r="S28" s="17"/>
      <c r="T28" s="17">
        <f t="shared" si="8"/>
        <v>-10513.673905055366</v>
      </c>
      <c r="V28" s="17">
        <f t="shared" si="9"/>
        <v>47941.321942041119</v>
      </c>
      <c r="W28" s="9"/>
      <c r="X28" s="17">
        <f t="shared" si="10"/>
        <v>64054.309572511331</v>
      </c>
      <c r="Z28" s="17">
        <f t="shared" si="11"/>
        <v>748247.85498685529</v>
      </c>
    </row>
    <row r="29" spans="1:26">
      <c r="A29" s="23">
        <f t="shared" si="2"/>
        <v>2024</v>
      </c>
      <c r="B29" s="17">
        <f t="shared" si="0"/>
        <v>1552.2430944764376</v>
      </c>
      <c r="C29" s="17"/>
      <c r="D29" s="17">
        <f t="shared" si="1"/>
        <v>-388.0607736191094</v>
      </c>
      <c r="E29" s="17"/>
      <c r="F29" s="17"/>
      <c r="G29" s="17"/>
      <c r="H29" s="17"/>
      <c r="I29" s="17"/>
      <c r="J29" s="17">
        <f t="shared" si="3"/>
        <v>0</v>
      </c>
      <c r="K29" s="17"/>
      <c r="L29" s="17">
        <f t="shared" si="4"/>
        <v>1033276.486556482</v>
      </c>
      <c r="M29" s="17"/>
      <c r="N29" s="17">
        <f t="shared" si="5"/>
        <v>1034052.6081037202</v>
      </c>
      <c r="O29" s="17"/>
      <c r="P29" s="17">
        <f t="shared" si="6"/>
        <v>74456.131502350356</v>
      </c>
      <c r="Q29" s="17"/>
      <c r="R29" s="17">
        <f t="shared" si="7"/>
        <v>773210.42145268805</v>
      </c>
      <c r="S29" s="17"/>
      <c r="T29" s="17">
        <f t="shared" si="8"/>
        <v>-10497.903394197783</v>
      </c>
      <c r="V29" s="17">
        <f t="shared" si="9"/>
        <v>37055.357774224227</v>
      </c>
      <c r="W29" s="9"/>
      <c r="X29" s="17">
        <f t="shared" si="10"/>
        <v>63958.228108152573</v>
      </c>
      <c r="Z29" s="17">
        <f t="shared" si="11"/>
        <v>810265.7792269123</v>
      </c>
    </row>
    <row r="30" spans="1:26">
      <c r="A30" s="23">
        <f t="shared" si="2"/>
        <v>2025</v>
      </c>
      <c r="B30" s="17">
        <f t="shared" si="0"/>
        <v>1549.9147298347232</v>
      </c>
      <c r="C30" s="17"/>
      <c r="D30" s="17">
        <f t="shared" si="1"/>
        <v>-387.47868245868079</v>
      </c>
      <c r="E30" s="17"/>
      <c r="F30" s="17"/>
      <c r="G30" s="17"/>
      <c r="H30" s="17"/>
      <c r="I30" s="17"/>
      <c r="J30" s="17">
        <f t="shared" si="3"/>
        <v>0</v>
      </c>
      <c r="K30" s="17"/>
      <c r="L30" s="17">
        <f t="shared" si="4"/>
        <v>1031726.5718266473</v>
      </c>
      <c r="M30" s="17"/>
      <c r="N30" s="17">
        <f t="shared" si="5"/>
        <v>1032501.5291915647</v>
      </c>
      <c r="O30" s="17"/>
      <c r="P30" s="17">
        <f t="shared" si="6"/>
        <v>74344.447305096823</v>
      </c>
      <c r="Q30" s="17"/>
      <c r="R30" s="17">
        <f t="shared" si="7"/>
        <v>846004.95402795007</v>
      </c>
      <c r="S30" s="17"/>
      <c r="T30" s="17">
        <f t="shared" si="8"/>
        <v>-10482.156539106487</v>
      </c>
      <c r="V30" s="17">
        <f t="shared" si="9"/>
        <v>26185.722552659059</v>
      </c>
      <c r="W30" s="9"/>
      <c r="X30" s="17">
        <f t="shared" si="10"/>
        <v>63862.290765990336</v>
      </c>
      <c r="Z30" s="17">
        <f t="shared" si="11"/>
        <v>872190.67658060917</v>
      </c>
    </row>
    <row r="31" spans="1:26">
      <c r="A31" s="23">
        <f t="shared" si="2"/>
        <v>2026</v>
      </c>
      <c r="B31" s="17">
        <v>0</v>
      </c>
      <c r="C31" s="17"/>
      <c r="D31" s="17">
        <f t="shared" si="1"/>
        <v>0</v>
      </c>
      <c r="E31" s="17"/>
      <c r="F31" s="17"/>
      <c r="G31" s="17"/>
      <c r="H31" s="17"/>
      <c r="I31" s="17"/>
      <c r="J31" s="17">
        <f t="shared" si="3"/>
        <v>0</v>
      </c>
      <c r="K31" s="17"/>
      <c r="L31" s="17">
        <f t="shared" si="4"/>
        <v>1031726.5718266473</v>
      </c>
      <c r="M31" s="17"/>
      <c r="N31" s="17">
        <f t="shared" si="5"/>
        <v>1031726.5718266473</v>
      </c>
      <c r="O31" s="17"/>
      <c r="P31" s="17">
        <f t="shared" si="6"/>
        <v>74288.647119478788</v>
      </c>
      <c r="Q31" s="17"/>
      <c r="R31" s="17">
        <f t="shared" si="7"/>
        <v>920293.60114742885</v>
      </c>
      <c r="S31" s="17"/>
      <c r="T31" s="17">
        <f t="shared" si="8"/>
        <v>-10474.289021063623</v>
      </c>
      <c r="V31" s="17">
        <f t="shared" si="9"/>
        <v>15711.433531595436</v>
      </c>
      <c r="W31" s="9"/>
      <c r="X31" s="17">
        <f t="shared" si="10"/>
        <v>63814.358098415163</v>
      </c>
      <c r="Z31" s="17">
        <f t="shared" si="11"/>
        <v>936005.03467902425</v>
      </c>
    </row>
    <row r="32" spans="1:26">
      <c r="A32" s="23">
        <f t="shared" si="2"/>
        <v>2027</v>
      </c>
      <c r="B32" s="17">
        <v>0</v>
      </c>
      <c r="C32" s="17"/>
      <c r="D32" s="17">
        <f t="shared" si="1"/>
        <v>0</v>
      </c>
      <c r="E32" s="17"/>
      <c r="F32" s="17"/>
      <c r="G32" s="17"/>
      <c r="H32" s="17"/>
      <c r="I32" s="17"/>
      <c r="J32" s="17">
        <f t="shared" si="3"/>
        <v>0</v>
      </c>
      <c r="K32" s="17"/>
      <c r="L32" s="17">
        <f t="shared" si="4"/>
        <v>1031726.5718266473</v>
      </c>
      <c r="M32" s="17"/>
      <c r="N32" s="17">
        <f t="shared" si="5"/>
        <v>1031726.5718266473</v>
      </c>
      <c r="O32" s="17"/>
      <c r="P32" s="17">
        <f t="shared" si="6"/>
        <v>74288.647119478788</v>
      </c>
      <c r="Q32" s="17"/>
      <c r="R32" s="17">
        <f t="shared" si="7"/>
        <v>994582.24826690764</v>
      </c>
      <c r="S32" s="17"/>
      <c r="T32" s="17">
        <f t="shared" si="8"/>
        <v>-10474.289021063623</v>
      </c>
      <c r="V32" s="17">
        <f t="shared" si="9"/>
        <v>5237.1445105318126</v>
      </c>
      <c r="W32" s="9"/>
      <c r="X32" s="17">
        <f t="shared" si="10"/>
        <v>63814.358098415163</v>
      </c>
      <c r="Z32" s="17">
        <f t="shared" si="11"/>
        <v>999819.39277743944</v>
      </c>
    </row>
    <row r="33" spans="1:26">
      <c r="A33" s="23">
        <f t="shared" si="2"/>
        <v>2028</v>
      </c>
      <c r="B33" s="17">
        <v>0</v>
      </c>
      <c r="C33" s="17"/>
      <c r="D33" s="17">
        <f t="shared" si="1"/>
        <v>0</v>
      </c>
      <c r="E33" s="17"/>
      <c r="F33" s="17">
        <f>L32</f>
        <v>1031726.5718266473</v>
      </c>
      <c r="G33" s="17"/>
      <c r="H33" s="17"/>
      <c r="I33" s="17"/>
      <c r="J33" s="17">
        <f t="shared" si="3"/>
        <v>0</v>
      </c>
      <c r="K33" s="17"/>
      <c r="L33" s="17">
        <f t="shared" si="4"/>
        <v>0</v>
      </c>
      <c r="M33" s="17"/>
      <c r="N33" s="17">
        <f t="shared" si="5"/>
        <v>515863.28591332363</v>
      </c>
      <c r="O33" s="17"/>
      <c r="P33" s="17">
        <f t="shared" si="6"/>
        <v>37144.323559739394</v>
      </c>
      <c r="Q33" s="17"/>
      <c r="R33" s="17">
        <f t="shared" si="7"/>
        <v>0</v>
      </c>
      <c r="S33" s="17"/>
      <c r="T33" s="17">
        <f t="shared" si="8"/>
        <v>-5237.1445105318116</v>
      </c>
      <c r="V33" s="17">
        <f t="shared" si="9"/>
        <v>9.0949470177292824E-13</v>
      </c>
      <c r="W33" s="9"/>
      <c r="X33" s="17">
        <f t="shared" si="10"/>
        <v>31907.179049207582</v>
      </c>
      <c r="Z33" s="17">
        <f t="shared" si="11"/>
        <v>9.0949470177292824E-13</v>
      </c>
    </row>
    <row r="34" spans="1:26">
      <c r="A34" s="23">
        <f t="shared" si="2"/>
        <v>2029</v>
      </c>
      <c r="B34" s="17">
        <v>0</v>
      </c>
      <c r="C34" s="17"/>
      <c r="D34" s="17">
        <f t="shared" si="1"/>
        <v>0</v>
      </c>
      <c r="E34" s="17"/>
      <c r="F34" s="17"/>
      <c r="G34" s="17"/>
      <c r="H34" s="17"/>
      <c r="I34" s="17"/>
      <c r="J34" s="17">
        <f t="shared" si="3"/>
        <v>0</v>
      </c>
      <c r="K34" s="17"/>
      <c r="L34" s="17">
        <f t="shared" si="4"/>
        <v>0</v>
      </c>
      <c r="M34" s="17"/>
      <c r="N34" s="17">
        <f t="shared" si="5"/>
        <v>0</v>
      </c>
      <c r="O34" s="17"/>
      <c r="P34" s="17">
        <f t="shared" si="6"/>
        <v>0</v>
      </c>
      <c r="Q34" s="17"/>
      <c r="R34" s="17">
        <f t="shared" si="7"/>
        <v>0</v>
      </c>
      <c r="S34" s="17"/>
      <c r="V34" s="23"/>
      <c r="W34" s="9"/>
    </row>
    <row r="35" spans="1:26">
      <c r="A35" s="23">
        <f t="shared" si="2"/>
        <v>2030</v>
      </c>
      <c r="B35" s="17">
        <v>0</v>
      </c>
      <c r="C35" s="17"/>
      <c r="D35" s="17">
        <f t="shared" si="1"/>
        <v>0</v>
      </c>
      <c r="E35" s="17"/>
      <c r="F35" s="17"/>
      <c r="G35" s="17"/>
      <c r="H35" s="17"/>
      <c r="I35" s="17"/>
      <c r="J35" s="17">
        <f t="shared" si="3"/>
        <v>0</v>
      </c>
      <c r="K35" s="17"/>
      <c r="L35" s="17">
        <f t="shared" si="4"/>
        <v>0</v>
      </c>
      <c r="M35" s="17"/>
      <c r="N35" s="17">
        <f t="shared" si="5"/>
        <v>0</v>
      </c>
      <c r="O35" s="17"/>
      <c r="P35" s="17">
        <f t="shared" si="6"/>
        <v>0</v>
      </c>
      <c r="Q35" s="17"/>
      <c r="R35" s="17">
        <f t="shared" si="7"/>
        <v>0</v>
      </c>
      <c r="S35" s="17"/>
      <c r="V35" s="23"/>
      <c r="W35" s="9"/>
    </row>
    <row r="36" spans="1:26">
      <c r="A36" s="23">
        <f t="shared" si="2"/>
        <v>2031</v>
      </c>
      <c r="B36" s="17">
        <v>0</v>
      </c>
      <c r="C36" s="17"/>
      <c r="D36" s="17">
        <f t="shared" si="1"/>
        <v>0</v>
      </c>
      <c r="E36" s="17"/>
      <c r="F36" s="17"/>
      <c r="G36" s="17"/>
      <c r="H36" s="17"/>
      <c r="I36" s="17"/>
      <c r="J36" s="17">
        <f t="shared" si="3"/>
        <v>0</v>
      </c>
      <c r="K36" s="17"/>
      <c r="L36" s="17">
        <f t="shared" si="4"/>
        <v>0</v>
      </c>
      <c r="M36" s="17"/>
      <c r="N36" s="17">
        <f t="shared" si="5"/>
        <v>0</v>
      </c>
      <c r="O36" s="17"/>
      <c r="P36" s="17">
        <f t="shared" si="6"/>
        <v>0</v>
      </c>
      <c r="Q36" s="17"/>
      <c r="R36" s="17">
        <f t="shared" si="7"/>
        <v>0</v>
      </c>
      <c r="S36" s="17"/>
      <c r="V36" s="23"/>
      <c r="W36" s="9"/>
    </row>
    <row r="37" spans="1:26">
      <c r="A37" s="23">
        <f t="shared" si="2"/>
        <v>2032</v>
      </c>
      <c r="B37" s="17">
        <v>0</v>
      </c>
      <c r="C37" s="17"/>
      <c r="D37" s="17">
        <f t="shared" si="1"/>
        <v>0</v>
      </c>
      <c r="E37" s="17"/>
      <c r="F37" s="17"/>
      <c r="G37" s="17"/>
      <c r="H37" s="17"/>
      <c r="I37" s="17"/>
      <c r="J37" s="17">
        <f t="shared" si="3"/>
        <v>0</v>
      </c>
      <c r="K37" s="17"/>
      <c r="L37" s="17">
        <f t="shared" si="4"/>
        <v>0</v>
      </c>
      <c r="M37" s="17"/>
      <c r="N37" s="17">
        <f t="shared" si="5"/>
        <v>0</v>
      </c>
      <c r="O37" s="17"/>
      <c r="P37" s="17">
        <f t="shared" si="6"/>
        <v>0</v>
      </c>
      <c r="Q37" s="17"/>
      <c r="R37" s="17">
        <f t="shared" si="7"/>
        <v>0</v>
      </c>
      <c r="S37" s="17"/>
      <c r="V37" s="23"/>
      <c r="W37" s="9"/>
    </row>
    <row r="38" spans="1:26">
      <c r="A38" s="23">
        <f t="shared" si="2"/>
        <v>2033</v>
      </c>
      <c r="B38" s="17">
        <v>0</v>
      </c>
      <c r="C38" s="17"/>
      <c r="D38" s="17">
        <f t="shared" si="1"/>
        <v>0</v>
      </c>
      <c r="E38" s="17"/>
      <c r="F38" s="17"/>
      <c r="G38" s="17"/>
      <c r="H38" s="17"/>
      <c r="I38" s="17"/>
      <c r="J38" s="17">
        <f t="shared" si="3"/>
        <v>0</v>
      </c>
      <c r="K38" s="17"/>
      <c r="L38" s="17">
        <f t="shared" si="4"/>
        <v>0</v>
      </c>
      <c r="M38" s="17"/>
      <c r="N38" s="17">
        <f t="shared" si="5"/>
        <v>0</v>
      </c>
      <c r="O38" s="17"/>
      <c r="P38" s="17">
        <f t="shared" si="6"/>
        <v>0</v>
      </c>
      <c r="Q38" s="17"/>
      <c r="R38" s="17">
        <f t="shared" si="7"/>
        <v>0</v>
      </c>
      <c r="S38" s="17"/>
      <c r="V38" s="23"/>
      <c r="W38" s="9"/>
    </row>
    <row r="39" spans="1:26">
      <c r="A39" s="23">
        <f t="shared" si="2"/>
        <v>2034</v>
      </c>
      <c r="B39" s="17">
        <v>0</v>
      </c>
      <c r="C39" s="17"/>
      <c r="D39" s="17">
        <f t="shared" si="1"/>
        <v>0</v>
      </c>
      <c r="E39" s="17"/>
      <c r="F39" s="17"/>
      <c r="G39" s="17"/>
      <c r="H39" s="17"/>
      <c r="I39" s="17"/>
      <c r="J39" s="17">
        <f t="shared" si="3"/>
        <v>0</v>
      </c>
      <c r="K39" s="17"/>
      <c r="L39" s="17">
        <f t="shared" si="4"/>
        <v>0</v>
      </c>
      <c r="M39" s="17"/>
      <c r="N39" s="17">
        <f t="shared" si="5"/>
        <v>0</v>
      </c>
      <c r="O39" s="17"/>
      <c r="P39" s="17">
        <f t="shared" si="6"/>
        <v>0</v>
      </c>
      <c r="Q39" s="17"/>
      <c r="R39" s="17">
        <f t="shared" si="7"/>
        <v>0</v>
      </c>
      <c r="S39" s="17"/>
      <c r="V39" s="23"/>
      <c r="W39" s="9"/>
    </row>
    <row r="40" spans="1:26">
      <c r="A40" s="23">
        <f t="shared" si="2"/>
        <v>2035</v>
      </c>
      <c r="B40" s="17">
        <v>0</v>
      </c>
      <c r="C40" s="17"/>
      <c r="D40" s="17">
        <f t="shared" si="1"/>
        <v>0</v>
      </c>
      <c r="E40" s="17"/>
      <c r="F40" s="17"/>
      <c r="G40" s="17"/>
      <c r="H40" s="17"/>
      <c r="I40" s="17"/>
      <c r="J40" s="17">
        <f t="shared" si="3"/>
        <v>0</v>
      </c>
      <c r="K40" s="17"/>
      <c r="L40" s="17">
        <f t="shared" si="4"/>
        <v>0</v>
      </c>
      <c r="M40" s="17"/>
      <c r="N40" s="17">
        <f t="shared" si="5"/>
        <v>0</v>
      </c>
      <c r="O40" s="17"/>
      <c r="P40" s="17">
        <f t="shared" si="6"/>
        <v>0</v>
      </c>
      <c r="Q40" s="17"/>
      <c r="R40" s="17">
        <f t="shared" si="7"/>
        <v>0</v>
      </c>
      <c r="S40" s="17"/>
      <c r="V40" s="23"/>
      <c r="W40" s="9"/>
    </row>
    <row r="41" spans="1:26">
      <c r="A41" s="23">
        <f t="shared" si="2"/>
        <v>2036</v>
      </c>
      <c r="B41" s="17">
        <v>0</v>
      </c>
      <c r="C41" s="17"/>
      <c r="D41" s="17">
        <f t="shared" si="1"/>
        <v>0</v>
      </c>
      <c r="E41" s="17"/>
      <c r="F41" s="17"/>
      <c r="G41" s="17"/>
      <c r="H41" s="17"/>
      <c r="I41" s="17"/>
      <c r="J41" s="17">
        <f t="shared" si="3"/>
        <v>0</v>
      </c>
      <c r="K41" s="17"/>
      <c r="L41" s="17">
        <f t="shared" si="4"/>
        <v>0</v>
      </c>
      <c r="M41" s="17"/>
      <c r="N41" s="17">
        <f t="shared" si="5"/>
        <v>0</v>
      </c>
      <c r="O41" s="17"/>
      <c r="P41" s="17">
        <f t="shared" si="6"/>
        <v>0</v>
      </c>
      <c r="Q41" s="17"/>
      <c r="R41" s="17">
        <f t="shared" si="7"/>
        <v>0</v>
      </c>
      <c r="S41" s="17"/>
      <c r="V41" s="23"/>
      <c r="W41" s="9"/>
    </row>
    <row r="42" spans="1:26">
      <c r="A42" s="23">
        <f t="shared" si="2"/>
        <v>2037</v>
      </c>
      <c r="B42" s="17">
        <v>0</v>
      </c>
      <c r="C42" s="17"/>
      <c r="D42" s="17">
        <f t="shared" si="1"/>
        <v>0</v>
      </c>
      <c r="E42" s="17"/>
      <c r="F42" s="17"/>
      <c r="G42" s="17"/>
      <c r="H42" s="17"/>
      <c r="I42" s="17"/>
      <c r="J42" s="17">
        <f t="shared" si="3"/>
        <v>0</v>
      </c>
      <c r="K42" s="17"/>
      <c r="L42" s="17">
        <f t="shared" si="4"/>
        <v>0</v>
      </c>
      <c r="M42" s="17"/>
      <c r="N42" s="17">
        <f t="shared" si="5"/>
        <v>0</v>
      </c>
      <c r="O42" s="17"/>
      <c r="P42" s="17">
        <f t="shared" si="6"/>
        <v>0</v>
      </c>
      <c r="Q42" s="17"/>
      <c r="R42" s="17">
        <f t="shared" si="7"/>
        <v>0</v>
      </c>
      <c r="S42" s="17"/>
      <c r="V42" s="23"/>
      <c r="W42" s="9"/>
    </row>
    <row r="43" spans="1:26">
      <c r="A43" s="23">
        <f t="shared" si="2"/>
        <v>2038</v>
      </c>
      <c r="B43" s="17"/>
      <c r="C43" s="17"/>
      <c r="D43" s="17"/>
      <c r="E43" s="17"/>
      <c r="F43" s="17"/>
      <c r="G43" s="17"/>
      <c r="H43" s="17"/>
      <c r="I43" s="17"/>
      <c r="J43" s="17">
        <f t="shared" si="3"/>
        <v>0</v>
      </c>
      <c r="K43" s="17"/>
      <c r="L43" s="17">
        <f t="shared" si="4"/>
        <v>0</v>
      </c>
      <c r="M43" s="17"/>
      <c r="N43" s="17">
        <f t="shared" si="5"/>
        <v>0</v>
      </c>
      <c r="O43" s="17"/>
      <c r="P43" s="17">
        <f t="shared" si="6"/>
        <v>0</v>
      </c>
      <c r="Q43" s="17"/>
      <c r="R43" s="17">
        <f t="shared" si="7"/>
        <v>0</v>
      </c>
      <c r="S43" s="17"/>
      <c r="V43" s="23"/>
      <c r="W43" s="9"/>
    </row>
    <row r="44" spans="1:26">
      <c r="A44" s="23">
        <f t="shared" si="2"/>
        <v>2039</v>
      </c>
      <c r="B44" s="17"/>
      <c r="C44" s="17"/>
      <c r="D44" s="17"/>
      <c r="E44" s="17"/>
      <c r="F44" s="17"/>
      <c r="G44" s="17"/>
      <c r="H44" s="17"/>
      <c r="I44" s="17"/>
      <c r="J44" s="17">
        <f t="shared" si="3"/>
        <v>0</v>
      </c>
      <c r="K44" s="17"/>
      <c r="L44" s="17">
        <f t="shared" si="4"/>
        <v>0</v>
      </c>
      <c r="M44" s="17"/>
      <c r="N44" s="17">
        <f t="shared" si="5"/>
        <v>0</v>
      </c>
      <c r="O44" s="17"/>
      <c r="P44" s="17">
        <f t="shared" si="6"/>
        <v>0</v>
      </c>
      <c r="Q44" s="17"/>
      <c r="R44" s="17">
        <f t="shared" si="7"/>
        <v>0</v>
      </c>
      <c r="S44" s="17"/>
      <c r="V44" s="23"/>
      <c r="W44" s="9"/>
    </row>
    <row r="45" spans="1:26">
      <c r="A45" s="23">
        <f t="shared" si="2"/>
        <v>2040</v>
      </c>
      <c r="B45" s="17"/>
      <c r="C45" s="17"/>
      <c r="D45" s="17"/>
      <c r="E45" s="17"/>
      <c r="F45" s="17">
        <f>+L44</f>
        <v>0</v>
      </c>
      <c r="G45" s="17"/>
      <c r="H45" s="17"/>
      <c r="I45" s="17"/>
      <c r="J45" s="17">
        <f t="shared" si="3"/>
        <v>0</v>
      </c>
      <c r="K45" s="17"/>
      <c r="L45" s="17">
        <f t="shared" si="4"/>
        <v>0</v>
      </c>
      <c r="M45" s="17"/>
      <c r="N45" s="17">
        <f t="shared" si="5"/>
        <v>0</v>
      </c>
      <c r="O45" s="17"/>
      <c r="P45" s="17">
        <f t="shared" si="6"/>
        <v>0</v>
      </c>
      <c r="Q45" s="17"/>
      <c r="R45" s="17">
        <f t="shared" si="7"/>
        <v>0</v>
      </c>
      <c r="S45" s="17"/>
      <c r="V45" s="23"/>
      <c r="W45" s="9"/>
    </row>
    <row r="46" spans="1:26">
      <c r="A46" s="19" t="s">
        <v>38</v>
      </c>
      <c r="B46" s="15">
        <f>SUM(B22:B45)</f>
        <v>14033.34817335281</v>
      </c>
      <c r="C46" s="15" t="s">
        <v>39</v>
      </c>
      <c r="D46" s="15">
        <f>SUM(D22:D45)</f>
        <v>-3508.3370433382024</v>
      </c>
      <c r="E46" s="15">
        <f>SUM(E22:E45)</f>
        <v>0</v>
      </c>
      <c r="F46" s="15">
        <f>SUM(F22:F45)</f>
        <v>1031726.5718266473</v>
      </c>
      <c r="G46" s="15" t="s">
        <v>39</v>
      </c>
      <c r="H46" s="15">
        <f>SUM(H22:H45)</f>
        <v>0</v>
      </c>
      <c r="I46" s="15">
        <f>SUM(I22:I45)</f>
        <v>0</v>
      </c>
      <c r="J46" s="15">
        <f>SUM(J22:J45)</f>
        <v>0</v>
      </c>
      <c r="K46" s="17"/>
      <c r="L46" s="17"/>
      <c r="M46" s="17"/>
      <c r="N46" s="15">
        <f>SUM(N22:N45)</f>
        <v>11927865.204381816</v>
      </c>
      <c r="O46" s="17"/>
      <c r="P46" s="17"/>
      <c r="Q46" s="17"/>
      <c r="R46" s="17"/>
      <c r="S46" s="23"/>
      <c r="T46" s="23"/>
      <c r="U46" s="23"/>
      <c r="V46" s="23"/>
      <c r="W46" s="9"/>
    </row>
    <row r="47" spans="1:26">
      <c r="A47" s="23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23"/>
      <c r="T47" s="23"/>
      <c r="U47" s="23"/>
      <c r="V47" s="23"/>
      <c r="W47" s="9"/>
    </row>
    <row r="48" spans="1:26">
      <c r="A48" s="2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23"/>
      <c r="T48" s="23"/>
      <c r="U48" s="23"/>
      <c r="V48" s="23"/>
      <c r="W48" s="9"/>
    </row>
    <row r="49" spans="1:23">
      <c r="A49" s="23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3"/>
      <c r="T49" s="23"/>
      <c r="U49" s="23"/>
      <c r="V49" s="23"/>
      <c r="W49" s="9"/>
    </row>
    <row r="50" spans="1:23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3"/>
      <c r="T50" s="23"/>
      <c r="U50" s="23"/>
      <c r="V50" s="23"/>
      <c r="W50" s="9"/>
    </row>
    <row r="51" spans="1:23">
      <c r="A51" s="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7"/>
      <c r="T51" s="7"/>
      <c r="U51" s="7"/>
      <c r="V51" s="7"/>
    </row>
    <row r="52" spans="1:23">
      <c r="A52" s="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7"/>
      <c r="T52" s="7"/>
      <c r="U52" s="7"/>
      <c r="V52" s="7"/>
    </row>
    <row r="53" spans="1:23">
      <c r="A53" s="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7"/>
      <c r="T53" s="7"/>
      <c r="U53" s="7"/>
      <c r="V53" s="7"/>
    </row>
    <row r="54" spans="1:23">
      <c r="A54" s="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7"/>
      <c r="T54" s="7"/>
      <c r="U54" s="7"/>
      <c r="V54" s="7"/>
    </row>
    <row r="55" spans="1:23">
      <c r="A55" s="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7"/>
      <c r="T55" s="7"/>
      <c r="U55" s="7"/>
      <c r="V55" s="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40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(D44+H44)/(B44+F44)</f>
        <v>-8.6379144031422522E-3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'!$J$256</f>
        <v>5.2426117287420082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N44/(L21+J44)</f>
        <v>18.082003843963417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23.324615572705426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0.2558762096585937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7746289.2954593934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(L21+J44-D44-H44-R21)/N44</f>
        <v>4.1630436053460632E-2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3.7033469538723629E-4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4.1260101358073398E-2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Unit(Fcst)'!D20</f>
        <v>34168445.658972733</v>
      </c>
      <c r="M21" s="40"/>
      <c r="N21" s="40"/>
      <c r="O21" s="40"/>
      <c r="P21" s="40"/>
      <c r="Q21" s="40"/>
      <c r="R21" s="40">
        <f>'2016 YE Reserve by Unit(Fcst)'!D19</f>
        <v>8742892.3651435729</v>
      </c>
    </row>
    <row r="22" spans="1:18">
      <c r="A22" s="46">
        <v>2017</v>
      </c>
      <c r="B22" s="40">
        <f>+L21*P$10</f>
        <v>181092.76199255549</v>
      </c>
      <c r="C22" s="40"/>
      <c r="D22" s="40">
        <f>+B22*P$2</f>
        <v>-18109.27619925555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33987352.896980174</v>
      </c>
      <c r="M22" s="40"/>
      <c r="N22" s="40">
        <f>(L21+L22)/2</f>
        <v>34077899.277976453</v>
      </c>
      <c r="O22" s="40"/>
      <c r="P22" s="40">
        <f>N22*$P$12</f>
        <v>1418677.8067280711</v>
      </c>
      <c r="Q22" s="40"/>
      <c r="R22" s="40">
        <f>R21+P22-B22-F22+D22</f>
        <v>9962368.1336798333</v>
      </c>
    </row>
    <row r="23" spans="1:18">
      <c r="A23" s="46">
        <f>A22+1</f>
        <v>2018</v>
      </c>
      <c r="B23" s="40">
        <f t="shared" ref="B23:B38" si="0">+L22*P$10</f>
        <v>180132.97035399493</v>
      </c>
      <c r="C23" s="40"/>
      <c r="D23" s="40">
        <f t="shared" ref="D23:D40" si="1">+B23*P$2</f>
        <v>-18013.297035399493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0" si="2">L22+J23-B23-F23</f>
        <v>33807219.926626176</v>
      </c>
      <c r="M23" s="40"/>
      <c r="N23" s="40">
        <f t="shared" ref="N23:N39" si="3">(L22+L23)/2</f>
        <v>33897286.411803171</v>
      </c>
      <c r="O23" s="40"/>
      <c r="P23" s="40">
        <f t="shared" ref="P23:P40" si="4">N23*$P$12</f>
        <v>1411158.814352412</v>
      </c>
      <c r="Q23" s="40"/>
      <c r="R23" s="40">
        <f t="shared" ref="R23:R40" si="5">R22+P23-B23-F23+D23</f>
        <v>11175380.680642851</v>
      </c>
    </row>
    <row r="24" spans="1:18">
      <c r="A24" s="46">
        <f t="shared" ref="A24:A40" si="6">A23+1</f>
        <v>2019</v>
      </c>
      <c r="B24" s="40">
        <f t="shared" si="0"/>
        <v>179178.26561111872</v>
      </c>
      <c r="C24" s="40"/>
      <c r="D24" s="40">
        <f t="shared" si="1"/>
        <v>-17917.826561111873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33628041.661015056</v>
      </c>
      <c r="M24" s="40"/>
      <c r="N24" s="40">
        <f t="shared" si="3"/>
        <v>33717630.79382062</v>
      </c>
      <c r="O24" s="40"/>
      <c r="P24" s="40">
        <f t="shared" si="4"/>
        <v>1403679.6726363443</v>
      </c>
      <c r="Q24" s="40"/>
      <c r="R24" s="40">
        <f t="shared" si="5"/>
        <v>12381964.261106964</v>
      </c>
    </row>
    <row r="25" spans="1:18">
      <c r="A25" s="46">
        <f t="shared" si="6"/>
        <v>2020</v>
      </c>
      <c r="B25" s="40">
        <f t="shared" si="0"/>
        <v>178228.6208033798</v>
      </c>
      <c r="C25" s="40"/>
      <c r="D25" s="40">
        <f t="shared" si="1"/>
        <v>-17822.862080337982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33449813.040211678</v>
      </c>
      <c r="M25" s="40"/>
      <c r="N25" s="40">
        <f t="shared" si="3"/>
        <v>33538927.350613367</v>
      </c>
      <c r="O25" s="40"/>
      <c r="P25" s="40">
        <f t="shared" si="4"/>
        <v>1396240.1703713716</v>
      </c>
      <c r="Q25" s="40"/>
      <c r="R25" s="40">
        <f t="shared" si="5"/>
        <v>13582152.948594619</v>
      </c>
    </row>
    <row r="26" spans="1:18">
      <c r="A26" s="46">
        <f t="shared" si="6"/>
        <v>2021</v>
      </c>
      <c r="B26" s="40">
        <f t="shared" si="0"/>
        <v>177284.00911312189</v>
      </c>
      <c r="C26" s="40"/>
      <c r="D26" s="40">
        <f t="shared" si="1"/>
        <v>-17728.40091131219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33272529.031098556</v>
      </c>
      <c r="M26" s="40"/>
      <c r="N26" s="40">
        <f t="shared" si="3"/>
        <v>33361171.035655119</v>
      </c>
      <c r="O26" s="40"/>
      <c r="P26" s="40">
        <f t="shared" si="4"/>
        <v>1388840.0974684034</v>
      </c>
      <c r="Q26" s="40"/>
      <c r="R26" s="40">
        <f t="shared" si="5"/>
        <v>14775980.636038588</v>
      </c>
    </row>
    <row r="27" spans="1:18">
      <c r="A27" s="46">
        <f t="shared" si="6"/>
        <v>2022</v>
      </c>
      <c r="B27" s="40">
        <f t="shared" si="0"/>
        <v>176344.40386482235</v>
      </c>
      <c r="C27" s="40"/>
      <c r="D27" s="40">
        <f t="shared" si="1"/>
        <v>-17634.440386482234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33096184.627233732</v>
      </c>
      <c r="M27" s="40"/>
      <c r="N27" s="40">
        <f t="shared" si="3"/>
        <v>33184356.829166144</v>
      </c>
      <c r="O27" s="40"/>
      <c r="P27" s="40">
        <f t="shared" si="4"/>
        <v>1381479.2449518207</v>
      </c>
      <c r="Q27" s="40"/>
      <c r="R27" s="40">
        <f t="shared" si="5"/>
        <v>15963481.036739103</v>
      </c>
    </row>
    <row r="28" spans="1:18">
      <c r="A28" s="46">
        <f t="shared" si="6"/>
        <v>2023</v>
      </c>
      <c r="B28" s="40">
        <f t="shared" si="0"/>
        <v>175409.77852433879</v>
      </c>
      <c r="C28" s="40"/>
      <c r="D28" s="40">
        <f t="shared" si="1"/>
        <v>-17540.97785243388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32920774.848709393</v>
      </c>
      <c r="M28" s="40"/>
      <c r="N28" s="40">
        <f t="shared" si="3"/>
        <v>33008479.737971563</v>
      </c>
      <c r="O28" s="40"/>
      <c r="P28" s="40">
        <f t="shared" si="4"/>
        <v>1374157.4049535762</v>
      </c>
      <c r="Q28" s="40"/>
      <c r="R28" s="40">
        <f t="shared" si="5"/>
        <v>17144687.685315907</v>
      </c>
    </row>
    <row r="29" spans="1:18">
      <c r="A29" s="46">
        <f t="shared" si="6"/>
        <v>2024</v>
      </c>
      <c r="B29" s="40">
        <f t="shared" si="0"/>
        <v>174480.1066981598</v>
      </c>
      <c r="C29" s="40"/>
      <c r="D29" s="40">
        <f t="shared" si="1"/>
        <v>-17448.01066981598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32746294.742011234</v>
      </c>
      <c r="M29" s="40"/>
      <c r="N29" s="40">
        <f t="shared" si="3"/>
        <v>32833534.795360312</v>
      </c>
      <c r="O29" s="40"/>
      <c r="P29" s="40">
        <f t="shared" si="4"/>
        <v>1366874.3707073221</v>
      </c>
      <c r="Q29" s="40"/>
      <c r="R29" s="40">
        <f t="shared" si="5"/>
        <v>18319633.938655253</v>
      </c>
    </row>
    <row r="30" spans="1:18">
      <c r="A30" s="46">
        <f t="shared" si="6"/>
        <v>2025</v>
      </c>
      <c r="B30" s="40">
        <f t="shared" si="0"/>
        <v>173555.36213265953</v>
      </c>
      <c r="C30" s="40"/>
      <c r="D30" s="40">
        <f t="shared" si="1"/>
        <v>-17355.536213265954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32572739.379878573</v>
      </c>
      <c r="M30" s="40"/>
      <c r="N30" s="40">
        <f t="shared" si="3"/>
        <v>32659517.060944904</v>
      </c>
      <c r="O30" s="40"/>
      <c r="P30" s="40">
        <f t="shared" si="4"/>
        <v>1359629.9365425734</v>
      </c>
      <c r="Q30" s="40"/>
      <c r="R30" s="40">
        <f t="shared" si="5"/>
        <v>19488352.976851899</v>
      </c>
    </row>
    <row r="31" spans="1:18">
      <c r="A31" s="46">
        <f t="shared" si="6"/>
        <v>2026</v>
      </c>
      <c r="B31" s="40">
        <f t="shared" si="0"/>
        <v>172635.51871335643</v>
      </c>
      <c r="C31" s="40"/>
      <c r="D31" s="40">
        <f t="shared" si="1"/>
        <v>-17263.551871335643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32400103.861165218</v>
      </c>
      <c r="M31" s="40"/>
      <c r="N31" s="40">
        <f t="shared" si="3"/>
        <v>32486421.620521896</v>
      </c>
      <c r="O31" s="40"/>
      <c r="P31" s="40">
        <f t="shared" si="4"/>
        <v>1352423.8978788976</v>
      </c>
      <c r="Q31" s="40"/>
      <c r="R31" s="40">
        <f t="shared" si="5"/>
        <v>20650877.804146104</v>
      </c>
    </row>
    <row r="32" spans="1:18">
      <c r="A32" s="46">
        <f t="shared" si="6"/>
        <v>2027</v>
      </c>
      <c r="B32" s="40">
        <f t="shared" si="0"/>
        <v>171720.55046417567</v>
      </c>
      <c r="C32" s="40"/>
      <c r="D32" s="40">
        <f t="shared" si="1"/>
        <v>-17172.055046417569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32228383.310701042</v>
      </c>
      <c r="M32" s="40"/>
      <c r="N32" s="40">
        <f t="shared" si="3"/>
        <v>32314243.58593313</v>
      </c>
      <c r="O32" s="40"/>
      <c r="P32" s="40">
        <f t="shared" si="4"/>
        <v>1345256.0512201395</v>
      </c>
      <c r="Q32" s="40"/>
      <c r="R32" s="40">
        <f t="shared" si="5"/>
        <v>21807241.249855652</v>
      </c>
    </row>
    <row r="33" spans="1:18">
      <c r="A33" s="46">
        <f t="shared" si="6"/>
        <v>2028</v>
      </c>
      <c r="B33" s="40">
        <f t="shared" si="0"/>
        <v>170810.43154671552</v>
      </c>
      <c r="C33" s="40"/>
      <c r="D33" s="40">
        <f t="shared" si="1"/>
        <v>-17081.043154671552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32057572.879154328</v>
      </c>
      <c r="M33" s="40"/>
      <c r="N33" s="40">
        <f t="shared" si="3"/>
        <v>32142978.094927683</v>
      </c>
      <c r="O33" s="40"/>
      <c r="P33" s="40">
        <f t="shared" si="4"/>
        <v>1338126.1941486727</v>
      </c>
      <c r="Q33" s="40"/>
      <c r="R33" s="40">
        <f t="shared" si="5"/>
        <v>22957475.969302941</v>
      </c>
    </row>
    <row r="34" spans="1:18">
      <c r="A34" s="46">
        <f t="shared" si="6"/>
        <v>2029</v>
      </c>
      <c r="B34" s="40">
        <f t="shared" si="0"/>
        <v>169905.13625951795</v>
      </c>
      <c r="C34" s="40"/>
      <c r="D34" s="40">
        <f t="shared" si="1"/>
        <v>-16990.513625951797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31887667.74289481</v>
      </c>
      <c r="M34" s="40"/>
      <c r="N34" s="40">
        <f t="shared" si="3"/>
        <v>31972620.311024569</v>
      </c>
      <c r="O34" s="40"/>
      <c r="P34" s="40">
        <f t="shared" si="4"/>
        <v>1331034.1253196849</v>
      </c>
      <c r="Q34" s="40"/>
      <c r="R34" s="40">
        <f t="shared" si="5"/>
        <v>24101614.444737155</v>
      </c>
    </row>
    <row r="35" spans="1:18">
      <c r="A35" s="46">
        <f t="shared" si="6"/>
        <v>2030</v>
      </c>
      <c r="B35" s="40">
        <f t="shared" si="0"/>
        <v>169004.63903734248</v>
      </c>
      <c r="C35" s="40"/>
      <c r="D35" s="40">
        <f t="shared" si="1"/>
        <v>-16900.463903734249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31718663.103857469</v>
      </c>
      <c r="M35" s="40"/>
      <c r="N35" s="40">
        <f t="shared" si="3"/>
        <v>31803165.423376139</v>
      </c>
      <c r="O35" s="40"/>
      <c r="P35" s="40">
        <f t="shared" si="4"/>
        <v>1323979.6444554906</v>
      </c>
      <c r="Q35" s="40"/>
      <c r="R35" s="40">
        <f t="shared" si="5"/>
        <v>25239688.98625157</v>
      </c>
    </row>
    <row r="36" spans="1:18">
      <c r="A36" s="46">
        <f t="shared" si="6"/>
        <v>2031</v>
      </c>
      <c r="B36" s="40">
        <f t="shared" si="0"/>
        <v>168108.91445044457</v>
      </c>
      <c r="C36" s="40"/>
      <c r="D36" s="40">
        <f t="shared" si="1"/>
        <v>-16810.891445044457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31550554.189407025</v>
      </c>
      <c r="M36" s="40"/>
      <c r="N36" s="40">
        <f t="shared" si="3"/>
        <v>31634608.646632247</v>
      </c>
      <c r="O36" s="40"/>
      <c r="P36" s="40">
        <f t="shared" si="4"/>
        <v>1316962.5523398765</v>
      </c>
      <c r="Q36" s="40"/>
      <c r="R36" s="40">
        <f t="shared" si="5"/>
        <v>26371731.73269596</v>
      </c>
    </row>
    <row r="37" spans="1:18">
      <c r="A37" s="46">
        <f t="shared" si="6"/>
        <v>2032</v>
      </c>
      <c r="B37" s="40">
        <f t="shared" si="0"/>
        <v>167217.93720385723</v>
      </c>
      <c r="C37" s="40"/>
      <c r="D37" s="40">
        <f t="shared" si="1"/>
        <v>-16721.793720385725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31383336.252203166</v>
      </c>
      <c r="M37" s="40"/>
      <c r="N37" s="40">
        <f t="shared" si="3"/>
        <v>31466945.220805094</v>
      </c>
      <c r="O37" s="40"/>
      <c r="P37" s="40">
        <f t="shared" si="4"/>
        <v>1309982.650812475</v>
      </c>
      <c r="Q37" s="40"/>
      <c r="R37" s="40">
        <f t="shared" si="5"/>
        <v>27497774.652584191</v>
      </c>
    </row>
    <row r="38" spans="1:18">
      <c r="A38" s="46">
        <f t="shared" si="6"/>
        <v>2033</v>
      </c>
      <c r="B38" s="40">
        <f t="shared" si="0"/>
        <v>166331.68213667677</v>
      </c>
      <c r="C38" s="40"/>
      <c r="D38" s="40">
        <f t="shared" si="1"/>
        <v>-16633.168213667679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31217004.570066489</v>
      </c>
      <c r="M38" s="40"/>
      <c r="N38" s="40">
        <f t="shared" si="3"/>
        <v>31300170.411134828</v>
      </c>
      <c r="O38" s="40"/>
      <c r="P38" s="40">
        <f t="shared" si="4"/>
        <v>1303039.7427631691</v>
      </c>
      <c r="Q38" s="40"/>
      <c r="R38" s="40">
        <f t="shared" si="5"/>
        <v>28617849.544997014</v>
      </c>
    </row>
    <row r="39" spans="1:18">
      <c r="A39" s="46">
        <f t="shared" si="6"/>
        <v>2034</v>
      </c>
      <c r="B39" s="40">
        <v>0</v>
      </c>
      <c r="C39" s="40"/>
      <c r="D39" s="40">
        <f t="shared" si="1"/>
        <v>0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31217004.570066489</v>
      </c>
      <c r="M39" s="40"/>
      <c r="N39" s="40">
        <f t="shared" si="3"/>
        <v>31217004.570066489</v>
      </c>
      <c r="O39" s="40"/>
      <c r="P39" s="40">
        <f t="shared" si="4"/>
        <v>1299577.5125347413</v>
      </c>
      <c r="Q39" s="40"/>
      <c r="R39" s="40">
        <f t="shared" si="5"/>
        <v>29917427.057531755</v>
      </c>
    </row>
    <row r="40" spans="1:18">
      <c r="A40" s="46">
        <f t="shared" si="6"/>
        <v>2035</v>
      </c>
      <c r="B40" s="40">
        <v>0</v>
      </c>
      <c r="C40" s="40"/>
      <c r="D40" s="40">
        <f t="shared" si="1"/>
        <v>0</v>
      </c>
      <c r="E40" s="40"/>
      <c r="F40" s="40">
        <f>L39</f>
        <v>31217004.570066489</v>
      </c>
      <c r="G40" s="40"/>
      <c r="H40" s="40"/>
      <c r="I40" s="40"/>
      <c r="J40" s="40">
        <v>0</v>
      </c>
      <c r="K40" s="40"/>
      <c r="L40" s="40">
        <f t="shared" si="2"/>
        <v>0</v>
      </c>
      <c r="M40" s="40"/>
      <c r="N40" s="40">
        <f>+L39</f>
        <v>31217004.570066489</v>
      </c>
      <c r="O40" s="40"/>
      <c r="P40" s="40">
        <f t="shared" si="4"/>
        <v>1299577.5125347413</v>
      </c>
      <c r="Q40" s="40"/>
      <c r="R40" s="40">
        <f t="shared" si="5"/>
        <v>7.4505805969238281E-9</v>
      </c>
    </row>
    <row r="41" spans="1:18">
      <c r="A41" s="46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6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6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>
      <c r="A44" s="42" t="s">
        <v>38</v>
      </c>
      <c r="B44" s="38">
        <f>SUM(B22:B40)</f>
        <v>2951441.0889062379</v>
      </c>
      <c r="C44" s="38" t="s">
        <v>39</v>
      </c>
      <c r="D44" s="38">
        <f>SUM(D22:D40)</f>
        <v>-295144.10889062384</v>
      </c>
      <c r="E44" s="38">
        <v>0</v>
      </c>
      <c r="F44" s="38">
        <f>SUM(F22:F40)</f>
        <v>31217004.570066489</v>
      </c>
      <c r="G44" s="38" t="s">
        <v>39</v>
      </c>
      <c r="H44" s="38">
        <f>SUM(H22:H40)</f>
        <v>0</v>
      </c>
      <c r="I44" s="38">
        <v>0</v>
      </c>
      <c r="J44" s="38">
        <f>SUM(J22:J40)</f>
        <v>0</v>
      </c>
      <c r="K44" s="40"/>
      <c r="L44" s="40"/>
      <c r="M44" s="40"/>
      <c r="N44" s="38">
        <f>SUM(N22:N40)</f>
        <v>617833965.74780011</v>
      </c>
      <c r="O44" s="40"/>
      <c r="P44" s="38">
        <f>SUM(P22:P40)</f>
        <v>25720697.402719781</v>
      </c>
      <c r="Q44" s="40"/>
      <c r="R44" s="4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7"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141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(D47+H47)/(B47+F47)</f>
        <v>-3.9983416243271272E-2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'!$J$298</f>
        <v>13.239574234962214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N47/(L21+J47)</f>
        <v>20.30393402972685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33.543508264689066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0.20810362342728597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89561462.138646349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(L21+J47-D47-H47-R21)/N47</f>
        <v>4.0971360111692424E-2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1.1919867155148298E-3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3.9779373396177597E-2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Unit(Fcst)'!D21</f>
        <v>218187177.79476365</v>
      </c>
      <c r="M21" s="40"/>
      <c r="N21" s="40"/>
      <c r="O21" s="40"/>
      <c r="P21" s="40"/>
      <c r="Q21" s="40"/>
      <c r="R21" s="40">
        <f>'2016 YE Reserve by Unit(Fcst)'!D20</f>
        <v>45405542.284463786</v>
      </c>
    </row>
    <row r="22" spans="1:18">
      <c r="A22" s="46">
        <v>2017</v>
      </c>
      <c r="B22" s="40">
        <f>+L21*P$10</f>
        <v>1636403.8334607272</v>
      </c>
      <c r="C22" s="40"/>
      <c r="D22" s="40">
        <f>+B22*P$2</f>
        <v>-490921.15003821813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216550773.96130294</v>
      </c>
      <c r="M22" s="40"/>
      <c r="N22" s="40">
        <f>(L21+L22)/2</f>
        <v>217368975.87803328</v>
      </c>
      <c r="O22" s="40"/>
      <c r="P22" s="40">
        <f>N22*$P$12</f>
        <v>8905902.5878086854</v>
      </c>
      <c r="Q22" s="40"/>
      <c r="R22" s="40">
        <f>R21+P22-B22-F22+D22</f>
        <v>52184119.888773523</v>
      </c>
    </row>
    <row r="23" spans="1:18">
      <c r="A23" s="46">
        <f>A22+1</f>
        <v>2018</v>
      </c>
      <c r="B23" s="40">
        <f t="shared" ref="B23:B40" si="0">+L22*P$10</f>
        <v>1624130.8047097719</v>
      </c>
      <c r="C23" s="40"/>
      <c r="D23" s="40">
        <f t="shared" ref="D23:D43" si="1">+B23*P$2</f>
        <v>-487239.24141293153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214926643.15659317</v>
      </c>
      <c r="M23" s="40"/>
      <c r="N23" s="40">
        <f t="shared" ref="N23:N42" si="3">(L22+L23)/2</f>
        <v>215738708.55894804</v>
      </c>
      <c r="O23" s="40"/>
      <c r="P23" s="40">
        <f t="shared" ref="P23:P43" si="4">N23*$P$12</f>
        <v>8839108.3184001204</v>
      </c>
      <c r="Q23" s="40"/>
      <c r="R23" s="40">
        <f t="shared" ref="R23:R43" si="5">R22+P23-B23-F23+D23</f>
        <v>58911858.161050946</v>
      </c>
    </row>
    <row r="24" spans="1:18">
      <c r="A24" s="46">
        <f t="shared" ref="A24:A43" si="6">A23+1</f>
        <v>2019</v>
      </c>
      <c r="B24" s="40">
        <f t="shared" si="0"/>
        <v>1611949.8236744488</v>
      </c>
      <c r="C24" s="40"/>
      <c r="D24" s="40">
        <f t="shared" si="1"/>
        <v>-483584.94710233458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213314693.33291873</v>
      </c>
      <c r="M24" s="40"/>
      <c r="N24" s="40">
        <f t="shared" si="3"/>
        <v>214120668.24475595</v>
      </c>
      <c r="O24" s="40"/>
      <c r="P24" s="40">
        <f t="shared" si="4"/>
        <v>8772815.0060121212</v>
      </c>
      <c r="Q24" s="40"/>
      <c r="R24" s="40">
        <f t="shared" si="5"/>
        <v>65589138.396286286</v>
      </c>
    </row>
    <row r="25" spans="1:18">
      <c r="A25" s="46">
        <f t="shared" si="6"/>
        <v>2020</v>
      </c>
      <c r="B25" s="40">
        <f t="shared" si="0"/>
        <v>1599860.1999968905</v>
      </c>
      <c r="C25" s="40"/>
      <c r="D25" s="40">
        <f t="shared" si="1"/>
        <v>-479958.0599990671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211714833.13292184</v>
      </c>
      <c r="M25" s="40"/>
      <c r="N25" s="40">
        <f t="shared" si="3"/>
        <v>212514763.23292029</v>
      </c>
      <c r="O25" s="40"/>
      <c r="P25" s="40">
        <f t="shared" si="4"/>
        <v>8707018.8934670296</v>
      </c>
      <c r="Q25" s="40"/>
      <c r="R25" s="40">
        <f t="shared" si="5"/>
        <v>72216339.029757366</v>
      </c>
    </row>
    <row r="26" spans="1:18">
      <c r="A26" s="46">
        <f t="shared" si="6"/>
        <v>2021</v>
      </c>
      <c r="B26" s="40">
        <f t="shared" si="0"/>
        <v>1587861.2484969138</v>
      </c>
      <c r="C26" s="40"/>
      <c r="D26" s="40">
        <f t="shared" si="1"/>
        <v>-476358.3745490741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210126971.88442492</v>
      </c>
      <c r="M26" s="40"/>
      <c r="N26" s="40">
        <f t="shared" si="3"/>
        <v>210920902.50867337</v>
      </c>
      <c r="O26" s="40"/>
      <c r="P26" s="40">
        <f t="shared" si="4"/>
        <v>8641716.251766026</v>
      </c>
      <c r="Q26" s="40"/>
      <c r="R26" s="40">
        <f t="shared" si="5"/>
        <v>78793835.658477396</v>
      </c>
    </row>
    <row r="27" spans="1:18">
      <c r="A27" s="46">
        <f t="shared" si="6"/>
        <v>2022</v>
      </c>
      <c r="B27" s="40">
        <f t="shared" si="0"/>
        <v>1575952.2891331869</v>
      </c>
      <c r="C27" s="40"/>
      <c r="D27" s="40">
        <f t="shared" si="1"/>
        <v>-472785.68673995603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208551019.59529173</v>
      </c>
      <c r="M27" s="40"/>
      <c r="N27" s="40">
        <f t="shared" si="3"/>
        <v>209338995.73985833</v>
      </c>
      <c r="O27" s="40"/>
      <c r="P27" s="40">
        <f t="shared" si="4"/>
        <v>8576903.3798777815</v>
      </c>
      <c r="Q27" s="40"/>
      <c r="R27" s="40">
        <f t="shared" si="5"/>
        <v>85322001.062482029</v>
      </c>
    </row>
    <row r="28" spans="1:18">
      <c r="A28" s="46">
        <f t="shared" si="6"/>
        <v>2023</v>
      </c>
      <c r="B28" s="40">
        <f t="shared" si="0"/>
        <v>1564132.6469646879</v>
      </c>
      <c r="C28" s="40"/>
      <c r="D28" s="40">
        <f t="shared" si="1"/>
        <v>-469239.79408940632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206986886.94832703</v>
      </c>
      <c r="M28" s="40"/>
      <c r="N28" s="40">
        <f t="shared" si="3"/>
        <v>207768953.2718094</v>
      </c>
      <c r="O28" s="40"/>
      <c r="P28" s="40">
        <f t="shared" si="4"/>
        <v>8512576.6045286991</v>
      </c>
      <c r="Q28" s="40"/>
      <c r="R28" s="40">
        <f t="shared" si="5"/>
        <v>91801205.225956634</v>
      </c>
    </row>
    <row r="29" spans="1:18">
      <c r="A29" s="46">
        <f t="shared" si="6"/>
        <v>2024</v>
      </c>
      <c r="B29" s="40">
        <f t="shared" si="0"/>
        <v>1552401.6521124528</v>
      </c>
      <c r="C29" s="40"/>
      <c r="D29" s="40">
        <f t="shared" si="1"/>
        <v>-465720.49563373585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205434485.29621458</v>
      </c>
      <c r="M29" s="40"/>
      <c r="N29" s="40">
        <f t="shared" si="3"/>
        <v>206210686.12227082</v>
      </c>
      <c r="O29" s="40"/>
      <c r="P29" s="40">
        <f t="shared" si="4"/>
        <v>8448732.2799947336</v>
      </c>
      <c r="Q29" s="40"/>
      <c r="R29" s="40">
        <f t="shared" si="5"/>
        <v>98231815.358205184</v>
      </c>
    </row>
    <row r="30" spans="1:18">
      <c r="A30" s="46">
        <f t="shared" si="6"/>
        <v>2025</v>
      </c>
      <c r="B30" s="40">
        <f t="shared" si="0"/>
        <v>1540758.6397216092</v>
      </c>
      <c r="C30" s="40"/>
      <c r="D30" s="40">
        <f t="shared" si="1"/>
        <v>-462227.59191648272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203893726.65649298</v>
      </c>
      <c r="M30" s="40"/>
      <c r="N30" s="40">
        <f t="shared" si="3"/>
        <v>204664105.97635376</v>
      </c>
      <c r="O30" s="40"/>
      <c r="P30" s="40">
        <f t="shared" si="4"/>
        <v>8385366.7878947714</v>
      </c>
      <c r="Q30" s="40"/>
      <c r="R30" s="40">
        <f t="shared" si="5"/>
        <v>104614195.91446187</v>
      </c>
    </row>
    <row r="31" spans="1:18">
      <c r="A31" s="46">
        <f t="shared" si="6"/>
        <v>2026</v>
      </c>
      <c r="B31" s="40">
        <f t="shared" si="0"/>
        <v>1529202.9499236974</v>
      </c>
      <c r="C31" s="40"/>
      <c r="D31" s="40">
        <f t="shared" si="1"/>
        <v>-458760.88497710921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202364523.70656928</v>
      </c>
      <c r="M31" s="40"/>
      <c r="N31" s="40">
        <f t="shared" si="3"/>
        <v>203129125.18153113</v>
      </c>
      <c r="O31" s="40"/>
      <c r="P31" s="40">
        <f t="shared" si="4"/>
        <v>8322476.5369855622</v>
      </c>
      <c r="Q31" s="40"/>
      <c r="R31" s="40">
        <f t="shared" si="5"/>
        <v>110948708.61654663</v>
      </c>
    </row>
    <row r="32" spans="1:18">
      <c r="A32" s="46">
        <f t="shared" si="6"/>
        <v>2027</v>
      </c>
      <c r="B32" s="40">
        <f t="shared" si="0"/>
        <v>1517733.9277992696</v>
      </c>
      <c r="C32" s="40"/>
      <c r="D32" s="40">
        <f t="shared" si="1"/>
        <v>-455320.17833978083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200846789.77877003</v>
      </c>
      <c r="M32" s="40"/>
      <c r="N32" s="40">
        <f t="shared" si="3"/>
        <v>201605656.74266964</v>
      </c>
      <c r="O32" s="40"/>
      <c r="P32" s="40">
        <f t="shared" si="4"/>
        <v>8260057.9629581701</v>
      </c>
      <c r="Q32" s="40"/>
      <c r="R32" s="40">
        <f t="shared" si="5"/>
        <v>117235712.47336575</v>
      </c>
    </row>
    <row r="33" spans="1:18">
      <c r="A33" s="46">
        <f t="shared" si="6"/>
        <v>2028</v>
      </c>
      <c r="B33" s="40">
        <f t="shared" si="0"/>
        <v>1506350.9233407751</v>
      </c>
      <c r="C33" s="40"/>
      <c r="D33" s="40">
        <f t="shared" si="1"/>
        <v>-451905.2770022325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199340438.85542926</v>
      </c>
      <c r="M33" s="40"/>
      <c r="N33" s="40">
        <f t="shared" si="3"/>
        <v>200093614.31709963</v>
      </c>
      <c r="O33" s="40"/>
      <c r="P33" s="40">
        <f t="shared" si="4"/>
        <v>8198107.528235984</v>
      </c>
      <c r="Q33" s="40"/>
      <c r="R33" s="40">
        <f t="shared" si="5"/>
        <v>123475563.80125873</v>
      </c>
    </row>
    <row r="34" spans="1:18">
      <c r="A34" s="46">
        <f t="shared" si="6"/>
        <v>2029</v>
      </c>
      <c r="B34" s="40">
        <f t="shared" si="0"/>
        <v>1495053.2914157193</v>
      </c>
      <c r="C34" s="40"/>
      <c r="D34" s="40">
        <f t="shared" si="1"/>
        <v>-448515.98742471577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197845385.56401354</v>
      </c>
      <c r="M34" s="40"/>
      <c r="N34" s="40">
        <f t="shared" si="3"/>
        <v>198592912.20972139</v>
      </c>
      <c r="O34" s="40"/>
      <c r="P34" s="40">
        <f t="shared" si="4"/>
        <v>8136621.7217742139</v>
      </c>
      <c r="Q34" s="40"/>
      <c r="R34" s="40">
        <f t="shared" si="5"/>
        <v>129668616.24419251</v>
      </c>
    </row>
    <row r="35" spans="1:18">
      <c r="A35" s="46">
        <f t="shared" si="6"/>
        <v>2030</v>
      </c>
      <c r="B35" s="40">
        <f t="shared" si="0"/>
        <v>1483840.3917301015</v>
      </c>
      <c r="C35" s="40"/>
      <c r="D35" s="40">
        <f t="shared" si="1"/>
        <v>-445152.11751903046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196361545.17228344</v>
      </c>
      <c r="M35" s="40"/>
      <c r="N35" s="40">
        <f t="shared" si="3"/>
        <v>197103465.36814851</v>
      </c>
      <c r="O35" s="40"/>
      <c r="P35" s="40">
        <f t="shared" si="4"/>
        <v>8075597.0588609092</v>
      </c>
      <c r="Q35" s="40"/>
      <c r="R35" s="40">
        <f t="shared" si="5"/>
        <v>135815220.79380429</v>
      </c>
    </row>
    <row r="36" spans="1:18">
      <c r="A36" s="46">
        <f t="shared" si="6"/>
        <v>2031</v>
      </c>
      <c r="B36" s="40">
        <f t="shared" si="0"/>
        <v>1472711.5887921257</v>
      </c>
      <c r="C36" s="40"/>
      <c r="D36" s="40">
        <f t="shared" si="1"/>
        <v>-441813.47663763771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194888833.58349133</v>
      </c>
      <c r="M36" s="40"/>
      <c r="N36" s="40">
        <f t="shared" si="3"/>
        <v>195625189.37788737</v>
      </c>
      <c r="O36" s="40"/>
      <c r="P36" s="40">
        <f t="shared" si="4"/>
        <v>8015030.0809194511</v>
      </c>
      <c r="Q36" s="40"/>
      <c r="R36" s="40">
        <f t="shared" si="5"/>
        <v>141915725.80929399</v>
      </c>
    </row>
    <row r="37" spans="1:18">
      <c r="A37" s="46">
        <f t="shared" si="6"/>
        <v>2032</v>
      </c>
      <c r="B37" s="40">
        <f t="shared" si="0"/>
        <v>1461666.2518761849</v>
      </c>
      <c r="C37" s="40"/>
      <c r="D37" s="40">
        <f t="shared" si="1"/>
        <v>-438499.87556285545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193427167.33161515</v>
      </c>
      <c r="M37" s="40"/>
      <c r="N37" s="40">
        <f t="shared" si="3"/>
        <v>194158000.45755324</v>
      </c>
      <c r="O37" s="40"/>
      <c r="P37" s="40">
        <f t="shared" si="4"/>
        <v>7954917.355312556</v>
      </c>
      <c r="Q37" s="40"/>
      <c r="R37" s="40">
        <f t="shared" si="5"/>
        <v>147970477.03716752</v>
      </c>
    </row>
    <row r="38" spans="1:18">
      <c r="A38" s="46">
        <f t="shared" si="6"/>
        <v>2033</v>
      </c>
      <c r="B38" s="40">
        <f t="shared" si="0"/>
        <v>1450703.7549871136</v>
      </c>
      <c r="C38" s="40"/>
      <c r="D38" s="40">
        <f t="shared" si="1"/>
        <v>-435211.12649613409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191976463.57662803</v>
      </c>
      <c r="M38" s="40"/>
      <c r="N38" s="40">
        <f t="shared" si="3"/>
        <v>192701815.45412159</v>
      </c>
      <c r="O38" s="40"/>
      <c r="P38" s="40">
        <f t="shared" si="4"/>
        <v>7895255.475147712</v>
      </c>
      <c r="Q38" s="40"/>
      <c r="R38" s="40">
        <f t="shared" si="5"/>
        <v>153979817.63083199</v>
      </c>
    </row>
    <row r="39" spans="1:18">
      <c r="A39" s="46">
        <f t="shared" si="6"/>
        <v>2034</v>
      </c>
      <c r="B39" s="40">
        <f t="shared" si="0"/>
        <v>1439823.4768247101</v>
      </c>
      <c r="C39" s="40"/>
      <c r="D39" s="40">
        <f t="shared" si="1"/>
        <v>-431947.04304741306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190536640.09980333</v>
      </c>
      <c r="M39" s="40"/>
      <c r="N39" s="40">
        <f t="shared" si="3"/>
        <v>191256551.83821568</v>
      </c>
      <c r="O39" s="40"/>
      <c r="P39" s="40">
        <f t="shared" si="4"/>
        <v>7836041.0590841044</v>
      </c>
      <c r="Q39" s="40"/>
      <c r="R39" s="40">
        <f t="shared" si="5"/>
        <v>159944088.170044</v>
      </c>
    </row>
    <row r="40" spans="1:18">
      <c r="A40" s="46">
        <f t="shared" si="6"/>
        <v>2035</v>
      </c>
      <c r="B40" s="40">
        <f t="shared" si="0"/>
        <v>1429024.800748525</v>
      </c>
      <c r="C40" s="40"/>
      <c r="D40" s="40">
        <f t="shared" si="1"/>
        <v>-428707.44022455747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189107615.2990548</v>
      </c>
      <c r="M40" s="40"/>
      <c r="N40" s="40">
        <f t="shared" si="3"/>
        <v>189822127.69942906</v>
      </c>
      <c r="O40" s="40"/>
      <c r="P40" s="40">
        <f t="shared" si="4"/>
        <v>7777270.7511409735</v>
      </c>
      <c r="Q40" s="40"/>
      <c r="R40" s="40">
        <f t="shared" si="5"/>
        <v>165863626.6802119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189107615.2990548</v>
      </c>
      <c r="M41" s="40"/>
      <c r="N41" s="40">
        <f t="shared" si="3"/>
        <v>189107615.2990548</v>
      </c>
      <c r="O41" s="40"/>
      <c r="P41" s="40">
        <f t="shared" si="4"/>
        <v>7747996.20628097</v>
      </c>
      <c r="Q41" s="40"/>
      <c r="R41" s="40">
        <f t="shared" si="5"/>
        <v>173611622.88649288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189107615.2990548</v>
      </c>
      <c r="M42" s="40"/>
      <c r="N42" s="40">
        <f t="shared" si="3"/>
        <v>189107615.2990548</v>
      </c>
      <c r="O42" s="40"/>
      <c r="P42" s="40">
        <f t="shared" si="4"/>
        <v>7747996.20628097</v>
      </c>
      <c r="Q42" s="40"/>
      <c r="R42" s="40">
        <f t="shared" si="5"/>
        <v>181359619.09277385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189107615.2990548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189107615.2990548</v>
      </c>
      <c r="O43" s="40"/>
      <c r="P43" s="40">
        <f t="shared" si="4"/>
        <v>7747996.20628097</v>
      </c>
      <c r="Q43" s="40"/>
      <c r="R43" s="40">
        <f t="shared" si="5"/>
        <v>2.9802322387695313E-8</v>
      </c>
    </row>
    <row r="44" spans="1:18">
      <c r="A44" s="4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2" t="s">
        <v>38</v>
      </c>
      <c r="B47" s="38">
        <f>SUM(B22:B43)</f>
        <v>29079562.495708909</v>
      </c>
      <c r="C47" s="38" t="s">
        <v>39</v>
      </c>
      <c r="D47" s="38">
        <f>SUM(D22:D43)</f>
        <v>-8723868.7487126719</v>
      </c>
      <c r="E47" s="38">
        <v>0</v>
      </c>
      <c r="F47" s="38">
        <f>SUM(F22:F43)</f>
        <v>189107615.2990548</v>
      </c>
      <c r="G47" s="38" t="s">
        <v>39</v>
      </c>
      <c r="H47" s="38">
        <f>SUM(H22:H43)</f>
        <v>0</v>
      </c>
      <c r="I47" s="38">
        <v>0</v>
      </c>
      <c r="J47" s="38">
        <f>SUM(J22:J43)</f>
        <v>0</v>
      </c>
      <c r="K47" s="40"/>
      <c r="L47" s="40"/>
      <c r="M47" s="40"/>
      <c r="N47" s="38">
        <f>SUM(N22:N43)</f>
        <v>4430058064.0771646</v>
      </c>
      <c r="O47" s="40"/>
      <c r="P47" s="38">
        <f>SUM(P22:P43)</f>
        <v>181505504.25901258</v>
      </c>
      <c r="Q47" s="40"/>
      <c r="R47" s="4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141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(D47+H47)/(B47+F47)</f>
        <v>-5.5927246411583614E-2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'!$J$1293</f>
        <v>8.9246798272387426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N47/(L21+J47)</f>
        <v>19.609011264575855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28.533691091814596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0.2162718403704133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33162597.842892282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(L21+J47-D47-H47-R21)/N47</f>
        <v>4.2819874735756193E-2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1.9600424716039403E-3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4.0859832264152254E-2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Unit(Fcst)'!D22</f>
        <v>100410668.51701446</v>
      </c>
      <c r="M21" s="40"/>
      <c r="N21" s="40"/>
      <c r="O21" s="40"/>
      <c r="P21" s="40"/>
      <c r="Q21" s="40"/>
      <c r="R21" s="40">
        <f>'2016 YE Reserve by Unit(Fcst)'!D21</f>
        <v>21716000.072998237</v>
      </c>
    </row>
    <row r="22" spans="1:18">
      <c r="A22" s="46">
        <v>2017</v>
      </c>
      <c r="B22" s="40">
        <f>+L21*P$10</f>
        <v>1084435.2199837563</v>
      </c>
      <c r="C22" s="40"/>
      <c r="D22" s="40">
        <f>+B22*P$2</f>
        <v>-325330.5659951269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99326233.297030702</v>
      </c>
      <c r="M22" s="40"/>
      <c r="N22" s="40">
        <f>(L21+L22)/2</f>
        <v>99868450.907022581</v>
      </c>
      <c r="O22" s="40"/>
      <c r="P22" s="40">
        <f>N22*$P$12</f>
        <v>4276354.5578927239</v>
      </c>
      <c r="Q22" s="40"/>
      <c r="R22" s="40">
        <f>R21+P22-B22-F22+D22</f>
        <v>24582588.844912078</v>
      </c>
    </row>
    <row r="23" spans="1:18">
      <c r="A23" s="46">
        <f>A22+1</f>
        <v>2018</v>
      </c>
      <c r="B23" s="40">
        <f t="shared" ref="B23:B40" si="0">+L22*P$10</f>
        <v>1072723.3196079317</v>
      </c>
      <c r="C23" s="40"/>
      <c r="D23" s="40">
        <f t="shared" ref="D23:D43" si="1">+B23*P$2</f>
        <v>-321816.99588237947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98253509.977422774</v>
      </c>
      <c r="M23" s="40"/>
      <c r="N23" s="40">
        <f t="shared" ref="N23:N42" si="3">(L22+L23)/2</f>
        <v>98789871.637226731</v>
      </c>
      <c r="O23" s="40"/>
      <c r="P23" s="40">
        <f t="shared" ref="P23:P43" si="4">N23*$P$12</f>
        <v>4230169.928667482</v>
      </c>
      <c r="Q23" s="40"/>
      <c r="R23" s="40">
        <f t="shared" ref="R23:R43" si="5">R22+P23-B23-F23+D23</f>
        <v>27418218.458089247</v>
      </c>
    </row>
    <row r="24" spans="1:18">
      <c r="A24" s="46">
        <f t="shared" ref="A24:A43" si="6">A23+1</f>
        <v>2019</v>
      </c>
      <c r="B24" s="40">
        <f t="shared" si="0"/>
        <v>1061137.9077561661</v>
      </c>
      <c r="C24" s="40"/>
      <c r="D24" s="40">
        <f t="shared" si="1"/>
        <v>-318341.37232684979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97192372.069666609</v>
      </c>
      <c r="M24" s="40"/>
      <c r="N24" s="40">
        <f t="shared" si="3"/>
        <v>97722941.023544699</v>
      </c>
      <c r="O24" s="40"/>
      <c r="P24" s="40">
        <f t="shared" si="4"/>
        <v>4184484.0934378742</v>
      </c>
      <c r="Q24" s="40"/>
      <c r="R24" s="40">
        <f t="shared" si="5"/>
        <v>30223223.271444105</v>
      </c>
    </row>
    <row r="25" spans="1:18">
      <c r="A25" s="46">
        <f t="shared" si="6"/>
        <v>2020</v>
      </c>
      <c r="B25" s="40">
        <f t="shared" si="0"/>
        <v>1049677.6183523994</v>
      </c>
      <c r="C25" s="40"/>
      <c r="D25" s="40">
        <f t="shared" si="1"/>
        <v>-314903.28550571983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96142694.451314211</v>
      </c>
      <c r="M25" s="40"/>
      <c r="N25" s="40">
        <f t="shared" si="3"/>
        <v>96667533.260490417</v>
      </c>
      <c r="O25" s="40"/>
      <c r="P25" s="40">
        <f t="shared" si="4"/>
        <v>4139291.665228745</v>
      </c>
      <c r="Q25" s="40"/>
      <c r="R25" s="40">
        <f t="shared" si="5"/>
        <v>32997934.032814734</v>
      </c>
    </row>
    <row r="26" spans="1:18">
      <c r="A26" s="46">
        <f t="shared" si="6"/>
        <v>2021</v>
      </c>
      <c r="B26" s="40">
        <f t="shared" si="0"/>
        <v>1038341.1000741936</v>
      </c>
      <c r="C26" s="40"/>
      <c r="D26" s="40">
        <f t="shared" si="1"/>
        <v>-311502.33002225804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95104353.351240024</v>
      </c>
      <c r="M26" s="40"/>
      <c r="N26" s="40">
        <f t="shared" si="3"/>
        <v>95623523.901277125</v>
      </c>
      <c r="O26" s="40"/>
      <c r="P26" s="40">
        <f t="shared" si="4"/>
        <v>4094587.3152442747</v>
      </c>
      <c r="Q26" s="40"/>
      <c r="R26" s="40">
        <f t="shared" si="5"/>
        <v>35742677.917962551</v>
      </c>
    </row>
    <row r="27" spans="1:18">
      <c r="A27" s="46">
        <f t="shared" si="6"/>
        <v>2022</v>
      </c>
      <c r="B27" s="40">
        <f t="shared" si="0"/>
        <v>1027127.0161933923</v>
      </c>
      <c r="C27" s="40"/>
      <c r="D27" s="40">
        <f t="shared" si="1"/>
        <v>-308138.1048580177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94077226.335046634</v>
      </c>
      <c r="M27" s="40"/>
      <c r="N27" s="40">
        <f t="shared" si="3"/>
        <v>94590789.843143329</v>
      </c>
      <c r="O27" s="40"/>
      <c r="P27" s="40">
        <f t="shared" si="4"/>
        <v>4050365.7722396366</v>
      </c>
      <c r="Q27" s="40"/>
      <c r="R27" s="40">
        <f t="shared" si="5"/>
        <v>38457778.569150783</v>
      </c>
    </row>
    <row r="28" spans="1:18">
      <c r="A28" s="46">
        <f t="shared" si="6"/>
        <v>2023</v>
      </c>
      <c r="B28" s="40">
        <f t="shared" si="0"/>
        <v>1016034.0444185036</v>
      </c>
      <c r="C28" s="40"/>
      <c r="D28" s="40">
        <f t="shared" si="1"/>
        <v>-304810.21332555107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93061192.290628135</v>
      </c>
      <c r="M28" s="40"/>
      <c r="N28" s="40">
        <f t="shared" si="3"/>
        <v>93569209.312837392</v>
      </c>
      <c r="O28" s="40"/>
      <c r="P28" s="40">
        <f t="shared" si="4"/>
        <v>4006621.821899449</v>
      </c>
      <c r="Q28" s="40"/>
      <c r="R28" s="40">
        <f t="shared" si="5"/>
        <v>41143556.133306175</v>
      </c>
    </row>
    <row r="29" spans="1:18">
      <c r="A29" s="46">
        <f t="shared" si="6"/>
        <v>2024</v>
      </c>
      <c r="B29" s="40">
        <f t="shared" si="0"/>
        <v>1005060.8767387839</v>
      </c>
      <c r="C29" s="40"/>
      <c r="D29" s="40">
        <f t="shared" si="1"/>
        <v>-301518.26302163518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92056131.413889349</v>
      </c>
      <c r="M29" s="40"/>
      <c r="N29" s="40">
        <f t="shared" si="3"/>
        <v>92558661.852258742</v>
      </c>
      <c r="O29" s="40"/>
      <c r="P29" s="40">
        <f t="shared" si="4"/>
        <v>3963350.3062229347</v>
      </c>
      <c r="Q29" s="40"/>
      <c r="R29" s="40">
        <f t="shared" si="5"/>
        <v>43800327.299768694</v>
      </c>
    </row>
    <row r="30" spans="1:18">
      <c r="A30" s="46">
        <f t="shared" si="6"/>
        <v>2025</v>
      </c>
      <c r="B30" s="40">
        <f t="shared" si="0"/>
        <v>994206.21927000501</v>
      </c>
      <c r="C30" s="40"/>
      <c r="D30" s="40">
        <f t="shared" si="1"/>
        <v>-298261.86578100151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91061925.194619343</v>
      </c>
      <c r="M30" s="40"/>
      <c r="N30" s="40">
        <f t="shared" si="3"/>
        <v>91559028.304254353</v>
      </c>
      <c r="O30" s="40"/>
      <c r="P30" s="40">
        <f t="shared" si="4"/>
        <v>3920546.1229157271</v>
      </c>
      <c r="Q30" s="40"/>
      <c r="R30" s="40">
        <f t="shared" si="5"/>
        <v>46428405.337633416</v>
      </c>
    </row>
    <row r="31" spans="1:18">
      <c r="A31" s="46">
        <f t="shared" si="6"/>
        <v>2026</v>
      </c>
      <c r="B31" s="40">
        <f t="shared" si="0"/>
        <v>983468.79210188892</v>
      </c>
      <c r="C31" s="40"/>
      <c r="D31" s="40">
        <f t="shared" si="1"/>
        <v>-295040.63763056666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90078456.402517453</v>
      </c>
      <c r="M31" s="40"/>
      <c r="N31" s="40">
        <f t="shared" si="3"/>
        <v>90570190.798568398</v>
      </c>
      <c r="O31" s="40"/>
      <c r="P31" s="40">
        <f t="shared" si="4"/>
        <v>3878204.2247882369</v>
      </c>
      <c r="Q31" s="40"/>
      <c r="R31" s="40">
        <f t="shared" si="5"/>
        <v>49028100.132689193</v>
      </c>
    </row>
    <row r="32" spans="1:18">
      <c r="A32" s="46">
        <f t="shared" si="6"/>
        <v>2027</v>
      </c>
      <c r="B32" s="40">
        <f t="shared" si="0"/>
        <v>972847.32914718858</v>
      </c>
      <c r="C32" s="40"/>
      <c r="D32" s="40">
        <f t="shared" si="1"/>
        <v>-291854.19874415657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89105609.073370263</v>
      </c>
      <c r="M32" s="40"/>
      <c r="N32" s="40">
        <f t="shared" si="3"/>
        <v>89592032.737943858</v>
      </c>
      <c r="O32" s="40"/>
      <c r="P32" s="40">
        <f t="shared" si="4"/>
        <v>3836319.6191605241</v>
      </c>
      <c r="Q32" s="40"/>
      <c r="R32" s="40">
        <f t="shared" si="5"/>
        <v>51599718.223958373</v>
      </c>
    </row>
    <row r="33" spans="1:18">
      <c r="A33" s="46">
        <f t="shared" si="6"/>
        <v>2028</v>
      </c>
      <c r="B33" s="40">
        <f t="shared" si="0"/>
        <v>962340.57799239887</v>
      </c>
      <c r="C33" s="40"/>
      <c r="D33" s="40">
        <f t="shared" si="1"/>
        <v>-288702.17339771963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88143268.495377868</v>
      </c>
      <c r="M33" s="40"/>
      <c r="N33" s="40">
        <f t="shared" si="3"/>
        <v>88624438.784374058</v>
      </c>
      <c r="O33" s="40"/>
      <c r="P33" s="40">
        <f t="shared" si="4"/>
        <v>3794887.3672735901</v>
      </c>
      <c r="Q33" s="40"/>
      <c r="R33" s="40">
        <f t="shared" si="5"/>
        <v>54143562.839841843</v>
      </c>
    </row>
    <row r="34" spans="1:18">
      <c r="A34" s="46">
        <f t="shared" si="6"/>
        <v>2029</v>
      </c>
      <c r="B34" s="40">
        <f t="shared" si="0"/>
        <v>951947.29975008103</v>
      </c>
      <c r="C34" s="40"/>
      <c r="D34" s="40">
        <f t="shared" si="1"/>
        <v>-285584.18992502429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87191321.195627794</v>
      </c>
      <c r="M34" s="40"/>
      <c r="N34" s="40">
        <f t="shared" si="3"/>
        <v>87667294.845502824</v>
      </c>
      <c r="O34" s="40"/>
      <c r="P34" s="40">
        <f t="shared" si="4"/>
        <v>3753902.5837070355</v>
      </c>
      <c r="Q34" s="40"/>
      <c r="R34" s="40">
        <f t="shared" si="5"/>
        <v>56659933.933873773</v>
      </c>
    </row>
    <row r="35" spans="1:18">
      <c r="A35" s="46">
        <f t="shared" si="6"/>
        <v>2030</v>
      </c>
      <c r="B35" s="40">
        <f t="shared" si="0"/>
        <v>941666.26891278022</v>
      </c>
      <c r="C35" s="40"/>
      <c r="D35" s="40">
        <f t="shared" si="1"/>
        <v>-282499.88067383406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86249654.926715016</v>
      </c>
      <c r="M35" s="40"/>
      <c r="N35" s="40">
        <f t="shared" si="3"/>
        <v>86720488.061171412</v>
      </c>
      <c r="O35" s="40"/>
      <c r="P35" s="40">
        <f t="shared" si="4"/>
        <v>3713360.4358030003</v>
      </c>
      <c r="Q35" s="40"/>
      <c r="R35" s="40">
        <f t="shared" si="5"/>
        <v>59149128.220090166</v>
      </c>
    </row>
    <row r="36" spans="1:18">
      <c r="A36" s="46">
        <f t="shared" si="6"/>
        <v>2031</v>
      </c>
      <c r="B36" s="40">
        <f t="shared" si="0"/>
        <v>931496.27320852224</v>
      </c>
      <c r="C36" s="40"/>
      <c r="D36" s="40">
        <f t="shared" si="1"/>
        <v>-279448.88196255668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85318158.653506488</v>
      </c>
      <c r="M36" s="40"/>
      <c r="N36" s="40">
        <f t="shared" si="3"/>
        <v>85783906.790110752</v>
      </c>
      <c r="O36" s="40"/>
      <c r="P36" s="40">
        <f t="shared" si="4"/>
        <v>3673256.1430963273</v>
      </c>
      <c r="Q36" s="40"/>
      <c r="R36" s="40">
        <f t="shared" si="5"/>
        <v>61611439.208015412</v>
      </c>
    </row>
    <row r="37" spans="1:18">
      <c r="A37" s="46">
        <f t="shared" si="6"/>
        <v>2032</v>
      </c>
      <c r="B37" s="40">
        <f t="shared" si="0"/>
        <v>921436.11345787009</v>
      </c>
      <c r="C37" s="40"/>
      <c r="D37" s="40">
        <f t="shared" si="1"/>
        <v>-276430.83403736103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84396722.540048614</v>
      </c>
      <c r="M37" s="40"/>
      <c r="N37" s="40">
        <f t="shared" si="3"/>
        <v>84857440.596777558</v>
      </c>
      <c r="O37" s="40"/>
      <c r="P37" s="40">
        <f t="shared" si="4"/>
        <v>3633584.9767508875</v>
      </c>
      <c r="Q37" s="40"/>
      <c r="R37" s="40">
        <f t="shared" si="5"/>
        <v>64047157.237271063</v>
      </c>
    </row>
    <row r="38" spans="1:18">
      <c r="A38" s="46">
        <f t="shared" si="6"/>
        <v>2033</v>
      </c>
      <c r="B38" s="40">
        <f t="shared" si="0"/>
        <v>911484.60343252507</v>
      </c>
      <c r="C38" s="40"/>
      <c r="D38" s="40">
        <f t="shared" si="1"/>
        <v>-273445.3810297575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83485237.936616093</v>
      </c>
      <c r="M38" s="40"/>
      <c r="N38" s="40">
        <f t="shared" si="3"/>
        <v>83940980.238332361</v>
      </c>
      <c r="O38" s="40"/>
      <c r="P38" s="40">
        <f t="shared" si="4"/>
        <v>3594342.2590019777</v>
      </c>
      <c r="Q38" s="40"/>
      <c r="R38" s="40">
        <f t="shared" si="5"/>
        <v>66456569.511810757</v>
      </c>
    </row>
    <row r="39" spans="1:18">
      <c r="A39" s="46">
        <f t="shared" si="6"/>
        <v>2034</v>
      </c>
      <c r="B39" s="40">
        <f t="shared" si="0"/>
        <v>901640.56971545389</v>
      </c>
      <c r="C39" s="40"/>
      <c r="D39" s="40">
        <f t="shared" si="1"/>
        <v>-270492.17091463617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82583597.366900638</v>
      </c>
      <c r="M39" s="40"/>
      <c r="N39" s="40">
        <f t="shared" si="3"/>
        <v>83034417.651758373</v>
      </c>
      <c r="O39" s="40"/>
      <c r="P39" s="40">
        <f t="shared" si="4"/>
        <v>3555523.3626047564</v>
      </c>
      <c r="Q39" s="40"/>
      <c r="R39" s="40">
        <f t="shared" si="5"/>
        <v>68839960.133785427</v>
      </c>
    </row>
    <row r="40" spans="1:18">
      <c r="A40" s="46">
        <f t="shared" si="6"/>
        <v>2035</v>
      </c>
      <c r="B40" s="40">
        <f t="shared" si="0"/>
        <v>891902.85156252689</v>
      </c>
      <c r="C40" s="40"/>
      <c r="D40" s="40">
        <f t="shared" si="1"/>
        <v>-267570.85546875803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81691694.515338108</v>
      </c>
      <c r="M40" s="40"/>
      <c r="N40" s="40">
        <f t="shared" si="3"/>
        <v>82137645.941119373</v>
      </c>
      <c r="O40" s="40"/>
      <c r="P40" s="40">
        <f t="shared" si="4"/>
        <v>3517123.7102886247</v>
      </c>
      <c r="Q40" s="40"/>
      <c r="R40" s="40">
        <f t="shared" si="5"/>
        <v>71197610.137042761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81691694.515338108</v>
      </c>
      <c r="M41" s="40"/>
      <c r="N41" s="40">
        <f t="shared" si="3"/>
        <v>81691694.515338108</v>
      </c>
      <c r="O41" s="40"/>
      <c r="P41" s="40">
        <f t="shared" si="4"/>
        <v>3498028.1260984391</v>
      </c>
      <c r="Q41" s="40"/>
      <c r="R41" s="40">
        <f t="shared" si="5"/>
        <v>74695638.2631412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81691694.515338108</v>
      </c>
      <c r="M42" s="40"/>
      <c r="N42" s="40">
        <f t="shared" si="3"/>
        <v>81691694.515338108</v>
      </c>
      <c r="O42" s="40"/>
      <c r="P42" s="40">
        <f t="shared" si="4"/>
        <v>3498028.1260984391</v>
      </c>
      <c r="Q42" s="40"/>
      <c r="R42" s="40">
        <f t="shared" si="5"/>
        <v>78193666.389239639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81691694.515338108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81691694.515338108</v>
      </c>
      <c r="O43" s="40"/>
      <c r="P43" s="40">
        <f t="shared" si="4"/>
        <v>3498028.1260984391</v>
      </c>
      <c r="Q43" s="40"/>
      <c r="R43" s="40">
        <f t="shared" si="5"/>
        <v>-2.9802322387695313E-8</v>
      </c>
    </row>
    <row r="44" spans="1:18">
      <c r="A44" s="4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2" t="s">
        <v>38</v>
      </c>
      <c r="B47" s="38">
        <f>SUM(B22:B43)</f>
        <v>18718974.001676366</v>
      </c>
      <c r="C47" s="38" t="s">
        <v>39</v>
      </c>
      <c r="D47" s="38">
        <f>SUM(D22:D43)</f>
        <v>-5615692.2005029097</v>
      </c>
      <c r="E47" s="38">
        <v>0</v>
      </c>
      <c r="F47" s="38">
        <f>SUM(F22:F43)</f>
        <v>81691694.515338108</v>
      </c>
      <c r="G47" s="38" t="s">
        <v>39</v>
      </c>
      <c r="H47" s="38">
        <f>SUM(H22:H43)</f>
        <v>0</v>
      </c>
      <c r="I47" s="38">
        <v>0</v>
      </c>
      <c r="J47" s="38">
        <f>SUM(J22:J43)</f>
        <v>0</v>
      </c>
      <c r="K47" s="40"/>
      <c r="L47" s="40"/>
      <c r="M47" s="40"/>
      <c r="N47" s="38">
        <f>SUM(N22:N43)</f>
        <v>1968953930.0337288</v>
      </c>
      <c r="O47" s="40"/>
      <c r="P47" s="38">
        <f>SUM(P22:P43)</f>
        <v>84310360.644519135</v>
      </c>
      <c r="Q47" s="40"/>
      <c r="R47" s="4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S6" sqref="S6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141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(D47+H47)/(B47+F47)</f>
        <v>-9.6037861494845268E-3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'!$J$1327</f>
        <v>17.013092966839736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N47/(L21+J47)</f>
        <v>20.784218710210546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37.797311677050281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0.52058671071602858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12313341.454902183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(L21+J47-D47-H47-R21)/N47</f>
        <v>2.3528287603768301E-2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2.5408648719627697E-4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2.3274201116572024E-2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Unit(Fcst)'!D23</f>
        <v>27095838.11581862</v>
      </c>
      <c r="M21" s="40"/>
      <c r="N21" s="40"/>
      <c r="O21" s="40"/>
      <c r="P21" s="40"/>
      <c r="Q21" s="40"/>
      <c r="R21" s="40">
        <f>'2016 YE Reserve by Unit(Fcst)'!D22</f>
        <v>14105733.238808008</v>
      </c>
    </row>
    <row r="22" spans="1:18">
      <c r="A22" s="46">
        <v>2017</v>
      </c>
      <c r="B22" s="40">
        <f>+L21*P$10</f>
        <v>143607.94201383868</v>
      </c>
      <c r="C22" s="40"/>
      <c r="D22" s="40">
        <f>+B22*P$2</f>
        <v>-14360.794201383869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26952230.173804782</v>
      </c>
      <c r="M22" s="40"/>
      <c r="N22" s="40">
        <f>(L21+L22)/2</f>
        <v>27024034.144811701</v>
      </c>
      <c r="O22" s="40"/>
      <c r="P22" s="40">
        <f>N22*$P$12</f>
        <v>635829.24757318443</v>
      </c>
      <c r="Q22" s="40"/>
      <c r="R22" s="40">
        <f>R21+P22-B22-F22+D22</f>
        <v>14583593.750165969</v>
      </c>
    </row>
    <row r="23" spans="1:18">
      <c r="A23" s="46">
        <f>A22+1</f>
        <v>2018</v>
      </c>
      <c r="B23" s="40">
        <f t="shared" ref="B23:B40" si="0">+L22*P$10</f>
        <v>142846.81992116536</v>
      </c>
      <c r="C23" s="40"/>
      <c r="D23" s="40">
        <f t="shared" ref="D23:D43" si="1">+B23*P$2</f>
        <v>-14284.681992116537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26809383.353883617</v>
      </c>
      <c r="M23" s="40"/>
      <c r="N23" s="40">
        <f t="shared" ref="N23:N42" si="3">(L22+L23)/2</f>
        <v>26880806.763844199</v>
      </c>
      <c r="O23" s="40"/>
      <c r="P23" s="40">
        <f t="shared" ref="P23:P43" si="4">N23*$P$12</f>
        <v>632459.3525610466</v>
      </c>
      <c r="Q23" s="40"/>
      <c r="R23" s="40">
        <f t="shared" ref="R23:R43" si="5">R22+P23-B23-F23+D23</f>
        <v>15058921.600813733</v>
      </c>
    </row>
    <row r="24" spans="1:18">
      <c r="A24" s="46">
        <f t="shared" ref="A24:A43" si="6">A23+1</f>
        <v>2019</v>
      </c>
      <c r="B24" s="40">
        <f t="shared" si="0"/>
        <v>142089.73177558318</v>
      </c>
      <c r="C24" s="40"/>
      <c r="D24" s="40">
        <f t="shared" si="1"/>
        <v>-14208.973177558319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26667293.622108035</v>
      </c>
      <c r="M24" s="40"/>
      <c r="N24" s="40">
        <f t="shared" si="3"/>
        <v>26738338.487995826</v>
      </c>
      <c r="O24" s="40"/>
      <c r="P24" s="40">
        <f t="shared" si="4"/>
        <v>629107.31799247302</v>
      </c>
      <c r="Q24" s="40"/>
      <c r="R24" s="40">
        <f t="shared" si="5"/>
        <v>15531730.213853065</v>
      </c>
    </row>
    <row r="25" spans="1:18">
      <c r="A25" s="46">
        <f t="shared" si="6"/>
        <v>2020</v>
      </c>
      <c r="B25" s="40">
        <f t="shared" si="0"/>
        <v>141336.65619717259</v>
      </c>
      <c r="C25" s="40"/>
      <c r="D25" s="40">
        <f t="shared" si="1"/>
        <v>-14133.66561971726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26525956.965910863</v>
      </c>
      <c r="M25" s="40"/>
      <c r="N25" s="40">
        <f t="shared" si="3"/>
        <v>26596625.294009447</v>
      </c>
      <c r="O25" s="40"/>
      <c r="P25" s="40">
        <f t="shared" si="4"/>
        <v>625773.04920711287</v>
      </c>
      <c r="Q25" s="40"/>
      <c r="R25" s="40">
        <f t="shared" si="5"/>
        <v>16002032.941243289</v>
      </c>
    </row>
    <row r="26" spans="1:18">
      <c r="A26" s="46">
        <f t="shared" si="6"/>
        <v>2021</v>
      </c>
      <c r="B26" s="40">
        <f t="shared" si="0"/>
        <v>140587.57191932757</v>
      </c>
      <c r="C26" s="40"/>
      <c r="D26" s="40">
        <f t="shared" si="1"/>
        <v>-14058.757191932758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26385369.393991537</v>
      </c>
      <c r="M26" s="40"/>
      <c r="N26" s="40">
        <f t="shared" si="3"/>
        <v>26455663.179951198</v>
      </c>
      <c r="O26" s="40"/>
      <c r="P26" s="40">
        <f t="shared" si="4"/>
        <v>622456.4520463153</v>
      </c>
      <c r="Q26" s="40"/>
      <c r="R26" s="40">
        <f t="shared" si="5"/>
        <v>16469843.064178346</v>
      </c>
    </row>
    <row r="27" spans="1:18">
      <c r="A27" s="46">
        <f t="shared" si="6"/>
        <v>2022</v>
      </c>
      <c r="B27" s="40">
        <f t="shared" si="0"/>
        <v>139842.45778815515</v>
      </c>
      <c r="C27" s="40"/>
      <c r="D27" s="40">
        <f t="shared" si="1"/>
        <v>-13984.245778815515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26245526.936203383</v>
      </c>
      <c r="M27" s="40"/>
      <c r="N27" s="40">
        <f t="shared" si="3"/>
        <v>26315448.16509746</v>
      </c>
      <c r="O27" s="40"/>
      <c r="P27" s="40">
        <f t="shared" si="4"/>
        <v>619157.43285046984</v>
      </c>
      <c r="Q27" s="40"/>
      <c r="R27" s="40">
        <f t="shared" si="5"/>
        <v>16935173.793461848</v>
      </c>
    </row>
    <row r="28" spans="1:18">
      <c r="A28" s="46">
        <f t="shared" si="6"/>
        <v>2023</v>
      </c>
      <c r="B28" s="40">
        <f t="shared" si="0"/>
        <v>139101.29276187794</v>
      </c>
      <c r="C28" s="40"/>
      <c r="D28" s="40">
        <f t="shared" si="1"/>
        <v>-13910.129276187794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26106425.643441506</v>
      </c>
      <c r="M28" s="40"/>
      <c r="N28" s="40">
        <f t="shared" si="3"/>
        <v>26175976.289822444</v>
      </c>
      <c r="O28" s="40"/>
      <c r="P28" s="40">
        <f t="shared" si="4"/>
        <v>615875.89845636243</v>
      </c>
      <c r="Q28" s="40"/>
      <c r="R28" s="40">
        <f t="shared" si="5"/>
        <v>17398038.269880146</v>
      </c>
    </row>
    <row r="29" spans="1:18">
      <c r="A29" s="46">
        <f t="shared" si="6"/>
        <v>2024</v>
      </c>
      <c r="B29" s="40">
        <f t="shared" si="0"/>
        <v>138364.05591023999</v>
      </c>
      <c r="C29" s="40"/>
      <c r="D29" s="40">
        <f t="shared" si="1"/>
        <v>-13836.405591023999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25968061.587531265</v>
      </c>
      <c r="M29" s="40"/>
      <c r="N29" s="40">
        <f t="shared" si="3"/>
        <v>26037243.615486383</v>
      </c>
      <c r="O29" s="40"/>
      <c r="P29" s="40">
        <f t="shared" si="4"/>
        <v>612611.75619454368</v>
      </c>
      <c r="Q29" s="40"/>
      <c r="R29" s="40">
        <f t="shared" si="5"/>
        <v>17858449.564573426</v>
      </c>
    </row>
    <row r="30" spans="1:18">
      <c r="A30" s="46">
        <f t="shared" si="6"/>
        <v>2025</v>
      </c>
      <c r="B30" s="40">
        <f t="shared" si="0"/>
        <v>137630.72641391569</v>
      </c>
      <c r="C30" s="40"/>
      <c r="D30" s="40">
        <f t="shared" si="1"/>
        <v>-13763.072641391569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25830430.861117348</v>
      </c>
      <c r="M30" s="40"/>
      <c r="N30" s="40">
        <f t="shared" si="3"/>
        <v>25899246.224324308</v>
      </c>
      <c r="O30" s="40"/>
      <c r="P30" s="40">
        <f t="shared" si="4"/>
        <v>609364.91388671263</v>
      </c>
      <c r="Q30" s="40"/>
      <c r="R30" s="40">
        <f t="shared" si="5"/>
        <v>18316420.679404829</v>
      </c>
    </row>
    <row r="31" spans="1:18">
      <c r="A31" s="46">
        <f t="shared" si="6"/>
        <v>2026</v>
      </c>
      <c r="B31" s="40">
        <f t="shared" si="0"/>
        <v>136901.28356392196</v>
      </c>
      <c r="C31" s="40"/>
      <c r="D31" s="40">
        <f t="shared" si="1"/>
        <v>-13690.128356392197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25693529.577553425</v>
      </c>
      <c r="M31" s="40"/>
      <c r="N31" s="40">
        <f t="shared" si="3"/>
        <v>25761980.219335385</v>
      </c>
      <c r="O31" s="40"/>
      <c r="P31" s="40">
        <f t="shared" si="4"/>
        <v>606135.27984311292</v>
      </c>
      <c r="Q31" s="40"/>
      <c r="R31" s="40">
        <f t="shared" si="5"/>
        <v>18771964.547327626</v>
      </c>
    </row>
    <row r="32" spans="1:18">
      <c r="A32" s="46">
        <f t="shared" si="6"/>
        <v>2027</v>
      </c>
      <c r="B32" s="40">
        <f t="shared" si="0"/>
        <v>136175.70676103316</v>
      </c>
      <c r="C32" s="40"/>
      <c r="D32" s="40">
        <f t="shared" si="1"/>
        <v>-13617.570676103316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25557353.870792393</v>
      </c>
      <c r="M32" s="40"/>
      <c r="N32" s="40">
        <f t="shared" si="3"/>
        <v>25625441.724172909</v>
      </c>
      <c r="O32" s="40"/>
      <c r="P32" s="40">
        <f t="shared" si="4"/>
        <v>602922.76285994449</v>
      </c>
      <c r="Q32" s="40"/>
      <c r="R32" s="40">
        <f t="shared" si="5"/>
        <v>19225094.032750435</v>
      </c>
    </row>
    <row r="33" spans="1:18">
      <c r="A33" s="46">
        <f t="shared" si="6"/>
        <v>2028</v>
      </c>
      <c r="B33" s="40">
        <f t="shared" si="0"/>
        <v>135453.97551519968</v>
      </c>
      <c r="C33" s="40"/>
      <c r="D33" s="40">
        <f t="shared" si="1"/>
        <v>-13545.397551519969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25421899.895277195</v>
      </c>
      <c r="M33" s="40"/>
      <c r="N33" s="40">
        <f t="shared" si="3"/>
        <v>25489626.883034796</v>
      </c>
      <c r="O33" s="40"/>
      <c r="P33" s="40">
        <f t="shared" si="4"/>
        <v>599727.27221678686</v>
      </c>
      <c r="Q33" s="40"/>
      <c r="R33" s="40">
        <f t="shared" si="5"/>
        <v>19675821.931900501</v>
      </c>
    </row>
    <row r="34" spans="1:18">
      <c r="A34" s="46">
        <f t="shared" si="6"/>
        <v>2029</v>
      </c>
      <c r="B34" s="40">
        <f t="shared" si="0"/>
        <v>134736.06944496912</v>
      </c>
      <c r="C34" s="40"/>
      <c r="D34" s="40">
        <f t="shared" si="1"/>
        <v>-13473.606944496913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25287163.825832225</v>
      </c>
      <c r="M34" s="40"/>
      <c r="N34" s="40">
        <f t="shared" si="3"/>
        <v>25354531.86055471</v>
      </c>
      <c r="O34" s="40"/>
      <c r="P34" s="40">
        <f t="shared" si="4"/>
        <v>596548.71767403779</v>
      </c>
      <c r="Q34" s="40"/>
      <c r="R34" s="40">
        <f t="shared" si="5"/>
        <v>20124160.973185074</v>
      </c>
    </row>
    <row r="35" spans="1:18">
      <c r="A35" s="46">
        <f t="shared" si="6"/>
        <v>2030</v>
      </c>
      <c r="B35" s="40">
        <f t="shared" si="0"/>
        <v>134021.9682769108</v>
      </c>
      <c r="C35" s="40"/>
      <c r="D35" s="40">
        <f t="shared" si="1"/>
        <v>-13402.196827691081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25153141.857555315</v>
      </c>
      <c r="M35" s="40"/>
      <c r="N35" s="40">
        <f t="shared" si="3"/>
        <v>25220152.84169377</v>
      </c>
      <c r="O35" s="40"/>
      <c r="P35" s="40">
        <f t="shared" si="4"/>
        <v>593387.00947036548</v>
      </c>
      <c r="Q35" s="40"/>
      <c r="R35" s="40">
        <f t="shared" si="5"/>
        <v>20570123.817550838</v>
      </c>
    </row>
    <row r="36" spans="1:18">
      <c r="A36" s="46">
        <f t="shared" si="6"/>
        <v>2031</v>
      </c>
      <c r="B36" s="40">
        <f t="shared" si="0"/>
        <v>133311.65184504318</v>
      </c>
      <c r="C36" s="40"/>
      <c r="D36" s="40">
        <f t="shared" si="1"/>
        <v>-13331.165184504318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25019830.205710273</v>
      </c>
      <c r="M36" s="40"/>
      <c r="N36" s="40">
        <f t="shared" si="3"/>
        <v>25086486.031632796</v>
      </c>
      <c r="O36" s="40"/>
      <c r="P36" s="40">
        <f t="shared" si="4"/>
        <v>590242.0583201726</v>
      </c>
      <c r="Q36" s="40"/>
      <c r="R36" s="40">
        <f t="shared" si="5"/>
        <v>21013723.058841463</v>
      </c>
    </row>
    <row r="37" spans="1:18">
      <c r="A37" s="46">
        <f t="shared" si="6"/>
        <v>2032</v>
      </c>
      <c r="B37" s="40">
        <f t="shared" si="0"/>
        <v>132605.10009026446</v>
      </c>
      <c r="C37" s="40"/>
      <c r="D37" s="40">
        <f t="shared" si="1"/>
        <v>-13260.510009026446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24887225.105620008</v>
      </c>
      <c r="M37" s="40"/>
      <c r="N37" s="40">
        <f t="shared" si="3"/>
        <v>24953527.655665141</v>
      </c>
      <c r="O37" s="40"/>
      <c r="P37" s="40">
        <f t="shared" si="4"/>
        <v>587113.77541107556</v>
      </c>
      <c r="Q37" s="40"/>
      <c r="R37" s="40">
        <f t="shared" si="5"/>
        <v>21454971.224153247</v>
      </c>
    </row>
    <row r="38" spans="1:18">
      <c r="A38" s="46">
        <f t="shared" si="6"/>
        <v>2033</v>
      </c>
      <c r="B38" s="40">
        <f t="shared" si="0"/>
        <v>131902.29305978605</v>
      </c>
      <c r="C38" s="40"/>
      <c r="D38" s="40">
        <f t="shared" si="1"/>
        <v>-13190.229305978606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24755322.812560223</v>
      </c>
      <c r="M38" s="40"/>
      <c r="N38" s="40">
        <f t="shared" si="3"/>
        <v>24821273.959090114</v>
      </c>
      <c r="O38" s="40"/>
      <c r="P38" s="40">
        <f t="shared" si="4"/>
        <v>584002.07240139681</v>
      </c>
      <c r="Q38" s="40"/>
      <c r="R38" s="40">
        <f t="shared" si="5"/>
        <v>21893880.77418888</v>
      </c>
    </row>
    <row r="39" spans="1:18">
      <c r="A39" s="46">
        <f t="shared" si="6"/>
        <v>2034</v>
      </c>
      <c r="B39" s="40">
        <f t="shared" si="0"/>
        <v>131203.21090656918</v>
      </c>
      <c r="C39" s="40"/>
      <c r="D39" s="40">
        <f t="shared" si="1"/>
        <v>-13120.321090656918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24624119.601653654</v>
      </c>
      <c r="M39" s="40"/>
      <c r="N39" s="40">
        <f t="shared" si="3"/>
        <v>24689721.20710694</v>
      </c>
      <c r="O39" s="40"/>
      <c r="P39" s="40">
        <f t="shared" si="4"/>
        <v>580906.86141766957</v>
      </c>
      <c r="Q39" s="40"/>
      <c r="R39" s="40">
        <f t="shared" si="5"/>
        <v>22330464.103609324</v>
      </c>
    </row>
    <row r="40" spans="1:18">
      <c r="A40" s="46">
        <f t="shared" si="6"/>
        <v>2035</v>
      </c>
      <c r="B40" s="40">
        <f t="shared" si="0"/>
        <v>130507.83388876436</v>
      </c>
      <c r="C40" s="40"/>
      <c r="D40" s="40">
        <f t="shared" si="1"/>
        <v>-13050.783388876436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24493611.767764889</v>
      </c>
      <c r="M40" s="40"/>
      <c r="N40" s="40">
        <f t="shared" si="3"/>
        <v>24558865.684709273</v>
      </c>
      <c r="O40" s="40"/>
      <c r="P40" s="40">
        <f t="shared" si="4"/>
        <v>577828.05505215586</v>
      </c>
      <c r="Q40" s="40"/>
      <c r="R40" s="40">
        <f t="shared" si="5"/>
        <v>22764733.54138384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24493611.767764889</v>
      </c>
      <c r="M41" s="40"/>
      <c r="N41" s="40">
        <f t="shared" si="3"/>
        <v>24493611.767764889</v>
      </c>
      <c r="O41" s="40"/>
      <c r="P41" s="40">
        <f t="shared" si="4"/>
        <v>576292.74212701607</v>
      </c>
      <c r="Q41" s="40"/>
      <c r="R41" s="40">
        <f t="shared" si="5"/>
        <v>23341026.283510856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24493611.767764889</v>
      </c>
      <c r="M42" s="40"/>
      <c r="N42" s="40">
        <f t="shared" si="3"/>
        <v>24493611.767764889</v>
      </c>
      <c r="O42" s="40"/>
      <c r="P42" s="40">
        <f t="shared" si="4"/>
        <v>576292.74212701607</v>
      </c>
      <c r="Q42" s="40"/>
      <c r="R42" s="40">
        <f t="shared" si="5"/>
        <v>23917319.025637873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24493611.767764889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24493611.767764889</v>
      </c>
      <c r="O43" s="40"/>
      <c r="P43" s="40">
        <f t="shared" si="4"/>
        <v>576292.74212701607</v>
      </c>
      <c r="Q43" s="40"/>
      <c r="R43" s="40">
        <f t="shared" si="5"/>
        <v>0</v>
      </c>
    </row>
    <row r="44" spans="1:18">
      <c r="A44" s="4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2" t="s">
        <v>38</v>
      </c>
      <c r="B47" s="38">
        <f>SUM(B22:B43)</f>
        <v>2602226.348053738</v>
      </c>
      <c r="C47" s="38" t="s">
        <v>39</v>
      </c>
      <c r="D47" s="38">
        <f>SUM(D22:D43)</f>
        <v>-260222.63480537385</v>
      </c>
      <c r="E47" s="38">
        <v>0</v>
      </c>
      <c r="F47" s="38">
        <f>SUM(F22:F43)</f>
        <v>24493611.767764889</v>
      </c>
      <c r="G47" s="38" t="s">
        <v>39</v>
      </c>
      <c r="H47" s="38">
        <f>SUM(H22:H43)</f>
        <v>0</v>
      </c>
      <c r="I47" s="38">
        <v>0</v>
      </c>
      <c r="J47" s="38">
        <f>SUM(J22:J43)</f>
        <v>0</v>
      </c>
      <c r="K47" s="40"/>
      <c r="L47" s="40"/>
      <c r="M47" s="40"/>
      <c r="N47" s="38">
        <f>SUM(N22:N43)</f>
        <v>563165825.53563344</v>
      </c>
      <c r="O47" s="40"/>
      <c r="P47" s="38">
        <f>SUM(P22:P43)</f>
        <v>13250327.511815986</v>
      </c>
      <c r="Q47" s="40"/>
      <c r="R47" s="4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2.7109375" style="35" bestFit="1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IRC!$D$4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142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(D47+H47)/(B47+F47)</f>
        <v>-3.9154789000745704E-3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'!$J$353</f>
        <v>19.414964286952589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N47/(L21+J47)</f>
        <v>21.508095857900116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40.923060144852705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0.57768674514512908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60689611.00987114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IRR!D3</f>
        <v>2.0999999999999999E-3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(L21+J47-D47-H47-R21)/N47</f>
        <v>1.9817130097008934E-2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9.5679034906363393E-5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1.9721451062102571E-2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Unit(Fcst)'!D6</f>
        <v>127423259.25107643</v>
      </c>
      <c r="M21" s="40"/>
      <c r="N21" s="40"/>
      <c r="O21" s="40"/>
      <c r="P21" s="40"/>
      <c r="Q21" s="40"/>
      <c r="R21" s="40">
        <f>'2016 YE Reserve by Unit(Fcst)'!D6</f>
        <v>73610727.892538294</v>
      </c>
    </row>
    <row r="22" spans="1:18">
      <c r="A22" s="46">
        <v>2017</v>
      </c>
      <c r="B22" s="40">
        <f>+L21*P$10</f>
        <v>267588.84442726051</v>
      </c>
      <c r="C22" s="40"/>
      <c r="D22" s="40">
        <f>+B22*P$2</f>
        <v>-26758.884442726052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127155670.40664917</v>
      </c>
      <c r="M22" s="40"/>
      <c r="N22" s="40">
        <f>(L21+L22)/2</f>
        <v>127289464.8288628</v>
      </c>
      <c r="O22" s="40"/>
      <c r="P22" s="40">
        <f>N22*$P$12</f>
        <v>2522511.8844922171</v>
      </c>
      <c r="Q22" s="40"/>
      <c r="R22" s="40">
        <f>R21+P22-B22-F22+D22</f>
        <v>75838892.048160523</v>
      </c>
    </row>
    <row r="23" spans="1:18">
      <c r="A23" s="46">
        <f>A22+1</f>
        <v>2018</v>
      </c>
      <c r="B23" s="40">
        <f t="shared" ref="B23:B40" si="0">+L22*P$10</f>
        <v>267026.90785396326</v>
      </c>
      <c r="C23" s="40"/>
      <c r="D23" s="40">
        <f t="shared" ref="D23:D43" si="1">+B23*P$2</f>
        <v>-26702.690785396328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126888643.49879521</v>
      </c>
      <c r="M23" s="40"/>
      <c r="N23" s="40">
        <f t="shared" ref="N23:N42" si="3">(L22+L23)/2</f>
        <v>127022156.95272219</v>
      </c>
      <c r="O23" s="40"/>
      <c r="P23" s="40">
        <f t="shared" ref="P23:P43" si="4">N23*$P$12</f>
        <v>2517214.6095347838</v>
      </c>
      <c r="Q23" s="40"/>
      <c r="R23" s="40">
        <f t="shared" ref="R23:R43" si="5">R22+P23-B23-F23+D23</f>
        <v>78062377.059055954</v>
      </c>
    </row>
    <row r="24" spans="1:18">
      <c r="A24" s="46">
        <f t="shared" ref="A24:A43" si="6">A23+1</f>
        <v>2019</v>
      </c>
      <c r="B24" s="40">
        <f t="shared" si="0"/>
        <v>266466.15134746995</v>
      </c>
      <c r="C24" s="40"/>
      <c r="D24" s="40">
        <f t="shared" si="1"/>
        <v>-26646.615134746997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126622177.34744774</v>
      </c>
      <c r="M24" s="40"/>
      <c r="N24" s="40">
        <f t="shared" si="3"/>
        <v>126755410.42312148</v>
      </c>
      <c r="O24" s="40"/>
      <c r="P24" s="40">
        <f t="shared" si="4"/>
        <v>2511928.4588547605</v>
      </c>
      <c r="Q24" s="40"/>
      <c r="R24" s="40">
        <f t="shared" si="5"/>
        <v>80281192.7514285</v>
      </c>
    </row>
    <row r="25" spans="1:18">
      <c r="A25" s="46">
        <f t="shared" si="6"/>
        <v>2020</v>
      </c>
      <c r="B25" s="40">
        <f t="shared" si="0"/>
        <v>265906.57242964022</v>
      </c>
      <c r="C25" s="40"/>
      <c r="D25" s="40">
        <f t="shared" si="1"/>
        <v>-26590.657242964022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126356270.7750181</v>
      </c>
      <c r="M25" s="40"/>
      <c r="N25" s="40">
        <f t="shared" si="3"/>
        <v>126489224.06123292</v>
      </c>
      <c r="O25" s="40"/>
      <c r="P25" s="40">
        <f t="shared" si="4"/>
        <v>2506653.4090911658</v>
      </c>
      <c r="Q25" s="40"/>
      <c r="R25" s="40">
        <f t="shared" si="5"/>
        <v>82495348.930847049</v>
      </c>
    </row>
    <row r="26" spans="1:18">
      <c r="A26" s="46">
        <f t="shared" si="6"/>
        <v>2021</v>
      </c>
      <c r="B26" s="40">
        <f t="shared" si="0"/>
        <v>265348.16862753796</v>
      </c>
      <c r="C26" s="40"/>
      <c r="D26" s="40">
        <f t="shared" si="1"/>
        <v>-26534.816862753796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126090922.60639055</v>
      </c>
      <c r="M26" s="40"/>
      <c r="N26" s="40">
        <f t="shared" si="3"/>
        <v>126223596.69070432</v>
      </c>
      <c r="O26" s="40"/>
      <c r="P26" s="40">
        <f t="shared" si="4"/>
        <v>2501389.4369320739</v>
      </c>
      <c r="Q26" s="40"/>
      <c r="R26" s="40">
        <f t="shared" si="5"/>
        <v>84704855.382288828</v>
      </c>
    </row>
    <row r="27" spans="1:18">
      <c r="A27" s="46">
        <f t="shared" si="6"/>
        <v>2022</v>
      </c>
      <c r="B27" s="40">
        <f t="shared" si="0"/>
        <v>264790.93747342011</v>
      </c>
      <c r="C27" s="40"/>
      <c r="D27" s="40">
        <f t="shared" si="1"/>
        <v>-26479.093747342013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125826131.66891713</v>
      </c>
      <c r="M27" s="40"/>
      <c r="N27" s="40">
        <f t="shared" si="3"/>
        <v>125958527.13765384</v>
      </c>
      <c r="O27" s="40"/>
      <c r="P27" s="40">
        <f t="shared" si="4"/>
        <v>2496136.5191145167</v>
      </c>
      <c r="Q27" s="40"/>
      <c r="R27" s="40">
        <f t="shared" si="5"/>
        <v>86909721.870182574</v>
      </c>
    </row>
    <row r="28" spans="1:18">
      <c r="A28" s="46">
        <f t="shared" si="6"/>
        <v>2023</v>
      </c>
      <c r="B28" s="40">
        <f t="shared" si="0"/>
        <v>264234.87650472595</v>
      </c>
      <c r="C28" s="40"/>
      <c r="D28" s="40">
        <f t="shared" si="1"/>
        <v>-26423.487650472598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125561896.79241242</v>
      </c>
      <c r="M28" s="40"/>
      <c r="N28" s="40">
        <f t="shared" si="3"/>
        <v>125694014.23066477</v>
      </c>
      <c r="O28" s="40"/>
      <c r="P28" s="40">
        <f t="shared" si="4"/>
        <v>2490894.6324243764</v>
      </c>
      <c r="Q28" s="40"/>
      <c r="R28" s="40">
        <f t="shared" si="5"/>
        <v>89109958.138451755</v>
      </c>
    </row>
    <row r="29" spans="1:18">
      <c r="A29" s="46">
        <f t="shared" si="6"/>
        <v>2024</v>
      </c>
      <c r="B29" s="40">
        <f t="shared" si="0"/>
        <v>263679.98326406605</v>
      </c>
      <c r="C29" s="40"/>
      <c r="D29" s="40">
        <f t="shared" si="1"/>
        <v>-26367.998326406607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125298216.80914836</v>
      </c>
      <c r="M29" s="40"/>
      <c r="N29" s="40">
        <f t="shared" si="3"/>
        <v>125430056.80078039</v>
      </c>
      <c r="O29" s="40"/>
      <c r="P29" s="40">
        <f t="shared" si="4"/>
        <v>2485663.7536962852</v>
      </c>
      <c r="Q29" s="40"/>
      <c r="R29" s="40">
        <f t="shared" si="5"/>
        <v>91305573.910557583</v>
      </c>
    </row>
    <row r="30" spans="1:18">
      <c r="A30" s="46">
        <f t="shared" si="6"/>
        <v>2025</v>
      </c>
      <c r="B30" s="40">
        <f t="shared" si="0"/>
        <v>263126.25529921154</v>
      </c>
      <c r="C30" s="40"/>
      <c r="D30" s="40">
        <f t="shared" si="1"/>
        <v>-26312.625529921155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125035090.55384915</v>
      </c>
      <c r="M30" s="40"/>
      <c r="N30" s="40">
        <f t="shared" si="3"/>
        <v>125166653.68149875</v>
      </c>
      <c r="O30" s="40"/>
      <c r="P30" s="40">
        <f t="shared" si="4"/>
        <v>2480443.859813523</v>
      </c>
      <c r="Q30" s="40"/>
      <c r="R30" s="40">
        <f t="shared" si="5"/>
        <v>93496578.889541984</v>
      </c>
    </row>
    <row r="31" spans="1:18">
      <c r="A31" s="46">
        <f t="shared" si="6"/>
        <v>2026</v>
      </c>
      <c r="B31" s="40">
        <f t="shared" si="0"/>
        <v>262573.6901630832</v>
      </c>
      <c r="C31" s="40"/>
      <c r="D31" s="40">
        <f t="shared" si="1"/>
        <v>-26257.369016308323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124772516.86368607</v>
      </c>
      <c r="M31" s="40"/>
      <c r="N31" s="40">
        <f t="shared" si="3"/>
        <v>124903803.70876761</v>
      </c>
      <c r="O31" s="40"/>
      <c r="P31" s="40">
        <f t="shared" si="4"/>
        <v>2475234.9277079147</v>
      </c>
      <c r="Q31" s="40"/>
      <c r="R31" s="40">
        <f t="shared" si="5"/>
        <v>95682982.758070514</v>
      </c>
    </row>
    <row r="32" spans="1:18">
      <c r="A32" s="46">
        <f t="shared" si="6"/>
        <v>2027</v>
      </c>
      <c r="B32" s="40">
        <f t="shared" si="0"/>
        <v>262022.28541374073</v>
      </c>
      <c r="C32" s="40"/>
      <c r="D32" s="40">
        <f t="shared" si="1"/>
        <v>-26202.228541374076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124510494.57827233</v>
      </c>
      <c r="M32" s="40"/>
      <c r="N32" s="40">
        <f t="shared" si="3"/>
        <v>124641505.7209792</v>
      </c>
      <c r="O32" s="40"/>
      <c r="P32" s="40">
        <f t="shared" si="4"/>
        <v>2470036.9343597284</v>
      </c>
      <c r="Q32" s="40"/>
      <c r="R32" s="40">
        <f t="shared" si="5"/>
        <v>97864795.178475127</v>
      </c>
    </row>
    <row r="33" spans="1:18">
      <c r="A33" s="46">
        <f t="shared" si="6"/>
        <v>2028</v>
      </c>
      <c r="B33" s="40">
        <f t="shared" si="0"/>
        <v>261472.03861437188</v>
      </c>
      <c r="C33" s="40"/>
      <c r="D33" s="40">
        <f t="shared" si="1"/>
        <v>-26147.203861437189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124249022.53965795</v>
      </c>
      <c r="M33" s="40"/>
      <c r="N33" s="40">
        <f t="shared" si="3"/>
        <v>124379758.55896515</v>
      </c>
      <c r="O33" s="40"/>
      <c r="P33" s="40">
        <f t="shared" si="4"/>
        <v>2464849.8567975727</v>
      </c>
      <c r="Q33" s="40"/>
      <c r="R33" s="40">
        <f t="shared" si="5"/>
        <v>100042025.79279689</v>
      </c>
    </row>
    <row r="34" spans="1:18">
      <c r="A34" s="46">
        <f t="shared" si="6"/>
        <v>2029</v>
      </c>
      <c r="B34" s="40">
        <f t="shared" si="0"/>
        <v>260922.94733328169</v>
      </c>
      <c r="C34" s="40"/>
      <c r="D34" s="40">
        <f t="shared" si="1"/>
        <v>-26092.29473332817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123988099.59232467</v>
      </c>
      <c r="M34" s="40"/>
      <c r="N34" s="40">
        <f t="shared" si="3"/>
        <v>124118561.06599131</v>
      </c>
      <c r="O34" s="40"/>
      <c r="P34" s="40">
        <f t="shared" si="4"/>
        <v>2459673.6720982976</v>
      </c>
      <c r="Q34" s="40"/>
      <c r="R34" s="40">
        <f t="shared" si="5"/>
        <v>102214684.22282858</v>
      </c>
    </row>
    <row r="35" spans="1:18">
      <c r="A35" s="46">
        <f t="shared" si="6"/>
        <v>2030</v>
      </c>
      <c r="B35" s="40">
        <f t="shared" si="0"/>
        <v>260375.00914388179</v>
      </c>
      <c r="C35" s="40"/>
      <c r="D35" s="40">
        <f t="shared" si="1"/>
        <v>-26037.50091438818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123727724.58318079</v>
      </c>
      <c r="M35" s="40"/>
      <c r="N35" s="40">
        <f t="shared" si="3"/>
        <v>123857912.08775273</v>
      </c>
      <c r="O35" s="40"/>
      <c r="P35" s="40">
        <f t="shared" si="4"/>
        <v>2454508.3573868913</v>
      </c>
      <c r="Q35" s="40"/>
      <c r="R35" s="40">
        <f t="shared" si="5"/>
        <v>104382780.07015719</v>
      </c>
    </row>
    <row r="36" spans="1:18">
      <c r="A36" s="46">
        <f t="shared" si="6"/>
        <v>2031</v>
      </c>
      <c r="B36" s="40">
        <f t="shared" si="0"/>
        <v>259828.22162467963</v>
      </c>
      <c r="C36" s="40"/>
      <c r="D36" s="40">
        <f t="shared" si="1"/>
        <v>-25982.822162467965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123467896.36155611</v>
      </c>
      <c r="M36" s="40"/>
      <c r="N36" s="40">
        <f t="shared" si="3"/>
        <v>123597810.47236845</v>
      </c>
      <c r="O36" s="40"/>
      <c r="P36" s="40">
        <f t="shared" si="4"/>
        <v>2449353.8898363789</v>
      </c>
      <c r="Q36" s="40"/>
      <c r="R36" s="40">
        <f t="shared" si="5"/>
        <v>106546322.91620643</v>
      </c>
    </row>
    <row r="37" spans="1:18">
      <c r="A37" s="46">
        <f t="shared" si="6"/>
        <v>2032</v>
      </c>
      <c r="B37" s="40">
        <f t="shared" si="0"/>
        <v>259282.58235926784</v>
      </c>
      <c r="C37" s="40"/>
      <c r="D37" s="40">
        <f t="shared" si="1"/>
        <v>-25928.258235926784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123208613.77919684</v>
      </c>
      <c r="M37" s="40"/>
      <c r="N37" s="40">
        <f t="shared" si="3"/>
        <v>123338255.07037649</v>
      </c>
      <c r="O37" s="40"/>
      <c r="P37" s="40">
        <f t="shared" si="4"/>
        <v>2444210.2466677227</v>
      </c>
      <c r="Q37" s="40"/>
      <c r="R37" s="40">
        <f t="shared" si="5"/>
        <v>108705322.32227896</v>
      </c>
    </row>
    <row r="38" spans="1:18">
      <c r="A38" s="46">
        <f t="shared" si="6"/>
        <v>2033</v>
      </c>
      <c r="B38" s="40">
        <f t="shared" si="0"/>
        <v>258738.08893631335</v>
      </c>
      <c r="C38" s="40"/>
      <c r="D38" s="40">
        <f t="shared" si="1"/>
        <v>-25873.808893631336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122949875.69026053</v>
      </c>
      <c r="M38" s="40"/>
      <c r="N38" s="40">
        <f t="shared" si="3"/>
        <v>123079244.73472869</v>
      </c>
      <c r="O38" s="40"/>
      <c r="P38" s="40">
        <f t="shared" si="4"/>
        <v>2439077.4051497206</v>
      </c>
      <c r="Q38" s="40"/>
      <c r="R38" s="40">
        <f t="shared" si="5"/>
        <v>110859787.82959872</v>
      </c>
    </row>
    <row r="39" spans="1:18">
      <c r="A39" s="46">
        <f t="shared" si="6"/>
        <v>2034</v>
      </c>
      <c r="B39" s="40">
        <f t="shared" si="0"/>
        <v>258194.73894954709</v>
      </c>
      <c r="C39" s="40"/>
      <c r="D39" s="40">
        <f t="shared" si="1"/>
        <v>-25819.47389495471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122691680.95131098</v>
      </c>
      <c r="M39" s="40"/>
      <c r="N39" s="40">
        <f t="shared" si="3"/>
        <v>122820778.32078576</v>
      </c>
      <c r="O39" s="40"/>
      <c r="P39" s="40">
        <f t="shared" si="4"/>
        <v>2433955.3425989058</v>
      </c>
      <c r="Q39" s="40"/>
      <c r="R39" s="40">
        <f t="shared" si="5"/>
        <v>113009728.95935312</v>
      </c>
    </row>
    <row r="40" spans="1:18">
      <c r="A40" s="46">
        <f t="shared" si="6"/>
        <v>2035</v>
      </c>
      <c r="B40" s="40">
        <f t="shared" si="0"/>
        <v>257652.52999775304</v>
      </c>
      <c r="C40" s="40"/>
      <c r="D40" s="40">
        <f t="shared" si="1"/>
        <v>-25765.252999775304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122434028.42131323</v>
      </c>
      <c r="M40" s="40"/>
      <c r="N40" s="40">
        <f t="shared" si="3"/>
        <v>122562854.68631211</v>
      </c>
      <c r="O40" s="40"/>
      <c r="P40" s="40">
        <f t="shared" si="4"/>
        <v>2428844.0363794481</v>
      </c>
      <c r="Q40" s="40"/>
      <c r="R40" s="40">
        <f t="shared" si="5"/>
        <v>115155155.21273503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122434028.42131323</v>
      </c>
      <c r="M41" s="40"/>
      <c r="N41" s="40">
        <f t="shared" si="3"/>
        <v>122434028.42131323</v>
      </c>
      <c r="O41" s="40"/>
      <c r="P41" s="40">
        <f t="shared" si="4"/>
        <v>2426291.0695260535</v>
      </c>
      <c r="Q41" s="40"/>
      <c r="R41" s="40">
        <f t="shared" si="5"/>
        <v>117581446.28226107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122434028.42131323</v>
      </c>
      <c r="M42" s="40"/>
      <c r="N42" s="40">
        <f t="shared" si="3"/>
        <v>122434028.42131323</v>
      </c>
      <c r="O42" s="40"/>
      <c r="P42" s="40">
        <f t="shared" si="4"/>
        <v>2426291.0695260535</v>
      </c>
      <c r="Q42" s="40"/>
      <c r="R42" s="40">
        <f t="shared" si="5"/>
        <v>120007737.35178712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122434028.42131323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122434028.42131323</v>
      </c>
      <c r="O43" s="40"/>
      <c r="P43" s="40">
        <f t="shared" si="4"/>
        <v>2426291.0695260535</v>
      </c>
      <c r="Q43" s="40"/>
      <c r="R43" s="40">
        <f t="shared" si="5"/>
        <v>-5.9604644775390625E-8</v>
      </c>
    </row>
    <row r="44" spans="1:18">
      <c r="A44" s="4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2" t="s">
        <v>38</v>
      </c>
      <c r="B47" s="38">
        <f>SUM(B22:B43)</f>
        <v>4989230.829763216</v>
      </c>
      <c r="C47" s="38" t="s">
        <v>39</v>
      </c>
      <c r="D47" s="38">
        <f>SUM(D22:D43)</f>
        <v>-498923.08297632163</v>
      </c>
      <c r="E47" s="38">
        <v>0</v>
      </c>
      <c r="F47" s="38">
        <f>SUM(F22:F43)</f>
        <v>122434028.42131323</v>
      </c>
      <c r="G47" s="38" t="s">
        <v>39</v>
      </c>
      <c r="H47" s="38">
        <f>SUM(H22:H43)</f>
        <v>0</v>
      </c>
      <c r="I47" s="38">
        <v>0</v>
      </c>
      <c r="J47" s="38">
        <f>SUM(J22:J43)</f>
        <v>0</v>
      </c>
      <c r="K47" s="40"/>
      <c r="L47" s="40"/>
      <c r="M47" s="40"/>
      <c r="N47" s="38">
        <f>SUM(N22:N43)</f>
        <v>2740631674.4982095</v>
      </c>
      <c r="O47" s="40"/>
      <c r="P47" s="38">
        <f>SUM(P22:P43)</f>
        <v>54311454.441514447</v>
      </c>
      <c r="Q47" s="40"/>
      <c r="R47" s="4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3.5703125" style="35" bestFit="1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142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(D47+H47)/(B47+F47)</f>
        <v>-3.9983416243271286E-2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'!$J$392</f>
        <v>8.6055749549803338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N47/(L21+J47)</f>
        <v>20.30393402972685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28.909508984707184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0.26418818010066902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151740463.07169685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(L21+J47-D47-H47-R21)/N47</f>
        <v>3.8209109377855828E-2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1.3830541454170695E-3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3.6826055232438759E-2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Unit(Fcst)'!D7</f>
        <v>490157683.47183514</v>
      </c>
      <c r="M21" s="40"/>
      <c r="N21" s="40"/>
      <c r="O21" s="40"/>
      <c r="P21" s="40"/>
      <c r="Q21" s="40"/>
      <c r="R21" s="40">
        <f>'2016 YE Reserve by Unit(Fcst)'!D7</f>
        <v>129493866.3587839</v>
      </c>
    </row>
    <row r="22" spans="1:18">
      <c r="A22" s="46">
        <v>2017</v>
      </c>
      <c r="B22" s="40">
        <f>+L21*P$10</f>
        <v>3676182.6260387632</v>
      </c>
      <c r="C22" s="40"/>
      <c r="D22" s="40">
        <f>+B22*P$2</f>
        <v>-1102854.787811629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486481500.84579635</v>
      </c>
      <c r="M22" s="40"/>
      <c r="N22" s="40">
        <f>(L21+L22)/2</f>
        <v>488319592.15881574</v>
      </c>
      <c r="O22" s="40"/>
      <c r="P22" s="40">
        <f>N22*$P$12</f>
        <v>18658256.70814614</v>
      </c>
      <c r="Q22" s="40"/>
      <c r="R22" s="40">
        <f>R21+P22-B22-F22+D22</f>
        <v>143373085.65307966</v>
      </c>
    </row>
    <row r="23" spans="1:18">
      <c r="A23" s="46">
        <f>A22+1</f>
        <v>2018</v>
      </c>
      <c r="B23" s="40">
        <f t="shared" ref="B23:B40" si="0">+L22*P$10</f>
        <v>3648611.2563434723</v>
      </c>
      <c r="C23" s="40"/>
      <c r="D23" s="40">
        <f t="shared" ref="D23:D43" si="1">+B23*P$2</f>
        <v>-1094583.3769030417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482832889.58945286</v>
      </c>
      <c r="M23" s="40"/>
      <c r="N23" s="40">
        <f t="shared" ref="N23:N42" si="3">(L22+L23)/2</f>
        <v>484657195.2176246</v>
      </c>
      <c r="O23" s="40"/>
      <c r="P23" s="40">
        <f t="shared" ref="P23:P43" si="4">N23*$P$12</f>
        <v>18518319.782835044</v>
      </c>
      <c r="Q23" s="40"/>
      <c r="R23" s="40">
        <f t="shared" ref="R23:R43" si="5">R22+P23-B23-F23+D23</f>
        <v>157148210.80266818</v>
      </c>
    </row>
    <row r="24" spans="1:18">
      <c r="A24" s="46">
        <f t="shared" ref="A24:A43" si="6">A23+1</f>
        <v>2019</v>
      </c>
      <c r="B24" s="40">
        <f t="shared" si="0"/>
        <v>3621246.6719208965</v>
      </c>
      <c r="C24" s="40"/>
      <c r="D24" s="40">
        <f t="shared" si="1"/>
        <v>-1086374.0015762688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479211642.91753197</v>
      </c>
      <c r="M24" s="40"/>
      <c r="N24" s="40">
        <f t="shared" si="3"/>
        <v>481022266.25349241</v>
      </c>
      <c r="O24" s="40"/>
      <c r="P24" s="40">
        <f t="shared" si="4"/>
        <v>18379432.38446378</v>
      </c>
      <c r="Q24" s="40"/>
      <c r="R24" s="40">
        <f t="shared" si="5"/>
        <v>170820022.5136348</v>
      </c>
    </row>
    <row r="25" spans="1:18">
      <c r="A25" s="46">
        <f t="shared" si="6"/>
        <v>2020</v>
      </c>
      <c r="B25" s="40">
        <f t="shared" si="0"/>
        <v>3594087.3218814898</v>
      </c>
      <c r="C25" s="40"/>
      <c r="D25" s="40">
        <f t="shared" si="1"/>
        <v>-1078226.1965644469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475617555.59565049</v>
      </c>
      <c r="M25" s="40"/>
      <c r="N25" s="40">
        <f t="shared" si="3"/>
        <v>477414599.2565912</v>
      </c>
      <c r="O25" s="40"/>
      <c r="P25" s="40">
        <f t="shared" si="4"/>
        <v>18241586.641580302</v>
      </c>
      <c r="Q25" s="40"/>
      <c r="R25" s="40">
        <f t="shared" si="5"/>
        <v>184389295.63676918</v>
      </c>
    </row>
    <row r="26" spans="1:18">
      <c r="A26" s="46">
        <f t="shared" si="6"/>
        <v>2021</v>
      </c>
      <c r="B26" s="40">
        <f t="shared" si="0"/>
        <v>3567131.6669673785</v>
      </c>
      <c r="C26" s="40"/>
      <c r="D26" s="40">
        <f t="shared" si="1"/>
        <v>-1070139.5000902135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472050423.9286831</v>
      </c>
      <c r="M26" s="40"/>
      <c r="N26" s="40">
        <f t="shared" si="3"/>
        <v>473833989.7621668</v>
      </c>
      <c r="O26" s="40"/>
      <c r="P26" s="40">
        <f t="shared" si="4"/>
        <v>18104774.74176845</v>
      </c>
      <c r="Q26" s="40"/>
      <c r="R26" s="40">
        <f t="shared" si="5"/>
        <v>197856799.21148002</v>
      </c>
    </row>
    <row r="27" spans="1:18">
      <c r="A27" s="46">
        <f t="shared" si="6"/>
        <v>2022</v>
      </c>
      <c r="B27" s="40">
        <f t="shared" si="0"/>
        <v>3540378.179465123</v>
      </c>
      <c r="C27" s="40"/>
      <c r="D27" s="40">
        <f t="shared" si="1"/>
        <v>-1062113.4538395368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468510045.74921799</v>
      </c>
      <c r="M27" s="40"/>
      <c r="N27" s="40">
        <f t="shared" si="3"/>
        <v>470280234.83895051</v>
      </c>
      <c r="O27" s="40"/>
      <c r="P27" s="40">
        <f t="shared" si="4"/>
        <v>17968988.931205187</v>
      </c>
      <c r="Q27" s="40"/>
      <c r="R27" s="40">
        <f t="shared" si="5"/>
        <v>211223296.50938055</v>
      </c>
    </row>
    <row r="28" spans="1:18">
      <c r="A28" s="46">
        <f t="shared" si="6"/>
        <v>2023</v>
      </c>
      <c r="B28" s="40">
        <f t="shared" si="0"/>
        <v>3513825.3431191347</v>
      </c>
      <c r="C28" s="40"/>
      <c r="D28" s="40">
        <f t="shared" si="1"/>
        <v>-1054147.6029357403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464996220.40609884</v>
      </c>
      <c r="M28" s="40"/>
      <c r="N28" s="40">
        <f t="shared" si="3"/>
        <v>466753133.07765841</v>
      </c>
      <c r="O28" s="40"/>
      <c r="P28" s="40">
        <f t="shared" si="4"/>
        <v>17834221.514221147</v>
      </c>
      <c r="Q28" s="40"/>
      <c r="R28" s="40">
        <f t="shared" si="5"/>
        <v>224489545.07754683</v>
      </c>
    </row>
    <row r="29" spans="1:18">
      <c r="A29" s="46">
        <f t="shared" si="6"/>
        <v>2024</v>
      </c>
      <c r="B29" s="40">
        <f t="shared" si="0"/>
        <v>3487471.6530457414</v>
      </c>
      <c r="C29" s="40"/>
      <c r="D29" s="40">
        <f t="shared" si="1"/>
        <v>-1046241.4959137223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461508748.75305313</v>
      </c>
      <c r="M29" s="40"/>
      <c r="N29" s="40">
        <f t="shared" si="3"/>
        <v>463252484.57957602</v>
      </c>
      <c r="O29" s="40"/>
      <c r="P29" s="40">
        <f t="shared" si="4"/>
        <v>17700464.852864489</v>
      </c>
      <c r="Q29" s="40"/>
      <c r="R29" s="40">
        <f t="shared" si="5"/>
        <v>237656296.78145188</v>
      </c>
    </row>
    <row r="30" spans="1:18">
      <c r="A30" s="46">
        <f t="shared" si="6"/>
        <v>2025</v>
      </c>
      <c r="B30" s="40">
        <f t="shared" si="0"/>
        <v>3461315.6156478985</v>
      </c>
      <c r="C30" s="40"/>
      <c r="D30" s="40">
        <f t="shared" si="1"/>
        <v>-1038394.6846943696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458047433.13740522</v>
      </c>
      <c r="M30" s="40"/>
      <c r="N30" s="40">
        <f t="shared" si="3"/>
        <v>459778090.94522917</v>
      </c>
      <c r="O30" s="40"/>
      <c r="P30" s="40">
        <f t="shared" si="4"/>
        <v>17567711.366468005</v>
      </c>
      <c r="Q30" s="40"/>
      <c r="R30" s="40">
        <f t="shared" si="5"/>
        <v>250724297.8475776</v>
      </c>
    </row>
    <row r="31" spans="1:18">
      <c r="A31" s="46">
        <f t="shared" si="6"/>
        <v>2026</v>
      </c>
      <c r="B31" s="40">
        <f t="shared" si="0"/>
        <v>3435355.7485305392</v>
      </c>
      <c r="C31" s="40"/>
      <c r="D31" s="40">
        <f t="shared" si="1"/>
        <v>-1030606.7245591617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454612077.38887465</v>
      </c>
      <c r="M31" s="40"/>
      <c r="N31" s="40">
        <f t="shared" si="3"/>
        <v>456329755.26313996</v>
      </c>
      <c r="O31" s="40"/>
      <c r="P31" s="40">
        <f t="shared" si="4"/>
        <v>17435953.531219497</v>
      </c>
      <c r="Q31" s="40"/>
      <c r="R31" s="40">
        <f t="shared" si="5"/>
        <v>263694288.90570742</v>
      </c>
    </row>
    <row r="32" spans="1:18">
      <c r="A32" s="46">
        <f t="shared" si="6"/>
        <v>2027</v>
      </c>
      <c r="B32" s="40">
        <f t="shared" si="0"/>
        <v>3409590.5804165597</v>
      </c>
      <c r="C32" s="40"/>
      <c r="D32" s="40">
        <f t="shared" si="1"/>
        <v>-1022877.1741249679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451202486.80845809</v>
      </c>
      <c r="M32" s="40"/>
      <c r="N32" s="40">
        <f t="shared" si="3"/>
        <v>452907282.09866637</v>
      </c>
      <c r="O32" s="40"/>
      <c r="P32" s="40">
        <f t="shared" si="4"/>
        <v>17305183.879735347</v>
      </c>
      <c r="Q32" s="40"/>
      <c r="R32" s="40">
        <f t="shared" si="5"/>
        <v>276567005.03090125</v>
      </c>
    </row>
    <row r="33" spans="1:18">
      <c r="A33" s="46">
        <f t="shared" si="6"/>
        <v>2028</v>
      </c>
      <c r="B33" s="40">
        <f t="shared" si="0"/>
        <v>3384018.6510634357</v>
      </c>
      <c r="C33" s="40"/>
      <c r="D33" s="40">
        <f t="shared" si="1"/>
        <v>-1015205.5953190307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447818468.15739465</v>
      </c>
      <c r="M33" s="40"/>
      <c r="N33" s="40">
        <f t="shared" si="3"/>
        <v>449510477.48292637</v>
      </c>
      <c r="O33" s="40"/>
      <c r="P33" s="40">
        <f t="shared" si="4"/>
        <v>17175395.000637334</v>
      </c>
      <c r="Q33" s="40"/>
      <c r="R33" s="40">
        <f t="shared" si="5"/>
        <v>289343175.78515613</v>
      </c>
    </row>
    <row r="34" spans="1:18">
      <c r="A34" s="46">
        <f t="shared" si="6"/>
        <v>2029</v>
      </c>
      <c r="B34" s="40">
        <f t="shared" si="0"/>
        <v>3358638.5111804595</v>
      </c>
      <c r="C34" s="40"/>
      <c r="D34" s="40">
        <f t="shared" si="1"/>
        <v>-1007591.5533541378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444459829.64621419</v>
      </c>
      <c r="M34" s="40"/>
      <c r="N34" s="40">
        <f t="shared" si="3"/>
        <v>446139148.90180445</v>
      </c>
      <c r="O34" s="40"/>
      <c r="P34" s="40">
        <f t="shared" si="4"/>
        <v>17046579.538132556</v>
      </c>
      <c r="Q34" s="40"/>
      <c r="R34" s="40">
        <f t="shared" si="5"/>
        <v>302023525.25875407</v>
      </c>
    </row>
    <row r="35" spans="1:18">
      <c r="A35" s="46">
        <f t="shared" si="6"/>
        <v>2030</v>
      </c>
      <c r="B35" s="40">
        <f t="shared" si="0"/>
        <v>3333448.7223466062</v>
      </c>
      <c r="C35" s="40"/>
      <c r="D35" s="40">
        <f t="shared" si="1"/>
        <v>-1000034.6167039818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441126380.92386758</v>
      </c>
      <c r="M35" s="40"/>
      <c r="N35" s="40">
        <f t="shared" si="3"/>
        <v>442793105.28504086</v>
      </c>
      <c r="O35" s="40"/>
      <c r="P35" s="40">
        <f t="shared" si="4"/>
        <v>16918730.191596556</v>
      </c>
      <c r="Q35" s="40"/>
      <c r="R35" s="40">
        <f t="shared" si="5"/>
        <v>314608772.11130005</v>
      </c>
    </row>
    <row r="36" spans="1:18">
      <c r="A36" s="46">
        <f t="shared" si="6"/>
        <v>2031</v>
      </c>
      <c r="B36" s="40">
        <f t="shared" si="0"/>
        <v>3308447.8569290065</v>
      </c>
      <c r="C36" s="40"/>
      <c r="D36" s="40">
        <f t="shared" si="1"/>
        <v>-992534.35707870196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437817933.06693858</v>
      </c>
      <c r="M36" s="40"/>
      <c r="N36" s="40">
        <f t="shared" si="3"/>
        <v>439472156.99540305</v>
      </c>
      <c r="O36" s="40"/>
      <c r="P36" s="40">
        <f t="shared" si="4"/>
        <v>16791839.715159584</v>
      </c>
      <c r="Q36" s="40"/>
      <c r="R36" s="40">
        <f t="shared" si="5"/>
        <v>327099629.61245191</v>
      </c>
    </row>
    <row r="37" spans="1:18">
      <c r="A37" s="46">
        <f t="shared" si="6"/>
        <v>2032</v>
      </c>
      <c r="B37" s="40">
        <f t="shared" si="0"/>
        <v>3283634.4980020393</v>
      </c>
      <c r="C37" s="40"/>
      <c r="D37" s="40">
        <f t="shared" si="1"/>
        <v>-985090.34940061171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434534298.56893653</v>
      </c>
      <c r="M37" s="40"/>
      <c r="N37" s="40">
        <f t="shared" si="3"/>
        <v>436176115.81793755</v>
      </c>
      <c r="O37" s="40"/>
      <c r="P37" s="40">
        <f t="shared" si="4"/>
        <v>16665900.917295888</v>
      </c>
      <c r="Q37" s="40"/>
      <c r="R37" s="40">
        <f t="shared" si="5"/>
        <v>339496805.68234509</v>
      </c>
    </row>
    <row r="38" spans="1:18">
      <c r="A38" s="46">
        <f t="shared" si="6"/>
        <v>2033</v>
      </c>
      <c r="B38" s="40">
        <f t="shared" si="0"/>
        <v>3259007.2392670237</v>
      </c>
      <c r="C38" s="40"/>
      <c r="D38" s="40">
        <f t="shared" si="1"/>
        <v>-977702.17178010708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431275291.32966948</v>
      </c>
      <c r="M38" s="40"/>
      <c r="N38" s="40">
        <f t="shared" si="3"/>
        <v>432904794.94930303</v>
      </c>
      <c r="O38" s="40"/>
      <c r="P38" s="40">
        <f t="shared" si="4"/>
        <v>16540906.660416169</v>
      </c>
      <c r="Q38" s="40"/>
      <c r="R38" s="40">
        <f t="shared" si="5"/>
        <v>351801002.93171412</v>
      </c>
    </row>
    <row r="39" spans="1:18">
      <c r="A39" s="46">
        <f t="shared" si="6"/>
        <v>2034</v>
      </c>
      <c r="B39" s="40">
        <f t="shared" si="0"/>
        <v>3234564.6849725209</v>
      </c>
      <c r="C39" s="40"/>
      <c r="D39" s="40">
        <f t="shared" si="1"/>
        <v>-970369.40549175628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428040726.64469695</v>
      </c>
      <c r="M39" s="40"/>
      <c r="N39" s="40">
        <f t="shared" si="3"/>
        <v>429658008.98718321</v>
      </c>
      <c r="O39" s="40"/>
      <c r="P39" s="40">
        <f t="shared" si="4"/>
        <v>16416849.860463046</v>
      </c>
      <c r="Q39" s="40"/>
      <c r="R39" s="40">
        <f t="shared" si="5"/>
        <v>364012918.70171285</v>
      </c>
    </row>
    <row r="40" spans="1:18">
      <c r="A40" s="46">
        <f t="shared" si="6"/>
        <v>2035</v>
      </c>
      <c r="B40" s="40">
        <f t="shared" si="0"/>
        <v>3210305.4498352269</v>
      </c>
      <c r="C40" s="40"/>
      <c r="D40" s="40">
        <f t="shared" si="1"/>
        <v>-963091.63495056797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424830421.19486171</v>
      </c>
      <c r="M40" s="40"/>
      <c r="N40" s="40">
        <f t="shared" si="3"/>
        <v>426435573.9197793</v>
      </c>
      <c r="O40" s="40"/>
      <c r="P40" s="40">
        <f t="shared" si="4"/>
        <v>16293723.486509571</v>
      </c>
      <c r="Q40" s="40"/>
      <c r="R40" s="40">
        <f t="shared" si="5"/>
        <v>376133245.10343659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424830421.19486171</v>
      </c>
      <c r="M41" s="40"/>
      <c r="N41" s="40">
        <f t="shared" si="3"/>
        <v>424830421.19486171</v>
      </c>
      <c r="O41" s="40"/>
      <c r="P41" s="40">
        <f t="shared" si="4"/>
        <v>16232392.030475032</v>
      </c>
      <c r="Q41" s="40"/>
      <c r="R41" s="40">
        <f t="shared" si="5"/>
        <v>392365637.13391161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424830421.19486171</v>
      </c>
      <c r="M42" s="40"/>
      <c r="N42" s="40">
        <f t="shared" si="3"/>
        <v>424830421.19486171</v>
      </c>
      <c r="O42" s="40"/>
      <c r="P42" s="40">
        <f t="shared" si="4"/>
        <v>16232392.030475032</v>
      </c>
      <c r="Q42" s="40"/>
      <c r="R42" s="40">
        <f t="shared" si="5"/>
        <v>408598029.16438663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424830421.19486171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424830421.19486171</v>
      </c>
      <c r="O43" s="40"/>
      <c r="P43" s="40">
        <f t="shared" si="4"/>
        <v>16232392.030475032</v>
      </c>
      <c r="Q43" s="40"/>
      <c r="R43" s="40">
        <f t="shared" si="5"/>
        <v>-5.9604644775390625E-8</v>
      </c>
    </row>
    <row r="44" spans="1:18">
      <c r="A44" s="4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2" t="s">
        <v>38</v>
      </c>
      <c r="B47" s="38">
        <f>SUM(B22:B43)</f>
        <v>65327262.276973307</v>
      </c>
      <c r="C47" s="38" t="s">
        <v>39</v>
      </c>
      <c r="D47" s="38">
        <f>SUM(D22:D43)</f>
        <v>-19598178.683091994</v>
      </c>
      <c r="E47" s="38">
        <v>0</v>
      </c>
      <c r="F47" s="38">
        <f>SUM(F22:F43)</f>
        <v>424830421.19486171</v>
      </c>
      <c r="G47" s="38" t="s">
        <v>39</v>
      </c>
      <c r="H47" s="38">
        <f>SUM(H22:H43)</f>
        <v>0</v>
      </c>
      <c r="I47" s="38">
        <v>0</v>
      </c>
      <c r="J47" s="38">
        <f>SUM(J22:J43)</f>
        <v>0</v>
      </c>
      <c r="K47" s="40"/>
      <c r="L47" s="40"/>
      <c r="M47" s="40"/>
      <c r="N47" s="38">
        <f>SUM(N22:N43)</f>
        <v>9952129269.3758755</v>
      </c>
      <c r="O47" s="40"/>
      <c r="P47" s="38">
        <f>SUM(P22:P43)</f>
        <v>380261995.79614317</v>
      </c>
      <c r="Q47" s="40"/>
      <c r="R47" s="4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142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(D47+H47)/(B47+F47)</f>
        <v>-5.5927246411583628E-2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'!$J$426</f>
        <v>21.633916678585809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N47/(L21+J47)</f>
        <v>19.609011264575848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41.242927943161661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0.5395547461641812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14833051.824566832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(L21+J47-D47-H47-R21)/N47</f>
        <v>2.6333428711943357E-2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1.3560445196485308E-3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2.4977384192294828E-2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Unit(Fcst)'!D8</f>
        <v>26780017.379287284</v>
      </c>
      <c r="M21" s="40"/>
      <c r="N21" s="40"/>
      <c r="O21" s="40"/>
      <c r="P21" s="40"/>
      <c r="Q21" s="40"/>
      <c r="R21" s="40">
        <f>'2016 YE Reserve by Unit(Fcst)'!D8</f>
        <v>14449285.479353713</v>
      </c>
    </row>
    <row r="22" spans="1:18">
      <c r="A22" s="46">
        <v>2017</v>
      </c>
      <c r="B22" s="40">
        <f>+L21*P$10</f>
        <v>289224.18769630266</v>
      </c>
      <c r="C22" s="40"/>
      <c r="D22" s="40">
        <f>+B22*P$2</f>
        <v>-86767.256308890792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26490793.19159098</v>
      </c>
      <c r="M22" s="40"/>
      <c r="N22" s="40">
        <f>(L21+L22)/2</f>
        <v>26635405.285439134</v>
      </c>
      <c r="O22" s="40"/>
      <c r="P22" s="40">
        <f>N22*$P$12</f>
        <v>701401.54629783076</v>
      </c>
      <c r="Q22" s="40"/>
      <c r="R22" s="40">
        <f>R21+P22-B22-F22+D22</f>
        <v>14774695.581646351</v>
      </c>
    </row>
    <row r="23" spans="1:18">
      <c r="A23" s="46">
        <f>A22+1</f>
        <v>2018</v>
      </c>
      <c r="B23" s="40">
        <f t="shared" ref="B23:B40" si="0">+L22*P$10</f>
        <v>286100.56646918261</v>
      </c>
      <c r="C23" s="40"/>
      <c r="D23" s="40">
        <f t="shared" ref="D23:D43" si="1">+B23*P$2</f>
        <v>-85830.169940754786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26204692.625121798</v>
      </c>
      <c r="M23" s="40"/>
      <c r="N23" s="40">
        <f t="shared" ref="N23:N42" si="3">(L22+L23)/2</f>
        <v>26347742.908356391</v>
      </c>
      <c r="O23" s="40"/>
      <c r="P23" s="40">
        <f t="shared" ref="P23:P43" si="4">N23*$P$12</f>
        <v>693826.4095978142</v>
      </c>
      <c r="Q23" s="40"/>
      <c r="R23" s="40">
        <f t="shared" ref="R23:R43" si="5">R22+P23-B23-F23+D23</f>
        <v>15096591.254834227</v>
      </c>
    </row>
    <row r="24" spans="1:18">
      <c r="A24" s="46">
        <f t="shared" ref="A24:A43" si="6">A23+1</f>
        <v>2019</v>
      </c>
      <c r="B24" s="40">
        <f t="shared" si="0"/>
        <v>283010.68035131542</v>
      </c>
      <c r="C24" s="40"/>
      <c r="D24" s="40">
        <f t="shared" si="1"/>
        <v>-84903.204105394616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25921681.944770481</v>
      </c>
      <c r="M24" s="40"/>
      <c r="N24" s="40">
        <f t="shared" si="3"/>
        <v>26063187.28494614</v>
      </c>
      <c r="O24" s="40"/>
      <c r="P24" s="40">
        <f t="shared" si="4"/>
        <v>686333.08437415771</v>
      </c>
      <c r="Q24" s="40"/>
      <c r="R24" s="40">
        <f t="shared" si="5"/>
        <v>15415010.454751676</v>
      </c>
    </row>
    <row r="25" spans="1:18">
      <c r="A25" s="46">
        <f t="shared" si="6"/>
        <v>2020</v>
      </c>
      <c r="B25" s="40">
        <f t="shared" si="0"/>
        <v>279954.16500352119</v>
      </c>
      <c r="C25" s="40"/>
      <c r="D25" s="40">
        <f t="shared" si="1"/>
        <v>-83986.249501056358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25641727.779766962</v>
      </c>
      <c r="M25" s="40"/>
      <c r="N25" s="40">
        <f t="shared" si="3"/>
        <v>25781704.862268724</v>
      </c>
      <c r="O25" s="40"/>
      <c r="P25" s="40">
        <f t="shared" si="4"/>
        <v>678920.68706291681</v>
      </c>
      <c r="Q25" s="40"/>
      <c r="R25" s="40">
        <f t="shared" si="5"/>
        <v>15729990.727310015</v>
      </c>
    </row>
    <row r="26" spans="1:18">
      <c r="A26" s="46">
        <f t="shared" si="6"/>
        <v>2021</v>
      </c>
      <c r="B26" s="40">
        <f t="shared" si="0"/>
        <v>276930.6600214832</v>
      </c>
      <c r="C26" s="40"/>
      <c r="D26" s="40">
        <f t="shared" si="1"/>
        <v>-83079.19800644496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25364797.119745478</v>
      </c>
      <c r="M26" s="40"/>
      <c r="N26" s="40">
        <f t="shared" si="3"/>
        <v>25503262.44975622</v>
      </c>
      <c r="O26" s="40"/>
      <c r="P26" s="40">
        <f t="shared" si="4"/>
        <v>671588.34364263737</v>
      </c>
      <c r="Q26" s="40"/>
      <c r="R26" s="40">
        <f t="shared" si="5"/>
        <v>16041569.212924723</v>
      </c>
    </row>
    <row r="27" spans="1:18">
      <c r="A27" s="46">
        <f t="shared" si="6"/>
        <v>2022</v>
      </c>
      <c r="B27" s="40">
        <f t="shared" si="0"/>
        <v>273939.80889325117</v>
      </c>
      <c r="C27" s="40"/>
      <c r="D27" s="40">
        <f t="shared" si="1"/>
        <v>-82181.942667975352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25090857.310852226</v>
      </c>
      <c r="M27" s="40"/>
      <c r="N27" s="40">
        <f t="shared" si="3"/>
        <v>25227827.215298854</v>
      </c>
      <c r="O27" s="40"/>
      <c r="P27" s="40">
        <f t="shared" si="4"/>
        <v>664335.18953129684</v>
      </c>
      <c r="Q27" s="40"/>
      <c r="R27" s="40">
        <f t="shared" si="5"/>
        <v>16349782.650894793</v>
      </c>
    </row>
    <row r="28" spans="1:18">
      <c r="A28" s="46">
        <f t="shared" si="6"/>
        <v>2023</v>
      </c>
      <c r="B28" s="40">
        <f t="shared" si="0"/>
        <v>270981.25895720406</v>
      </c>
      <c r="C28" s="40"/>
      <c r="D28" s="40">
        <f t="shared" si="1"/>
        <v>-81294.377687161221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24819876.051895022</v>
      </c>
      <c r="M28" s="40"/>
      <c r="N28" s="40">
        <f t="shared" si="3"/>
        <v>24955366.681373626</v>
      </c>
      <c r="O28" s="40"/>
      <c r="P28" s="40">
        <f t="shared" si="4"/>
        <v>657160.36948435882</v>
      </c>
      <c r="Q28" s="40"/>
      <c r="R28" s="40">
        <f t="shared" si="5"/>
        <v>16654667.383734787</v>
      </c>
    </row>
    <row r="29" spans="1:18">
      <c r="A29" s="46">
        <f t="shared" si="6"/>
        <v>2024</v>
      </c>
      <c r="B29" s="40">
        <f t="shared" si="0"/>
        <v>268054.66136046627</v>
      </c>
      <c r="C29" s="40"/>
      <c r="D29" s="40">
        <f t="shared" si="1"/>
        <v>-80416.398408139881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24551821.390534557</v>
      </c>
      <c r="M29" s="40"/>
      <c r="N29" s="40">
        <f t="shared" si="3"/>
        <v>24685848.72121479</v>
      </c>
      <c r="O29" s="40"/>
      <c r="P29" s="40">
        <f t="shared" si="4"/>
        <v>650063.03749392775</v>
      </c>
      <c r="Q29" s="40"/>
      <c r="R29" s="40">
        <f t="shared" si="5"/>
        <v>16956259.361460108</v>
      </c>
    </row>
    <row r="30" spans="1:18">
      <c r="A30" s="46">
        <f t="shared" si="6"/>
        <v>2025</v>
      </c>
      <c r="B30" s="40">
        <f t="shared" si="0"/>
        <v>265159.67101777322</v>
      </c>
      <c r="C30" s="40"/>
      <c r="D30" s="40">
        <f t="shared" si="1"/>
        <v>-79547.901305331965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24286661.719516784</v>
      </c>
      <c r="M30" s="40"/>
      <c r="N30" s="40">
        <f t="shared" si="3"/>
        <v>24419241.555025671</v>
      </c>
      <c r="O30" s="40"/>
      <c r="P30" s="40">
        <f t="shared" si="4"/>
        <v>643042.3566889934</v>
      </c>
      <c r="Q30" s="40"/>
      <c r="R30" s="40">
        <f t="shared" si="5"/>
        <v>17254594.145825997</v>
      </c>
    </row>
    <row r="31" spans="1:18">
      <c r="A31" s="46">
        <f t="shared" si="6"/>
        <v>2026</v>
      </c>
      <c r="B31" s="40">
        <f t="shared" si="0"/>
        <v>262295.94657078129</v>
      </c>
      <c r="C31" s="40"/>
      <c r="D31" s="40">
        <f t="shared" si="1"/>
        <v>-78688.783971234385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24024365.772946004</v>
      </c>
      <c r="M31" s="40"/>
      <c r="N31" s="40">
        <f t="shared" si="3"/>
        <v>24155513.746231392</v>
      </c>
      <c r="O31" s="40"/>
      <c r="P31" s="40">
        <f t="shared" si="4"/>
        <v>636097.49923675216</v>
      </c>
      <c r="Q31" s="40"/>
      <c r="R31" s="40">
        <f t="shared" si="5"/>
        <v>17549706.914520733</v>
      </c>
    </row>
    <row r="32" spans="1:18">
      <c r="A32" s="46">
        <f t="shared" si="6"/>
        <v>2027</v>
      </c>
      <c r="B32" s="40">
        <f t="shared" si="0"/>
        <v>259463.15034781685</v>
      </c>
      <c r="C32" s="40"/>
      <c r="D32" s="40">
        <f t="shared" si="1"/>
        <v>-77838.945104345054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23764902.622598186</v>
      </c>
      <c r="M32" s="40"/>
      <c r="N32" s="40">
        <f t="shared" si="3"/>
        <v>23894634.197772093</v>
      </c>
      <c r="O32" s="40"/>
      <c r="P32" s="40">
        <f t="shared" si="4"/>
        <v>629227.6462449953</v>
      </c>
      <c r="Q32" s="40"/>
      <c r="R32" s="40">
        <f t="shared" si="5"/>
        <v>17841632.465313565</v>
      </c>
    </row>
    <row r="33" spans="1:18">
      <c r="A33" s="46">
        <f t="shared" si="6"/>
        <v>2028</v>
      </c>
      <c r="B33" s="40">
        <f t="shared" si="0"/>
        <v>256660.94832406042</v>
      </c>
      <c r="C33" s="40"/>
      <c r="D33" s="40">
        <f t="shared" si="1"/>
        <v>-76998.284497218119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23508241.674274124</v>
      </c>
      <c r="M33" s="40"/>
      <c r="N33" s="40">
        <f t="shared" si="3"/>
        <v>23636572.148436155</v>
      </c>
      <c r="O33" s="40"/>
      <c r="P33" s="40">
        <f t="shared" si="4"/>
        <v>622431.98766554939</v>
      </c>
      <c r="Q33" s="40"/>
      <c r="R33" s="40">
        <f t="shared" si="5"/>
        <v>18130405.220157836</v>
      </c>
    </row>
    <row r="34" spans="1:18">
      <c r="A34" s="46">
        <f t="shared" si="6"/>
        <v>2029</v>
      </c>
      <c r="B34" s="40">
        <f t="shared" si="0"/>
        <v>253889.01008216056</v>
      </c>
      <c r="C34" s="40"/>
      <c r="D34" s="40">
        <f t="shared" si="1"/>
        <v>-76166.703024648159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23254352.664191965</v>
      </c>
      <c r="M34" s="40"/>
      <c r="N34" s="40">
        <f t="shared" si="3"/>
        <v>23381297.169233046</v>
      </c>
      <c r="O34" s="40"/>
      <c r="P34" s="40">
        <f t="shared" si="4"/>
        <v>615709.72219876142</v>
      </c>
      <c r="Q34" s="40"/>
      <c r="R34" s="40">
        <f t="shared" si="5"/>
        <v>18416059.22924979</v>
      </c>
    </row>
    <row r="35" spans="1:18">
      <c r="A35" s="46">
        <f t="shared" si="6"/>
        <v>2030</v>
      </c>
      <c r="B35" s="40">
        <f t="shared" si="0"/>
        <v>251147.00877327324</v>
      </c>
      <c r="C35" s="40"/>
      <c r="D35" s="40">
        <f t="shared" si="1"/>
        <v>-75344.102631981965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23003205.65541869</v>
      </c>
      <c r="M35" s="40"/>
      <c r="N35" s="40">
        <f t="shared" si="3"/>
        <v>23128779.159805328</v>
      </c>
      <c r="O35" s="40"/>
      <c r="P35" s="40">
        <f t="shared" si="4"/>
        <v>609060.05719901482</v>
      </c>
      <c r="Q35" s="40"/>
      <c r="R35" s="40">
        <f t="shared" si="5"/>
        <v>18698628.175043549</v>
      </c>
    </row>
    <row r="36" spans="1:18">
      <c r="A36" s="46">
        <f t="shared" si="6"/>
        <v>2031</v>
      </c>
      <c r="B36" s="40">
        <f t="shared" si="0"/>
        <v>248434.62107852186</v>
      </c>
      <c r="C36" s="40"/>
      <c r="D36" s="40">
        <f t="shared" si="1"/>
        <v>-74530.386323556551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22754771.034340169</v>
      </c>
      <c r="M36" s="40"/>
      <c r="N36" s="40">
        <f t="shared" si="3"/>
        <v>22878988.34487943</v>
      </c>
      <c r="O36" s="40"/>
      <c r="P36" s="40">
        <f t="shared" si="4"/>
        <v>602482.20858126541</v>
      </c>
      <c r="Q36" s="40"/>
      <c r="R36" s="40">
        <f t="shared" si="5"/>
        <v>18978145.376222737</v>
      </c>
    </row>
    <row r="37" spans="1:18">
      <c r="A37" s="46">
        <f t="shared" si="6"/>
        <v>2032</v>
      </c>
      <c r="B37" s="40">
        <f t="shared" si="0"/>
        <v>245751.52717087383</v>
      </c>
      <c r="C37" s="40"/>
      <c r="D37" s="40">
        <f t="shared" si="1"/>
        <v>-73725.458151262152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22509019.507169295</v>
      </c>
      <c r="M37" s="40"/>
      <c r="N37" s="40">
        <f t="shared" si="3"/>
        <v>22631895.270754732</v>
      </c>
      <c r="O37" s="40"/>
      <c r="P37" s="40">
        <f t="shared" si="4"/>
        <v>595975.40072858776</v>
      </c>
      <c r="Q37" s="40"/>
      <c r="R37" s="40">
        <f t="shared" si="5"/>
        <v>19254643.791629188</v>
      </c>
    </row>
    <row r="38" spans="1:18">
      <c r="A38" s="46">
        <f t="shared" si="6"/>
        <v>2033</v>
      </c>
      <c r="B38" s="40">
        <f t="shared" si="0"/>
        <v>243097.41067742839</v>
      </c>
      <c r="C38" s="40"/>
      <c r="D38" s="40">
        <f t="shared" si="1"/>
        <v>-72929.22320322851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22265922.096491866</v>
      </c>
      <c r="M38" s="40"/>
      <c r="N38" s="40">
        <f t="shared" si="3"/>
        <v>22387470.801830582</v>
      </c>
      <c r="O38" s="40"/>
      <c r="P38" s="40">
        <f t="shared" si="4"/>
        <v>589538.86640071904</v>
      </c>
      <c r="Q38" s="40"/>
      <c r="R38" s="40">
        <f t="shared" si="5"/>
        <v>19528156.02414925</v>
      </c>
    </row>
    <row r="39" spans="1:18">
      <c r="A39" s="46">
        <f t="shared" si="6"/>
        <v>2034</v>
      </c>
      <c r="B39" s="40">
        <f t="shared" si="0"/>
        <v>240471.95864211215</v>
      </c>
      <c r="C39" s="40"/>
      <c r="D39" s="40">
        <f t="shared" si="1"/>
        <v>-72141.587592633645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22025450.137849752</v>
      </c>
      <c r="M39" s="40"/>
      <c r="N39" s="40">
        <f t="shared" si="3"/>
        <v>22145686.117170811</v>
      </c>
      <c r="O39" s="40"/>
      <c r="P39" s="40">
        <f t="shared" si="4"/>
        <v>583171.84664359118</v>
      </c>
      <c r="Q39" s="40"/>
      <c r="R39" s="40">
        <f t="shared" si="5"/>
        <v>19798714.32455809</v>
      </c>
    </row>
    <row r="40" spans="1:18">
      <c r="A40" s="46">
        <f t="shared" si="6"/>
        <v>2035</v>
      </c>
      <c r="B40" s="40">
        <f t="shared" si="0"/>
        <v>237874.86148877733</v>
      </c>
      <c r="C40" s="40"/>
      <c r="D40" s="40">
        <f t="shared" si="1"/>
        <v>-71362.458446633202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21787575.276360974</v>
      </c>
      <c r="M40" s="40"/>
      <c r="N40" s="40">
        <f t="shared" si="3"/>
        <v>21906512.707105361</v>
      </c>
      <c r="O40" s="40"/>
      <c r="P40" s="40">
        <f t="shared" si="4"/>
        <v>576873.59069984034</v>
      </c>
      <c r="Q40" s="40"/>
      <c r="R40" s="40">
        <f t="shared" si="5"/>
        <v>20066350.59532252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21787575.276360974</v>
      </c>
      <c r="M41" s="40"/>
      <c r="N41" s="40">
        <f t="shared" si="3"/>
        <v>21787575.276360974</v>
      </c>
      <c r="O41" s="40"/>
      <c r="P41" s="40">
        <f t="shared" si="4"/>
        <v>573741.56034615135</v>
      </c>
      <c r="Q41" s="40"/>
      <c r="R41" s="40">
        <f t="shared" si="5"/>
        <v>20640092.155668672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21787575.276360974</v>
      </c>
      <c r="M42" s="40"/>
      <c r="N42" s="40">
        <f t="shared" si="3"/>
        <v>21787575.276360974</v>
      </c>
      <c r="O42" s="40"/>
      <c r="P42" s="40">
        <f t="shared" si="4"/>
        <v>573741.56034615135</v>
      </c>
      <c r="Q42" s="40"/>
      <c r="R42" s="40">
        <f t="shared" si="5"/>
        <v>21213833.716014825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21787575.276360974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21787575.276360974</v>
      </c>
      <c r="O43" s="40"/>
      <c r="P43" s="40">
        <f t="shared" si="4"/>
        <v>573741.56034615135</v>
      </c>
      <c r="Q43" s="40"/>
      <c r="R43" s="40">
        <f t="shared" si="5"/>
        <v>3.7252902984619141E-9</v>
      </c>
    </row>
    <row r="44" spans="1:18">
      <c r="A44" s="4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2" t="s">
        <v>38</v>
      </c>
      <c r="B47" s="38">
        <f>SUM(B22:B43)</f>
        <v>4992442.1029263055</v>
      </c>
      <c r="C47" s="38" t="s">
        <v>39</v>
      </c>
      <c r="D47" s="38">
        <f>SUM(D22:D43)</f>
        <v>-1497732.6308778918</v>
      </c>
      <c r="E47" s="38">
        <v>0</v>
      </c>
      <c r="F47" s="38">
        <f>SUM(F22:F43)</f>
        <v>21787575.276360974</v>
      </c>
      <c r="G47" s="38" t="s">
        <v>39</v>
      </c>
      <c r="H47" s="38">
        <f>SUM(H22:H43)</f>
        <v>0</v>
      </c>
      <c r="I47" s="38">
        <v>0</v>
      </c>
      <c r="J47" s="38">
        <f>SUM(J22:J43)</f>
        <v>0</v>
      </c>
      <c r="K47" s="40"/>
      <c r="L47" s="40"/>
      <c r="M47" s="40"/>
      <c r="N47" s="38">
        <f>SUM(N22:N43)</f>
        <v>525129662.45598137</v>
      </c>
      <c r="O47" s="40"/>
      <c r="P47" s="38">
        <f>SUM(P22:P43)</f>
        <v>13828464.530811461</v>
      </c>
      <c r="Q47" s="40"/>
      <c r="R47" s="4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30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142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(D47+H47)/(B47+F47)</f>
        <v>-9.6037861494845285E-3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'!$J$464</f>
        <v>9.4610422788867581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N47/(L21+J47)</f>
        <v>20.784218710210538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30.245260989097297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0.28940179399527743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32007446.687038425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(L21+J47-D47-H47-R21)/N47</f>
        <v>3.465138633286214E-2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3.1753027864254394E-4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3.4333856054219597E-2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Unit(Fcst)'!D9</f>
        <v>101348753.91682231</v>
      </c>
      <c r="M21" s="40"/>
      <c r="N21" s="40"/>
      <c r="O21" s="40"/>
      <c r="P21" s="40"/>
      <c r="Q21" s="40"/>
      <c r="R21" s="40">
        <f>'2016 YE Reserve by Unit(Fcst)'!D9</f>
        <v>29330511.202714279</v>
      </c>
    </row>
    <row r="22" spans="1:18">
      <c r="A22" s="46">
        <v>2017</v>
      </c>
      <c r="B22" s="40">
        <f>+L21*P$10</f>
        <v>537148.3957591583</v>
      </c>
      <c r="C22" s="40"/>
      <c r="D22" s="40">
        <f>+B22*P$2</f>
        <v>-53714.83957591583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100811605.52106315</v>
      </c>
      <c r="M22" s="40"/>
      <c r="N22" s="40">
        <f>(L21+L22)/2</f>
        <v>101080179.71894273</v>
      </c>
      <c r="O22" s="40"/>
      <c r="P22" s="40">
        <f>N22*$P$12</f>
        <v>3502568.358036221</v>
      </c>
      <c r="Q22" s="40"/>
      <c r="R22" s="40">
        <f>R21+P22-B22-F22+D22</f>
        <v>32242216.325415425</v>
      </c>
    </row>
    <row r="23" spans="1:18">
      <c r="A23" s="46">
        <f>A22+1</f>
        <v>2018</v>
      </c>
      <c r="B23" s="40">
        <f t="shared" ref="B23:B40" si="0">+L22*P$10</f>
        <v>534301.50926163467</v>
      </c>
      <c r="C23" s="40"/>
      <c r="D23" s="40">
        <f t="shared" ref="D23:D43" si="1">+B23*P$2</f>
        <v>-53430.150926163471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100277304.01180151</v>
      </c>
      <c r="M23" s="40"/>
      <c r="N23" s="40">
        <f t="shared" ref="N23:N42" si="3">(L22+L23)/2</f>
        <v>100544454.76643233</v>
      </c>
      <c r="O23" s="40"/>
      <c r="P23" s="40">
        <f t="shared" ref="P23:P43" si="4">N23*$P$12</f>
        <v>3484004.7457386288</v>
      </c>
      <c r="Q23" s="40"/>
      <c r="R23" s="40">
        <f t="shared" ref="R23:R43" si="5">R22+P23-B23-F23+D23</f>
        <v>35138489.410966247</v>
      </c>
    </row>
    <row r="24" spans="1:18">
      <c r="A24" s="46">
        <f t="shared" ref="A24:A43" si="6">A23+1</f>
        <v>2019</v>
      </c>
      <c r="B24" s="40">
        <f t="shared" si="0"/>
        <v>531469.71126254799</v>
      </c>
      <c r="C24" s="40"/>
      <c r="D24" s="40">
        <f t="shared" si="1"/>
        <v>-53146.971126254801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99745834.300538957</v>
      </c>
      <c r="M24" s="40"/>
      <c r="N24" s="40">
        <f t="shared" si="3"/>
        <v>100011569.15617023</v>
      </c>
      <c r="O24" s="40"/>
      <c r="P24" s="40">
        <f t="shared" si="4"/>
        <v>3465539.520586214</v>
      </c>
      <c r="Q24" s="40"/>
      <c r="R24" s="40">
        <f t="shared" si="5"/>
        <v>38019412.249163657</v>
      </c>
    </row>
    <row r="25" spans="1:18">
      <c r="A25" s="46">
        <f t="shared" si="6"/>
        <v>2020</v>
      </c>
      <c r="B25" s="40">
        <f t="shared" si="0"/>
        <v>528652.92179285642</v>
      </c>
      <c r="C25" s="40"/>
      <c r="D25" s="40">
        <f t="shared" si="1"/>
        <v>-52865.292179285643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99217181.378746107</v>
      </c>
      <c r="M25" s="40"/>
      <c r="N25" s="40">
        <f t="shared" si="3"/>
        <v>99481507.839642525</v>
      </c>
      <c r="O25" s="40"/>
      <c r="P25" s="40">
        <f t="shared" si="4"/>
        <v>3447172.1611271068</v>
      </c>
      <c r="Q25" s="40"/>
      <c r="R25" s="40">
        <f t="shared" si="5"/>
        <v>40885066.196318619</v>
      </c>
    </row>
    <row r="26" spans="1:18">
      <c r="A26" s="46">
        <f t="shared" si="6"/>
        <v>2021</v>
      </c>
      <c r="B26" s="40">
        <f t="shared" si="0"/>
        <v>525851.06130735436</v>
      </c>
      <c r="C26" s="40"/>
      <c r="D26" s="40">
        <f t="shared" si="1"/>
        <v>-52585.106130735439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98691330.317438751</v>
      </c>
      <c r="M26" s="40"/>
      <c r="N26" s="40">
        <f t="shared" si="3"/>
        <v>98954255.848092437</v>
      </c>
      <c r="O26" s="40"/>
      <c r="P26" s="40">
        <f t="shared" si="4"/>
        <v>3428902.1486731339</v>
      </c>
      <c r="Q26" s="40"/>
      <c r="R26" s="40">
        <f t="shared" si="5"/>
        <v>43735532.177553661</v>
      </c>
    </row>
    <row r="27" spans="1:18">
      <c r="A27" s="46">
        <f t="shared" si="6"/>
        <v>2022</v>
      </c>
      <c r="B27" s="40">
        <f t="shared" si="0"/>
        <v>523064.05068242538</v>
      </c>
      <c r="C27" s="40"/>
      <c r="D27" s="40">
        <f t="shared" si="1"/>
        <v>-52306.405068242544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98168266.266756326</v>
      </c>
      <c r="M27" s="40"/>
      <c r="N27" s="40">
        <f t="shared" si="3"/>
        <v>98429798.292097539</v>
      </c>
      <c r="O27" s="40"/>
      <c r="P27" s="40">
        <f t="shared" si="4"/>
        <v>3410728.967285166</v>
      </c>
      <c r="Q27" s="40"/>
      <c r="R27" s="40">
        <f t="shared" si="5"/>
        <v>46570890.689088158</v>
      </c>
    </row>
    <row r="28" spans="1:18">
      <c r="A28" s="46">
        <f t="shared" si="6"/>
        <v>2023</v>
      </c>
      <c r="B28" s="40">
        <f t="shared" si="0"/>
        <v>520291.81121380854</v>
      </c>
      <c r="C28" s="40"/>
      <c r="D28" s="40">
        <f t="shared" si="1"/>
        <v>-52029.181121380854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97647974.45554252</v>
      </c>
      <c r="M28" s="40"/>
      <c r="N28" s="40">
        <f t="shared" si="3"/>
        <v>97908120.36114943</v>
      </c>
      <c r="O28" s="40"/>
      <c r="P28" s="40">
        <f t="shared" si="4"/>
        <v>3392652.1037585549</v>
      </c>
      <c r="Q28" s="40"/>
      <c r="R28" s="40">
        <f t="shared" si="5"/>
        <v>49391221.800511524</v>
      </c>
    </row>
    <row r="29" spans="1:18">
      <c r="A29" s="46">
        <f t="shared" si="6"/>
        <v>2024</v>
      </c>
      <c r="B29" s="40">
        <f t="shared" si="0"/>
        <v>517534.26461437537</v>
      </c>
      <c r="C29" s="40"/>
      <c r="D29" s="40">
        <f t="shared" si="1"/>
        <v>-51753.426461437542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97130440.190928146</v>
      </c>
      <c r="M29" s="40"/>
      <c r="N29" s="40">
        <f t="shared" si="3"/>
        <v>97389207.323235333</v>
      </c>
      <c r="O29" s="40"/>
      <c r="P29" s="40">
        <f t="shared" si="4"/>
        <v>3374671.0476086345</v>
      </c>
      <c r="Q29" s="40"/>
      <c r="R29" s="40">
        <f t="shared" si="5"/>
        <v>52196605.157044351</v>
      </c>
    </row>
    <row r="30" spans="1:18">
      <c r="A30" s="46">
        <f t="shared" si="6"/>
        <v>2025</v>
      </c>
      <c r="B30" s="40">
        <f t="shared" si="0"/>
        <v>514791.33301191917</v>
      </c>
      <c r="C30" s="40"/>
      <c r="D30" s="40">
        <f t="shared" si="1"/>
        <v>-51479.13330119192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96615648.857916221</v>
      </c>
      <c r="M30" s="40"/>
      <c r="N30" s="40">
        <f t="shared" si="3"/>
        <v>96873044.524422184</v>
      </c>
      <c r="O30" s="40"/>
      <c r="P30" s="40">
        <f t="shared" si="4"/>
        <v>3356785.2910563084</v>
      </c>
      <c r="Q30" s="40"/>
      <c r="R30" s="40">
        <f t="shared" si="5"/>
        <v>54987119.981787547</v>
      </c>
    </row>
    <row r="31" spans="1:18">
      <c r="A31" s="46">
        <f t="shared" si="6"/>
        <v>2026</v>
      </c>
      <c r="B31" s="40">
        <f t="shared" si="0"/>
        <v>512062.93894695595</v>
      </c>
      <c r="C31" s="40"/>
      <c r="D31" s="40">
        <f t="shared" si="1"/>
        <v>-51206.293894695598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96103585.918969259</v>
      </c>
      <c r="M31" s="40"/>
      <c r="N31" s="40">
        <f t="shared" si="3"/>
        <v>96359617.38844274</v>
      </c>
      <c r="O31" s="40"/>
      <c r="P31" s="40">
        <f t="shared" si="4"/>
        <v>3338994.3290137099</v>
      </c>
      <c r="Q31" s="40"/>
      <c r="R31" s="40">
        <f t="shared" si="5"/>
        <v>57762845.077959612</v>
      </c>
    </row>
    <row r="32" spans="1:18">
      <c r="A32" s="46">
        <f t="shared" si="6"/>
        <v>2027</v>
      </c>
      <c r="B32" s="40">
        <f t="shared" si="0"/>
        <v>509349.00537053705</v>
      </c>
      <c r="C32" s="40"/>
      <c r="D32" s="40">
        <f t="shared" si="1"/>
        <v>-50934.900537053705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95594236.913598716</v>
      </c>
      <c r="M32" s="40"/>
      <c r="N32" s="40">
        <f t="shared" si="3"/>
        <v>95848911.416283995</v>
      </c>
      <c r="O32" s="40"/>
      <c r="P32" s="40">
        <f t="shared" si="4"/>
        <v>3321297.6590699372</v>
      </c>
      <c r="Q32" s="40"/>
      <c r="R32" s="40">
        <f t="shared" si="5"/>
        <v>60523858.831121966</v>
      </c>
    </row>
    <row r="33" spans="1:18">
      <c r="A33" s="46">
        <f t="shared" si="6"/>
        <v>2028</v>
      </c>
      <c r="B33" s="40">
        <f t="shared" si="0"/>
        <v>506649.45564207318</v>
      </c>
      <c r="C33" s="40"/>
      <c r="D33" s="40">
        <f t="shared" si="1"/>
        <v>-50664.945564207323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95087587.457956642</v>
      </c>
      <c r="M33" s="40"/>
      <c r="N33" s="40">
        <f t="shared" si="3"/>
        <v>95340912.185777679</v>
      </c>
      <c r="O33" s="40"/>
      <c r="P33" s="40">
        <f t="shared" si="4"/>
        <v>3303694.781476866</v>
      </c>
      <c r="Q33" s="40"/>
      <c r="R33" s="40">
        <f t="shared" si="5"/>
        <v>63270239.211392544</v>
      </c>
    </row>
    <row r="34" spans="1:18">
      <c r="A34" s="46">
        <f t="shared" si="6"/>
        <v>2029</v>
      </c>
      <c r="B34" s="40">
        <f t="shared" si="0"/>
        <v>503964.21352717018</v>
      </c>
      <c r="C34" s="40"/>
      <c r="D34" s="40">
        <f t="shared" si="1"/>
        <v>-50396.421352717021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94583623.244429469</v>
      </c>
      <c r="M34" s="40"/>
      <c r="N34" s="40">
        <f t="shared" si="3"/>
        <v>94835605.351193056</v>
      </c>
      <c r="O34" s="40"/>
      <c r="P34" s="40">
        <f t="shared" si="4"/>
        <v>3286185.1991350385</v>
      </c>
      <c r="Q34" s="40"/>
      <c r="R34" s="40">
        <f t="shared" si="5"/>
        <v>66002063.775647692</v>
      </c>
    </row>
    <row r="35" spans="1:18">
      <c r="A35" s="46">
        <f t="shared" si="6"/>
        <v>2030</v>
      </c>
      <c r="B35" s="40">
        <f t="shared" si="0"/>
        <v>501293.20319547621</v>
      </c>
      <c r="C35" s="40"/>
      <c r="D35" s="40">
        <f t="shared" si="1"/>
        <v>-50129.320319547624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94082330.041233987</v>
      </c>
      <c r="M35" s="40"/>
      <c r="N35" s="40">
        <f t="shared" si="3"/>
        <v>94332976.642831728</v>
      </c>
      <c r="O35" s="40"/>
      <c r="P35" s="40">
        <f t="shared" si="4"/>
        <v>3268768.4175796229</v>
      </c>
      <c r="Q35" s="40"/>
      <c r="R35" s="40">
        <f t="shared" si="5"/>
        <v>68719409.66971229</v>
      </c>
    </row>
    <row r="36" spans="1:18">
      <c r="A36" s="46">
        <f t="shared" si="6"/>
        <v>2031</v>
      </c>
      <c r="B36" s="40">
        <f t="shared" si="0"/>
        <v>498636.34921854013</v>
      </c>
      <c r="C36" s="40"/>
      <c r="D36" s="40">
        <f t="shared" si="1"/>
        <v>-49863.634921854013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93583693.692015439</v>
      </c>
      <c r="M36" s="40"/>
      <c r="N36" s="40">
        <f t="shared" si="3"/>
        <v>93833011.866624713</v>
      </c>
      <c r="O36" s="40"/>
      <c r="P36" s="40">
        <f t="shared" si="4"/>
        <v>3251443.9449664508</v>
      </c>
      <c r="Q36" s="40"/>
      <c r="R36" s="40">
        <f t="shared" si="5"/>
        <v>71422353.630538344</v>
      </c>
    </row>
    <row r="37" spans="1:18">
      <c r="A37" s="46">
        <f t="shared" si="6"/>
        <v>2032</v>
      </c>
      <c r="B37" s="40">
        <f t="shared" si="0"/>
        <v>495993.57656768186</v>
      </c>
      <c r="C37" s="40"/>
      <c r="D37" s="40">
        <f t="shared" si="1"/>
        <v>-49599.357656768188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93087700.11544776</v>
      </c>
      <c r="M37" s="40"/>
      <c r="N37" s="40">
        <f t="shared" si="3"/>
        <v>93335696.903731599</v>
      </c>
      <c r="O37" s="40"/>
      <c r="P37" s="40">
        <f t="shared" si="4"/>
        <v>3234211.2920581284</v>
      </c>
      <c r="Q37" s="40"/>
      <c r="R37" s="40">
        <f t="shared" si="5"/>
        <v>74110971.988372028</v>
      </c>
    </row>
    <row r="38" spans="1:18">
      <c r="A38" s="46">
        <f t="shared" si="6"/>
        <v>2033</v>
      </c>
      <c r="B38" s="40">
        <f t="shared" si="0"/>
        <v>493364.81061187311</v>
      </c>
      <c r="C38" s="40"/>
      <c r="D38" s="40">
        <f t="shared" si="1"/>
        <v>-49336.481061187311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92594335.304835886</v>
      </c>
      <c r="M38" s="40"/>
      <c r="N38" s="40">
        <f t="shared" si="3"/>
        <v>92841017.710141823</v>
      </c>
      <c r="O38" s="40"/>
      <c r="P38" s="40">
        <f t="shared" si="4"/>
        <v>3217069.9722102201</v>
      </c>
      <c r="Q38" s="40"/>
      <c r="R38" s="40">
        <f t="shared" si="5"/>
        <v>76785340.668909177</v>
      </c>
    </row>
    <row r="39" spans="1:18">
      <c r="A39" s="46">
        <f t="shared" si="6"/>
        <v>2034</v>
      </c>
      <c r="B39" s="40">
        <f t="shared" si="0"/>
        <v>490749.97711563017</v>
      </c>
      <c r="C39" s="40"/>
      <c r="D39" s="40">
        <f t="shared" si="1"/>
        <v>-49074.997711563017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92103585.327720255</v>
      </c>
      <c r="M39" s="40"/>
      <c r="N39" s="40">
        <f t="shared" si="3"/>
        <v>92348960.31627807</v>
      </c>
      <c r="O39" s="40"/>
      <c r="P39" s="40">
        <f t="shared" si="4"/>
        <v>3200019.501357506</v>
      </c>
      <c r="Q39" s="40"/>
      <c r="R39" s="40">
        <f t="shared" si="5"/>
        <v>79445535.195439488</v>
      </c>
    </row>
    <row r="40" spans="1:18">
      <c r="A40" s="46">
        <f t="shared" si="6"/>
        <v>2035</v>
      </c>
      <c r="B40" s="40">
        <f t="shared" si="0"/>
        <v>488149.00223691732</v>
      </c>
      <c r="C40" s="40"/>
      <c r="D40" s="40">
        <f t="shared" si="1"/>
        <v>-48814.900223691737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91615436.325483337</v>
      </c>
      <c r="M40" s="40"/>
      <c r="N40" s="40">
        <f t="shared" si="3"/>
        <v>91859510.826601803</v>
      </c>
      <c r="O40" s="40"/>
      <c r="P40" s="40">
        <f t="shared" si="4"/>
        <v>3183059.3980003116</v>
      </c>
      <c r="Q40" s="40"/>
      <c r="R40" s="40">
        <f t="shared" si="5"/>
        <v>82091630.690979198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91615436.325483337</v>
      </c>
      <c r="M41" s="40"/>
      <c r="N41" s="40">
        <f t="shared" si="3"/>
        <v>91615436.325483337</v>
      </c>
      <c r="O41" s="40"/>
      <c r="P41" s="40">
        <f t="shared" si="4"/>
        <v>3174601.8781680549</v>
      </c>
      <c r="Q41" s="40"/>
      <c r="R41" s="40">
        <f t="shared" si="5"/>
        <v>85266232.569147259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91615436.325483337</v>
      </c>
      <c r="M42" s="40"/>
      <c r="N42" s="40">
        <f t="shared" si="3"/>
        <v>91615436.325483337</v>
      </c>
      <c r="O42" s="40"/>
      <c r="P42" s="40">
        <f t="shared" si="4"/>
        <v>3174601.8781680549</v>
      </c>
      <c r="Q42" s="40"/>
      <c r="R42" s="40">
        <f t="shared" si="5"/>
        <v>88440834.44731532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91615436.325483337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91615436.325483337</v>
      </c>
      <c r="O43" s="40"/>
      <c r="P43" s="40">
        <f t="shared" si="4"/>
        <v>3174601.8781680549</v>
      </c>
      <c r="Q43" s="40"/>
      <c r="R43" s="40">
        <f t="shared" si="5"/>
        <v>4.4703483581542969E-8</v>
      </c>
    </row>
    <row r="44" spans="1:18">
      <c r="A44" s="46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2" t="s">
        <v>38</v>
      </c>
      <c r="B47" s="38">
        <f>SUM(B22:B43)</f>
        <v>9733317.5913389362</v>
      </c>
      <c r="C47" s="38" t="s">
        <v>39</v>
      </c>
      <c r="D47" s="38">
        <f>SUM(D22:D43)</f>
        <v>-973331.75913389353</v>
      </c>
      <c r="E47" s="38">
        <v>0</v>
      </c>
      <c r="F47" s="38">
        <f>SUM(F22:F43)</f>
        <v>91615436.325483337</v>
      </c>
      <c r="G47" s="38" t="s">
        <v>39</v>
      </c>
      <c r="H47" s="38">
        <f>SUM(H22:H43)</f>
        <v>0</v>
      </c>
      <c r="I47" s="38">
        <v>0</v>
      </c>
      <c r="J47" s="38">
        <f>SUM(J22:J43)</f>
        <v>0</v>
      </c>
      <c r="K47" s="40"/>
      <c r="L47" s="40"/>
      <c r="M47" s="40"/>
      <c r="N47" s="38">
        <f>SUM(N22:N43)</f>
        <v>2106454667.414542</v>
      </c>
      <c r="O47" s="40"/>
      <c r="P47" s="38">
        <f>SUM(P22:P43)</f>
        <v>72991574.473241925</v>
      </c>
      <c r="Q47" s="40"/>
      <c r="R47" s="4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104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'Scholz-316'!$P$2</f>
        <v>-0.05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142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-5.0601931632146876E-3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'!$J$517</f>
        <v>7.0787560614692477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20.717904918627429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27.796660980096675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0.18599883800886324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2760931.9176956718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IRR!D7</f>
        <v>5.5999999999999999E-3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3.9533985621197393E-2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1.8204320176577873E-4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3.9351942419431615E-2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Unit(Fcst)'!D10</f>
        <v>10786965.971255202</v>
      </c>
      <c r="M21" s="40"/>
      <c r="N21" s="40"/>
      <c r="O21" s="40"/>
      <c r="P21" s="40"/>
      <c r="Q21" s="40"/>
      <c r="R21" s="40">
        <f>'2016 YE Reserve by Unit(Fcst)'!D10</f>
        <v>2006363.1362946164</v>
      </c>
    </row>
    <row r="22" spans="1:18">
      <c r="A22" s="46">
        <v>2017</v>
      </c>
      <c r="B22" s="40">
        <f>+L21*P$10</f>
        <v>60407.009439029127</v>
      </c>
      <c r="C22" s="40"/>
      <c r="D22" s="40">
        <f>+B22*P$2</f>
        <v>-3020.3504719514567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10726558.961816173</v>
      </c>
      <c r="M22" s="40"/>
      <c r="N22" s="40">
        <f>(L21+L22)/2</f>
        <v>10756762.466535687</v>
      </c>
      <c r="O22" s="40"/>
      <c r="P22" s="40">
        <f>N22*$P$12</f>
        <v>425257.69268265768</v>
      </c>
      <c r="Q22" s="40"/>
      <c r="R22" s="40">
        <f>R21+P22-B22-F22+D22</f>
        <v>2368193.4690662934</v>
      </c>
    </row>
    <row r="23" spans="1:18">
      <c r="A23" s="46">
        <f>A22+1</f>
        <v>2018</v>
      </c>
      <c r="B23" s="40">
        <f t="shared" ref="B23:B40" si="0">+L22*P$10</f>
        <v>60068.730186170571</v>
      </c>
      <c r="C23" s="40"/>
      <c r="D23" s="40">
        <f t="shared" ref="D23:D43" si="1">+B23*P$2</f>
        <v>-3003.4365093085289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10666490.231630003</v>
      </c>
      <c r="M23" s="40"/>
      <c r="N23" s="40">
        <f t="shared" ref="N23:N42" si="3">(L22+L23)/2</f>
        <v>10696524.596723087</v>
      </c>
      <c r="O23" s="40"/>
      <c r="P23" s="40">
        <f t="shared" ref="P23:P43" si="4">N23*$P$12</f>
        <v>422876.24960363476</v>
      </c>
      <c r="Q23" s="40"/>
      <c r="R23" s="40">
        <f t="shared" ref="R23:R43" si="5">R22+P23-B23-F23+D23</f>
        <v>2727997.5519744493</v>
      </c>
    </row>
    <row r="24" spans="1:18">
      <c r="A24" s="46">
        <f t="shared" ref="A24:A58" si="6">A23+1</f>
        <v>2019</v>
      </c>
      <c r="B24" s="40">
        <f t="shared" si="0"/>
        <v>59732.345297128013</v>
      </c>
      <c r="C24" s="40"/>
      <c r="D24" s="40">
        <f t="shared" si="1"/>
        <v>-2986.6172648564007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10606757.886332875</v>
      </c>
      <c r="M24" s="40"/>
      <c r="N24" s="40">
        <f t="shared" si="3"/>
        <v>10636624.058981439</v>
      </c>
      <c r="O24" s="40"/>
      <c r="P24" s="40">
        <f t="shared" si="4"/>
        <v>420508.14260585449</v>
      </c>
      <c r="Q24" s="40"/>
      <c r="R24" s="40">
        <f t="shared" si="5"/>
        <v>3085786.7320183194</v>
      </c>
    </row>
    <row r="25" spans="1:18">
      <c r="A25" s="46">
        <f t="shared" si="6"/>
        <v>2020</v>
      </c>
      <c r="B25" s="40">
        <f t="shared" si="0"/>
        <v>59397.844163464099</v>
      </c>
      <c r="C25" s="40"/>
      <c r="D25" s="40">
        <f t="shared" si="1"/>
        <v>-2969.8922081732053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10547360.042169411</v>
      </c>
      <c r="M25" s="40"/>
      <c r="N25" s="40">
        <f t="shared" si="3"/>
        <v>10577058.964251142</v>
      </c>
      <c r="O25" s="40"/>
      <c r="P25" s="40">
        <f t="shared" si="4"/>
        <v>418153.29700726166</v>
      </c>
      <c r="Q25" s="40"/>
      <c r="R25" s="40">
        <f t="shared" si="5"/>
        <v>3441572.2926539439</v>
      </c>
    </row>
    <row r="26" spans="1:18">
      <c r="A26" s="46">
        <f t="shared" si="6"/>
        <v>2021</v>
      </c>
      <c r="B26" s="40">
        <f t="shared" si="0"/>
        <v>59065.216236148699</v>
      </c>
      <c r="C26" s="40"/>
      <c r="D26" s="40">
        <f t="shared" si="1"/>
        <v>-2953.2608118074349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10488294.825933263</v>
      </c>
      <c r="M26" s="40"/>
      <c r="N26" s="40">
        <f t="shared" si="3"/>
        <v>10517827.434051337</v>
      </c>
      <c r="O26" s="40"/>
      <c r="P26" s="40">
        <f t="shared" si="4"/>
        <v>415811.638544021</v>
      </c>
      <c r="Q26" s="40"/>
      <c r="R26" s="40">
        <f t="shared" si="5"/>
        <v>3795365.454150009</v>
      </c>
    </row>
    <row r="27" spans="1:18">
      <c r="A27" s="46">
        <f t="shared" si="6"/>
        <v>2022</v>
      </c>
      <c r="B27" s="40">
        <f t="shared" si="0"/>
        <v>58734.45102522627</v>
      </c>
      <c r="C27" s="40"/>
      <c r="D27" s="40">
        <f t="shared" si="1"/>
        <v>-2936.7225512613136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10429560.374908036</v>
      </c>
      <c r="M27" s="40"/>
      <c r="N27" s="40">
        <f t="shared" si="3"/>
        <v>10458927.60042065</v>
      </c>
      <c r="O27" s="40"/>
      <c r="P27" s="40">
        <f t="shared" si="4"/>
        <v>413483.09336817451</v>
      </c>
      <c r="Q27" s="40"/>
      <c r="R27" s="40">
        <f t="shared" si="5"/>
        <v>4147177.3739416958</v>
      </c>
    </row>
    <row r="28" spans="1:18">
      <c r="A28" s="46">
        <f t="shared" si="6"/>
        <v>2023</v>
      </c>
      <c r="B28" s="40">
        <f t="shared" si="0"/>
        <v>58405.538099484998</v>
      </c>
      <c r="C28" s="40"/>
      <c r="D28" s="40">
        <f t="shared" si="1"/>
        <v>-2920.2769049742501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10371154.836808551</v>
      </c>
      <c r="M28" s="40"/>
      <c r="N28" s="40">
        <f t="shared" si="3"/>
        <v>10400357.605858292</v>
      </c>
      <c r="O28" s="40"/>
      <c r="P28" s="40">
        <f t="shared" si="4"/>
        <v>411167.58804531267</v>
      </c>
      <c r="Q28" s="40"/>
      <c r="R28" s="40">
        <f t="shared" si="5"/>
        <v>4497019.1469825488</v>
      </c>
    </row>
    <row r="29" spans="1:18">
      <c r="A29" s="46">
        <f t="shared" si="6"/>
        <v>2024</v>
      </c>
      <c r="B29" s="40">
        <f t="shared" si="0"/>
        <v>58078.467086127886</v>
      </c>
      <c r="C29" s="40"/>
      <c r="D29" s="40">
        <f t="shared" si="1"/>
        <v>-2903.9233543063947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10313076.369722424</v>
      </c>
      <c r="M29" s="40"/>
      <c r="N29" s="40">
        <f t="shared" si="3"/>
        <v>10342115.603265487</v>
      </c>
      <c r="O29" s="40"/>
      <c r="P29" s="40">
        <f t="shared" si="4"/>
        <v>408865.04955225898</v>
      </c>
      <c r="Q29" s="40"/>
      <c r="R29" s="40">
        <f t="shared" si="5"/>
        <v>4844901.8060943736</v>
      </c>
    </row>
    <row r="30" spans="1:18">
      <c r="A30" s="46">
        <f t="shared" si="6"/>
        <v>2025</v>
      </c>
      <c r="B30" s="40">
        <f t="shared" si="0"/>
        <v>57753.227670445573</v>
      </c>
      <c r="C30" s="40"/>
      <c r="D30" s="40">
        <f t="shared" si="1"/>
        <v>-2887.6613835222788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10255323.142051978</v>
      </c>
      <c r="M30" s="40"/>
      <c r="N30" s="40">
        <f t="shared" si="3"/>
        <v>10284199.755887201</v>
      </c>
      <c r="O30" s="40"/>
      <c r="P30" s="40">
        <f t="shared" si="4"/>
        <v>406575.40527476632</v>
      </c>
      <c r="Q30" s="40"/>
      <c r="R30" s="40">
        <f t="shared" si="5"/>
        <v>5190836.3223151714</v>
      </c>
    </row>
    <row r="31" spans="1:18">
      <c r="A31" s="46">
        <f t="shared" si="6"/>
        <v>2026</v>
      </c>
      <c r="B31" s="40">
        <f t="shared" si="0"/>
        <v>57429.809595491075</v>
      </c>
      <c r="C31" s="40"/>
      <c r="D31" s="40">
        <f t="shared" si="1"/>
        <v>-2871.4904797745539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10197893.332456486</v>
      </c>
      <c r="M31" s="40"/>
      <c r="N31" s="40">
        <f t="shared" si="3"/>
        <v>10226608.237254232</v>
      </c>
      <c r="O31" s="40"/>
      <c r="P31" s="40">
        <f t="shared" si="4"/>
        <v>404298.58300522761</v>
      </c>
      <c r="Q31" s="40"/>
      <c r="R31" s="40">
        <f t="shared" si="5"/>
        <v>5534833.6052451329</v>
      </c>
    </row>
    <row r="32" spans="1:18">
      <c r="A32" s="46">
        <f t="shared" si="6"/>
        <v>2027</v>
      </c>
      <c r="B32" s="40">
        <f t="shared" si="0"/>
        <v>57108.202661756324</v>
      </c>
      <c r="C32" s="40"/>
      <c r="D32" s="40">
        <f t="shared" si="1"/>
        <v>-2855.4101330878166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10140785.12979473</v>
      </c>
      <c r="M32" s="40"/>
      <c r="N32" s="40">
        <f t="shared" si="3"/>
        <v>10169339.231125608</v>
      </c>
      <c r="O32" s="40"/>
      <c r="P32" s="40">
        <f t="shared" si="4"/>
        <v>402034.51094039832</v>
      </c>
      <c r="Q32" s="40"/>
      <c r="R32" s="40">
        <f t="shared" si="5"/>
        <v>5876904.5033906866</v>
      </c>
    </row>
    <row r="33" spans="1:18">
      <c r="A33" s="46">
        <f t="shared" si="6"/>
        <v>2028</v>
      </c>
      <c r="B33" s="40">
        <f t="shared" si="0"/>
        <v>56788.396726850486</v>
      </c>
      <c r="C33" s="40"/>
      <c r="D33" s="40">
        <f t="shared" si="1"/>
        <v>-2839.4198363425244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10083996.733067879</v>
      </c>
      <c r="M33" s="40"/>
      <c r="N33" s="40">
        <f t="shared" si="3"/>
        <v>10112390.931431305</v>
      </c>
      <c r="O33" s="40"/>
      <c r="P33" s="40">
        <f t="shared" si="4"/>
        <v>399783.11767913209</v>
      </c>
      <c r="Q33" s="40"/>
      <c r="R33" s="40">
        <f t="shared" si="5"/>
        <v>6217059.804506626</v>
      </c>
    </row>
    <row r="34" spans="1:18">
      <c r="A34" s="46">
        <f t="shared" si="6"/>
        <v>2029</v>
      </c>
      <c r="B34" s="40">
        <f t="shared" si="0"/>
        <v>56470.381705180123</v>
      </c>
      <c r="C34" s="40"/>
      <c r="D34" s="40">
        <f t="shared" si="1"/>
        <v>-2823.5190852590063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10027526.3513627</v>
      </c>
      <c r="M34" s="40"/>
      <c r="N34" s="40">
        <f t="shared" si="3"/>
        <v>10055761.54221529</v>
      </c>
      <c r="O34" s="40"/>
      <c r="P34" s="40">
        <f t="shared" si="4"/>
        <v>397544.33222012897</v>
      </c>
      <c r="Q34" s="40"/>
      <c r="R34" s="40">
        <f t="shared" si="5"/>
        <v>6555310.2359363157</v>
      </c>
    </row>
    <row r="35" spans="1:18">
      <c r="A35" s="46">
        <f t="shared" si="6"/>
        <v>2030</v>
      </c>
      <c r="B35" s="40">
        <f t="shared" si="0"/>
        <v>56154.147567631117</v>
      </c>
      <c r="C35" s="40"/>
      <c r="D35" s="40">
        <f t="shared" si="1"/>
        <v>-2807.7073783815558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9971372.203795068</v>
      </c>
      <c r="M35" s="40"/>
      <c r="N35" s="40">
        <f t="shared" si="3"/>
        <v>9999449.2775788829</v>
      </c>
      <c r="O35" s="40"/>
      <c r="P35" s="40">
        <f t="shared" si="4"/>
        <v>395318.08395969623</v>
      </c>
      <c r="Q35" s="40"/>
      <c r="R35" s="40">
        <f t="shared" si="5"/>
        <v>6891666.464949999</v>
      </c>
    </row>
    <row r="36" spans="1:18">
      <c r="A36" s="46">
        <f t="shared" si="6"/>
        <v>2031</v>
      </c>
      <c r="B36" s="40">
        <f t="shared" si="0"/>
        <v>55839.684341252381</v>
      </c>
      <c r="C36" s="40"/>
      <c r="D36" s="40">
        <f t="shared" si="1"/>
        <v>-2791.9842170626193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9915532.5194538161</v>
      </c>
      <c r="M36" s="40"/>
      <c r="N36" s="40">
        <f t="shared" si="3"/>
        <v>9943452.361624442</v>
      </c>
      <c r="O36" s="40"/>
      <c r="P36" s="40">
        <f t="shared" si="4"/>
        <v>393104.30268952192</v>
      </c>
      <c r="Q36" s="40"/>
      <c r="R36" s="40">
        <f t="shared" si="5"/>
        <v>7226139.0990812052</v>
      </c>
    </row>
    <row r="37" spans="1:18">
      <c r="A37" s="46">
        <f t="shared" si="6"/>
        <v>2032</v>
      </c>
      <c r="B37" s="40">
        <f t="shared" si="0"/>
        <v>55526.982108941367</v>
      </c>
      <c r="C37" s="40"/>
      <c r="D37" s="40">
        <f t="shared" si="1"/>
        <v>-2776.3491054470687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9860005.5373448748</v>
      </c>
      <c r="M37" s="40"/>
      <c r="N37" s="40">
        <f t="shared" si="3"/>
        <v>9887769.0283993445</v>
      </c>
      <c r="O37" s="40"/>
      <c r="P37" s="40">
        <f t="shared" si="4"/>
        <v>390902.91859446059</v>
      </c>
      <c r="Q37" s="40"/>
      <c r="R37" s="40">
        <f t="shared" si="5"/>
        <v>7558738.6864612773</v>
      </c>
    </row>
    <row r="38" spans="1:18">
      <c r="A38" s="46">
        <f t="shared" si="6"/>
        <v>2033</v>
      </c>
      <c r="B38" s="40">
        <f t="shared" si="0"/>
        <v>55216.0310091313</v>
      </c>
      <c r="C38" s="40"/>
      <c r="D38" s="40">
        <f t="shared" si="1"/>
        <v>-2760.8015504565651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9804789.5063357428</v>
      </c>
      <c r="M38" s="40"/>
      <c r="N38" s="40">
        <f t="shared" si="3"/>
        <v>9832397.5218403079</v>
      </c>
      <c r="O38" s="40"/>
      <c r="P38" s="40">
        <f t="shared" si="4"/>
        <v>388713.86225033161</v>
      </c>
      <c r="Q38" s="40"/>
      <c r="R38" s="40">
        <f t="shared" si="5"/>
        <v>7889475.7161520217</v>
      </c>
    </row>
    <row r="39" spans="1:18">
      <c r="A39" s="46">
        <f t="shared" si="6"/>
        <v>2034</v>
      </c>
      <c r="B39" s="40">
        <f t="shared" si="0"/>
        <v>54906.821235480158</v>
      </c>
      <c r="C39" s="40"/>
      <c r="D39" s="40">
        <f t="shared" si="1"/>
        <v>-2745.3410617740083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9749882.685100263</v>
      </c>
      <c r="M39" s="40"/>
      <c r="N39" s="40">
        <f t="shared" si="3"/>
        <v>9777336.0957180038</v>
      </c>
      <c r="O39" s="40"/>
      <c r="P39" s="40">
        <f t="shared" si="4"/>
        <v>386537.06462172983</v>
      </c>
      <c r="Q39" s="40"/>
      <c r="R39" s="40">
        <f t="shared" si="5"/>
        <v>8218360.6184764979</v>
      </c>
    </row>
    <row r="40" spans="1:18">
      <c r="A40" s="46">
        <f t="shared" si="6"/>
        <v>2035</v>
      </c>
      <c r="B40" s="40">
        <f t="shared" si="0"/>
        <v>54599.343036561469</v>
      </c>
      <c r="C40" s="40"/>
      <c r="D40" s="40">
        <f t="shared" si="1"/>
        <v>-2729.9671518280738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9695283.3420637008</v>
      </c>
      <c r="M40" s="40"/>
      <c r="N40" s="40">
        <f t="shared" si="3"/>
        <v>9722583.0135819819</v>
      </c>
      <c r="O40" s="40"/>
      <c r="P40" s="40">
        <f t="shared" si="4"/>
        <v>384372.45705984806</v>
      </c>
      <c r="Q40" s="40"/>
      <c r="R40" s="40">
        <f t="shared" si="5"/>
        <v>8545403.7653479557</v>
      </c>
    </row>
    <row r="41" spans="1:18">
      <c r="A41" s="46">
        <f t="shared" si="6"/>
        <v>2036</v>
      </c>
      <c r="B41" s="40"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9695283.3420637008</v>
      </c>
      <c r="M41" s="40"/>
      <c r="N41" s="40">
        <f t="shared" si="3"/>
        <v>9695283.3420637008</v>
      </c>
      <c r="O41" s="40"/>
      <c r="P41" s="40">
        <f t="shared" si="4"/>
        <v>383293.19223858096</v>
      </c>
      <c r="Q41" s="40"/>
      <c r="R41" s="40">
        <f t="shared" si="5"/>
        <v>8928696.9575865362</v>
      </c>
    </row>
    <row r="42" spans="1:18">
      <c r="A42" s="46">
        <f t="shared" si="6"/>
        <v>2037</v>
      </c>
      <c r="B42" s="40"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9695283.3420637008</v>
      </c>
      <c r="M42" s="40"/>
      <c r="N42" s="40">
        <f t="shared" si="3"/>
        <v>9695283.3420637008</v>
      </c>
      <c r="O42" s="40"/>
      <c r="P42" s="40">
        <f t="shared" si="4"/>
        <v>383293.19223858096</v>
      </c>
      <c r="Q42" s="40"/>
      <c r="R42" s="40">
        <f t="shared" si="5"/>
        <v>9311990.1498251166</v>
      </c>
    </row>
    <row r="43" spans="1:18">
      <c r="A43" s="46">
        <f t="shared" si="6"/>
        <v>2038</v>
      </c>
      <c r="B43" s="40">
        <v>0</v>
      </c>
      <c r="C43" s="40"/>
      <c r="D43" s="40">
        <f t="shared" si="1"/>
        <v>0</v>
      </c>
      <c r="E43" s="40"/>
      <c r="F43" s="40">
        <f>L42</f>
        <v>9695283.3420637008</v>
      </c>
      <c r="G43" s="40"/>
      <c r="H43" s="40"/>
      <c r="I43" s="40"/>
      <c r="J43" s="40">
        <v>0</v>
      </c>
      <c r="K43" s="40"/>
      <c r="L43" s="40">
        <f t="shared" si="2"/>
        <v>0</v>
      </c>
      <c r="M43" s="40"/>
      <c r="N43" s="40">
        <f>+L42</f>
        <v>9695283.3420637008</v>
      </c>
      <c r="O43" s="40"/>
      <c r="P43" s="40">
        <f t="shared" si="4"/>
        <v>383293.19223858096</v>
      </c>
      <c r="Q43" s="40"/>
      <c r="R43" s="40">
        <f t="shared" si="5"/>
        <v>-3.7252902984619141E-9</v>
      </c>
    </row>
    <row r="44" spans="1:18">
      <c r="A44" s="46">
        <f t="shared" si="6"/>
        <v>2039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>
      <c r="A45" s="46">
        <f t="shared" si="6"/>
        <v>2040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>
      <c r="A46" s="46">
        <f t="shared" si="6"/>
        <v>2041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>
      <c r="A47" s="46">
        <f t="shared" si="6"/>
        <v>2042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>
      <c r="A48" s="46">
        <f t="shared" si="6"/>
        <v>2043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>
      <c r="A49" s="46">
        <f t="shared" si="6"/>
        <v>2044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>
      <c r="A50" s="46">
        <f t="shared" si="6"/>
        <v>2045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>
      <c r="A51" s="46">
        <f t="shared" si="6"/>
        <v>2046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1091682.6291915011</v>
      </c>
      <c r="C62" s="38" t="s">
        <v>39</v>
      </c>
      <c r="D62" s="38">
        <f>SUM(D22:D58)</f>
        <v>-54584.131459575052</v>
      </c>
      <c r="E62" s="38">
        <v>0</v>
      </c>
      <c r="F62" s="38">
        <f>SUM(F22:F58)</f>
        <v>9695283.3420637008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223483335.35293484</v>
      </c>
      <c r="O62" s="40"/>
      <c r="P62" s="38">
        <f>SUM(P22:P58)</f>
        <v>8835186.9664201606</v>
      </c>
      <c r="Q62" s="40"/>
      <c r="R62" s="4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P13" sqref="P13"/>
    </sheetView>
  </sheetViews>
  <sheetFormatPr defaultRowHeight="15"/>
  <cols>
    <col min="1" max="1" width="15.85546875" customWidth="1"/>
    <col min="3" max="3" width="0.140625" customWidth="1"/>
    <col min="5" max="5" width="1.7109375" customWidth="1"/>
    <col min="7" max="7" width="1.85546875" customWidth="1"/>
    <col min="9" max="9" width="2.42578125" customWidth="1"/>
    <col min="11" max="11" width="2.5703125" customWidth="1"/>
    <col min="12" max="12" width="17.5703125" customWidth="1"/>
    <col min="13" max="13" width="1.5703125" customWidth="1"/>
    <col min="14" max="14" width="19.5703125" customWidth="1"/>
    <col min="15" max="15" width="2.42578125" customWidth="1"/>
    <col min="17" max="17" width="2.28515625" customWidth="1"/>
    <col min="18" max="18" width="18" customWidth="1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190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v>0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43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0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'!$J$904</f>
        <v>39.5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30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69.5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0.5799964642425437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43853.678633093528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v>0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1.4000117858581877E-2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0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1.4000117858581877E-2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Unit(Fcst)'!$D$32</f>
        <v>77160.27</v>
      </c>
      <c r="M21" s="40"/>
      <c r="N21" s="40"/>
      <c r="O21" s="40"/>
      <c r="P21" s="40"/>
      <c r="Q21" s="40"/>
      <c r="R21" s="40">
        <f>'2016 YE Reserve by Unit(Fcst)'!$D$32</f>
        <v>44752.683780000021</v>
      </c>
    </row>
    <row r="22" spans="1:18">
      <c r="A22" s="46">
        <v>2017</v>
      </c>
      <c r="B22" s="40">
        <f>+L21*P$10</f>
        <v>0</v>
      </c>
      <c r="C22" s="40"/>
      <c r="D22" s="40">
        <f>+B22*P$2</f>
        <v>0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77160.27</v>
      </c>
      <c r="M22" s="40"/>
      <c r="N22" s="40">
        <f>(L21+L22)/2</f>
        <v>77160.27</v>
      </c>
      <c r="O22" s="40"/>
      <c r="P22" s="40">
        <f>N22*$P$12</f>
        <v>1080.2528739999996</v>
      </c>
      <c r="Q22" s="40"/>
      <c r="R22" s="40">
        <f>R21+P22-B22-F22+D22</f>
        <v>45832.936654000019</v>
      </c>
    </row>
    <row r="23" spans="1:18">
      <c r="A23" s="46">
        <f>A22+1</f>
        <v>2018</v>
      </c>
      <c r="B23" s="40">
        <f t="shared" ref="B23:B48" si="0">+L22*P$10</f>
        <v>0</v>
      </c>
      <c r="C23" s="40"/>
      <c r="D23" s="40">
        <f t="shared" ref="D23:D49" si="1">+B23*P$2</f>
        <v>0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77160.27</v>
      </c>
      <c r="M23" s="40"/>
      <c r="N23" s="40">
        <f t="shared" ref="N23:N50" si="3">(L22+L23)/2</f>
        <v>77160.27</v>
      </c>
      <c r="O23" s="40"/>
      <c r="P23" s="40">
        <f t="shared" ref="P23:P51" si="4">N23*$P$12</f>
        <v>1080.2528739999996</v>
      </c>
      <c r="Q23" s="40"/>
      <c r="R23" s="40">
        <f t="shared" ref="R23:R51" si="5">R22+P23-B23-F23+D23</f>
        <v>46913.189528000017</v>
      </c>
    </row>
    <row r="24" spans="1:18">
      <c r="A24" s="46">
        <f t="shared" ref="A24:A58" si="6">A23+1</f>
        <v>2019</v>
      </c>
      <c r="B24" s="40">
        <f t="shared" si="0"/>
        <v>0</v>
      </c>
      <c r="C24" s="40"/>
      <c r="D24" s="40">
        <f t="shared" si="1"/>
        <v>0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77160.27</v>
      </c>
      <c r="M24" s="40"/>
      <c r="N24" s="40">
        <f t="shared" si="3"/>
        <v>77160.27</v>
      </c>
      <c r="O24" s="40"/>
      <c r="P24" s="40">
        <f t="shared" si="4"/>
        <v>1080.2528739999996</v>
      </c>
      <c r="Q24" s="40"/>
      <c r="R24" s="40">
        <f t="shared" si="5"/>
        <v>47993.442402000015</v>
      </c>
    </row>
    <row r="25" spans="1:18">
      <c r="A25" s="46">
        <f t="shared" si="6"/>
        <v>2020</v>
      </c>
      <c r="B25" s="40">
        <f t="shared" si="0"/>
        <v>0</v>
      </c>
      <c r="C25" s="40"/>
      <c r="D25" s="40">
        <f t="shared" si="1"/>
        <v>0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77160.27</v>
      </c>
      <c r="M25" s="40"/>
      <c r="N25" s="40">
        <f t="shared" si="3"/>
        <v>77160.27</v>
      </c>
      <c r="O25" s="40"/>
      <c r="P25" s="40">
        <f t="shared" si="4"/>
        <v>1080.2528739999996</v>
      </c>
      <c r="Q25" s="40"/>
      <c r="R25" s="40">
        <f t="shared" si="5"/>
        <v>49073.695276000013</v>
      </c>
    </row>
    <row r="26" spans="1:18">
      <c r="A26" s="46">
        <f t="shared" si="6"/>
        <v>2021</v>
      </c>
      <c r="B26" s="40">
        <f t="shared" si="0"/>
        <v>0</v>
      </c>
      <c r="C26" s="40"/>
      <c r="D26" s="40">
        <f t="shared" si="1"/>
        <v>0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77160.27</v>
      </c>
      <c r="M26" s="40"/>
      <c r="N26" s="40">
        <f t="shared" si="3"/>
        <v>77160.27</v>
      </c>
      <c r="O26" s="40"/>
      <c r="P26" s="40">
        <f t="shared" si="4"/>
        <v>1080.2528739999996</v>
      </c>
      <c r="Q26" s="40"/>
      <c r="R26" s="40">
        <f t="shared" si="5"/>
        <v>50153.948150000011</v>
      </c>
    </row>
    <row r="27" spans="1:18">
      <c r="A27" s="46">
        <f t="shared" si="6"/>
        <v>2022</v>
      </c>
      <c r="B27" s="40">
        <f t="shared" si="0"/>
        <v>0</v>
      </c>
      <c r="C27" s="40"/>
      <c r="D27" s="40">
        <f t="shared" si="1"/>
        <v>0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77160.27</v>
      </c>
      <c r="M27" s="40"/>
      <c r="N27" s="40">
        <f t="shared" si="3"/>
        <v>77160.27</v>
      </c>
      <c r="O27" s="40"/>
      <c r="P27" s="40">
        <f t="shared" si="4"/>
        <v>1080.2528739999996</v>
      </c>
      <c r="Q27" s="40"/>
      <c r="R27" s="40">
        <f t="shared" si="5"/>
        <v>51234.201024000009</v>
      </c>
    </row>
    <row r="28" spans="1:18">
      <c r="A28" s="46">
        <f t="shared" si="6"/>
        <v>2023</v>
      </c>
      <c r="B28" s="40">
        <f t="shared" si="0"/>
        <v>0</v>
      </c>
      <c r="C28" s="40"/>
      <c r="D28" s="40">
        <f t="shared" si="1"/>
        <v>0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77160.27</v>
      </c>
      <c r="M28" s="40"/>
      <c r="N28" s="40">
        <f t="shared" si="3"/>
        <v>77160.27</v>
      </c>
      <c r="O28" s="40"/>
      <c r="P28" s="40">
        <f t="shared" si="4"/>
        <v>1080.2528739999996</v>
      </c>
      <c r="Q28" s="40"/>
      <c r="R28" s="40">
        <f t="shared" si="5"/>
        <v>52314.453898000007</v>
      </c>
    </row>
    <row r="29" spans="1:18">
      <c r="A29" s="46">
        <f t="shared" si="6"/>
        <v>2024</v>
      </c>
      <c r="B29" s="40">
        <f t="shared" si="0"/>
        <v>0</v>
      </c>
      <c r="C29" s="40"/>
      <c r="D29" s="40">
        <f t="shared" si="1"/>
        <v>0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77160.27</v>
      </c>
      <c r="M29" s="40"/>
      <c r="N29" s="40">
        <f t="shared" si="3"/>
        <v>77160.27</v>
      </c>
      <c r="O29" s="40"/>
      <c r="P29" s="40">
        <f t="shared" si="4"/>
        <v>1080.2528739999996</v>
      </c>
      <c r="Q29" s="40"/>
      <c r="R29" s="40">
        <f t="shared" si="5"/>
        <v>53394.706772000005</v>
      </c>
    </row>
    <row r="30" spans="1:18">
      <c r="A30" s="46">
        <f t="shared" si="6"/>
        <v>2025</v>
      </c>
      <c r="B30" s="40">
        <f t="shared" si="0"/>
        <v>0</v>
      </c>
      <c r="C30" s="40"/>
      <c r="D30" s="40">
        <f t="shared" si="1"/>
        <v>0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77160.27</v>
      </c>
      <c r="M30" s="40"/>
      <c r="N30" s="40">
        <f t="shared" si="3"/>
        <v>77160.27</v>
      </c>
      <c r="O30" s="40"/>
      <c r="P30" s="40">
        <f t="shared" si="4"/>
        <v>1080.2528739999996</v>
      </c>
      <c r="Q30" s="40"/>
      <c r="R30" s="40">
        <f t="shared" si="5"/>
        <v>54474.959646000003</v>
      </c>
    </row>
    <row r="31" spans="1:18">
      <c r="A31" s="46">
        <f t="shared" si="6"/>
        <v>2026</v>
      </c>
      <c r="B31" s="40">
        <f t="shared" si="0"/>
        <v>0</v>
      </c>
      <c r="C31" s="40"/>
      <c r="D31" s="40">
        <f t="shared" si="1"/>
        <v>0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77160.27</v>
      </c>
      <c r="M31" s="40"/>
      <c r="N31" s="40">
        <f t="shared" si="3"/>
        <v>77160.27</v>
      </c>
      <c r="O31" s="40"/>
      <c r="P31" s="40">
        <f t="shared" si="4"/>
        <v>1080.2528739999996</v>
      </c>
      <c r="Q31" s="40"/>
      <c r="R31" s="40">
        <f t="shared" si="5"/>
        <v>55555.212520000001</v>
      </c>
    </row>
    <row r="32" spans="1:18">
      <c r="A32" s="46">
        <f t="shared" si="6"/>
        <v>2027</v>
      </c>
      <c r="B32" s="40">
        <f t="shared" si="0"/>
        <v>0</v>
      </c>
      <c r="C32" s="40"/>
      <c r="D32" s="40">
        <f t="shared" si="1"/>
        <v>0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77160.27</v>
      </c>
      <c r="M32" s="40"/>
      <c r="N32" s="40">
        <f t="shared" si="3"/>
        <v>77160.27</v>
      </c>
      <c r="O32" s="40"/>
      <c r="P32" s="40">
        <f t="shared" si="4"/>
        <v>1080.2528739999996</v>
      </c>
      <c r="Q32" s="40"/>
      <c r="R32" s="40">
        <f t="shared" si="5"/>
        <v>56635.465393999999</v>
      </c>
    </row>
    <row r="33" spans="1:18">
      <c r="A33" s="46">
        <f t="shared" si="6"/>
        <v>2028</v>
      </c>
      <c r="B33" s="40">
        <f t="shared" si="0"/>
        <v>0</v>
      </c>
      <c r="C33" s="40"/>
      <c r="D33" s="40">
        <f t="shared" si="1"/>
        <v>0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77160.27</v>
      </c>
      <c r="M33" s="40"/>
      <c r="N33" s="40">
        <f t="shared" si="3"/>
        <v>77160.27</v>
      </c>
      <c r="O33" s="40"/>
      <c r="P33" s="40">
        <f t="shared" si="4"/>
        <v>1080.2528739999996</v>
      </c>
      <c r="Q33" s="40"/>
      <c r="R33" s="40">
        <f t="shared" si="5"/>
        <v>57715.718267999997</v>
      </c>
    </row>
    <row r="34" spans="1:18">
      <c r="A34" s="46">
        <f t="shared" si="6"/>
        <v>2029</v>
      </c>
      <c r="B34" s="40">
        <f t="shared" si="0"/>
        <v>0</v>
      </c>
      <c r="C34" s="40"/>
      <c r="D34" s="40">
        <f t="shared" si="1"/>
        <v>0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77160.27</v>
      </c>
      <c r="M34" s="40"/>
      <c r="N34" s="40">
        <f t="shared" si="3"/>
        <v>77160.27</v>
      </c>
      <c r="O34" s="40"/>
      <c r="P34" s="40">
        <f t="shared" si="4"/>
        <v>1080.2528739999996</v>
      </c>
      <c r="Q34" s="40"/>
      <c r="R34" s="40">
        <f t="shared" si="5"/>
        <v>58795.971141999995</v>
      </c>
    </row>
    <row r="35" spans="1:18">
      <c r="A35" s="46">
        <f t="shared" si="6"/>
        <v>2030</v>
      </c>
      <c r="B35" s="40">
        <f t="shared" si="0"/>
        <v>0</v>
      </c>
      <c r="C35" s="40"/>
      <c r="D35" s="40">
        <f t="shared" si="1"/>
        <v>0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77160.27</v>
      </c>
      <c r="M35" s="40"/>
      <c r="N35" s="40">
        <f t="shared" si="3"/>
        <v>77160.27</v>
      </c>
      <c r="O35" s="40"/>
      <c r="P35" s="40">
        <f t="shared" si="4"/>
        <v>1080.2528739999996</v>
      </c>
      <c r="Q35" s="40"/>
      <c r="R35" s="40">
        <f t="shared" si="5"/>
        <v>59876.224015999993</v>
      </c>
    </row>
    <row r="36" spans="1:18">
      <c r="A36" s="46">
        <f t="shared" si="6"/>
        <v>2031</v>
      </c>
      <c r="B36" s="40">
        <f t="shared" si="0"/>
        <v>0</v>
      </c>
      <c r="C36" s="40"/>
      <c r="D36" s="40">
        <f t="shared" si="1"/>
        <v>0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77160.27</v>
      </c>
      <c r="M36" s="40"/>
      <c r="N36" s="40">
        <f t="shared" si="3"/>
        <v>77160.27</v>
      </c>
      <c r="O36" s="40"/>
      <c r="P36" s="40">
        <f t="shared" si="4"/>
        <v>1080.2528739999996</v>
      </c>
      <c r="Q36" s="40"/>
      <c r="R36" s="40">
        <f t="shared" si="5"/>
        <v>60956.476889999991</v>
      </c>
    </row>
    <row r="37" spans="1:18">
      <c r="A37" s="46">
        <f t="shared" si="6"/>
        <v>2032</v>
      </c>
      <c r="B37" s="40">
        <f t="shared" si="0"/>
        <v>0</v>
      </c>
      <c r="C37" s="40"/>
      <c r="D37" s="40">
        <f t="shared" si="1"/>
        <v>0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77160.27</v>
      </c>
      <c r="M37" s="40"/>
      <c r="N37" s="40">
        <f t="shared" si="3"/>
        <v>77160.27</v>
      </c>
      <c r="O37" s="40"/>
      <c r="P37" s="40">
        <f t="shared" si="4"/>
        <v>1080.2528739999996</v>
      </c>
      <c r="Q37" s="40"/>
      <c r="R37" s="40">
        <f t="shared" si="5"/>
        <v>62036.729763999989</v>
      </c>
    </row>
    <row r="38" spans="1:18">
      <c r="A38" s="46">
        <f t="shared" si="6"/>
        <v>2033</v>
      </c>
      <c r="B38" s="40">
        <f t="shared" si="0"/>
        <v>0</v>
      </c>
      <c r="C38" s="40"/>
      <c r="D38" s="40">
        <f t="shared" si="1"/>
        <v>0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77160.27</v>
      </c>
      <c r="M38" s="40"/>
      <c r="N38" s="40">
        <f t="shared" si="3"/>
        <v>77160.27</v>
      </c>
      <c r="O38" s="40"/>
      <c r="P38" s="40">
        <f t="shared" si="4"/>
        <v>1080.2528739999996</v>
      </c>
      <c r="Q38" s="40"/>
      <c r="R38" s="40">
        <f t="shared" si="5"/>
        <v>63116.982637999987</v>
      </c>
    </row>
    <row r="39" spans="1:18">
      <c r="A39" s="46">
        <f t="shared" si="6"/>
        <v>2034</v>
      </c>
      <c r="B39" s="40">
        <f t="shared" si="0"/>
        <v>0</v>
      </c>
      <c r="C39" s="40"/>
      <c r="D39" s="40">
        <f t="shared" si="1"/>
        <v>0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77160.27</v>
      </c>
      <c r="M39" s="40"/>
      <c r="N39" s="40">
        <f t="shared" si="3"/>
        <v>77160.27</v>
      </c>
      <c r="O39" s="40"/>
      <c r="P39" s="40">
        <f t="shared" si="4"/>
        <v>1080.2528739999996</v>
      </c>
      <c r="Q39" s="40"/>
      <c r="R39" s="40">
        <f t="shared" si="5"/>
        <v>64197.235511999985</v>
      </c>
    </row>
    <row r="40" spans="1:18">
      <c r="A40" s="46">
        <f t="shared" si="6"/>
        <v>2035</v>
      </c>
      <c r="B40" s="40">
        <f t="shared" si="0"/>
        <v>0</v>
      </c>
      <c r="C40" s="40"/>
      <c r="D40" s="40">
        <f t="shared" si="1"/>
        <v>0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77160.27</v>
      </c>
      <c r="M40" s="40"/>
      <c r="N40" s="40">
        <f t="shared" si="3"/>
        <v>77160.27</v>
      </c>
      <c r="O40" s="40"/>
      <c r="P40" s="40">
        <f t="shared" si="4"/>
        <v>1080.2528739999996</v>
      </c>
      <c r="Q40" s="40"/>
      <c r="R40" s="40">
        <f t="shared" si="5"/>
        <v>65277.488385999983</v>
      </c>
    </row>
    <row r="41" spans="1:18">
      <c r="A41" s="46">
        <f t="shared" si="6"/>
        <v>2036</v>
      </c>
      <c r="B41" s="40">
        <f t="shared" si="0"/>
        <v>0</v>
      </c>
      <c r="C41" s="40"/>
      <c r="D41" s="40">
        <f t="shared" si="1"/>
        <v>0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77160.27</v>
      </c>
      <c r="M41" s="40"/>
      <c r="N41" s="40">
        <f t="shared" si="3"/>
        <v>77160.27</v>
      </c>
      <c r="O41" s="40"/>
      <c r="P41" s="40">
        <f t="shared" si="4"/>
        <v>1080.2528739999996</v>
      </c>
      <c r="Q41" s="40"/>
      <c r="R41" s="40">
        <f t="shared" si="5"/>
        <v>66357.741259999981</v>
      </c>
    </row>
    <row r="42" spans="1:18">
      <c r="A42" s="46">
        <f t="shared" si="6"/>
        <v>2037</v>
      </c>
      <c r="B42" s="40">
        <f t="shared" si="0"/>
        <v>0</v>
      </c>
      <c r="C42" s="40"/>
      <c r="D42" s="40">
        <f t="shared" si="1"/>
        <v>0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77160.27</v>
      </c>
      <c r="M42" s="40"/>
      <c r="N42" s="40">
        <f t="shared" si="3"/>
        <v>77160.27</v>
      </c>
      <c r="O42" s="40"/>
      <c r="P42" s="40">
        <f t="shared" si="4"/>
        <v>1080.2528739999996</v>
      </c>
      <c r="Q42" s="40"/>
      <c r="R42" s="40">
        <f t="shared" si="5"/>
        <v>67437.994133999979</v>
      </c>
    </row>
    <row r="43" spans="1:18">
      <c r="A43" s="46">
        <f t="shared" si="6"/>
        <v>2038</v>
      </c>
      <c r="B43" s="40">
        <f t="shared" si="0"/>
        <v>0</v>
      </c>
      <c r="C43" s="40"/>
      <c r="D43" s="40">
        <f t="shared" si="1"/>
        <v>0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77160.27</v>
      </c>
      <c r="M43" s="40"/>
      <c r="N43" s="40">
        <f t="shared" si="3"/>
        <v>77160.27</v>
      </c>
      <c r="O43" s="40"/>
      <c r="P43" s="40">
        <f t="shared" si="4"/>
        <v>1080.2528739999996</v>
      </c>
      <c r="Q43" s="40"/>
      <c r="R43" s="40">
        <f t="shared" si="5"/>
        <v>68518.247007999977</v>
      </c>
    </row>
    <row r="44" spans="1:18">
      <c r="A44" s="46">
        <f t="shared" si="6"/>
        <v>2039</v>
      </c>
      <c r="B44" s="40">
        <f t="shared" si="0"/>
        <v>0</v>
      </c>
      <c r="C44" s="40"/>
      <c r="D44" s="40">
        <f t="shared" si="1"/>
        <v>0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77160.27</v>
      </c>
      <c r="M44" s="40"/>
      <c r="N44" s="40">
        <f t="shared" si="3"/>
        <v>77160.27</v>
      </c>
      <c r="O44" s="40"/>
      <c r="P44" s="40">
        <f t="shared" si="4"/>
        <v>1080.2528739999996</v>
      </c>
      <c r="Q44" s="40"/>
      <c r="R44" s="40">
        <f t="shared" si="5"/>
        <v>69598.499881999975</v>
      </c>
    </row>
    <row r="45" spans="1:18">
      <c r="A45" s="46">
        <f t="shared" si="6"/>
        <v>2040</v>
      </c>
      <c r="B45" s="40">
        <f t="shared" si="0"/>
        <v>0</v>
      </c>
      <c r="C45" s="40"/>
      <c r="D45" s="40">
        <f t="shared" si="1"/>
        <v>0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77160.27</v>
      </c>
      <c r="M45" s="40"/>
      <c r="N45" s="40">
        <f t="shared" si="3"/>
        <v>77160.27</v>
      </c>
      <c r="O45" s="40"/>
      <c r="P45" s="40">
        <f t="shared" si="4"/>
        <v>1080.2528739999996</v>
      </c>
      <c r="Q45" s="40"/>
      <c r="R45" s="40">
        <f t="shared" si="5"/>
        <v>70678.752755999973</v>
      </c>
    </row>
    <row r="46" spans="1:18">
      <c r="A46" s="46">
        <f t="shared" si="6"/>
        <v>2041</v>
      </c>
      <c r="B46" s="40">
        <f t="shared" si="0"/>
        <v>0</v>
      </c>
      <c r="C46" s="40"/>
      <c r="D46" s="40">
        <f t="shared" si="1"/>
        <v>0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77160.27</v>
      </c>
      <c r="M46" s="40"/>
      <c r="N46" s="40">
        <f t="shared" si="3"/>
        <v>77160.27</v>
      </c>
      <c r="O46" s="40"/>
      <c r="P46" s="40">
        <f t="shared" si="4"/>
        <v>1080.2528739999996</v>
      </c>
      <c r="Q46" s="40"/>
      <c r="R46" s="40">
        <f t="shared" si="5"/>
        <v>71759.005629999971</v>
      </c>
    </row>
    <row r="47" spans="1:18">
      <c r="A47" s="46">
        <f t="shared" si="6"/>
        <v>2042</v>
      </c>
      <c r="B47" s="40">
        <f t="shared" si="0"/>
        <v>0</v>
      </c>
      <c r="C47" s="40"/>
      <c r="D47" s="40">
        <f t="shared" si="1"/>
        <v>0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77160.27</v>
      </c>
      <c r="M47" s="40"/>
      <c r="N47" s="40">
        <f t="shared" si="3"/>
        <v>77160.27</v>
      </c>
      <c r="O47" s="40"/>
      <c r="P47" s="40">
        <f t="shared" si="4"/>
        <v>1080.2528739999996</v>
      </c>
      <c r="Q47" s="40"/>
      <c r="R47" s="40">
        <f t="shared" si="5"/>
        <v>72839.258503999969</v>
      </c>
    </row>
    <row r="48" spans="1:18">
      <c r="A48" s="46">
        <f t="shared" si="6"/>
        <v>2043</v>
      </c>
      <c r="B48" s="40">
        <f t="shared" si="0"/>
        <v>0</v>
      </c>
      <c r="C48" s="40"/>
      <c r="D48" s="40">
        <f t="shared" si="1"/>
        <v>0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77160.27</v>
      </c>
      <c r="M48" s="40"/>
      <c r="N48" s="40">
        <f t="shared" si="3"/>
        <v>77160.27</v>
      </c>
      <c r="O48" s="40"/>
      <c r="P48" s="40">
        <f t="shared" si="4"/>
        <v>1080.2528739999996</v>
      </c>
      <c r="Q48" s="40"/>
      <c r="R48" s="40">
        <f t="shared" si="5"/>
        <v>73919.511377999966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77160.27</v>
      </c>
      <c r="M49" s="40"/>
      <c r="N49" s="40">
        <f t="shared" si="3"/>
        <v>77160.27</v>
      </c>
      <c r="O49" s="40"/>
      <c r="P49" s="40">
        <f t="shared" si="4"/>
        <v>1080.2528739999996</v>
      </c>
      <c r="Q49" s="40"/>
      <c r="R49" s="40">
        <f t="shared" si="5"/>
        <v>74999.764251999964</v>
      </c>
    </row>
    <row r="50" spans="1:18">
      <c r="A50" s="46">
        <f t="shared" si="6"/>
        <v>2045</v>
      </c>
      <c r="B50" s="40">
        <v>0</v>
      </c>
      <c r="C50" s="40"/>
      <c r="D50" s="40"/>
      <c r="E50" s="40"/>
      <c r="F50" s="40"/>
      <c r="G50" s="40"/>
      <c r="H50" s="40"/>
      <c r="I50" s="40"/>
      <c r="J50" s="40"/>
      <c r="K50" s="40"/>
      <c r="L50" s="40">
        <f t="shared" si="2"/>
        <v>77160.27</v>
      </c>
      <c r="M50" s="40"/>
      <c r="N50" s="40">
        <f t="shared" si="3"/>
        <v>77160.27</v>
      </c>
      <c r="O50" s="40"/>
      <c r="P50" s="40">
        <f t="shared" si="4"/>
        <v>1080.2528739999996</v>
      </c>
      <c r="Q50" s="40"/>
      <c r="R50" s="40">
        <f t="shared" si="5"/>
        <v>76080.017125999962</v>
      </c>
    </row>
    <row r="51" spans="1:18">
      <c r="A51" s="46">
        <f t="shared" si="6"/>
        <v>2046</v>
      </c>
      <c r="B51" s="40"/>
      <c r="C51" s="40"/>
      <c r="D51" s="40"/>
      <c r="E51" s="40"/>
      <c r="F51" s="40">
        <f>L49</f>
        <v>77160.27</v>
      </c>
      <c r="G51" s="40"/>
      <c r="H51" s="40"/>
      <c r="I51" s="40"/>
      <c r="J51" s="40"/>
      <c r="K51" s="40"/>
      <c r="L51" s="40">
        <f t="shared" si="2"/>
        <v>0</v>
      </c>
      <c r="M51" s="40"/>
      <c r="N51" s="40">
        <f>+L50</f>
        <v>77160.27</v>
      </c>
      <c r="O51" s="40"/>
      <c r="P51" s="40">
        <f t="shared" si="4"/>
        <v>1080.2528739999996</v>
      </c>
      <c r="Q51" s="40"/>
      <c r="R51" s="40">
        <f t="shared" si="5"/>
        <v>-4.3655745685100555E-11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0</v>
      </c>
      <c r="C62" s="38" t="s">
        <v>39</v>
      </c>
      <c r="D62" s="38">
        <f>SUM(D22:D58)</f>
        <v>0</v>
      </c>
      <c r="E62" s="38">
        <v>0</v>
      </c>
      <c r="F62" s="38">
        <f>SUM(F22:F58)</f>
        <v>77160.27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2314808.1</v>
      </c>
      <c r="O62" s="40"/>
      <c r="P62" s="38">
        <f>SUM(P22:P58)</f>
        <v>32407.586219999965</v>
      </c>
      <c r="Q62" s="40"/>
      <c r="R62" s="40"/>
    </row>
    <row r="63" spans="1:18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137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(D33+H33)/(B33+F33)</f>
        <v>-1.32493920543802E-2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'!$J$46</f>
        <v>21.398455145257159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N33/(L21+J33)</f>
        <v>7.7782070903824749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29.176662235639633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0.60650474425204559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25835007.472856432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(L21+J33-D33-H33-R21)/N33</f>
        <v>5.2292854005553856E-2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4.5410924482636378E-4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5.1838744760727494E-2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Unit(Fcst)'!D12</f>
        <v>34765255.599137083</v>
      </c>
      <c r="M21" s="40"/>
      <c r="N21" s="40"/>
      <c r="O21" s="40"/>
      <c r="P21" s="40"/>
      <c r="Q21" s="40"/>
      <c r="R21" s="40">
        <f>'2016 YE Reserve by Unit(Fcst)'!D11</f>
        <v>21085292.456011631</v>
      </c>
    </row>
    <row r="22" spans="1:18">
      <c r="A22" s="46">
        <v>2017</v>
      </c>
      <c r="B22" s="40">
        <f>+L21*P$10</f>
        <v>260739.41699352811</v>
      </c>
      <c r="C22" s="40"/>
      <c r="D22" s="40">
        <f>+B22*P$2</f>
        <v>-78221.825098058427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34504516.182143554</v>
      </c>
      <c r="M22" s="40"/>
      <c r="N22" s="40">
        <f>(L21+L22)/2</f>
        <v>34634885.890640318</v>
      </c>
      <c r="O22" s="40"/>
      <c r="P22" s="40">
        <f>N22*$P$12</f>
        <v>1811157.0313782713</v>
      </c>
      <c r="Q22" s="40"/>
      <c r="R22" s="40">
        <f>R21+P22-B22-F22+D22</f>
        <v>22557488.245298315</v>
      </c>
    </row>
    <row r="23" spans="1:18">
      <c r="A23" s="46">
        <f>A22+1</f>
        <v>2018</v>
      </c>
      <c r="B23" s="40">
        <f t="shared" ref="B23:B27" si="0">+L22*P$10</f>
        <v>258783.87136607664</v>
      </c>
      <c r="C23" s="40"/>
      <c r="D23" s="40">
        <f t="shared" ref="D23:D29" si="1">+B23*P$2</f>
        <v>-77635.161409822991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29" si="2">L22+J23-B23-F23</f>
        <v>34245732.310777478</v>
      </c>
      <c r="M23" s="40"/>
      <c r="N23" s="40">
        <f t="shared" ref="N23:N28" si="3">(L22+L23)/2</f>
        <v>34375124.246460512</v>
      </c>
      <c r="O23" s="40"/>
      <c r="P23" s="40">
        <f t="shared" ref="P23:P29" si="4">N23*$P$12</f>
        <v>1797573.353642934</v>
      </c>
      <c r="Q23" s="40"/>
      <c r="R23" s="40">
        <f t="shared" ref="R23:R29" si="5">R22+P23-B23-F23+D23</f>
        <v>24018642.56616535</v>
      </c>
    </row>
    <row r="24" spans="1:18">
      <c r="A24" s="46">
        <f t="shared" ref="A24:A29" si="6">A23+1</f>
        <v>2019</v>
      </c>
      <c r="B24" s="40">
        <f t="shared" si="0"/>
        <v>256842.99233083107</v>
      </c>
      <c r="C24" s="40"/>
      <c r="D24" s="40">
        <f t="shared" si="1"/>
        <v>-77052.897699249312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33988889.318446644</v>
      </c>
      <c r="M24" s="40"/>
      <c r="N24" s="40">
        <f t="shared" si="3"/>
        <v>34117310.814612061</v>
      </c>
      <c r="O24" s="40"/>
      <c r="P24" s="40">
        <f t="shared" si="4"/>
        <v>1784091.5534906122</v>
      </c>
      <c r="Q24" s="40"/>
      <c r="R24" s="40">
        <f t="shared" si="5"/>
        <v>25468838.229625884</v>
      </c>
    </row>
    <row r="25" spans="1:18">
      <c r="A25" s="46">
        <f t="shared" si="6"/>
        <v>2020</v>
      </c>
      <c r="B25" s="40">
        <f t="shared" si="0"/>
        <v>254916.66988834983</v>
      </c>
      <c r="C25" s="40"/>
      <c r="D25" s="40">
        <f t="shared" si="1"/>
        <v>-76475.000966504944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33733972.648558296</v>
      </c>
      <c r="M25" s="40"/>
      <c r="N25" s="40">
        <f t="shared" si="3"/>
        <v>33861430.98350247</v>
      </c>
      <c r="O25" s="40"/>
      <c r="P25" s="40">
        <f t="shared" si="4"/>
        <v>1770710.8668394326</v>
      </c>
      <c r="Q25" s="40"/>
      <c r="R25" s="40">
        <f t="shared" si="5"/>
        <v>26908157.42561046</v>
      </c>
    </row>
    <row r="26" spans="1:18">
      <c r="A26" s="46">
        <f t="shared" si="6"/>
        <v>2021</v>
      </c>
      <c r="B26" s="40">
        <f t="shared" si="0"/>
        <v>253004.79486418722</v>
      </c>
      <c r="C26" s="40"/>
      <c r="D26" s="40">
        <f t="shared" si="1"/>
        <v>-75901.438459256169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33480967.853694107</v>
      </c>
      <c r="M26" s="40"/>
      <c r="N26" s="40">
        <f t="shared" si="3"/>
        <v>33607470.2511262</v>
      </c>
      <c r="O26" s="40"/>
      <c r="P26" s="40">
        <f t="shared" si="4"/>
        <v>1757430.5353381368</v>
      </c>
      <c r="Q26" s="40"/>
      <c r="R26" s="40">
        <f t="shared" si="5"/>
        <v>28336681.727625154</v>
      </c>
    </row>
    <row r="27" spans="1:18">
      <c r="A27" s="46">
        <f t="shared" si="6"/>
        <v>2022</v>
      </c>
      <c r="B27" s="40">
        <f t="shared" si="0"/>
        <v>251107.2589027058</v>
      </c>
      <c r="C27" s="40"/>
      <c r="D27" s="40">
        <f t="shared" si="1"/>
        <v>-75332.17767081174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33229860.594791401</v>
      </c>
      <c r="M27" s="40"/>
      <c r="N27" s="40">
        <f t="shared" si="3"/>
        <v>33355414.224242754</v>
      </c>
      <c r="O27" s="40"/>
      <c r="P27" s="40">
        <f t="shared" si="4"/>
        <v>1744249.8063231008</v>
      </c>
      <c r="Q27" s="40"/>
      <c r="R27" s="40">
        <f t="shared" si="5"/>
        <v>29754492.097374737</v>
      </c>
    </row>
    <row r="28" spans="1:18">
      <c r="A28" s="46">
        <f t="shared" si="6"/>
        <v>2023</v>
      </c>
      <c r="B28" s="40">
        <v>0</v>
      </c>
      <c r="C28" s="40"/>
      <c r="D28" s="40">
        <f t="shared" si="1"/>
        <v>0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33229860.594791401</v>
      </c>
      <c r="M28" s="40"/>
      <c r="N28" s="40">
        <f t="shared" si="3"/>
        <v>33229860.594791401</v>
      </c>
      <c r="O28" s="40"/>
      <c r="P28" s="40">
        <f t="shared" si="4"/>
        <v>1737684.2487083338</v>
      </c>
      <c r="Q28" s="40"/>
      <c r="R28" s="40">
        <f t="shared" si="5"/>
        <v>31492176.346083071</v>
      </c>
    </row>
    <row r="29" spans="1:18">
      <c r="A29" s="46">
        <f t="shared" si="6"/>
        <v>2024</v>
      </c>
      <c r="B29" s="40">
        <v>0</v>
      </c>
      <c r="C29" s="40"/>
      <c r="D29" s="40">
        <f t="shared" si="1"/>
        <v>0</v>
      </c>
      <c r="E29" s="40"/>
      <c r="F29" s="40">
        <f>L28</f>
        <v>33229860.594791401</v>
      </c>
      <c r="G29" s="40"/>
      <c r="H29" s="40"/>
      <c r="I29" s="40"/>
      <c r="J29" s="40">
        <v>0</v>
      </c>
      <c r="K29" s="40"/>
      <c r="L29" s="40">
        <f t="shared" si="2"/>
        <v>0</v>
      </c>
      <c r="M29" s="40"/>
      <c r="N29" s="40">
        <f>+L28</f>
        <v>33229860.594791401</v>
      </c>
      <c r="O29" s="40"/>
      <c r="P29" s="40">
        <f t="shared" si="4"/>
        <v>1737684.2487083338</v>
      </c>
      <c r="Q29" s="40"/>
      <c r="R29" s="40">
        <f t="shared" si="5"/>
        <v>3.7252902984619141E-9</v>
      </c>
    </row>
    <row r="30" spans="1:18">
      <c r="A30" s="46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46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46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2" t="s">
        <v>38</v>
      </c>
      <c r="B33" s="38">
        <f>SUM(B22:B29)</f>
        <v>1535395.0043456785</v>
      </c>
      <c r="C33" s="38" t="s">
        <v>39</v>
      </c>
      <c r="D33" s="38">
        <f>SUM(D22:D29)</f>
        <v>-460618.50130370364</v>
      </c>
      <c r="E33" s="38">
        <v>0</v>
      </c>
      <c r="F33" s="38">
        <f>SUM(F22:F29)</f>
        <v>33229860.594791401</v>
      </c>
      <c r="G33" s="38" t="s">
        <v>39</v>
      </c>
      <c r="H33" s="38">
        <f>SUM(H22:H29)</f>
        <v>0</v>
      </c>
      <c r="I33" s="38">
        <v>0</v>
      </c>
      <c r="J33" s="38">
        <f>SUM(J22:J29)</f>
        <v>0</v>
      </c>
      <c r="K33" s="40"/>
      <c r="L33" s="40"/>
      <c r="M33" s="40"/>
      <c r="N33" s="38">
        <f>SUM(N22:N29)</f>
        <v>270411357.6001671</v>
      </c>
      <c r="O33" s="40"/>
      <c r="P33" s="38">
        <f>SUM(P22:P29)</f>
        <v>14140581.644429155</v>
      </c>
      <c r="Q33" s="40"/>
      <c r="R33" s="40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2.7109375" style="35" customWidth="1"/>
    <col min="9" max="9" width="1.85546875" style="35" customWidth="1"/>
    <col min="10" max="10" width="12.28515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2.7109375" style="35" bestFit="1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IRC!$D$4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43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-5.5178840382711213E-3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'!$J$1263</f>
        <v>36.926742019655364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29.082512336142045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66.00925435579741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0.53340121315424271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1590769.6649544577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IRR!D3</f>
        <v>2.0999999999999999E-3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1.6233696230476949E-2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8.3592582466226586E-5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1.6150103648010724E-2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Unit(Fcst)'!D35</f>
        <v>2828012.5732048885</v>
      </c>
      <c r="M21" s="40"/>
      <c r="N21" s="40"/>
      <c r="O21" s="40"/>
      <c r="P21" s="40"/>
      <c r="Q21" s="40"/>
      <c r="R21" s="40">
        <f>'2016 YE Reserve by Unit(Fcst)'!D33</f>
        <v>1508465.337362939</v>
      </c>
    </row>
    <row r="22" spans="1:18">
      <c r="A22" s="46">
        <v>2017</v>
      </c>
      <c r="B22" s="40">
        <f>+L21*P$10</f>
        <v>5938.8264037302652</v>
      </c>
      <c r="C22" s="40"/>
      <c r="D22" s="40">
        <f>+B22*P$2</f>
        <v>-593.88264037302656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2822073.7468011584</v>
      </c>
      <c r="M22" s="40"/>
      <c r="N22" s="40">
        <f>(L21+L22)/2</f>
        <v>2825043.1600030232</v>
      </c>
      <c r="O22" s="40"/>
      <c r="P22" s="40">
        <f>N22*$P$12</f>
        <v>45860.892497475768</v>
      </c>
      <c r="Q22" s="40"/>
      <c r="R22" s="40">
        <f>R21+P22-B22-F22+D22</f>
        <v>1547793.5208163115</v>
      </c>
    </row>
    <row r="23" spans="1:18">
      <c r="A23" s="46">
        <f>A22+1</f>
        <v>2018</v>
      </c>
      <c r="B23" s="40">
        <f t="shared" ref="B23:B48" si="0">+L22*P$10</f>
        <v>5926.3548682824321</v>
      </c>
      <c r="C23" s="40"/>
      <c r="D23" s="40">
        <f t="shared" ref="D23:D49" si="1">+B23*P$2</f>
        <v>-592.63548682824319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2816147.3919328758</v>
      </c>
      <c r="M23" s="40"/>
      <c r="N23" s="40">
        <f t="shared" ref="N23:N50" si="3">(L22+L23)/2</f>
        <v>2819110.5693670171</v>
      </c>
      <c r="O23" s="40"/>
      <c r="P23" s="40">
        <f t="shared" ref="P23:P51" si="4">N23*$P$12</f>
        <v>45764.584623231072</v>
      </c>
      <c r="Q23" s="40"/>
      <c r="R23" s="40">
        <f t="shared" ref="R23:R51" si="5">R22+P23-B23-F23+D23</f>
        <v>1587039.1150844321</v>
      </c>
    </row>
    <row r="24" spans="1:18">
      <c r="A24" s="46">
        <f t="shared" ref="A24:A58" si="6">A23+1</f>
        <v>2019</v>
      </c>
      <c r="B24" s="40">
        <f t="shared" si="0"/>
        <v>5913.9095230590392</v>
      </c>
      <c r="C24" s="40"/>
      <c r="D24" s="40">
        <f t="shared" si="1"/>
        <v>-591.39095230590397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2810233.4824098167</v>
      </c>
      <c r="M24" s="40"/>
      <c r="N24" s="40">
        <f t="shared" si="3"/>
        <v>2813190.4371713465</v>
      </c>
      <c r="O24" s="40"/>
      <c r="P24" s="40">
        <f t="shared" si="4"/>
        <v>45668.478995522288</v>
      </c>
      <c r="Q24" s="40"/>
      <c r="R24" s="40">
        <f t="shared" si="5"/>
        <v>1626202.2936045893</v>
      </c>
    </row>
    <row r="25" spans="1:18">
      <c r="A25" s="46">
        <f t="shared" si="6"/>
        <v>2020</v>
      </c>
      <c r="B25" s="40">
        <f t="shared" si="0"/>
        <v>5901.4903130606144</v>
      </c>
      <c r="C25" s="40"/>
      <c r="D25" s="40">
        <f t="shared" si="1"/>
        <v>-590.14903130606149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2804331.9920967561</v>
      </c>
      <c r="M25" s="40"/>
      <c r="N25" s="40">
        <f t="shared" si="3"/>
        <v>2807282.7372532864</v>
      </c>
      <c r="O25" s="40"/>
      <c r="P25" s="40">
        <f t="shared" si="4"/>
        <v>45572.575189631687</v>
      </c>
      <c r="Q25" s="40"/>
      <c r="R25" s="40">
        <f t="shared" si="5"/>
        <v>1665283.2294498542</v>
      </c>
    </row>
    <row r="26" spans="1:18">
      <c r="A26" s="46">
        <f t="shared" si="6"/>
        <v>2021</v>
      </c>
      <c r="B26" s="40">
        <f t="shared" si="0"/>
        <v>5889.097183403187</v>
      </c>
      <c r="C26" s="40"/>
      <c r="D26" s="40">
        <f t="shared" si="1"/>
        <v>-588.9097183403187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2798442.894913353</v>
      </c>
      <c r="M26" s="40"/>
      <c r="N26" s="40">
        <f t="shared" si="3"/>
        <v>2801387.4435050543</v>
      </c>
      <c r="O26" s="40"/>
      <c r="P26" s="40">
        <f t="shared" si="4"/>
        <v>45476.872781733458</v>
      </c>
      <c r="Q26" s="40"/>
      <c r="R26" s="40">
        <f t="shared" si="5"/>
        <v>1704282.0953298444</v>
      </c>
    </row>
    <row r="27" spans="1:18">
      <c r="A27" s="46">
        <f t="shared" si="6"/>
        <v>2022</v>
      </c>
      <c r="B27" s="40">
        <f t="shared" si="0"/>
        <v>5876.7300793180411</v>
      </c>
      <c r="C27" s="40"/>
      <c r="D27" s="40">
        <f t="shared" si="1"/>
        <v>-587.67300793180414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2792566.1648340351</v>
      </c>
      <c r="M27" s="40"/>
      <c r="N27" s="40">
        <f t="shared" si="3"/>
        <v>2795504.5298736943</v>
      </c>
      <c r="O27" s="40"/>
      <c r="P27" s="40">
        <f t="shared" si="4"/>
        <v>45381.371348891829</v>
      </c>
      <c r="Q27" s="40"/>
      <c r="R27" s="40">
        <f t="shared" si="5"/>
        <v>1743199.0635914865</v>
      </c>
    </row>
    <row r="28" spans="1:18">
      <c r="A28" s="46">
        <f t="shared" si="6"/>
        <v>2023</v>
      </c>
      <c r="B28" s="40">
        <f t="shared" si="0"/>
        <v>5864.3889461514736</v>
      </c>
      <c r="C28" s="40"/>
      <c r="D28" s="40">
        <f t="shared" si="1"/>
        <v>-586.43889461514743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2786701.7758878837</v>
      </c>
      <c r="M28" s="40"/>
      <c r="N28" s="40">
        <f t="shared" si="3"/>
        <v>2789633.9703609594</v>
      </c>
      <c r="O28" s="40"/>
      <c r="P28" s="40">
        <f t="shared" si="4"/>
        <v>45286.070469059152</v>
      </c>
      <c r="Q28" s="40"/>
      <c r="R28" s="40">
        <f t="shared" si="5"/>
        <v>1782034.3062197792</v>
      </c>
    </row>
    <row r="29" spans="1:18">
      <c r="A29" s="46">
        <f t="shared" si="6"/>
        <v>2024</v>
      </c>
      <c r="B29" s="40">
        <f t="shared" si="0"/>
        <v>5852.0737293645552</v>
      </c>
      <c r="C29" s="40"/>
      <c r="D29" s="40">
        <f t="shared" si="1"/>
        <v>-585.2073729364555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2780849.7021585191</v>
      </c>
      <c r="M29" s="40"/>
      <c r="N29" s="40">
        <f t="shared" si="3"/>
        <v>2783775.7390232012</v>
      </c>
      <c r="O29" s="40"/>
      <c r="P29" s="40">
        <f t="shared" si="4"/>
        <v>45190.969721074121</v>
      </c>
      <c r="Q29" s="40"/>
      <c r="R29" s="40">
        <f t="shared" si="5"/>
        <v>1820787.9948385523</v>
      </c>
    </row>
    <row r="30" spans="1:18">
      <c r="A30" s="46">
        <f t="shared" si="6"/>
        <v>2025</v>
      </c>
      <c r="B30" s="40">
        <f t="shared" si="0"/>
        <v>5839.7843745328901</v>
      </c>
      <c r="C30" s="40"/>
      <c r="D30" s="40">
        <f t="shared" si="1"/>
        <v>-583.97843745328908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2775009.9177839863</v>
      </c>
      <c r="M30" s="40"/>
      <c r="N30" s="40">
        <f t="shared" si="3"/>
        <v>2777929.8099712525</v>
      </c>
      <c r="O30" s="40"/>
      <c r="P30" s="40">
        <f t="shared" si="4"/>
        <v>45096.068684659869</v>
      </c>
      <c r="Q30" s="40"/>
      <c r="R30" s="40">
        <f t="shared" si="5"/>
        <v>1859460.300711226</v>
      </c>
    </row>
    <row r="31" spans="1:18">
      <c r="A31" s="46">
        <f t="shared" si="6"/>
        <v>2026</v>
      </c>
      <c r="B31" s="40">
        <f t="shared" si="0"/>
        <v>5827.5208273463713</v>
      </c>
      <c r="C31" s="40"/>
      <c r="D31" s="40">
        <f t="shared" si="1"/>
        <v>-582.75208273463716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2769182.3969566398</v>
      </c>
      <c r="M31" s="40"/>
      <c r="N31" s="40">
        <f t="shared" si="3"/>
        <v>2772096.1573703131</v>
      </c>
      <c r="O31" s="40"/>
      <c r="P31" s="40">
        <f t="shared" si="4"/>
        <v>45001.366940422085</v>
      </c>
      <c r="Q31" s="40"/>
      <c r="R31" s="40">
        <f t="shared" si="5"/>
        <v>1898051.3947415669</v>
      </c>
    </row>
    <row r="32" spans="1:18">
      <c r="A32" s="46">
        <f t="shared" si="6"/>
        <v>2027</v>
      </c>
      <c r="B32" s="40">
        <f t="shared" si="0"/>
        <v>5815.2830336089437</v>
      </c>
      <c r="C32" s="40"/>
      <c r="D32" s="40">
        <f t="shared" si="1"/>
        <v>-581.52830336089437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2763367.1139230309</v>
      </c>
      <c r="M32" s="40"/>
      <c r="N32" s="40">
        <f t="shared" si="3"/>
        <v>2766274.7554398356</v>
      </c>
      <c r="O32" s="40"/>
      <c r="P32" s="40">
        <f t="shared" si="4"/>
        <v>44906.864069847201</v>
      </c>
      <c r="Q32" s="40"/>
      <c r="R32" s="40">
        <f t="shared" si="5"/>
        <v>1936561.4474744443</v>
      </c>
    </row>
    <row r="33" spans="1:18">
      <c r="A33" s="46">
        <f t="shared" si="6"/>
        <v>2028</v>
      </c>
      <c r="B33" s="40">
        <f t="shared" si="0"/>
        <v>5803.0709392383642</v>
      </c>
      <c r="C33" s="40"/>
      <c r="D33" s="40">
        <f t="shared" si="1"/>
        <v>-580.30709392383642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2757564.0429837927</v>
      </c>
      <c r="M33" s="40"/>
      <c r="N33" s="40">
        <f t="shared" si="3"/>
        <v>2760465.5784534118</v>
      </c>
      <c r="O33" s="40"/>
      <c r="P33" s="40">
        <f t="shared" si="4"/>
        <v>44812.559655300523</v>
      </c>
      <c r="Q33" s="40"/>
      <c r="R33" s="40">
        <f t="shared" si="5"/>
        <v>1974990.6290965825</v>
      </c>
    </row>
    <row r="34" spans="1:18">
      <c r="A34" s="46">
        <f t="shared" si="6"/>
        <v>2029</v>
      </c>
      <c r="B34" s="40">
        <f t="shared" si="0"/>
        <v>5790.8844902659639</v>
      </c>
      <c r="C34" s="40"/>
      <c r="D34" s="40">
        <f t="shared" si="1"/>
        <v>-579.08844902659644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2751773.1584935267</v>
      </c>
      <c r="M34" s="40"/>
      <c r="N34" s="40">
        <f t="shared" si="3"/>
        <v>2754668.6007386595</v>
      </c>
      <c r="O34" s="40"/>
      <c r="P34" s="40">
        <f t="shared" si="4"/>
        <v>44718.453280024391</v>
      </c>
      <c r="Q34" s="40"/>
      <c r="R34" s="40">
        <f t="shared" si="5"/>
        <v>2013339.1094373143</v>
      </c>
    </row>
    <row r="35" spans="1:18">
      <c r="A35" s="46">
        <f t="shared" si="6"/>
        <v>2030</v>
      </c>
      <c r="B35" s="40">
        <f t="shared" si="0"/>
        <v>5778.7236328364061</v>
      </c>
      <c r="C35" s="40"/>
      <c r="D35" s="40">
        <f t="shared" si="1"/>
        <v>-577.87236328364065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2745994.4348606905</v>
      </c>
      <c r="M35" s="40"/>
      <c r="N35" s="40">
        <f t="shared" si="3"/>
        <v>2748883.7966771089</v>
      </c>
      <c r="O35" s="40"/>
      <c r="P35" s="40">
        <f t="shared" si="4"/>
        <v>44624.544528136343</v>
      </c>
      <c r="Q35" s="40"/>
      <c r="R35" s="40">
        <f t="shared" si="5"/>
        <v>2051607.0579693306</v>
      </c>
    </row>
    <row r="36" spans="1:18">
      <c r="A36" s="46">
        <f t="shared" si="6"/>
        <v>2031</v>
      </c>
      <c r="B36" s="40">
        <f t="shared" si="0"/>
        <v>5766.5883132074496</v>
      </c>
      <c r="C36" s="40"/>
      <c r="D36" s="40">
        <f t="shared" si="1"/>
        <v>-576.65883132074498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2740227.846547483</v>
      </c>
      <c r="M36" s="40"/>
      <c r="N36" s="40">
        <f t="shared" si="3"/>
        <v>2743111.140704087</v>
      </c>
      <c r="O36" s="40"/>
      <c r="P36" s="40">
        <f t="shared" si="4"/>
        <v>44530.832984627261</v>
      </c>
      <c r="Q36" s="40"/>
      <c r="R36" s="40">
        <f t="shared" si="5"/>
        <v>2089794.6438094296</v>
      </c>
    </row>
    <row r="37" spans="1:18">
      <c r="A37" s="46">
        <f t="shared" si="6"/>
        <v>2032</v>
      </c>
      <c r="B37" s="40">
        <f t="shared" si="0"/>
        <v>5754.4784777497143</v>
      </c>
      <c r="C37" s="40"/>
      <c r="D37" s="40">
        <f t="shared" si="1"/>
        <v>-575.44784777497148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2734473.3680697335</v>
      </c>
      <c r="M37" s="40"/>
      <c r="N37" s="40">
        <f t="shared" si="3"/>
        <v>2737350.6073086085</v>
      </c>
      <c r="O37" s="40"/>
      <c r="P37" s="40">
        <f t="shared" si="4"/>
        <v>44437.318235359548</v>
      </c>
      <c r="Q37" s="40"/>
      <c r="R37" s="40">
        <f t="shared" si="5"/>
        <v>2127902.0357192643</v>
      </c>
    </row>
    <row r="38" spans="1:18">
      <c r="A38" s="46">
        <f t="shared" si="6"/>
        <v>2033</v>
      </c>
      <c r="B38" s="40">
        <f t="shared" si="0"/>
        <v>5742.3940729464402</v>
      </c>
      <c r="C38" s="40"/>
      <c r="D38" s="40">
        <f t="shared" si="1"/>
        <v>-574.23940729464402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2728730.9739967869</v>
      </c>
      <c r="M38" s="40"/>
      <c r="N38" s="40">
        <f t="shared" si="3"/>
        <v>2731602.1710332604</v>
      </c>
      <c r="O38" s="40"/>
      <c r="P38" s="40">
        <f t="shared" si="4"/>
        <v>44343.999867065286</v>
      </c>
      <c r="Q38" s="40"/>
      <c r="R38" s="40">
        <f t="shared" si="5"/>
        <v>2165929.4021060886</v>
      </c>
    </row>
    <row r="39" spans="1:18">
      <c r="A39" s="46">
        <f t="shared" si="6"/>
        <v>2034</v>
      </c>
      <c r="B39" s="40">
        <f t="shared" si="0"/>
        <v>5730.3350453932517</v>
      </c>
      <c r="C39" s="40"/>
      <c r="D39" s="40">
        <f t="shared" si="1"/>
        <v>-573.03350453932524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2723000.6389513938</v>
      </c>
      <c r="M39" s="40"/>
      <c r="N39" s="40">
        <f t="shared" si="3"/>
        <v>2725865.8064740906</v>
      </c>
      <c r="O39" s="40"/>
      <c r="P39" s="40">
        <f t="shared" si="4"/>
        <v>44250.87746734445</v>
      </c>
      <c r="Q39" s="40"/>
      <c r="R39" s="40">
        <f t="shared" si="5"/>
        <v>2203876.9110235008</v>
      </c>
    </row>
    <row r="40" spans="1:18">
      <c r="A40" s="46">
        <f t="shared" si="6"/>
        <v>2035</v>
      </c>
      <c r="B40" s="40">
        <f t="shared" si="0"/>
        <v>5718.3013417979264</v>
      </c>
      <c r="C40" s="40"/>
      <c r="D40" s="40">
        <f t="shared" si="1"/>
        <v>-571.83013417979271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2717282.3376095956</v>
      </c>
      <c r="M40" s="40"/>
      <c r="N40" s="40">
        <f t="shared" si="3"/>
        <v>2720141.4882804947</v>
      </c>
      <c r="O40" s="40"/>
      <c r="P40" s="40">
        <f t="shared" si="4"/>
        <v>44157.950624663026</v>
      </c>
      <c r="Q40" s="40"/>
      <c r="R40" s="40">
        <f t="shared" si="5"/>
        <v>2241744.7301721857</v>
      </c>
    </row>
    <row r="41" spans="1:18">
      <c r="A41" s="46">
        <f t="shared" si="6"/>
        <v>2036</v>
      </c>
      <c r="B41" s="40">
        <f t="shared" si="0"/>
        <v>5706.2929089801501</v>
      </c>
      <c r="C41" s="40"/>
      <c r="D41" s="40">
        <f t="shared" si="1"/>
        <v>-570.62929089801503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2711576.0447006156</v>
      </c>
      <c r="M41" s="40"/>
      <c r="N41" s="40">
        <f t="shared" si="3"/>
        <v>2714429.1911551058</v>
      </c>
      <c r="O41" s="40"/>
      <c r="P41" s="40">
        <f t="shared" si="4"/>
        <v>44065.218928351234</v>
      </c>
      <c r="Q41" s="40"/>
      <c r="R41" s="40">
        <f t="shared" si="5"/>
        <v>2279533.0269006588</v>
      </c>
    </row>
    <row r="42" spans="1:18">
      <c r="A42" s="46">
        <f t="shared" si="6"/>
        <v>2037</v>
      </c>
      <c r="B42" s="40">
        <f t="shared" si="0"/>
        <v>5694.3096938712924</v>
      </c>
      <c r="C42" s="40"/>
      <c r="D42" s="40">
        <f t="shared" si="1"/>
        <v>-569.43096938712927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2705881.7350067445</v>
      </c>
      <c r="M42" s="40"/>
      <c r="N42" s="40">
        <f t="shared" si="3"/>
        <v>2708728.88985368</v>
      </c>
      <c r="O42" s="40"/>
      <c r="P42" s="40">
        <f t="shared" si="4"/>
        <v>43972.681968601697</v>
      </c>
      <c r="Q42" s="40"/>
      <c r="R42" s="40">
        <f t="shared" si="5"/>
        <v>2317241.9682060024</v>
      </c>
    </row>
    <row r="43" spans="1:18">
      <c r="A43" s="46">
        <f t="shared" si="6"/>
        <v>2038</v>
      </c>
      <c r="B43" s="40">
        <f t="shared" si="0"/>
        <v>5682.3516435141628</v>
      </c>
      <c r="C43" s="40"/>
      <c r="D43" s="40">
        <f t="shared" si="1"/>
        <v>-568.2351643514163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2700199.3833632302</v>
      </c>
      <c r="M43" s="40"/>
      <c r="N43" s="40">
        <f t="shared" si="3"/>
        <v>2703040.5591849871</v>
      </c>
      <c r="O43" s="40"/>
      <c r="P43" s="40">
        <f t="shared" si="4"/>
        <v>43880.33933646763</v>
      </c>
      <c r="Q43" s="40"/>
      <c r="R43" s="40">
        <f t="shared" si="5"/>
        <v>2354871.7207346042</v>
      </c>
    </row>
    <row r="44" spans="1:18">
      <c r="A44" s="46">
        <f t="shared" si="6"/>
        <v>2039</v>
      </c>
      <c r="B44" s="40">
        <f t="shared" si="0"/>
        <v>5670.4187050627834</v>
      </c>
      <c r="C44" s="40"/>
      <c r="D44" s="40">
        <f t="shared" si="1"/>
        <v>-567.04187050627831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2694528.9646581672</v>
      </c>
      <c r="M44" s="40"/>
      <c r="N44" s="40">
        <f t="shared" si="3"/>
        <v>2697364.1740106987</v>
      </c>
      <c r="O44" s="40"/>
      <c r="P44" s="40">
        <f t="shared" si="4"/>
        <v>43788.190623861046</v>
      </c>
      <c r="Q44" s="40"/>
      <c r="R44" s="40">
        <f t="shared" si="5"/>
        <v>2392422.450782896</v>
      </c>
    </row>
    <row r="45" spans="1:18">
      <c r="A45" s="46">
        <f t="shared" si="6"/>
        <v>2040</v>
      </c>
      <c r="B45" s="40">
        <f t="shared" si="0"/>
        <v>5658.5108257821512</v>
      </c>
      <c r="C45" s="40"/>
      <c r="D45" s="40">
        <f t="shared" si="1"/>
        <v>-565.85108257821514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2688870.4538323851</v>
      </c>
      <c r="M45" s="40"/>
      <c r="N45" s="40">
        <f t="shared" si="3"/>
        <v>2691699.7092452762</v>
      </c>
      <c r="O45" s="40"/>
      <c r="P45" s="40">
        <f t="shared" si="4"/>
        <v>43696.235423550941</v>
      </c>
      <c r="Q45" s="40"/>
      <c r="R45" s="40">
        <f t="shared" si="5"/>
        <v>2429894.3242980866</v>
      </c>
    </row>
    <row r="46" spans="1:18">
      <c r="A46" s="46">
        <f t="shared" si="6"/>
        <v>2041</v>
      </c>
      <c r="B46" s="40">
        <f t="shared" si="0"/>
        <v>5646.6279530480087</v>
      </c>
      <c r="C46" s="40"/>
      <c r="D46" s="40">
        <f t="shared" si="1"/>
        <v>-564.66279530480085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2683223.8258793373</v>
      </c>
      <c r="M46" s="40"/>
      <c r="N46" s="40">
        <f t="shared" si="3"/>
        <v>2686047.1398558612</v>
      </c>
      <c r="O46" s="40"/>
      <c r="P46" s="40">
        <f t="shared" si="4"/>
        <v>43604.473329161483</v>
      </c>
      <c r="Q46" s="40"/>
      <c r="R46" s="40">
        <f t="shared" si="5"/>
        <v>2467287.5068788952</v>
      </c>
    </row>
    <row r="47" spans="1:18">
      <c r="A47" s="46">
        <f t="shared" si="6"/>
        <v>2042</v>
      </c>
      <c r="B47" s="40">
        <f t="shared" si="0"/>
        <v>5634.7700343466076</v>
      </c>
      <c r="C47" s="40"/>
      <c r="D47" s="40">
        <f t="shared" si="1"/>
        <v>-563.47700343466079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2677589.0558449905</v>
      </c>
      <c r="M47" s="40"/>
      <c r="N47" s="40">
        <f t="shared" si="3"/>
        <v>2680406.4408621639</v>
      </c>
      <c r="O47" s="40"/>
      <c r="P47" s="40">
        <f t="shared" si="4"/>
        <v>43512.903935170245</v>
      </c>
      <c r="Q47" s="40"/>
      <c r="R47" s="40">
        <f t="shared" si="5"/>
        <v>2504602.1637762841</v>
      </c>
    </row>
    <row r="48" spans="1:18">
      <c r="A48" s="46">
        <f t="shared" si="6"/>
        <v>2043</v>
      </c>
      <c r="B48" s="40">
        <f t="shared" si="0"/>
        <v>5622.9370172744793</v>
      </c>
      <c r="C48" s="40"/>
      <c r="D48" s="40">
        <f t="shared" si="1"/>
        <v>-562.29370172744791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2671966.118827716</v>
      </c>
      <c r="M48" s="40"/>
      <c r="N48" s="40">
        <f t="shared" si="3"/>
        <v>2674777.587336353</v>
      </c>
      <c r="O48" s="40"/>
      <c r="P48" s="40">
        <f t="shared" si="4"/>
        <v>43421.526836906385</v>
      </c>
      <c r="Q48" s="40"/>
      <c r="R48" s="40">
        <f t="shared" si="5"/>
        <v>2541838.4598941887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2671966.118827716</v>
      </c>
      <c r="M49" s="40"/>
      <c r="N49" s="40">
        <f t="shared" si="3"/>
        <v>2671966.118827716</v>
      </c>
      <c r="O49" s="40"/>
      <c r="P49" s="40">
        <f t="shared" si="4"/>
        <v>43375.886311175615</v>
      </c>
      <c r="Q49" s="40"/>
      <c r="R49" s="40">
        <f t="shared" si="5"/>
        <v>2585214.3462053644</v>
      </c>
    </row>
    <row r="50" spans="1:18">
      <c r="A50" s="46">
        <f t="shared" si="6"/>
        <v>2045</v>
      </c>
      <c r="B50" s="40">
        <v>0</v>
      </c>
      <c r="C50" s="40"/>
      <c r="D50" s="40"/>
      <c r="E50" s="40"/>
      <c r="F50" s="40"/>
      <c r="G50" s="40"/>
      <c r="H50" s="40"/>
      <c r="I50" s="40"/>
      <c r="J50" s="40"/>
      <c r="K50" s="40"/>
      <c r="L50" s="40">
        <f t="shared" si="2"/>
        <v>2671966.118827716</v>
      </c>
      <c r="M50" s="40"/>
      <c r="N50" s="40">
        <f t="shared" si="3"/>
        <v>2671966.118827716</v>
      </c>
      <c r="O50" s="40"/>
      <c r="P50" s="40">
        <f t="shared" si="4"/>
        <v>43375.886311175615</v>
      </c>
      <c r="Q50" s="40"/>
      <c r="R50" s="40">
        <f t="shared" si="5"/>
        <v>2628590.2325165402</v>
      </c>
    </row>
    <row r="51" spans="1:18">
      <c r="A51" s="46">
        <f t="shared" si="6"/>
        <v>2046</v>
      </c>
      <c r="B51" s="40"/>
      <c r="C51" s="40"/>
      <c r="D51" s="40"/>
      <c r="E51" s="40"/>
      <c r="F51" s="40">
        <f>L49</f>
        <v>2671966.118827716</v>
      </c>
      <c r="G51" s="40"/>
      <c r="H51" s="40"/>
      <c r="I51" s="40"/>
      <c r="J51" s="40"/>
      <c r="K51" s="40"/>
      <c r="L51" s="40">
        <f t="shared" si="2"/>
        <v>0</v>
      </c>
      <c r="M51" s="40"/>
      <c r="N51" s="40">
        <f>+L50</f>
        <v>2671966.118827716</v>
      </c>
      <c r="O51" s="40"/>
      <c r="P51" s="40">
        <f t="shared" si="4"/>
        <v>43375.886311175615</v>
      </c>
      <c r="Q51" s="40"/>
      <c r="R51" s="40">
        <f t="shared" si="5"/>
        <v>0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156046.45437717295</v>
      </c>
      <c r="C62" s="38" t="s">
        <v>39</v>
      </c>
      <c r="D62" s="38">
        <f>SUM(D22:D58)</f>
        <v>-15604.645437717298</v>
      </c>
      <c r="E62" s="38">
        <v>0</v>
      </c>
      <c r="F62" s="38">
        <f>SUM(F22:F58)</f>
        <v>2671966.118827716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82245710.546995983</v>
      </c>
      <c r="O62" s="40"/>
      <c r="P62" s="38">
        <f>SUM(P22:P58)</f>
        <v>1335151.8812796667</v>
      </c>
      <c r="Q62" s="40"/>
      <c r="R62" s="4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2.7109375" style="35" customWidth="1"/>
    <col min="9" max="9" width="1.85546875" style="35" customWidth="1"/>
    <col min="10" max="10" width="12.28515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2.7109375" style="35" bestFit="1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IRC!$D$4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143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-4.7200500383719774E-3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'!$J$530</f>
        <v>37.633597523512336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25.311227002809257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62.944824526321597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0.90830578430012743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5338965.5834197514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IRR!D3</f>
        <v>2.0999999999999999E-3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3.809150213363568E-3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7.4987102972988621E-5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3.7341631103905795E-3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Unit(Fcst)'!D36</f>
        <v>8887842.3663138468</v>
      </c>
      <c r="M21" s="40"/>
      <c r="N21" s="40"/>
      <c r="O21" s="40"/>
      <c r="P21" s="40"/>
      <c r="Q21" s="40"/>
      <c r="R21" s="40">
        <f>'2016 YE Reserve by Unit(Fcst)'!D34</f>
        <v>8072878.6312705986</v>
      </c>
    </row>
    <row r="22" spans="1:18">
      <c r="A22" s="46">
        <v>2017</v>
      </c>
      <c r="B22" s="40">
        <f>+L21*P$10</f>
        <v>18664.468969259076</v>
      </c>
      <c r="C22" s="40"/>
      <c r="D22" s="40">
        <f>+B22*P$2</f>
        <v>-1866.4468969259078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8869177.8973445874</v>
      </c>
      <c r="M22" s="40"/>
      <c r="N22" s="40">
        <f>(L21+L22)/2</f>
        <v>8878510.1318292171</v>
      </c>
      <c r="O22" s="40"/>
      <c r="P22" s="40">
        <f>N22*$P$12</f>
        <v>33819.578763007863</v>
      </c>
      <c r="Q22" s="40"/>
      <c r="R22" s="40">
        <f>R21+P22-B22-F22+D22</f>
        <v>8086167.2941674218</v>
      </c>
    </row>
    <row r="23" spans="1:18">
      <c r="A23" s="46">
        <f>A22+1</f>
        <v>2018</v>
      </c>
      <c r="B23" s="40">
        <f t="shared" ref="B23:B48" si="0">+L22*P$10</f>
        <v>18625.273584423634</v>
      </c>
      <c r="C23" s="40"/>
      <c r="D23" s="40">
        <f t="shared" ref="D23:D49" si="1">+B23*P$2</f>
        <v>-1862.5273584423635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3" si="2">L22+J23-B23-F23</f>
        <v>8850552.6237601638</v>
      </c>
      <c r="M23" s="40"/>
      <c r="N23" s="40">
        <f t="shared" ref="N23:N43" si="3">(L22+L23)/2</f>
        <v>8859865.2605523765</v>
      </c>
      <c r="O23" s="40"/>
      <c r="P23" s="40">
        <f t="shared" ref="P23:P43" si="4">N23*$P$12</f>
        <v>33748.55764760555</v>
      </c>
      <c r="Q23" s="40"/>
      <c r="R23" s="40">
        <f t="shared" ref="R23:R43" si="5">R22+P23-B23-F23+D23</f>
        <v>8099428.0508721611</v>
      </c>
    </row>
    <row r="24" spans="1:18">
      <c r="A24" s="46">
        <f t="shared" ref="A24:A58" si="6">A23+1</f>
        <v>2019</v>
      </c>
      <c r="B24" s="40">
        <f t="shared" si="0"/>
        <v>18586.160509896345</v>
      </c>
      <c r="C24" s="40"/>
      <c r="D24" s="40">
        <f t="shared" si="1"/>
        <v>-1858.6160509896345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8831966.4632502683</v>
      </c>
      <c r="M24" s="40"/>
      <c r="N24" s="40">
        <f t="shared" si="3"/>
        <v>8841259.543505216</v>
      </c>
      <c r="O24" s="40"/>
      <c r="P24" s="40">
        <f t="shared" si="4"/>
        <v>33677.685676545574</v>
      </c>
      <c r="Q24" s="40"/>
      <c r="R24" s="40">
        <f t="shared" si="5"/>
        <v>8112660.9599878211</v>
      </c>
    </row>
    <row r="25" spans="1:18">
      <c r="A25" s="46">
        <f t="shared" si="6"/>
        <v>2020</v>
      </c>
      <c r="B25" s="40">
        <f t="shared" si="0"/>
        <v>18547.129572825561</v>
      </c>
      <c r="C25" s="40"/>
      <c r="D25" s="40">
        <f t="shared" si="1"/>
        <v>-1854.7129572825561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8813419.3336774427</v>
      </c>
      <c r="M25" s="40"/>
      <c r="N25" s="40">
        <f t="shared" si="3"/>
        <v>8822692.8984638564</v>
      </c>
      <c r="O25" s="40"/>
      <c r="P25" s="40">
        <f t="shared" si="4"/>
        <v>33606.962536624837</v>
      </c>
      <c r="Q25" s="40"/>
      <c r="R25" s="40">
        <f t="shared" si="5"/>
        <v>8125866.0799943376</v>
      </c>
    </row>
    <row r="26" spans="1:18">
      <c r="A26" s="46">
        <f t="shared" si="6"/>
        <v>2021</v>
      </c>
      <c r="B26" s="40">
        <f t="shared" si="0"/>
        <v>18508.18060072263</v>
      </c>
      <c r="C26" s="40"/>
      <c r="D26" s="40">
        <f t="shared" si="1"/>
        <v>-1850.8180600722631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8794911.1530767195</v>
      </c>
      <c r="M26" s="40"/>
      <c r="N26" s="40">
        <f t="shared" si="3"/>
        <v>8804165.243377082</v>
      </c>
      <c r="O26" s="40"/>
      <c r="P26" s="40">
        <f t="shared" si="4"/>
        <v>33536.387915297921</v>
      </c>
      <c r="Q26" s="40"/>
      <c r="R26" s="40">
        <f t="shared" si="5"/>
        <v>8139043.4692488415</v>
      </c>
    </row>
    <row r="27" spans="1:18">
      <c r="A27" s="46">
        <f t="shared" si="6"/>
        <v>2022</v>
      </c>
      <c r="B27" s="40">
        <f t="shared" si="0"/>
        <v>18469.313421461109</v>
      </c>
      <c r="C27" s="40"/>
      <c r="D27" s="40">
        <f t="shared" si="1"/>
        <v>-1846.9313421461111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8776441.8396552578</v>
      </c>
      <c r="M27" s="40"/>
      <c r="N27" s="40">
        <f t="shared" si="3"/>
        <v>8785676.4963659886</v>
      </c>
      <c r="O27" s="40"/>
      <c r="P27" s="40">
        <f t="shared" si="4"/>
        <v>33465.961500675789</v>
      </c>
      <c r="Q27" s="40"/>
      <c r="R27" s="40">
        <f t="shared" si="5"/>
        <v>8152193.1859859098</v>
      </c>
    </row>
    <row r="28" spans="1:18">
      <c r="A28" s="46">
        <f t="shared" si="6"/>
        <v>2023</v>
      </c>
      <c r="B28" s="40">
        <f t="shared" si="0"/>
        <v>18430.527863276042</v>
      </c>
      <c r="C28" s="40"/>
      <c r="D28" s="40">
        <f t="shared" si="1"/>
        <v>-1843.0527863276043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8758011.3117919825</v>
      </c>
      <c r="M28" s="40"/>
      <c r="N28" s="40">
        <f t="shared" si="3"/>
        <v>8767226.5757236201</v>
      </c>
      <c r="O28" s="40"/>
      <c r="P28" s="40">
        <f t="shared" si="4"/>
        <v>33395.682981524369</v>
      </c>
      <c r="Q28" s="40"/>
      <c r="R28" s="40">
        <f t="shared" si="5"/>
        <v>8165315.2883178303</v>
      </c>
    </row>
    <row r="29" spans="1:18">
      <c r="A29" s="46">
        <f t="shared" si="6"/>
        <v>2024</v>
      </c>
      <c r="B29" s="40">
        <f t="shared" si="0"/>
        <v>18391.823754763162</v>
      </c>
      <c r="C29" s="40"/>
      <c r="D29" s="40">
        <f t="shared" si="1"/>
        <v>-1839.1823754763163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8739619.4880372193</v>
      </c>
      <c r="M29" s="40"/>
      <c r="N29" s="40">
        <f t="shared" si="3"/>
        <v>8748815.3999146</v>
      </c>
      <c r="O29" s="40"/>
      <c r="P29" s="40">
        <f t="shared" si="4"/>
        <v>33325.552047263169</v>
      </c>
      <c r="Q29" s="40"/>
      <c r="R29" s="40">
        <f t="shared" si="5"/>
        <v>8178409.8342348533</v>
      </c>
    </row>
    <row r="30" spans="1:18">
      <c r="A30" s="46">
        <f t="shared" si="6"/>
        <v>2025</v>
      </c>
      <c r="B30" s="40">
        <f t="shared" si="0"/>
        <v>18353.200924878158</v>
      </c>
      <c r="C30" s="40"/>
      <c r="D30" s="40">
        <f t="shared" si="1"/>
        <v>-1835.3200924878158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8721266.2871123403</v>
      </c>
      <c r="M30" s="40"/>
      <c r="N30" s="40">
        <f t="shared" si="3"/>
        <v>8730442.8875747807</v>
      </c>
      <c r="O30" s="40"/>
      <c r="P30" s="40">
        <f t="shared" si="4"/>
        <v>33255.568387963918</v>
      </c>
      <c r="Q30" s="40"/>
      <c r="R30" s="40">
        <f t="shared" si="5"/>
        <v>8191476.881605451</v>
      </c>
    </row>
    <row r="31" spans="1:18">
      <c r="A31" s="46">
        <f t="shared" si="6"/>
        <v>2026</v>
      </c>
      <c r="B31" s="40">
        <f t="shared" si="0"/>
        <v>18314.659202935913</v>
      </c>
      <c r="C31" s="40"/>
      <c r="D31" s="40">
        <f t="shared" si="1"/>
        <v>-1831.4659202935914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8702951.6279094052</v>
      </c>
      <c r="M31" s="40"/>
      <c r="N31" s="40">
        <f t="shared" si="3"/>
        <v>8712108.9575108737</v>
      </c>
      <c r="O31" s="40"/>
      <c r="P31" s="40">
        <f t="shared" si="4"/>
        <v>33185.731694349197</v>
      </c>
      <c r="Q31" s="40"/>
      <c r="R31" s="40">
        <f t="shared" si="5"/>
        <v>8204516.4881765703</v>
      </c>
    </row>
    <row r="32" spans="1:18">
      <c r="A32" s="46">
        <f t="shared" si="6"/>
        <v>2027</v>
      </c>
      <c r="B32" s="40">
        <f t="shared" si="0"/>
        <v>18276.198418609751</v>
      </c>
      <c r="C32" s="40"/>
      <c r="D32" s="40">
        <f t="shared" si="1"/>
        <v>-1827.6198418609752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8684675.4294907954</v>
      </c>
      <c r="M32" s="40"/>
      <c r="N32" s="40">
        <f t="shared" si="3"/>
        <v>8693813.5287001003</v>
      </c>
      <c r="O32" s="40"/>
      <c r="P32" s="40">
        <f t="shared" si="4"/>
        <v>33116.041657791058</v>
      </c>
      <c r="Q32" s="40"/>
      <c r="R32" s="40">
        <f t="shared" si="5"/>
        <v>8217528.7115738913</v>
      </c>
    </row>
    <row r="33" spans="1:18">
      <c r="A33" s="46">
        <f t="shared" si="6"/>
        <v>2028</v>
      </c>
      <c r="B33" s="40">
        <f t="shared" si="0"/>
        <v>18237.818401930668</v>
      </c>
      <c r="C33" s="40"/>
      <c r="D33" s="40">
        <f t="shared" si="1"/>
        <v>-1823.781840193067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8666437.6110888645</v>
      </c>
      <c r="M33" s="40"/>
      <c r="N33" s="40">
        <f t="shared" si="3"/>
        <v>8675556.5202898309</v>
      </c>
      <c r="O33" s="40"/>
      <c r="P33" s="40">
        <f t="shared" si="4"/>
        <v>33046.497970309705</v>
      </c>
      <c r="Q33" s="40"/>
      <c r="R33" s="40">
        <f t="shared" si="5"/>
        <v>8230513.6093020774</v>
      </c>
    </row>
    <row r="34" spans="1:18">
      <c r="A34" s="46">
        <f t="shared" si="6"/>
        <v>2029</v>
      </c>
      <c r="B34" s="40">
        <f t="shared" si="0"/>
        <v>18199.518983286613</v>
      </c>
      <c r="C34" s="40"/>
      <c r="D34" s="40">
        <f t="shared" si="1"/>
        <v>-1819.9518983286614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8648238.0921055786</v>
      </c>
      <c r="M34" s="40"/>
      <c r="N34" s="40">
        <f t="shared" si="3"/>
        <v>8657337.8515972216</v>
      </c>
      <c r="O34" s="40"/>
      <c r="P34" s="40">
        <f t="shared" si="4"/>
        <v>32977.100324572049</v>
      </c>
      <c r="Q34" s="40"/>
      <c r="R34" s="40">
        <f t="shared" si="5"/>
        <v>8243471.2387450337</v>
      </c>
    </row>
    <row r="35" spans="1:18">
      <c r="A35" s="46">
        <f t="shared" si="6"/>
        <v>2030</v>
      </c>
      <c r="B35" s="40">
        <f t="shared" si="0"/>
        <v>18161.299993421715</v>
      </c>
      <c r="C35" s="40"/>
      <c r="D35" s="40">
        <f t="shared" si="1"/>
        <v>-1816.1299993421717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8630076.7921121567</v>
      </c>
      <c r="M35" s="40"/>
      <c r="N35" s="40">
        <f t="shared" si="3"/>
        <v>8639157.4421088677</v>
      </c>
      <c r="O35" s="40"/>
      <c r="P35" s="40">
        <f t="shared" si="4"/>
        <v>32907.848413890453</v>
      </c>
      <c r="Q35" s="40"/>
      <c r="R35" s="40">
        <f t="shared" si="5"/>
        <v>8256401.6571661597</v>
      </c>
    </row>
    <row r="36" spans="1:18">
      <c r="A36" s="46">
        <f t="shared" si="6"/>
        <v>2031</v>
      </c>
      <c r="B36" s="40">
        <f t="shared" si="0"/>
        <v>18123.16126343553</v>
      </c>
      <c r="C36" s="40"/>
      <c r="D36" s="40">
        <f t="shared" si="1"/>
        <v>-1812.3161263435532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8611953.6308487207</v>
      </c>
      <c r="M36" s="40"/>
      <c r="N36" s="40">
        <f t="shared" si="3"/>
        <v>8621015.2114804387</v>
      </c>
      <c r="O36" s="40"/>
      <c r="P36" s="40">
        <f t="shared" si="4"/>
        <v>32838.741932221281</v>
      </c>
      <c r="Q36" s="40"/>
      <c r="R36" s="40">
        <f t="shared" si="5"/>
        <v>8269304.9217086025</v>
      </c>
    </row>
    <row r="37" spans="1:18">
      <c r="A37" s="46">
        <f t="shared" si="6"/>
        <v>2032</v>
      </c>
      <c r="B37" s="40">
        <f t="shared" si="0"/>
        <v>18085.102624782314</v>
      </c>
      <c r="C37" s="40"/>
      <c r="D37" s="40">
        <f t="shared" si="1"/>
        <v>-1808.5102624782314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8593868.5282239392</v>
      </c>
      <c r="M37" s="40"/>
      <c r="N37" s="40">
        <f t="shared" si="3"/>
        <v>8602911.07953633</v>
      </c>
      <c r="O37" s="40"/>
      <c r="P37" s="40">
        <f t="shared" si="4"/>
        <v>32769.780574163611</v>
      </c>
      <c r="Q37" s="40"/>
      <c r="R37" s="40">
        <f t="shared" si="5"/>
        <v>8282181.0893955054</v>
      </c>
    </row>
    <row r="38" spans="1:18">
      <c r="A38" s="46">
        <f t="shared" si="6"/>
        <v>2033</v>
      </c>
      <c r="B38" s="40">
        <f t="shared" si="0"/>
        <v>18047.123909270271</v>
      </c>
      <c r="C38" s="40"/>
      <c r="D38" s="40">
        <f t="shared" si="1"/>
        <v>-1804.7123909270272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8575821.4043146688</v>
      </c>
      <c r="M38" s="40"/>
      <c r="N38" s="40">
        <f t="shared" si="3"/>
        <v>8584844.9662693031</v>
      </c>
      <c r="O38" s="40"/>
      <c r="P38" s="40">
        <f t="shared" si="4"/>
        <v>32700.964034957869</v>
      </c>
      <c r="Q38" s="40"/>
      <c r="R38" s="40">
        <f t="shared" si="5"/>
        <v>8295030.2171302661</v>
      </c>
    </row>
    <row r="39" spans="1:18">
      <c r="A39" s="46">
        <f t="shared" si="6"/>
        <v>2034</v>
      </c>
      <c r="B39" s="40">
        <f t="shared" si="0"/>
        <v>18009.224949060805</v>
      </c>
      <c r="C39" s="40"/>
      <c r="D39" s="40">
        <f t="shared" si="1"/>
        <v>-1800.9224949060806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8557812.1793656088</v>
      </c>
      <c r="M39" s="40"/>
      <c r="N39" s="40">
        <f t="shared" si="3"/>
        <v>8566816.7918401398</v>
      </c>
      <c r="O39" s="40"/>
      <c r="P39" s="40">
        <f t="shared" si="4"/>
        <v>32632.292010484467</v>
      </c>
      <c r="Q39" s="40"/>
      <c r="R39" s="40">
        <f t="shared" si="5"/>
        <v>8307852.3616967835</v>
      </c>
    </row>
    <row r="40" spans="1:18">
      <c r="A40" s="46">
        <f t="shared" si="6"/>
        <v>2035</v>
      </c>
      <c r="B40" s="40">
        <f t="shared" si="0"/>
        <v>17971.405576667777</v>
      </c>
      <c r="C40" s="40"/>
      <c r="D40" s="40">
        <f t="shared" si="1"/>
        <v>-1797.1405576667778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8539840.7737889402</v>
      </c>
      <c r="M40" s="40"/>
      <c r="N40" s="40">
        <f t="shared" si="3"/>
        <v>8548826.4765772745</v>
      </c>
      <c r="O40" s="40"/>
      <c r="P40" s="40">
        <f t="shared" si="4"/>
        <v>32563.764197262444</v>
      </c>
      <c r="Q40" s="40"/>
      <c r="R40" s="40">
        <f t="shared" si="5"/>
        <v>8320647.5797597105</v>
      </c>
    </row>
    <row r="41" spans="1:18">
      <c r="A41" s="46">
        <f t="shared" si="6"/>
        <v>2036</v>
      </c>
      <c r="B41" s="40">
        <f t="shared" si="0"/>
        <v>17933.665624956775</v>
      </c>
      <c r="C41" s="40"/>
      <c r="D41" s="40">
        <f t="shared" si="1"/>
        <v>-1793.3665624956775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8521907.1081639826</v>
      </c>
      <c r="M41" s="40"/>
      <c r="N41" s="40">
        <f t="shared" si="3"/>
        <v>8530873.9409764614</v>
      </c>
      <c r="O41" s="40"/>
      <c r="P41" s="40">
        <f t="shared" si="4"/>
        <v>32495.38029244819</v>
      </c>
      <c r="Q41" s="40"/>
      <c r="R41" s="40">
        <f t="shared" si="5"/>
        <v>8333415.9278647061</v>
      </c>
    </row>
    <row r="42" spans="1:18">
      <c r="A42" s="46">
        <f t="shared" si="6"/>
        <v>2037</v>
      </c>
      <c r="B42" s="40">
        <f t="shared" si="0"/>
        <v>17896.004927144364</v>
      </c>
      <c r="C42" s="40"/>
      <c r="D42" s="40">
        <f t="shared" si="1"/>
        <v>-1789.6004927144365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8504011.1032368392</v>
      </c>
      <c r="M42" s="40"/>
      <c r="N42" s="40">
        <f t="shared" si="3"/>
        <v>8512959.1057004109</v>
      </c>
      <c r="O42" s="40"/>
      <c r="P42" s="40">
        <f t="shared" si="4"/>
        <v>32427.139993834051</v>
      </c>
      <c r="Q42" s="40"/>
      <c r="R42" s="40">
        <f t="shared" si="5"/>
        <v>8346157.4624386821</v>
      </c>
    </row>
    <row r="43" spans="1:18">
      <c r="A43" s="46">
        <f t="shared" si="6"/>
        <v>2038</v>
      </c>
      <c r="B43" s="40">
        <f t="shared" si="0"/>
        <v>17858.423316797362</v>
      </c>
      <c r="C43" s="40"/>
      <c r="D43" s="40">
        <f t="shared" si="1"/>
        <v>-1785.8423316797362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8486152.6799200419</v>
      </c>
      <c r="M43" s="40"/>
      <c r="N43" s="40">
        <f t="shared" si="3"/>
        <v>8495081.8915784396</v>
      </c>
      <c r="O43" s="40"/>
      <c r="P43" s="40">
        <f t="shared" si="4"/>
        <v>32359.042999846995</v>
      </c>
      <c r="Q43" s="40"/>
      <c r="R43" s="40">
        <f t="shared" si="5"/>
        <v>8358872.2397900522</v>
      </c>
    </row>
    <row r="44" spans="1:18">
      <c r="A44" s="46">
        <f t="shared" si="6"/>
        <v>2039</v>
      </c>
      <c r="B44" s="40">
        <f t="shared" si="0"/>
        <v>17820.920627832085</v>
      </c>
      <c r="C44" s="40"/>
      <c r="D44" s="40">
        <f t="shared" si="1"/>
        <v>-1782.0920627832086</v>
      </c>
      <c r="E44" s="40"/>
      <c r="F44" s="40"/>
      <c r="G44" s="40"/>
      <c r="H44" s="40"/>
      <c r="I44" s="40"/>
      <c r="J44" s="40">
        <v>0</v>
      </c>
      <c r="K44" s="40"/>
      <c r="L44" s="40">
        <f t="shared" ref="L44:L49" si="7">L43+J44-B44-F44</f>
        <v>8468331.7592922095</v>
      </c>
      <c r="M44" s="40"/>
      <c r="N44" s="40">
        <f t="shared" ref="N44:N49" si="8">(L43+L44)/2</f>
        <v>8477242.2196061257</v>
      </c>
      <c r="O44" s="40"/>
      <c r="P44" s="40">
        <f t="shared" ref="P44:P49" si="9">N44*$P$12</f>
        <v>32291.089009547322</v>
      </c>
      <c r="Q44" s="40"/>
      <c r="R44" s="40">
        <f t="shared" ref="R44:R49" si="10">R43+P44-B44-F44+D44</f>
        <v>8371560.3161089839</v>
      </c>
    </row>
    <row r="45" spans="1:18">
      <c r="A45" s="46">
        <f t="shared" si="6"/>
        <v>2040</v>
      </c>
      <c r="B45" s="40">
        <v>0</v>
      </c>
      <c r="C45" s="40"/>
      <c r="D45" s="40">
        <f t="shared" si="1"/>
        <v>0</v>
      </c>
      <c r="E45" s="40"/>
      <c r="F45" s="40"/>
      <c r="G45" s="40"/>
      <c r="H45" s="40"/>
      <c r="I45" s="40"/>
      <c r="J45" s="40">
        <v>0</v>
      </c>
      <c r="K45" s="40"/>
      <c r="L45" s="40">
        <f t="shared" si="7"/>
        <v>8468331.7592922095</v>
      </c>
      <c r="M45" s="40"/>
      <c r="N45" s="40">
        <f t="shared" si="8"/>
        <v>8468331.7592922095</v>
      </c>
      <c r="O45" s="40"/>
      <c r="P45" s="40">
        <f t="shared" si="9"/>
        <v>32257.147727741398</v>
      </c>
      <c r="Q45" s="40"/>
      <c r="R45" s="40">
        <f t="shared" si="10"/>
        <v>8403817.4638367258</v>
      </c>
    </row>
    <row r="46" spans="1:18">
      <c r="A46" s="46">
        <f t="shared" si="6"/>
        <v>2041</v>
      </c>
      <c r="B46" s="40">
        <v>0</v>
      </c>
      <c r="C46" s="40"/>
      <c r="D46" s="40">
        <f t="shared" si="1"/>
        <v>0</v>
      </c>
      <c r="E46" s="40"/>
      <c r="F46" s="40"/>
      <c r="G46" s="40"/>
      <c r="H46" s="40"/>
      <c r="I46" s="40"/>
      <c r="J46" s="40">
        <v>0</v>
      </c>
      <c r="K46" s="40"/>
      <c r="L46" s="40">
        <f t="shared" si="7"/>
        <v>8468331.7592922095</v>
      </c>
      <c r="M46" s="40"/>
      <c r="N46" s="40">
        <f t="shared" si="8"/>
        <v>8468331.7592922095</v>
      </c>
      <c r="O46" s="40"/>
      <c r="P46" s="40">
        <f t="shared" si="9"/>
        <v>32257.147727741398</v>
      </c>
      <c r="Q46" s="40"/>
      <c r="R46" s="40">
        <f t="shared" si="10"/>
        <v>8436074.6115644667</v>
      </c>
    </row>
    <row r="47" spans="1:18">
      <c r="A47" s="46">
        <f t="shared" si="6"/>
        <v>2042</v>
      </c>
      <c r="B47" s="40">
        <v>0</v>
      </c>
      <c r="C47" s="40"/>
      <c r="D47" s="40">
        <f t="shared" si="1"/>
        <v>0</v>
      </c>
      <c r="E47" s="40"/>
      <c r="F47" s="40">
        <f>L46</f>
        <v>8468331.7592922095</v>
      </c>
      <c r="G47" s="40"/>
      <c r="H47" s="40"/>
      <c r="I47" s="40"/>
      <c r="J47" s="40">
        <v>0</v>
      </c>
      <c r="K47" s="40"/>
      <c r="L47" s="40">
        <f t="shared" si="7"/>
        <v>0</v>
      </c>
      <c r="M47" s="40"/>
      <c r="N47" s="40">
        <f>+L46</f>
        <v>8468331.7592922095</v>
      </c>
      <c r="O47" s="40"/>
      <c r="P47" s="40">
        <f t="shared" si="9"/>
        <v>32257.147727741398</v>
      </c>
      <c r="Q47" s="40"/>
      <c r="R47" s="40">
        <f t="shared" si="10"/>
        <v>-1.862645149230957E-9</v>
      </c>
    </row>
    <row r="48" spans="1:18">
      <c r="A48" s="46">
        <f t="shared" si="6"/>
        <v>2043</v>
      </c>
      <c r="B48" s="40">
        <f t="shared" si="0"/>
        <v>0</v>
      </c>
      <c r="C48" s="40"/>
      <c r="D48" s="40">
        <f t="shared" si="1"/>
        <v>0</v>
      </c>
      <c r="E48" s="40"/>
      <c r="F48" s="40"/>
      <c r="G48" s="40"/>
      <c r="H48" s="40"/>
      <c r="I48" s="40"/>
      <c r="J48" s="40">
        <v>0</v>
      </c>
      <c r="K48" s="40"/>
      <c r="L48" s="40">
        <f t="shared" si="7"/>
        <v>0</v>
      </c>
      <c r="M48" s="40"/>
      <c r="N48" s="40">
        <f t="shared" si="8"/>
        <v>0</v>
      </c>
      <c r="O48" s="40"/>
      <c r="P48" s="40">
        <f t="shared" si="9"/>
        <v>0</v>
      </c>
      <c r="Q48" s="40"/>
      <c r="R48" s="40">
        <f t="shared" si="10"/>
        <v>-1.862645149230957E-9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7"/>
        <v>0</v>
      </c>
      <c r="M49" s="40"/>
      <c r="N49" s="40">
        <f t="shared" si="8"/>
        <v>0</v>
      </c>
      <c r="O49" s="40"/>
      <c r="P49" s="40">
        <f t="shared" si="9"/>
        <v>0</v>
      </c>
      <c r="Q49" s="40"/>
      <c r="R49" s="40">
        <f t="shared" si="10"/>
        <v>-1.862645149230957E-9</v>
      </c>
    </row>
    <row r="50" spans="1:18">
      <c r="A50" s="46">
        <f t="shared" si="6"/>
        <v>2045</v>
      </c>
      <c r="B50" s="40">
        <v>0</v>
      </c>
      <c r="C50" s="40"/>
      <c r="D50" s="40"/>
      <c r="E50" s="40"/>
      <c r="F50" s="40"/>
      <c r="G50" s="40"/>
      <c r="H50" s="40"/>
      <c r="I50" s="40"/>
      <c r="J50" s="40"/>
      <c r="K50" s="40"/>
      <c r="L50" s="40">
        <f t="shared" ref="L50:L51" si="11">L49+J50-B50-F50</f>
        <v>0</v>
      </c>
      <c r="M50" s="40"/>
      <c r="N50" s="40">
        <f t="shared" ref="N50:N51" si="12">(L49+L50)/2</f>
        <v>0</v>
      </c>
      <c r="O50" s="40"/>
      <c r="P50" s="40">
        <f t="shared" ref="P50:P51" si="13">N50*$P$12</f>
        <v>0</v>
      </c>
      <c r="Q50" s="40"/>
      <c r="R50" s="40">
        <f t="shared" ref="R50:R51" si="14">R49+P50-B50-F50+D50</f>
        <v>-1.862645149230957E-9</v>
      </c>
    </row>
    <row r="51" spans="1:18">
      <c r="A51" s="46">
        <f t="shared" si="6"/>
        <v>2046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>
        <f t="shared" si="11"/>
        <v>0</v>
      </c>
      <c r="M51" s="40"/>
      <c r="N51" s="40">
        <f t="shared" si="12"/>
        <v>0</v>
      </c>
      <c r="O51" s="40"/>
      <c r="P51" s="40">
        <f t="shared" si="13"/>
        <v>0</v>
      </c>
      <c r="Q51" s="40"/>
      <c r="R51" s="40">
        <f t="shared" si="14"/>
        <v>-1.862645149230957E-9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419510.60702163767</v>
      </c>
      <c r="C62" s="38" t="s">
        <v>39</v>
      </c>
      <c r="D62" s="38">
        <f>SUM(D22:D58)</f>
        <v>-41951.060702163762</v>
      </c>
      <c r="E62" s="38">
        <v>0</v>
      </c>
      <c r="F62" s="38">
        <f>SUM(F22:F58)</f>
        <v>8468331.7592922095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224962195.69895518</v>
      </c>
      <c r="O62" s="40"/>
      <c r="P62" s="38">
        <f>SUM(P22:P58)</f>
        <v>856914.795745412</v>
      </c>
      <c r="Q62" s="40"/>
      <c r="R62" s="4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143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-4.7696596114231611E-2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'!$J$568</f>
        <v>9.6378153556657491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23.642026873881353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33.2798422295471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0.224634220205986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44375418.275761887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3.4813528480399786E-2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1.4331977833682388E-3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3.338033069703155E-2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Unit(Fcst)'!D37</f>
        <v>146254616.64024487</v>
      </c>
      <c r="M21" s="40"/>
      <c r="N21" s="40"/>
      <c r="O21" s="40"/>
      <c r="P21" s="40"/>
      <c r="Q21" s="40"/>
      <c r="R21" s="40">
        <f>'2016 YE Reserve by Unit(Fcst)'!D35</f>
        <v>32853791.760506831</v>
      </c>
    </row>
    <row r="22" spans="1:18">
      <c r="A22" s="46">
        <v>2017</v>
      </c>
      <c r="B22" s="40">
        <f>+L21*P$10</f>
        <v>1096909.6248018364</v>
      </c>
      <c r="C22" s="40"/>
      <c r="D22" s="40">
        <f>+B22*P$2</f>
        <v>-329072.8874405509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145157707.01544303</v>
      </c>
      <c r="M22" s="40"/>
      <c r="N22" s="40">
        <f>(L21+L22)/2</f>
        <v>145706161.82784396</v>
      </c>
      <c r="O22" s="40"/>
      <c r="P22" s="40">
        <f>N22*$P$12</f>
        <v>5072545.614563386</v>
      </c>
      <c r="Q22" s="40"/>
      <c r="R22" s="40">
        <f>R21+P22-B22-F22+D22</f>
        <v>36500354.86282783</v>
      </c>
    </row>
    <row r="23" spans="1:18">
      <c r="A23" s="46">
        <f>A22+1</f>
        <v>2018</v>
      </c>
      <c r="B23" s="40">
        <f t="shared" ref="B23:B40" si="0">+L22*P$10</f>
        <v>1088682.8026158228</v>
      </c>
      <c r="C23" s="40"/>
      <c r="D23" s="40">
        <f t="shared" ref="D23:D40" si="1">+B23*P$2</f>
        <v>-326604.8407847468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0" si="2">L22+J23-B23-F23</f>
        <v>144069024.21282721</v>
      </c>
      <c r="M23" s="40"/>
      <c r="N23" s="40">
        <f t="shared" ref="N23:N40" si="3">(L22+L23)/2</f>
        <v>144613365.61413512</v>
      </c>
      <c r="O23" s="40"/>
      <c r="P23" s="40">
        <f t="shared" ref="P23:P40" si="4">N23*$P$12</f>
        <v>5034501.5224541603</v>
      </c>
      <c r="Q23" s="40"/>
      <c r="R23" s="40">
        <f t="shared" ref="R23:R40" si="5">R22+P23-B23-F23+D23</f>
        <v>40119568.741881423</v>
      </c>
    </row>
    <row r="24" spans="1:18">
      <c r="A24" s="46">
        <f t="shared" ref="A24:A58" si="6">A23+1</f>
        <v>2019</v>
      </c>
      <c r="B24" s="40">
        <f t="shared" si="0"/>
        <v>1080517.6815962039</v>
      </c>
      <c r="C24" s="40"/>
      <c r="D24" s="40">
        <f t="shared" si="1"/>
        <v>-324155.30447886116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142988506.53123102</v>
      </c>
      <c r="M24" s="40"/>
      <c r="N24" s="40">
        <f t="shared" si="3"/>
        <v>143528765.37202913</v>
      </c>
      <c r="O24" s="40"/>
      <c r="P24" s="40">
        <f t="shared" si="4"/>
        <v>4996742.7610357543</v>
      </c>
      <c r="Q24" s="40"/>
      <c r="R24" s="40">
        <f t="shared" si="5"/>
        <v>43711638.516842112</v>
      </c>
    </row>
    <row r="25" spans="1:18">
      <c r="A25" s="46">
        <f t="shared" si="6"/>
        <v>2020</v>
      </c>
      <c r="B25" s="40">
        <f t="shared" si="0"/>
        <v>1072413.7989842326</v>
      </c>
      <c r="C25" s="40"/>
      <c r="D25" s="40">
        <f t="shared" si="1"/>
        <v>-321724.13969526975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141916092.73224679</v>
      </c>
      <c r="M25" s="40"/>
      <c r="N25" s="40">
        <f t="shared" si="3"/>
        <v>142452299.6317389</v>
      </c>
      <c r="O25" s="40"/>
      <c r="P25" s="40">
        <f t="shared" si="4"/>
        <v>4959267.1903279861</v>
      </c>
      <c r="Q25" s="40"/>
      <c r="R25" s="40">
        <f t="shared" si="5"/>
        <v>47276767.768490598</v>
      </c>
    </row>
    <row r="26" spans="1:18">
      <c r="A26" s="46">
        <f t="shared" si="6"/>
        <v>2021</v>
      </c>
      <c r="B26" s="40">
        <f t="shared" si="0"/>
        <v>1064370.6954918508</v>
      </c>
      <c r="C26" s="40"/>
      <c r="D26" s="40">
        <f t="shared" si="1"/>
        <v>-319311.20864755526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140851722.03675494</v>
      </c>
      <c r="M26" s="40"/>
      <c r="N26" s="40">
        <f t="shared" si="3"/>
        <v>141383907.38450086</v>
      </c>
      <c r="O26" s="40"/>
      <c r="P26" s="40">
        <f t="shared" si="4"/>
        <v>4922072.6864005262</v>
      </c>
      <c r="Q26" s="40"/>
      <c r="R26" s="40">
        <f t="shared" si="5"/>
        <v>50815158.550751716</v>
      </c>
    </row>
    <row r="27" spans="1:18">
      <c r="A27" s="46">
        <f t="shared" si="6"/>
        <v>2022</v>
      </c>
      <c r="B27" s="40">
        <f t="shared" si="0"/>
        <v>1056387.915275662</v>
      </c>
      <c r="C27" s="40"/>
      <c r="D27" s="40">
        <f t="shared" si="1"/>
        <v>-316916.37458269857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139795334.12147927</v>
      </c>
      <c r="M27" s="40"/>
      <c r="N27" s="40">
        <f t="shared" si="3"/>
        <v>140323528.07911712</v>
      </c>
      <c r="O27" s="40"/>
      <c r="P27" s="40">
        <f t="shared" si="4"/>
        <v>4885157.1412525233</v>
      </c>
      <c r="Q27" s="40"/>
      <c r="R27" s="40">
        <f t="shared" si="5"/>
        <v>54327011.402145877</v>
      </c>
    </row>
    <row r="28" spans="1:18">
      <c r="A28" s="46">
        <f t="shared" si="6"/>
        <v>2023</v>
      </c>
      <c r="B28" s="40">
        <f t="shared" si="0"/>
        <v>1048465.0059110945</v>
      </c>
      <c r="C28" s="40"/>
      <c r="D28" s="40">
        <f t="shared" si="1"/>
        <v>-314539.50177332835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138746869.11556819</v>
      </c>
      <c r="M28" s="40"/>
      <c r="N28" s="40">
        <f t="shared" si="3"/>
        <v>139271101.61852372</v>
      </c>
      <c r="O28" s="40"/>
      <c r="P28" s="40">
        <f t="shared" si="4"/>
        <v>4848518.4626931278</v>
      </c>
      <c r="Q28" s="40"/>
      <c r="R28" s="40">
        <f t="shared" si="5"/>
        <v>57812525.357154578</v>
      </c>
    </row>
    <row r="29" spans="1:18">
      <c r="A29" s="46">
        <f t="shared" si="6"/>
        <v>2024</v>
      </c>
      <c r="B29" s="40">
        <f t="shared" si="0"/>
        <v>1040601.5183667614</v>
      </c>
      <c r="C29" s="40"/>
      <c r="D29" s="40">
        <f t="shared" si="1"/>
        <v>-312180.45551002841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137706267.59720144</v>
      </c>
      <c r="M29" s="40"/>
      <c r="N29" s="40">
        <f t="shared" si="3"/>
        <v>138226568.35638481</v>
      </c>
      <c r="O29" s="40"/>
      <c r="P29" s="40">
        <f t="shared" si="4"/>
        <v>4812154.5742229307</v>
      </c>
      <c r="Q29" s="40"/>
      <c r="R29" s="40">
        <f t="shared" si="5"/>
        <v>61271897.957500719</v>
      </c>
    </row>
    <row r="30" spans="1:18">
      <c r="A30" s="46">
        <f t="shared" si="6"/>
        <v>2025</v>
      </c>
      <c r="B30" s="40">
        <f t="shared" si="0"/>
        <v>1032797.0069790108</v>
      </c>
      <c r="C30" s="40"/>
      <c r="D30" s="40">
        <f t="shared" si="1"/>
        <v>-309839.10209370323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136673470.59022242</v>
      </c>
      <c r="M30" s="40"/>
      <c r="N30" s="40">
        <f t="shared" si="3"/>
        <v>137189869.09371191</v>
      </c>
      <c r="O30" s="40"/>
      <c r="P30" s="40">
        <f t="shared" si="4"/>
        <v>4776063.4149162583</v>
      </c>
      <c r="Q30" s="40"/>
      <c r="R30" s="40">
        <f t="shared" si="5"/>
        <v>64705325.263344258</v>
      </c>
    </row>
    <row r="31" spans="1:18">
      <c r="A31" s="46">
        <f t="shared" si="6"/>
        <v>2026</v>
      </c>
      <c r="B31" s="40">
        <f t="shared" si="0"/>
        <v>1025051.0294266681</v>
      </c>
      <c r="C31" s="40"/>
      <c r="D31" s="40">
        <f t="shared" si="1"/>
        <v>-307515.30882800039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135648419.56079575</v>
      </c>
      <c r="M31" s="40"/>
      <c r="N31" s="40">
        <f t="shared" si="3"/>
        <v>136160945.07550907</v>
      </c>
      <c r="O31" s="40"/>
      <c r="P31" s="40">
        <f t="shared" si="4"/>
        <v>4740242.9393043863</v>
      </c>
      <c r="Q31" s="40"/>
      <c r="R31" s="40">
        <f t="shared" si="5"/>
        <v>68113001.864393979</v>
      </c>
    </row>
    <row r="32" spans="1:18">
      <c r="A32" s="46">
        <f t="shared" si="6"/>
        <v>2027</v>
      </c>
      <c r="B32" s="40">
        <f t="shared" si="0"/>
        <v>1017363.1467059681</v>
      </c>
      <c r="C32" s="40"/>
      <c r="D32" s="40">
        <f t="shared" si="1"/>
        <v>-305208.94401179039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134631056.4140898</v>
      </c>
      <c r="M32" s="40"/>
      <c r="N32" s="40">
        <f t="shared" si="3"/>
        <v>135139737.98744279</v>
      </c>
      <c r="O32" s="40"/>
      <c r="P32" s="40">
        <f t="shared" si="4"/>
        <v>4704691.1172596049</v>
      </c>
      <c r="Q32" s="40"/>
      <c r="R32" s="40">
        <f t="shared" si="5"/>
        <v>71495120.890935823</v>
      </c>
    </row>
    <row r="33" spans="1:18">
      <c r="A33" s="46">
        <f t="shared" si="6"/>
        <v>2028</v>
      </c>
      <c r="B33" s="40">
        <f t="shared" si="0"/>
        <v>1009732.9231056734</v>
      </c>
      <c r="C33" s="40"/>
      <c r="D33" s="40">
        <f t="shared" si="1"/>
        <v>-302919.87693170202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133621323.49098413</v>
      </c>
      <c r="M33" s="40"/>
      <c r="N33" s="40">
        <f t="shared" si="3"/>
        <v>134126189.95253697</v>
      </c>
      <c r="O33" s="40"/>
      <c r="P33" s="40">
        <f t="shared" si="4"/>
        <v>4669405.9338801578</v>
      </c>
      <c r="Q33" s="40"/>
      <c r="R33" s="40">
        <f t="shared" si="5"/>
        <v>74851874.024778619</v>
      </c>
    </row>
    <row r="34" spans="1:18">
      <c r="A34" s="46">
        <f t="shared" si="6"/>
        <v>2029</v>
      </c>
      <c r="B34" s="40">
        <f t="shared" si="0"/>
        <v>1002159.9261823809</v>
      </c>
      <c r="C34" s="40"/>
      <c r="D34" s="40">
        <f t="shared" si="1"/>
        <v>-300647.97785471426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132619163.56480175</v>
      </c>
      <c r="M34" s="40"/>
      <c r="N34" s="40">
        <f t="shared" si="3"/>
        <v>133120243.52789295</v>
      </c>
      <c r="O34" s="40"/>
      <c r="P34" s="40">
        <f t="shared" si="4"/>
        <v>4634385.3893760564</v>
      </c>
      <c r="Q34" s="40"/>
      <c r="R34" s="40">
        <f t="shared" si="5"/>
        <v>78183451.51011759</v>
      </c>
    </row>
    <row r="35" spans="1:18">
      <c r="A35" s="46">
        <f t="shared" si="6"/>
        <v>2030</v>
      </c>
      <c r="B35" s="40">
        <f t="shared" si="0"/>
        <v>994643.72673601308</v>
      </c>
      <c r="C35" s="40"/>
      <c r="D35" s="40">
        <f t="shared" si="1"/>
        <v>-298393.1180208039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131624519.83806574</v>
      </c>
      <c r="M35" s="40"/>
      <c r="N35" s="40">
        <f t="shared" si="3"/>
        <v>132121841.70143375</v>
      </c>
      <c r="O35" s="40"/>
      <c r="P35" s="40">
        <f t="shared" si="4"/>
        <v>4599627.4989557359</v>
      </c>
      <c r="Q35" s="40"/>
      <c r="R35" s="40">
        <f t="shared" si="5"/>
        <v>81490042.16431652</v>
      </c>
    </row>
    <row r="36" spans="1:18">
      <c r="A36" s="46">
        <f t="shared" si="6"/>
        <v>2031</v>
      </c>
      <c r="B36" s="40">
        <f t="shared" si="0"/>
        <v>987183.89878549299</v>
      </c>
      <c r="C36" s="40"/>
      <c r="D36" s="40">
        <f t="shared" si="1"/>
        <v>-296155.16963564791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130637335.93928026</v>
      </c>
      <c r="M36" s="40"/>
      <c r="N36" s="40">
        <f t="shared" si="3"/>
        <v>131130927.88867301</v>
      </c>
      <c r="O36" s="40"/>
      <c r="P36" s="40">
        <f t="shared" si="4"/>
        <v>4565130.2927135685</v>
      </c>
      <c r="Q36" s="40"/>
      <c r="R36" s="40">
        <f t="shared" si="5"/>
        <v>84771833.388608947</v>
      </c>
    </row>
    <row r="37" spans="1:18">
      <c r="A37" s="46">
        <f t="shared" si="6"/>
        <v>2032</v>
      </c>
      <c r="B37" s="40">
        <f t="shared" si="0"/>
        <v>979780.01954460191</v>
      </c>
      <c r="C37" s="40"/>
      <c r="D37" s="40">
        <f t="shared" si="1"/>
        <v>-293934.00586338056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129657555.91973566</v>
      </c>
      <c r="M37" s="40"/>
      <c r="N37" s="40">
        <f t="shared" si="3"/>
        <v>130147445.92950796</v>
      </c>
      <c r="O37" s="40"/>
      <c r="P37" s="40">
        <f t="shared" si="4"/>
        <v>4530891.8155182162</v>
      </c>
      <c r="Q37" s="40"/>
      <c r="R37" s="40">
        <f t="shared" si="5"/>
        <v>88029011.178719178</v>
      </c>
    </row>
    <row r="38" spans="1:18">
      <c r="A38" s="46">
        <f t="shared" si="6"/>
        <v>2033</v>
      </c>
      <c r="B38" s="40">
        <f t="shared" si="0"/>
        <v>972431.66939801734</v>
      </c>
      <c r="C38" s="40"/>
      <c r="D38" s="40">
        <f t="shared" si="1"/>
        <v>-291729.50081940519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128685124.25033763</v>
      </c>
      <c r="M38" s="40"/>
      <c r="N38" s="40">
        <f t="shared" si="3"/>
        <v>129171340.08503664</v>
      </c>
      <c r="O38" s="40"/>
      <c r="P38" s="40">
        <f t="shared" si="4"/>
        <v>4496910.1269018296</v>
      </c>
      <c r="Q38" s="40"/>
      <c r="R38" s="40">
        <f t="shared" si="5"/>
        <v>91261760.135403588</v>
      </c>
    </row>
    <row r="39" spans="1:18">
      <c r="A39" s="46">
        <f t="shared" si="6"/>
        <v>2034</v>
      </c>
      <c r="B39" s="40">
        <f t="shared" si="0"/>
        <v>965138.43187753216</v>
      </c>
      <c r="C39" s="40"/>
      <c r="D39" s="40">
        <f t="shared" si="1"/>
        <v>-289541.52956325962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127719985.81846009</v>
      </c>
      <c r="M39" s="40"/>
      <c r="N39" s="40">
        <f t="shared" si="3"/>
        <v>128202555.03439885</v>
      </c>
      <c r="O39" s="40"/>
      <c r="P39" s="40">
        <f t="shared" si="4"/>
        <v>4463183.3009500653</v>
      </c>
      <c r="Q39" s="40"/>
      <c r="R39" s="40">
        <f t="shared" si="5"/>
        <v>94470263.474912852</v>
      </c>
    </row>
    <row r="40" spans="1:18">
      <c r="A40" s="46">
        <f t="shared" si="6"/>
        <v>2035</v>
      </c>
      <c r="B40" s="40">
        <f t="shared" si="0"/>
        <v>957899.89363845065</v>
      </c>
      <c r="C40" s="40"/>
      <c r="D40" s="40">
        <f t="shared" si="1"/>
        <v>-287369.96809153521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126762085.92482165</v>
      </c>
      <c r="M40" s="40"/>
      <c r="N40" s="40">
        <f t="shared" si="3"/>
        <v>127241035.87164086</v>
      </c>
      <c r="O40" s="40"/>
      <c r="P40" s="40">
        <f t="shared" si="4"/>
        <v>4429709.4261929402</v>
      </c>
      <c r="Q40" s="40"/>
      <c r="R40" s="40">
        <f t="shared" si="5"/>
        <v>97654703.039375812</v>
      </c>
    </row>
    <row r="41" spans="1:18">
      <c r="A41" s="46">
        <f t="shared" si="6"/>
        <v>2036</v>
      </c>
      <c r="B41" s="40">
        <f t="shared" ref="B41:B48" si="7">+L40*P$10</f>
        <v>950715.64443616231</v>
      </c>
      <c r="C41" s="40"/>
      <c r="D41" s="40">
        <f t="shared" ref="D41:D51" si="8">+B41*P$2</f>
        <v>-285214.69333084871</v>
      </c>
      <c r="E41" s="40"/>
      <c r="F41" s="40"/>
      <c r="G41" s="40"/>
      <c r="H41" s="40"/>
      <c r="I41" s="40"/>
      <c r="J41" s="40">
        <v>0</v>
      </c>
      <c r="K41" s="40"/>
      <c r="L41" s="40">
        <f t="shared" ref="L41:L51" si="9">L40+J41-B41-F41</f>
        <v>125811370.28038548</v>
      </c>
      <c r="M41" s="40"/>
      <c r="N41" s="40">
        <f t="shared" ref="N41:N51" si="10">(L40+L41)/2</f>
        <v>126286728.10260355</v>
      </c>
      <c r="O41" s="40"/>
      <c r="P41" s="40">
        <f t="shared" ref="P41:P51" si="11">N41*$P$12</f>
        <v>4396486.6054964932</v>
      </c>
      <c r="Q41" s="40"/>
      <c r="R41" s="40">
        <f t="shared" ref="R41:R51" si="12">R40+P41-B41-F41+D41</f>
        <v>100815259.30710529</v>
      </c>
    </row>
    <row r="42" spans="1:18">
      <c r="A42" s="46">
        <f t="shared" si="6"/>
        <v>2037</v>
      </c>
      <c r="B42" s="40">
        <f t="shared" si="7"/>
        <v>943585.27710289101</v>
      </c>
      <c r="C42" s="40"/>
      <c r="D42" s="40">
        <f t="shared" si="8"/>
        <v>-283075.58313086728</v>
      </c>
      <c r="E42" s="40"/>
      <c r="F42" s="40"/>
      <c r="G42" s="40"/>
      <c r="H42" s="40"/>
      <c r="I42" s="40"/>
      <c r="J42" s="40">
        <v>0</v>
      </c>
      <c r="K42" s="40"/>
      <c r="L42" s="40">
        <f t="shared" si="9"/>
        <v>124867785.00328259</v>
      </c>
      <c r="M42" s="40"/>
      <c r="N42" s="40">
        <f t="shared" si="10"/>
        <v>125339577.64183404</v>
      </c>
      <c r="O42" s="40"/>
      <c r="P42" s="40">
        <f t="shared" si="11"/>
        <v>4363512.9559552697</v>
      </c>
      <c r="Q42" s="40"/>
      <c r="R42" s="40">
        <f t="shared" si="12"/>
        <v>103952111.4028268</v>
      </c>
    </row>
    <row r="43" spans="1:18">
      <c r="A43" s="46">
        <f t="shared" si="6"/>
        <v>2038</v>
      </c>
      <c r="B43" s="40">
        <f t="shared" si="7"/>
        <v>936508.38752461935</v>
      </c>
      <c r="C43" s="40"/>
      <c r="D43" s="40">
        <f t="shared" si="8"/>
        <v>-280952.51625738578</v>
      </c>
      <c r="E43" s="40"/>
      <c r="F43" s="40"/>
      <c r="G43" s="40"/>
      <c r="H43" s="40"/>
      <c r="I43" s="40"/>
      <c r="J43" s="40">
        <v>0</v>
      </c>
      <c r="K43" s="40"/>
      <c r="L43" s="40">
        <f t="shared" si="9"/>
        <v>123931276.61575797</v>
      </c>
      <c r="M43" s="40"/>
      <c r="N43" s="40">
        <f t="shared" si="10"/>
        <v>124399530.80952027</v>
      </c>
      <c r="O43" s="40"/>
      <c r="P43" s="40">
        <f t="shared" si="11"/>
        <v>4330786.6087856051</v>
      </c>
      <c r="Q43" s="40"/>
      <c r="R43" s="40">
        <f t="shared" si="12"/>
        <v>107065437.10783039</v>
      </c>
    </row>
    <row r="44" spans="1:18">
      <c r="A44" s="46">
        <f t="shared" si="6"/>
        <v>2039</v>
      </c>
      <c r="B44" s="40">
        <f t="shared" si="7"/>
        <v>929484.57461818471</v>
      </c>
      <c r="C44" s="40"/>
      <c r="D44" s="40">
        <f t="shared" si="8"/>
        <v>-278845.37238545541</v>
      </c>
      <c r="E44" s="40"/>
      <c r="F44" s="40"/>
      <c r="G44" s="40"/>
      <c r="H44" s="40"/>
      <c r="I44" s="40"/>
      <c r="J44" s="40">
        <v>0</v>
      </c>
      <c r="K44" s="40"/>
      <c r="L44" s="40">
        <f t="shared" si="9"/>
        <v>123001792.04113978</v>
      </c>
      <c r="M44" s="40"/>
      <c r="N44" s="40">
        <f t="shared" si="10"/>
        <v>123466534.32844888</v>
      </c>
      <c r="O44" s="40"/>
      <c r="P44" s="40">
        <f t="shared" si="11"/>
        <v>4298305.7092197128</v>
      </c>
      <c r="Q44" s="40"/>
      <c r="R44" s="40">
        <f t="shared" si="12"/>
        <v>110155412.87004645</v>
      </c>
    </row>
    <row r="45" spans="1:18">
      <c r="A45" s="46">
        <f t="shared" si="6"/>
        <v>2040</v>
      </c>
      <c r="B45" s="40">
        <v>0</v>
      </c>
      <c r="C45" s="40"/>
      <c r="D45" s="40">
        <f t="shared" si="8"/>
        <v>0</v>
      </c>
      <c r="E45" s="40"/>
      <c r="F45" s="40"/>
      <c r="G45" s="40"/>
      <c r="H45" s="40"/>
      <c r="I45" s="40"/>
      <c r="J45" s="40">
        <v>0</v>
      </c>
      <c r="K45" s="40"/>
      <c r="L45" s="40">
        <f t="shared" si="9"/>
        <v>123001792.04113978</v>
      </c>
      <c r="M45" s="40"/>
      <c r="N45" s="40">
        <f t="shared" si="10"/>
        <v>123001792.04113978</v>
      </c>
      <c r="O45" s="40"/>
      <c r="P45" s="40">
        <f t="shared" si="11"/>
        <v>4282126.3903644318</v>
      </c>
      <c r="Q45" s="40"/>
      <c r="R45" s="40">
        <f t="shared" si="12"/>
        <v>114437539.26041089</v>
      </c>
    </row>
    <row r="46" spans="1:18">
      <c r="A46" s="46">
        <f t="shared" si="6"/>
        <v>2041</v>
      </c>
      <c r="B46" s="40">
        <v>0</v>
      </c>
      <c r="C46" s="40"/>
      <c r="D46" s="40">
        <f t="shared" si="8"/>
        <v>0</v>
      </c>
      <c r="E46" s="40"/>
      <c r="F46" s="40"/>
      <c r="G46" s="40"/>
      <c r="H46" s="40"/>
      <c r="I46" s="40"/>
      <c r="J46" s="40">
        <v>0</v>
      </c>
      <c r="K46" s="40"/>
      <c r="L46" s="40">
        <f t="shared" si="9"/>
        <v>123001792.04113978</v>
      </c>
      <c r="M46" s="40"/>
      <c r="N46" s="40">
        <f t="shared" si="10"/>
        <v>123001792.04113978</v>
      </c>
      <c r="O46" s="40"/>
      <c r="P46" s="40">
        <f t="shared" si="11"/>
        <v>4282126.3903644318</v>
      </c>
      <c r="Q46" s="40"/>
      <c r="R46" s="40">
        <f t="shared" si="12"/>
        <v>118719665.65077533</v>
      </c>
    </row>
    <row r="47" spans="1:18">
      <c r="A47" s="46">
        <f t="shared" si="6"/>
        <v>2042</v>
      </c>
      <c r="B47" s="40">
        <v>0</v>
      </c>
      <c r="C47" s="40"/>
      <c r="D47" s="40">
        <f t="shared" si="8"/>
        <v>0</v>
      </c>
      <c r="E47" s="40"/>
      <c r="F47" s="40">
        <f>L46</f>
        <v>123001792.04113978</v>
      </c>
      <c r="G47" s="40"/>
      <c r="H47" s="40"/>
      <c r="I47" s="40"/>
      <c r="J47" s="40">
        <v>0</v>
      </c>
      <c r="K47" s="40"/>
      <c r="L47" s="40">
        <f t="shared" si="9"/>
        <v>0</v>
      </c>
      <c r="M47" s="40"/>
      <c r="N47" s="40">
        <f>+L46</f>
        <v>123001792.04113978</v>
      </c>
      <c r="O47" s="40"/>
      <c r="P47" s="40">
        <f t="shared" si="11"/>
        <v>4282126.3903644318</v>
      </c>
      <c r="Q47" s="40"/>
      <c r="R47" s="40">
        <f t="shared" si="12"/>
        <v>-1.4901161193847656E-8</v>
      </c>
    </row>
    <row r="48" spans="1:18">
      <c r="A48" s="46">
        <f t="shared" si="6"/>
        <v>2043</v>
      </c>
      <c r="B48" s="40">
        <f t="shared" si="7"/>
        <v>0</v>
      </c>
      <c r="C48" s="40"/>
      <c r="D48" s="40">
        <f t="shared" si="8"/>
        <v>0</v>
      </c>
      <c r="E48" s="40"/>
      <c r="F48" s="40"/>
      <c r="G48" s="40"/>
      <c r="H48" s="40"/>
      <c r="I48" s="40"/>
      <c r="J48" s="40">
        <v>0</v>
      </c>
      <c r="K48" s="40"/>
      <c r="L48" s="40">
        <f t="shared" si="9"/>
        <v>0</v>
      </c>
      <c r="M48" s="40"/>
      <c r="N48" s="40">
        <f t="shared" si="10"/>
        <v>0</v>
      </c>
      <c r="O48" s="40"/>
      <c r="P48" s="40">
        <f t="shared" si="11"/>
        <v>0</v>
      </c>
      <c r="Q48" s="40"/>
      <c r="R48" s="40">
        <f t="shared" si="12"/>
        <v>-1.4901161193847656E-8</v>
      </c>
    </row>
    <row r="49" spans="1:18">
      <c r="A49" s="46">
        <f t="shared" si="6"/>
        <v>2044</v>
      </c>
      <c r="B49" s="40">
        <v>0</v>
      </c>
      <c r="C49" s="40"/>
      <c r="D49" s="40">
        <f t="shared" si="8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9"/>
        <v>0</v>
      </c>
      <c r="M49" s="40"/>
      <c r="N49" s="40">
        <f t="shared" si="10"/>
        <v>0</v>
      </c>
      <c r="O49" s="40"/>
      <c r="P49" s="40">
        <f t="shared" si="11"/>
        <v>0</v>
      </c>
      <c r="Q49" s="40"/>
      <c r="R49" s="40">
        <f t="shared" si="12"/>
        <v>-1.4901161193847656E-8</v>
      </c>
    </row>
    <row r="50" spans="1:18">
      <c r="A50" s="46">
        <f t="shared" si="6"/>
        <v>2045</v>
      </c>
      <c r="B50" s="40">
        <v>0</v>
      </c>
      <c r="C50" s="40"/>
      <c r="D50" s="40">
        <f t="shared" si="8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9"/>
        <v>0</v>
      </c>
      <c r="M50" s="40"/>
      <c r="N50" s="40">
        <f t="shared" si="10"/>
        <v>0</v>
      </c>
      <c r="O50" s="40"/>
      <c r="P50" s="40">
        <f t="shared" si="11"/>
        <v>0</v>
      </c>
      <c r="Q50" s="40"/>
      <c r="R50" s="40">
        <f t="shared" si="12"/>
        <v>-1.4901161193847656E-8</v>
      </c>
    </row>
    <row r="51" spans="1:18">
      <c r="A51" s="46">
        <f t="shared" si="6"/>
        <v>2046</v>
      </c>
      <c r="B51" s="40">
        <v>0</v>
      </c>
      <c r="C51" s="40"/>
      <c r="D51" s="40">
        <f t="shared" si="8"/>
        <v>0</v>
      </c>
      <c r="E51" s="40"/>
      <c r="F51" s="40"/>
      <c r="G51" s="40"/>
      <c r="H51" s="40"/>
      <c r="I51" s="40"/>
      <c r="J51" s="40">
        <v>0</v>
      </c>
      <c r="K51" s="40"/>
      <c r="L51" s="40">
        <f t="shared" si="9"/>
        <v>0</v>
      </c>
      <c r="M51" s="40"/>
      <c r="N51" s="40">
        <f t="shared" si="10"/>
        <v>0</v>
      </c>
      <c r="O51" s="40"/>
      <c r="P51" s="40">
        <f t="shared" si="11"/>
        <v>0</v>
      </c>
      <c r="Q51" s="40"/>
      <c r="R51" s="40">
        <f t="shared" si="12"/>
        <v>-1.4901161193847656E-8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23252824.599105131</v>
      </c>
      <c r="C62" s="38" t="s">
        <v>39</v>
      </c>
      <c r="D62" s="38">
        <f>SUM(D22:D58)</f>
        <v>-6975847.3797315387</v>
      </c>
      <c r="E62" s="38">
        <v>0</v>
      </c>
      <c r="F62" s="38">
        <f>SUM(F22:F58)</f>
        <v>123001792.04113978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3457755577.0378842</v>
      </c>
      <c r="O62" s="40"/>
      <c r="P62" s="38">
        <f>SUM(P22:P58)</f>
        <v>120376672.25946961</v>
      </c>
      <c r="Q62" s="40"/>
      <c r="R62" s="4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143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-6.6301604015655269E-2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'!$J$590</f>
        <v>16.831348291489558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22.689939316007269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39.521287607496831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0.39221889406515675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12573969.826800903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2.9708440404463642E-2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1.6776175076613257E-3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2.8030822896802317E-2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Unit(Fcst)'!D38</f>
        <v>27688825.219377786</v>
      </c>
      <c r="M21" s="40"/>
      <c r="N21" s="40"/>
      <c r="O21" s="40"/>
      <c r="P21" s="40"/>
      <c r="Q21" s="40"/>
      <c r="R21" s="40">
        <f>'2016 YE Reserve by Unit(Fcst)'!D36</f>
        <v>10860080.405507777</v>
      </c>
    </row>
    <row r="22" spans="1:18">
      <c r="A22" s="46">
        <v>2017</v>
      </c>
      <c r="B22" s="40">
        <f>+L21*P$10</f>
        <v>299039.31236928009</v>
      </c>
      <c r="C22" s="40"/>
      <c r="D22" s="40">
        <f>+B22*P$2</f>
        <v>-89711.793710784026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27389785.907008506</v>
      </c>
      <c r="M22" s="40"/>
      <c r="N22" s="40">
        <f>(L21+L22)/2</f>
        <v>27539305.563193146</v>
      </c>
      <c r="O22" s="40"/>
      <c r="P22" s="40">
        <f>N22*$P$12</f>
        <v>818149.81810443767</v>
      </c>
      <c r="Q22" s="40"/>
      <c r="R22" s="40">
        <f>R21+P22-B22-F22+D22</f>
        <v>11289479.117532153</v>
      </c>
    </row>
    <row r="23" spans="1:18">
      <c r="A23" s="46">
        <f>A22+1</f>
        <v>2018</v>
      </c>
      <c r="B23" s="40">
        <f t="shared" ref="B23:B48" si="0">+L22*P$10</f>
        <v>295809.68779569189</v>
      </c>
      <c r="C23" s="40"/>
      <c r="D23" s="40">
        <f t="shared" ref="D23:D51" si="1">+B23*P$2</f>
        <v>-88742.906338707558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27093976.219212815</v>
      </c>
      <c r="M23" s="40"/>
      <c r="N23" s="40">
        <f t="shared" ref="N23:N51" si="3">(L22+L23)/2</f>
        <v>27241881.063110661</v>
      </c>
      <c r="O23" s="40"/>
      <c r="P23" s="40">
        <f t="shared" ref="P23:P51" si="4">N23*$P$12</f>
        <v>809313.80006890977</v>
      </c>
      <c r="Q23" s="40"/>
      <c r="R23" s="40">
        <f t="shared" ref="R23:R51" si="5">R22+P23-B23-F23+D23</f>
        <v>11714240.323466662</v>
      </c>
    </row>
    <row r="24" spans="1:18">
      <c r="A24" s="46">
        <f t="shared" ref="A24:A58" si="6">A23+1</f>
        <v>2019</v>
      </c>
      <c r="B24" s="40">
        <f t="shared" si="0"/>
        <v>292614.94316749839</v>
      </c>
      <c r="C24" s="40"/>
      <c r="D24" s="40">
        <f t="shared" si="1"/>
        <v>-87784.482950249512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26801361.276045315</v>
      </c>
      <c r="M24" s="40"/>
      <c r="N24" s="40">
        <f t="shared" si="3"/>
        <v>26947668.747629065</v>
      </c>
      <c r="O24" s="40"/>
      <c r="P24" s="40">
        <f t="shared" si="4"/>
        <v>800573.21102816542</v>
      </c>
      <c r="Q24" s="40"/>
      <c r="R24" s="40">
        <f t="shared" si="5"/>
        <v>12134414.10837708</v>
      </c>
    </row>
    <row r="25" spans="1:18">
      <c r="A25" s="46">
        <f t="shared" si="6"/>
        <v>2020</v>
      </c>
      <c r="B25" s="40">
        <f t="shared" si="0"/>
        <v>289454.70178128942</v>
      </c>
      <c r="C25" s="40"/>
      <c r="D25" s="40">
        <f t="shared" si="1"/>
        <v>-86836.410534386829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26511906.574264027</v>
      </c>
      <c r="M25" s="40"/>
      <c r="N25" s="40">
        <f t="shared" si="3"/>
        <v>26656633.925154671</v>
      </c>
      <c r="O25" s="40"/>
      <c r="P25" s="40">
        <f t="shared" si="4"/>
        <v>791927.02034906123</v>
      </c>
      <c r="Q25" s="40"/>
      <c r="R25" s="40">
        <f t="shared" si="5"/>
        <v>12550050.016410464</v>
      </c>
    </row>
    <row r="26" spans="1:18">
      <c r="A26" s="46">
        <f t="shared" si="6"/>
        <v>2021</v>
      </c>
      <c r="B26" s="40">
        <f t="shared" si="0"/>
        <v>286328.59100205149</v>
      </c>
      <c r="C26" s="40"/>
      <c r="D26" s="40">
        <f t="shared" si="1"/>
        <v>-85898.577300615449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26225577.983261976</v>
      </c>
      <c r="M26" s="40"/>
      <c r="N26" s="40">
        <f t="shared" si="3"/>
        <v>26368742.278763004</v>
      </c>
      <c r="O26" s="40"/>
      <c r="P26" s="40">
        <f t="shared" si="4"/>
        <v>783374.20852929156</v>
      </c>
      <c r="Q26" s="40"/>
      <c r="R26" s="40">
        <f t="shared" si="5"/>
        <v>12961197.05663709</v>
      </c>
    </row>
    <row r="27" spans="1:18">
      <c r="A27" s="46">
        <f t="shared" si="6"/>
        <v>2022</v>
      </c>
      <c r="B27" s="40">
        <f t="shared" si="0"/>
        <v>283236.24221922935</v>
      </c>
      <c r="C27" s="40"/>
      <c r="D27" s="40">
        <f t="shared" si="1"/>
        <v>-84970.872665768795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25942341.741042748</v>
      </c>
      <c r="M27" s="40"/>
      <c r="N27" s="40">
        <f t="shared" si="3"/>
        <v>26083959.86215236</v>
      </c>
      <c r="O27" s="40"/>
      <c r="P27" s="40">
        <f t="shared" si="4"/>
        <v>774913.76707717509</v>
      </c>
      <c r="Q27" s="40"/>
      <c r="R27" s="40">
        <f t="shared" si="5"/>
        <v>13367903.708829267</v>
      </c>
    </row>
    <row r="28" spans="1:18">
      <c r="A28" s="46">
        <f t="shared" si="6"/>
        <v>2023</v>
      </c>
      <c r="B28" s="40">
        <f t="shared" si="0"/>
        <v>280177.29080326168</v>
      </c>
      <c r="C28" s="40"/>
      <c r="D28" s="40">
        <f t="shared" si="1"/>
        <v>-84053.187240978499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25662164.450239487</v>
      </c>
      <c r="M28" s="40"/>
      <c r="N28" s="40">
        <f t="shared" si="3"/>
        <v>25802253.095641118</v>
      </c>
      <c r="O28" s="40"/>
      <c r="P28" s="40">
        <f t="shared" si="4"/>
        <v>766544.69839274161</v>
      </c>
      <c r="Q28" s="40"/>
      <c r="R28" s="40">
        <f t="shared" si="5"/>
        <v>13770217.929177769</v>
      </c>
    </row>
    <row r="29" spans="1:18">
      <c r="A29" s="46">
        <f t="shared" si="6"/>
        <v>2024</v>
      </c>
      <c r="B29" s="40">
        <f t="shared" si="0"/>
        <v>277151.3760625865</v>
      </c>
      <c r="C29" s="40"/>
      <c r="D29" s="40">
        <f t="shared" si="1"/>
        <v>-83145.412818775949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25385013.0741769</v>
      </c>
      <c r="M29" s="40"/>
      <c r="N29" s="40">
        <f t="shared" si="3"/>
        <v>25523588.762208194</v>
      </c>
      <c r="O29" s="40"/>
      <c r="P29" s="40">
        <f t="shared" si="4"/>
        <v>758266.01565010007</v>
      </c>
      <c r="Q29" s="40"/>
      <c r="R29" s="40">
        <f t="shared" si="5"/>
        <v>14168187.155946506</v>
      </c>
    </row>
    <row r="30" spans="1:18">
      <c r="A30" s="46">
        <f t="shared" si="6"/>
        <v>2025</v>
      </c>
      <c r="B30" s="40">
        <f t="shared" si="0"/>
        <v>274158.14120111056</v>
      </c>
      <c r="C30" s="40"/>
      <c r="D30" s="40">
        <f t="shared" si="1"/>
        <v>-82247.442360333167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25110854.932975791</v>
      </c>
      <c r="M30" s="40"/>
      <c r="N30" s="40">
        <f t="shared" si="3"/>
        <v>25247934.003576346</v>
      </c>
      <c r="O30" s="40"/>
      <c r="P30" s="40">
        <f t="shared" si="4"/>
        <v>750076.74268107896</v>
      </c>
      <c r="Q30" s="40"/>
      <c r="R30" s="40">
        <f t="shared" si="5"/>
        <v>14561858.31506614</v>
      </c>
    </row>
    <row r="31" spans="1:18">
      <c r="A31" s="46">
        <f t="shared" si="6"/>
        <v>2026</v>
      </c>
      <c r="B31" s="40">
        <f t="shared" si="0"/>
        <v>271197.23327613855</v>
      </c>
      <c r="C31" s="40"/>
      <c r="D31" s="40">
        <f t="shared" si="1"/>
        <v>-81359.169982841559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24839657.699699651</v>
      </c>
      <c r="M31" s="40"/>
      <c r="N31" s="40">
        <f t="shared" si="3"/>
        <v>24975256.31633772</v>
      </c>
      <c r="O31" s="40"/>
      <c r="P31" s="40">
        <f t="shared" si="4"/>
        <v>741975.91386012326</v>
      </c>
      <c r="Q31" s="40"/>
      <c r="R31" s="40">
        <f t="shared" si="5"/>
        <v>14951277.825667284</v>
      </c>
    </row>
    <row r="32" spans="1:18">
      <c r="A32" s="46">
        <f t="shared" si="6"/>
        <v>2027</v>
      </c>
      <c r="B32" s="40">
        <f t="shared" si="0"/>
        <v>268268.30315675627</v>
      </c>
      <c r="C32" s="40"/>
      <c r="D32" s="40">
        <f t="shared" si="1"/>
        <v>-80480.490947026876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24571389.396542896</v>
      </c>
      <c r="M32" s="40"/>
      <c r="N32" s="40">
        <f t="shared" si="3"/>
        <v>24705523.548121274</v>
      </c>
      <c r="O32" s="40"/>
      <c r="P32" s="40">
        <f t="shared" si="4"/>
        <v>733962.57399043406</v>
      </c>
      <c r="Q32" s="40"/>
      <c r="R32" s="40">
        <f t="shared" si="5"/>
        <v>15336491.605553936</v>
      </c>
    </row>
    <row r="33" spans="1:18">
      <c r="A33" s="46">
        <f t="shared" si="6"/>
        <v>2028</v>
      </c>
      <c r="B33" s="40">
        <f t="shared" si="0"/>
        <v>265371.00548266328</v>
      </c>
      <c r="C33" s="40"/>
      <c r="D33" s="40">
        <f t="shared" si="1"/>
        <v>-79611.301644798979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24306018.391060233</v>
      </c>
      <c r="M33" s="40"/>
      <c r="N33" s="40">
        <f t="shared" si="3"/>
        <v>24438703.893801562</v>
      </c>
      <c r="O33" s="40"/>
      <c r="P33" s="40">
        <f t="shared" si="4"/>
        <v>726035.77819133725</v>
      </c>
      <c r="Q33" s="40"/>
      <c r="R33" s="40">
        <f t="shared" si="5"/>
        <v>15717545.076617813</v>
      </c>
    </row>
    <row r="34" spans="1:18">
      <c r="A34" s="46">
        <f t="shared" si="6"/>
        <v>2029</v>
      </c>
      <c r="B34" s="40">
        <f t="shared" si="0"/>
        <v>262504.99862345052</v>
      </c>
      <c r="C34" s="40"/>
      <c r="D34" s="40">
        <f t="shared" si="1"/>
        <v>-78751.499587035156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24043513.392436784</v>
      </c>
      <c r="M34" s="40"/>
      <c r="N34" s="40">
        <f t="shared" si="3"/>
        <v>24174765.89174851</v>
      </c>
      <c r="O34" s="40"/>
      <c r="P34" s="40">
        <f t="shared" si="4"/>
        <v>718194.59178687097</v>
      </c>
      <c r="Q34" s="40"/>
      <c r="R34" s="40">
        <f t="shared" si="5"/>
        <v>16094483.170194197</v>
      </c>
    </row>
    <row r="35" spans="1:18">
      <c r="A35" s="46">
        <f t="shared" si="6"/>
        <v>2030</v>
      </c>
      <c r="B35" s="40">
        <f t="shared" si="0"/>
        <v>259669.94463831728</v>
      </c>
      <c r="C35" s="40"/>
      <c r="D35" s="40">
        <f t="shared" si="1"/>
        <v>-77900.983391495174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23783843.447798468</v>
      </c>
      <c r="M35" s="40"/>
      <c r="N35" s="40">
        <f t="shared" si="3"/>
        <v>23913678.420117624</v>
      </c>
      <c r="O35" s="40"/>
      <c r="P35" s="40">
        <f t="shared" si="4"/>
        <v>710438.0901955727</v>
      </c>
      <c r="Q35" s="40"/>
      <c r="R35" s="40">
        <f t="shared" si="5"/>
        <v>16467350.332359958</v>
      </c>
    </row>
    <row r="36" spans="1:18">
      <c r="A36" s="46">
        <f t="shared" si="6"/>
        <v>2031</v>
      </c>
      <c r="B36" s="40">
        <f t="shared" si="0"/>
        <v>256865.50923622347</v>
      </c>
      <c r="C36" s="40"/>
      <c r="D36" s="40">
        <f t="shared" si="1"/>
        <v>-77059.652770867033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23526977.938562244</v>
      </c>
      <c r="M36" s="40"/>
      <c r="N36" s="40">
        <f t="shared" si="3"/>
        <v>23655410.693180356</v>
      </c>
      <c r="O36" s="40"/>
      <c r="P36" s="40">
        <f t="shared" si="4"/>
        <v>702765.35882146063</v>
      </c>
      <c r="Q36" s="40"/>
      <c r="R36" s="40">
        <f t="shared" si="5"/>
        <v>16836190.529174328</v>
      </c>
    </row>
    <row r="37" spans="1:18">
      <c r="A37" s="46">
        <f t="shared" si="6"/>
        <v>2032</v>
      </c>
      <c r="B37" s="40">
        <f t="shared" si="0"/>
        <v>254091.36173647226</v>
      </c>
      <c r="C37" s="40"/>
      <c r="D37" s="40">
        <f t="shared" si="1"/>
        <v>-76227.408520941681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23272886.576825771</v>
      </c>
      <c r="M37" s="40"/>
      <c r="N37" s="40">
        <f t="shared" si="3"/>
        <v>23399932.257694006</v>
      </c>
      <c r="O37" s="40"/>
      <c r="P37" s="40">
        <f t="shared" si="4"/>
        <v>695175.49294618878</v>
      </c>
      <c r="Q37" s="40"/>
      <c r="R37" s="40">
        <f t="shared" si="5"/>
        <v>17201047.251863103</v>
      </c>
    </row>
    <row r="38" spans="1:18">
      <c r="A38" s="46">
        <f t="shared" si="6"/>
        <v>2033</v>
      </c>
      <c r="B38" s="40">
        <f t="shared" si="0"/>
        <v>251347.17502971835</v>
      </c>
      <c r="C38" s="40"/>
      <c r="D38" s="40">
        <f t="shared" si="1"/>
        <v>-75404.152508915504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23021539.401796054</v>
      </c>
      <c r="M38" s="40"/>
      <c r="N38" s="40">
        <f t="shared" si="3"/>
        <v>23147212.989310913</v>
      </c>
      <c r="O38" s="40"/>
      <c r="P38" s="40">
        <f t="shared" si="4"/>
        <v>687667.59762237</v>
      </c>
      <c r="Q38" s="40"/>
      <c r="R38" s="40">
        <f t="shared" si="5"/>
        <v>17561963.52194684</v>
      </c>
    </row>
    <row r="39" spans="1:18">
      <c r="A39" s="46">
        <f t="shared" si="6"/>
        <v>2034</v>
      </c>
      <c r="B39" s="40">
        <f t="shared" si="0"/>
        <v>248632.62553939738</v>
      </c>
      <c r="C39" s="40"/>
      <c r="D39" s="40">
        <f t="shared" si="1"/>
        <v>-74589.787661819209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22772906.776256658</v>
      </c>
      <c r="M39" s="40"/>
      <c r="N39" s="40">
        <f t="shared" si="3"/>
        <v>22897223.089026354</v>
      </c>
      <c r="O39" s="40"/>
      <c r="P39" s="40">
        <f t="shared" si="4"/>
        <v>680240.78756804834</v>
      </c>
      <c r="Q39" s="40"/>
      <c r="R39" s="40">
        <f t="shared" si="5"/>
        <v>17918981.896313671</v>
      </c>
    </row>
    <row r="40" spans="1:18">
      <c r="A40" s="46">
        <f t="shared" si="6"/>
        <v>2035</v>
      </c>
      <c r="B40" s="40">
        <f t="shared" si="0"/>
        <v>245947.39318357193</v>
      </c>
      <c r="C40" s="40"/>
      <c r="D40" s="40">
        <f t="shared" si="1"/>
        <v>-73784.217955071581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22526959.383073088</v>
      </c>
      <c r="M40" s="40"/>
      <c r="N40" s="40">
        <f t="shared" si="3"/>
        <v>22649933.079664871</v>
      </c>
      <c r="O40" s="40"/>
      <c r="P40" s="40">
        <f t="shared" si="4"/>
        <v>672894.18706231343</v>
      </c>
      <c r="Q40" s="40"/>
      <c r="R40" s="40">
        <f t="shared" si="5"/>
        <v>18272144.472237341</v>
      </c>
    </row>
    <row r="41" spans="1:18">
      <c r="A41" s="46">
        <f t="shared" si="6"/>
        <v>2036</v>
      </c>
      <c r="B41" s="40">
        <f t="shared" si="0"/>
        <v>243291.16133718935</v>
      </c>
      <c r="C41" s="40"/>
      <c r="D41" s="40">
        <f t="shared" si="1"/>
        <v>-72987.348401156807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22283668.221735898</v>
      </c>
      <c r="M41" s="40"/>
      <c r="N41" s="40">
        <f t="shared" si="3"/>
        <v>22405313.802404493</v>
      </c>
      <c r="O41" s="40"/>
      <c r="P41" s="40">
        <f t="shared" si="4"/>
        <v>665626.92984204052</v>
      </c>
      <c r="Q41" s="40"/>
      <c r="R41" s="40">
        <f t="shared" si="5"/>
        <v>18621492.892341036</v>
      </c>
    </row>
    <row r="42" spans="1:18">
      <c r="A42" s="46">
        <f t="shared" si="6"/>
        <v>2037</v>
      </c>
      <c r="B42" s="40">
        <f t="shared" si="0"/>
        <v>240663.61679474771</v>
      </c>
      <c r="C42" s="40"/>
      <c r="D42" s="40">
        <f t="shared" si="1"/>
        <v>-72199.085038424309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22043004.604941152</v>
      </c>
      <c r="M42" s="40"/>
      <c r="N42" s="40">
        <f t="shared" si="3"/>
        <v>22163336.413338527</v>
      </c>
      <c r="O42" s="40"/>
      <c r="P42" s="40">
        <f t="shared" si="4"/>
        <v>658438.15899974655</v>
      </c>
      <c r="Q42" s="40"/>
      <c r="R42" s="40">
        <f t="shared" si="5"/>
        <v>18967068.349507611</v>
      </c>
    </row>
    <row r="43" spans="1:18">
      <c r="A43" s="46">
        <f t="shared" si="6"/>
        <v>2038</v>
      </c>
      <c r="B43" s="40">
        <f t="shared" si="0"/>
        <v>238064.44973336445</v>
      </c>
      <c r="C43" s="40"/>
      <c r="D43" s="40">
        <f t="shared" si="1"/>
        <v>-71419.334920009336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21804940.155207787</v>
      </c>
      <c r="M43" s="40"/>
      <c r="N43" s="40">
        <f t="shared" si="3"/>
        <v>21923972.380074471</v>
      </c>
      <c r="O43" s="40"/>
      <c r="P43" s="40">
        <f t="shared" si="4"/>
        <v>651327.0268825494</v>
      </c>
      <c r="Q43" s="40"/>
      <c r="R43" s="40">
        <f t="shared" si="5"/>
        <v>19308911.591736786</v>
      </c>
    </row>
    <row r="44" spans="1:18">
      <c r="A44" s="46">
        <f t="shared" si="6"/>
        <v>2039</v>
      </c>
      <c r="B44" s="40">
        <f t="shared" si="0"/>
        <v>235493.35367624412</v>
      </c>
      <c r="C44" s="40"/>
      <c r="D44" s="40">
        <f t="shared" si="1"/>
        <v>-70648.006102873231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21569446.801531542</v>
      </c>
      <c r="M44" s="40"/>
      <c r="N44" s="40">
        <f t="shared" si="3"/>
        <v>21687193.478369664</v>
      </c>
      <c r="O44" s="40"/>
      <c r="P44" s="40">
        <f t="shared" si="4"/>
        <v>644292.6949922177</v>
      </c>
      <c r="Q44" s="40"/>
      <c r="R44" s="40">
        <f t="shared" si="5"/>
        <v>19647062.926949885</v>
      </c>
    </row>
    <row r="45" spans="1:18">
      <c r="A45" s="46">
        <f t="shared" si="6"/>
        <v>2040</v>
      </c>
      <c r="B45" s="40">
        <v>0</v>
      </c>
      <c r="C45" s="40"/>
      <c r="D45" s="40">
        <f t="shared" si="1"/>
        <v>0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21569446.801531542</v>
      </c>
      <c r="M45" s="40"/>
      <c r="N45" s="40">
        <f t="shared" si="3"/>
        <v>21569446.801531542</v>
      </c>
      <c r="O45" s="40"/>
      <c r="P45" s="40">
        <f t="shared" si="4"/>
        <v>640794.62486054876</v>
      </c>
      <c r="Q45" s="40"/>
      <c r="R45" s="40">
        <f t="shared" si="5"/>
        <v>20287857.551810432</v>
      </c>
    </row>
    <row r="46" spans="1:18">
      <c r="A46" s="46">
        <f t="shared" si="6"/>
        <v>2041</v>
      </c>
      <c r="B46" s="40">
        <v>0</v>
      </c>
      <c r="C46" s="40"/>
      <c r="D46" s="40">
        <f t="shared" si="1"/>
        <v>0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21569446.801531542</v>
      </c>
      <c r="M46" s="40"/>
      <c r="N46" s="40">
        <f t="shared" si="3"/>
        <v>21569446.801531542</v>
      </c>
      <c r="O46" s="40"/>
      <c r="P46" s="40">
        <f t="shared" si="4"/>
        <v>640794.62486054876</v>
      </c>
      <c r="Q46" s="40"/>
      <c r="R46" s="40">
        <f t="shared" si="5"/>
        <v>20928652.17667098</v>
      </c>
    </row>
    <row r="47" spans="1:18">
      <c r="A47" s="46">
        <f t="shared" si="6"/>
        <v>2042</v>
      </c>
      <c r="B47" s="40">
        <v>0</v>
      </c>
      <c r="C47" s="40"/>
      <c r="D47" s="40">
        <f t="shared" si="1"/>
        <v>0</v>
      </c>
      <c r="E47" s="40"/>
      <c r="F47" s="40">
        <f>L46</f>
        <v>21569446.801531542</v>
      </c>
      <c r="G47" s="40"/>
      <c r="H47" s="40"/>
      <c r="I47" s="40"/>
      <c r="J47" s="40">
        <v>0</v>
      </c>
      <c r="K47" s="40"/>
      <c r="L47" s="40">
        <f t="shared" si="2"/>
        <v>0</v>
      </c>
      <c r="M47" s="40"/>
      <c r="N47" s="40">
        <f>+L46</f>
        <v>21569446.801531542</v>
      </c>
      <c r="O47" s="40"/>
      <c r="P47" s="40">
        <f t="shared" si="4"/>
        <v>640794.62486054876</v>
      </c>
      <c r="Q47" s="40"/>
      <c r="R47" s="40">
        <f t="shared" si="5"/>
        <v>-1.4901161193847656E-8</v>
      </c>
    </row>
    <row r="48" spans="1:18">
      <c r="A48" s="46">
        <f t="shared" si="6"/>
        <v>2043</v>
      </c>
      <c r="B48" s="40">
        <f t="shared" si="0"/>
        <v>0</v>
      </c>
      <c r="C48" s="40"/>
      <c r="D48" s="40">
        <f t="shared" si="1"/>
        <v>0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0</v>
      </c>
      <c r="M48" s="40"/>
      <c r="N48" s="40">
        <f t="shared" si="3"/>
        <v>0</v>
      </c>
      <c r="O48" s="40"/>
      <c r="P48" s="40">
        <f t="shared" si="4"/>
        <v>0</v>
      </c>
      <c r="Q48" s="40"/>
      <c r="R48" s="40">
        <f t="shared" si="5"/>
        <v>-1.4901161193847656E-8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0</v>
      </c>
      <c r="M49" s="40"/>
      <c r="N49" s="40">
        <f t="shared" si="3"/>
        <v>0</v>
      </c>
      <c r="O49" s="40"/>
      <c r="P49" s="40">
        <f t="shared" si="4"/>
        <v>0</v>
      </c>
      <c r="Q49" s="40"/>
      <c r="R49" s="40">
        <f t="shared" si="5"/>
        <v>-1.4901161193847656E-8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0</v>
      </c>
      <c r="M50" s="40"/>
      <c r="N50" s="40">
        <f t="shared" si="3"/>
        <v>0</v>
      </c>
      <c r="O50" s="40"/>
      <c r="P50" s="40">
        <f t="shared" si="4"/>
        <v>0</v>
      </c>
      <c r="Q50" s="40"/>
      <c r="R50" s="40">
        <f t="shared" si="5"/>
        <v>-1.4901161193847656E-8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/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 t="shared" si="3"/>
        <v>0</v>
      </c>
      <c r="O51" s="40"/>
      <c r="P51" s="40">
        <f t="shared" si="4"/>
        <v>0</v>
      </c>
      <c r="Q51" s="40"/>
      <c r="R51" s="40">
        <f t="shared" si="5"/>
        <v>-1.4901161193847656E-8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6119378.4178462541</v>
      </c>
      <c r="C62" s="38" t="s">
        <v>39</v>
      </c>
      <c r="D62" s="38">
        <f>SUM(D22:D58)</f>
        <v>-1835813.5253538759</v>
      </c>
      <c r="E62" s="38">
        <v>0</v>
      </c>
      <c r="F62" s="38">
        <f>SUM(F22:F58)</f>
        <v>21569446.801531542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628257763.95921361</v>
      </c>
      <c r="O62" s="40"/>
      <c r="P62" s="38">
        <f>SUM(P22:P58)</f>
        <v>18664558.339223877</v>
      </c>
      <c r="Q62" s="40"/>
      <c r="R62" s="4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143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-1.1505004265574647E-2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'!$J$614</f>
        <v>23.999284988619795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24.304880068770256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48.304165057390051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0.603448428831723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7021824.047914356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1.6789079982261267E-2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2.3817830723097235E-4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1.6550901675030295E-2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Unit(Fcst)'!D39</f>
        <v>13972309.070936184</v>
      </c>
      <c r="M21" s="40"/>
      <c r="N21" s="40"/>
      <c r="O21" s="40"/>
      <c r="P21" s="40"/>
      <c r="Q21" s="40"/>
      <c r="R21" s="40">
        <f>'2016 YE Reserve by Unit(Fcst)'!D37</f>
        <v>8431567.9560076725</v>
      </c>
    </row>
    <row r="22" spans="1:18">
      <c r="A22" s="46">
        <v>2017</v>
      </c>
      <c r="B22" s="40">
        <f>+L21*P$10</f>
        <v>74053.238075961781</v>
      </c>
      <c r="C22" s="40"/>
      <c r="D22" s="40">
        <f>+B22*P$2</f>
        <v>-7405.3238075961781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13898255.832860222</v>
      </c>
      <c r="M22" s="40"/>
      <c r="N22" s="40">
        <f>(L21+L22)/2</f>
        <v>13935282.451898202</v>
      </c>
      <c r="O22" s="40"/>
      <c r="P22" s="40">
        <f>N22*$P$12</f>
        <v>233960.57166032083</v>
      </c>
      <c r="Q22" s="40"/>
      <c r="R22" s="40">
        <f>R21+P22-B22-F22+D22</f>
        <v>8584069.9657844361</v>
      </c>
    </row>
    <row r="23" spans="1:18">
      <c r="A23" s="46">
        <f>A22+1</f>
        <v>2018</v>
      </c>
      <c r="B23" s="40">
        <f t="shared" ref="B23:B48" si="0">+L22*P$10</f>
        <v>73660.755914159177</v>
      </c>
      <c r="C23" s="40"/>
      <c r="D23" s="40">
        <f t="shared" ref="D23:D51" si="1">+B23*P$2</f>
        <v>-7366.0755914159181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13824595.076946063</v>
      </c>
      <c r="M23" s="40"/>
      <c r="N23" s="40">
        <f t="shared" ref="N23:N51" si="3">(L22+L23)/2</f>
        <v>13861425.454903143</v>
      </c>
      <c r="O23" s="40"/>
      <c r="P23" s="40">
        <f t="shared" ref="P23:P51" si="4">N23*$P$12</f>
        <v>232720.58063052114</v>
      </c>
      <c r="Q23" s="40"/>
      <c r="R23" s="40">
        <f t="shared" ref="R23:R51" si="5">R22+P23-B23-F23+D23</f>
        <v>8735763.7149093822</v>
      </c>
    </row>
    <row r="24" spans="1:18">
      <c r="A24" s="46">
        <f t="shared" ref="A24:A58" si="6">A23+1</f>
        <v>2019</v>
      </c>
      <c r="B24" s="40">
        <f t="shared" si="0"/>
        <v>73270.353907814133</v>
      </c>
      <c r="C24" s="40"/>
      <c r="D24" s="40">
        <f t="shared" si="1"/>
        <v>-7327.0353907814133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13751324.723038249</v>
      </c>
      <c r="M24" s="40"/>
      <c r="N24" s="40">
        <f t="shared" si="3"/>
        <v>13787959.899992157</v>
      </c>
      <c r="O24" s="40"/>
      <c r="P24" s="40">
        <f t="shared" si="4"/>
        <v>231487.16155317938</v>
      </c>
      <c r="Q24" s="40"/>
      <c r="R24" s="40">
        <f t="shared" si="5"/>
        <v>8886653.4871639665</v>
      </c>
    </row>
    <row r="25" spans="1:18">
      <c r="A25" s="46">
        <f t="shared" si="6"/>
        <v>2020</v>
      </c>
      <c r="B25" s="40">
        <f t="shared" si="0"/>
        <v>72882.021032102712</v>
      </c>
      <c r="C25" s="40"/>
      <c r="D25" s="40">
        <f t="shared" si="1"/>
        <v>-7288.2021032102712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13678442.702006146</v>
      </c>
      <c r="M25" s="40"/>
      <c r="N25" s="40">
        <f t="shared" si="3"/>
        <v>13714883.712522198</v>
      </c>
      <c r="O25" s="40"/>
      <c r="P25" s="40">
        <f t="shared" si="4"/>
        <v>230260.27959694751</v>
      </c>
      <c r="Q25" s="40"/>
      <c r="R25" s="40">
        <f t="shared" si="5"/>
        <v>9036743.5436256006</v>
      </c>
    </row>
    <row r="26" spans="1:18">
      <c r="A26" s="46">
        <f t="shared" si="6"/>
        <v>2021</v>
      </c>
      <c r="B26" s="40">
        <f t="shared" si="0"/>
        <v>72495.746320632577</v>
      </c>
      <c r="C26" s="40"/>
      <c r="D26" s="40">
        <f t="shared" si="1"/>
        <v>-7249.5746320632579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13605946.955685513</v>
      </c>
      <c r="M26" s="40"/>
      <c r="N26" s="40">
        <f t="shared" si="3"/>
        <v>13642194.828845829</v>
      </c>
      <c r="O26" s="40"/>
      <c r="P26" s="40">
        <f t="shared" si="4"/>
        <v>229039.90011508367</v>
      </c>
      <c r="Q26" s="40"/>
      <c r="R26" s="40">
        <f t="shared" si="5"/>
        <v>9186038.1227879878</v>
      </c>
    </row>
    <row r="27" spans="1:18">
      <c r="A27" s="46">
        <f t="shared" si="6"/>
        <v>2022</v>
      </c>
      <c r="B27" s="40">
        <f t="shared" si="0"/>
        <v>72111.518865133214</v>
      </c>
      <c r="C27" s="40"/>
      <c r="D27" s="40">
        <f t="shared" si="1"/>
        <v>-7211.1518865133221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13533835.43682038</v>
      </c>
      <c r="M27" s="40"/>
      <c r="N27" s="40">
        <f t="shared" si="3"/>
        <v>13569891.196252946</v>
      </c>
      <c r="O27" s="40"/>
      <c r="P27" s="40">
        <f t="shared" si="4"/>
        <v>227825.98864447372</v>
      </c>
      <c r="Q27" s="40"/>
      <c r="R27" s="40">
        <f t="shared" si="5"/>
        <v>9334541.4406808149</v>
      </c>
    </row>
    <row r="28" spans="1:18">
      <c r="A28" s="46">
        <f t="shared" si="6"/>
        <v>2023</v>
      </c>
      <c r="B28" s="40">
        <f t="shared" si="0"/>
        <v>71729.327815148019</v>
      </c>
      <c r="C28" s="40"/>
      <c r="D28" s="40">
        <f t="shared" si="1"/>
        <v>-7172.9327815148026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13462106.109005233</v>
      </c>
      <c r="M28" s="40"/>
      <c r="N28" s="40">
        <f t="shared" si="3"/>
        <v>13497970.772912808</v>
      </c>
      <c r="O28" s="40"/>
      <c r="P28" s="40">
        <f t="shared" si="4"/>
        <v>226618.51090465806</v>
      </c>
      <c r="Q28" s="40"/>
      <c r="R28" s="40">
        <f t="shared" si="5"/>
        <v>9482257.6909888107</v>
      </c>
    </row>
    <row r="29" spans="1:18">
      <c r="A29" s="46">
        <f t="shared" si="6"/>
        <v>2024</v>
      </c>
      <c r="B29" s="40">
        <f t="shared" si="0"/>
        <v>71349.162377727742</v>
      </c>
      <c r="C29" s="40"/>
      <c r="D29" s="40">
        <f t="shared" si="1"/>
        <v>-7134.9162377727744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13390756.946627505</v>
      </c>
      <c r="M29" s="40"/>
      <c r="N29" s="40">
        <f t="shared" si="3"/>
        <v>13426431.52781637</v>
      </c>
      <c r="O29" s="40"/>
      <c r="P29" s="40">
        <f t="shared" si="4"/>
        <v>225417.43279686337</v>
      </c>
      <c r="Q29" s="40"/>
      <c r="R29" s="40">
        <f t="shared" si="5"/>
        <v>9629191.045170173</v>
      </c>
    </row>
    <row r="30" spans="1:18">
      <c r="A30" s="46">
        <f t="shared" si="6"/>
        <v>2025</v>
      </c>
      <c r="B30" s="40">
        <f t="shared" si="0"/>
        <v>70971.011817125778</v>
      </c>
      <c r="C30" s="40"/>
      <c r="D30" s="40">
        <f t="shared" si="1"/>
        <v>-7097.1011817125782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13319785.93481038</v>
      </c>
      <c r="M30" s="40"/>
      <c r="N30" s="40">
        <f t="shared" si="3"/>
        <v>13355271.440718941</v>
      </c>
      <c r="O30" s="40"/>
      <c r="P30" s="40">
        <f t="shared" si="4"/>
        <v>224222.72040303997</v>
      </c>
      <c r="Q30" s="40"/>
      <c r="R30" s="40">
        <f t="shared" si="5"/>
        <v>9775345.6525743753</v>
      </c>
    </row>
    <row r="31" spans="1:18">
      <c r="A31" s="46">
        <f t="shared" si="6"/>
        <v>2026</v>
      </c>
      <c r="B31" s="40">
        <f t="shared" si="0"/>
        <v>70594.865454495011</v>
      </c>
      <c r="C31" s="40"/>
      <c r="D31" s="40">
        <f t="shared" si="1"/>
        <v>-7059.4865454495011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13249191.069355885</v>
      </c>
      <c r="M31" s="40"/>
      <c r="N31" s="40">
        <f t="shared" si="3"/>
        <v>13284488.502083132</v>
      </c>
      <c r="O31" s="40"/>
      <c r="P31" s="40">
        <f t="shared" si="4"/>
        <v>223034.33998490387</v>
      </c>
      <c r="Q31" s="40"/>
      <c r="R31" s="40">
        <f t="shared" si="5"/>
        <v>9920725.6405593343</v>
      </c>
    </row>
    <row r="32" spans="1:18">
      <c r="A32" s="46">
        <f t="shared" si="6"/>
        <v>2027</v>
      </c>
      <c r="B32" s="40">
        <f t="shared" si="0"/>
        <v>70220.712667586195</v>
      </c>
      <c r="C32" s="40"/>
      <c r="D32" s="40">
        <f t="shared" si="1"/>
        <v>-7022.0712667586195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13178970.356688298</v>
      </c>
      <c r="M32" s="40"/>
      <c r="N32" s="40">
        <f t="shared" si="3"/>
        <v>13214080.71302209</v>
      </c>
      <c r="O32" s="40"/>
      <c r="P32" s="40">
        <f t="shared" si="4"/>
        <v>221852.25798298387</v>
      </c>
      <c r="Q32" s="40"/>
      <c r="R32" s="40">
        <f t="shared" si="5"/>
        <v>10065335.114607973</v>
      </c>
    </row>
    <row r="33" spans="1:18">
      <c r="A33" s="46">
        <f t="shared" si="6"/>
        <v>2028</v>
      </c>
      <c r="B33" s="40">
        <f t="shared" si="0"/>
        <v>69848.542890447978</v>
      </c>
      <c r="C33" s="40"/>
      <c r="D33" s="40">
        <f t="shared" si="1"/>
        <v>-6984.854289044798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13109121.81379785</v>
      </c>
      <c r="M33" s="40"/>
      <c r="N33" s="40">
        <f t="shared" si="3"/>
        <v>13144046.085243074</v>
      </c>
      <c r="O33" s="40"/>
      <c r="P33" s="40">
        <f t="shared" si="4"/>
        <v>220676.44101567406</v>
      </c>
      <c r="Q33" s="40"/>
      <c r="R33" s="40">
        <f t="shared" si="5"/>
        <v>10209178.158444153</v>
      </c>
    </row>
    <row r="34" spans="1:18">
      <c r="A34" s="46">
        <f t="shared" si="6"/>
        <v>2029</v>
      </c>
      <c r="B34" s="40">
        <f t="shared" si="0"/>
        <v>69478.345613128608</v>
      </c>
      <c r="C34" s="40"/>
      <c r="D34" s="40">
        <f t="shared" si="1"/>
        <v>-6947.8345613128613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13039643.468184721</v>
      </c>
      <c r="M34" s="40"/>
      <c r="N34" s="40">
        <f t="shared" si="3"/>
        <v>13074382.640991285</v>
      </c>
      <c r="O34" s="40"/>
      <c r="P34" s="40">
        <f t="shared" si="4"/>
        <v>219506.85587829098</v>
      </c>
      <c r="Q34" s="40"/>
      <c r="R34" s="40">
        <f t="shared" si="5"/>
        <v>10352258.834148003</v>
      </c>
    </row>
    <row r="35" spans="1:18">
      <c r="A35" s="46">
        <f t="shared" si="6"/>
        <v>2030</v>
      </c>
      <c r="B35" s="40">
        <f t="shared" si="0"/>
        <v>69110.110381379025</v>
      </c>
      <c r="C35" s="40"/>
      <c r="D35" s="40">
        <f t="shared" si="1"/>
        <v>-6911.0110381379027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12970533.357803341</v>
      </c>
      <c r="M35" s="40"/>
      <c r="N35" s="40">
        <f t="shared" si="3"/>
        <v>13005088.412994031</v>
      </c>
      <c r="O35" s="40"/>
      <c r="P35" s="40">
        <f t="shared" si="4"/>
        <v>218343.46954213604</v>
      </c>
      <c r="Q35" s="40"/>
      <c r="R35" s="40">
        <f t="shared" si="5"/>
        <v>10494581.182270622</v>
      </c>
    </row>
    <row r="36" spans="1:18">
      <c r="A36" s="46">
        <f t="shared" si="6"/>
        <v>2031</v>
      </c>
      <c r="B36" s="40">
        <f t="shared" si="0"/>
        <v>68743.826796357709</v>
      </c>
      <c r="C36" s="40"/>
      <c r="D36" s="40">
        <f t="shared" si="1"/>
        <v>-6874.3826796357716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12901789.531006983</v>
      </c>
      <c r="M36" s="40"/>
      <c r="N36" s="40">
        <f t="shared" si="3"/>
        <v>12936161.444405161</v>
      </c>
      <c r="O36" s="40"/>
      <c r="P36" s="40">
        <f t="shared" si="4"/>
        <v>217186.24915356268</v>
      </c>
      <c r="Q36" s="40"/>
      <c r="R36" s="40">
        <f t="shared" si="5"/>
        <v>10636149.22194819</v>
      </c>
    </row>
    <row r="37" spans="1:18">
      <c r="A37" s="46">
        <f t="shared" si="6"/>
        <v>2032</v>
      </c>
      <c r="B37" s="40">
        <f t="shared" si="0"/>
        <v>68379.484514337004</v>
      </c>
      <c r="C37" s="40"/>
      <c r="D37" s="40">
        <f t="shared" si="1"/>
        <v>-6837.9484514337009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12833410.046492646</v>
      </c>
      <c r="M37" s="40"/>
      <c r="N37" s="40">
        <f t="shared" si="3"/>
        <v>12867599.788749814</v>
      </c>
      <c r="O37" s="40"/>
      <c r="P37" s="40">
        <f t="shared" si="4"/>
        <v>216035.16203304881</v>
      </c>
      <c r="Q37" s="40"/>
      <c r="R37" s="40">
        <f t="shared" si="5"/>
        <v>10776966.951015469</v>
      </c>
    </row>
    <row r="38" spans="1:18">
      <c r="A38" s="46">
        <f t="shared" si="6"/>
        <v>2033</v>
      </c>
      <c r="B38" s="40">
        <f t="shared" si="0"/>
        <v>68017.073246411019</v>
      </c>
      <c r="C38" s="40"/>
      <c r="D38" s="40">
        <f t="shared" si="1"/>
        <v>-6801.7073246411019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12765392.973246235</v>
      </c>
      <c r="M38" s="40"/>
      <c r="N38" s="40">
        <f t="shared" si="3"/>
        <v>12799401.509869441</v>
      </c>
      <c r="O38" s="40"/>
      <c r="P38" s="40">
        <f t="shared" si="4"/>
        <v>214890.17567427369</v>
      </c>
      <c r="Q38" s="40"/>
      <c r="R38" s="40">
        <f t="shared" si="5"/>
        <v>10917038.346118692</v>
      </c>
    </row>
    <row r="39" spans="1:18">
      <c r="A39" s="46">
        <f t="shared" si="6"/>
        <v>2034</v>
      </c>
      <c r="B39" s="40">
        <f t="shared" si="0"/>
        <v>67656.582758205055</v>
      </c>
      <c r="C39" s="40"/>
      <c r="D39" s="40">
        <f t="shared" si="1"/>
        <v>-6765.6582758205059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12697736.39048803</v>
      </c>
      <c r="M39" s="40"/>
      <c r="N39" s="40">
        <f t="shared" si="3"/>
        <v>12731564.681867134</v>
      </c>
      <c r="O39" s="40"/>
      <c r="P39" s="40">
        <f t="shared" si="4"/>
        <v>213751.25774320003</v>
      </c>
      <c r="Q39" s="40"/>
      <c r="R39" s="40">
        <f t="shared" si="5"/>
        <v>11056367.362827867</v>
      </c>
    </row>
    <row r="40" spans="1:18">
      <c r="A40" s="46">
        <f t="shared" si="6"/>
        <v>2035</v>
      </c>
      <c r="B40" s="40">
        <f t="shared" si="0"/>
        <v>67298.002869586562</v>
      </c>
      <c r="C40" s="40"/>
      <c r="D40" s="40">
        <f t="shared" si="1"/>
        <v>-6729.8002869586562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12630438.387618443</v>
      </c>
      <c r="M40" s="40"/>
      <c r="N40" s="40">
        <f t="shared" si="3"/>
        <v>12664087.389053237</v>
      </c>
      <c r="O40" s="40"/>
      <c r="P40" s="40">
        <f t="shared" si="4"/>
        <v>212618.37607716105</v>
      </c>
      <c r="Q40" s="40"/>
      <c r="R40" s="40">
        <f t="shared" si="5"/>
        <v>11194957.935748482</v>
      </c>
    </row>
    <row r="41" spans="1:18">
      <c r="A41" s="46">
        <f t="shared" si="6"/>
        <v>2036</v>
      </c>
      <c r="B41" s="40">
        <f t="shared" si="0"/>
        <v>66941.323454377751</v>
      </c>
      <c r="C41" s="40"/>
      <c r="D41" s="40">
        <f t="shared" si="1"/>
        <v>-6694.1323454377753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12563497.064164065</v>
      </c>
      <c r="M41" s="40"/>
      <c r="N41" s="40">
        <f t="shared" si="3"/>
        <v>12596967.725891255</v>
      </c>
      <c r="O41" s="40"/>
      <c r="P41" s="40">
        <f t="shared" si="4"/>
        <v>211491.49868395212</v>
      </c>
      <c r="Q41" s="40"/>
      <c r="R41" s="40">
        <f t="shared" si="5"/>
        <v>11332813.978632618</v>
      </c>
    </row>
    <row r="42" spans="1:18">
      <c r="A42" s="46">
        <f t="shared" si="6"/>
        <v>2037</v>
      </c>
      <c r="B42" s="40">
        <f t="shared" si="0"/>
        <v>66586.534440069547</v>
      </c>
      <c r="C42" s="40"/>
      <c r="D42" s="40">
        <f t="shared" si="1"/>
        <v>-6658.6534440069554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12496910.529723994</v>
      </c>
      <c r="M42" s="40"/>
      <c r="N42" s="40">
        <f t="shared" si="3"/>
        <v>12530203.79694403</v>
      </c>
      <c r="O42" s="40"/>
      <c r="P42" s="40">
        <f t="shared" si="4"/>
        <v>210370.59374092714</v>
      </c>
      <c r="Q42" s="40"/>
      <c r="R42" s="40">
        <f t="shared" si="5"/>
        <v>11469939.384489467</v>
      </c>
    </row>
    <row r="43" spans="1:18">
      <c r="A43" s="46">
        <f t="shared" si="6"/>
        <v>2038</v>
      </c>
      <c r="B43" s="40">
        <f t="shared" si="0"/>
        <v>66233.625807537173</v>
      </c>
      <c r="C43" s="40"/>
      <c r="D43" s="40">
        <f t="shared" si="1"/>
        <v>-6623.3625807537173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12430676.903916458</v>
      </c>
      <c r="M43" s="40"/>
      <c r="N43" s="40">
        <f t="shared" si="3"/>
        <v>12463793.716820225</v>
      </c>
      <c r="O43" s="40"/>
      <c r="P43" s="40">
        <f t="shared" si="4"/>
        <v>209255.6295941002</v>
      </c>
      <c r="Q43" s="40"/>
      <c r="R43" s="40">
        <f t="shared" si="5"/>
        <v>11606338.025695277</v>
      </c>
    </row>
    <row r="44" spans="1:18">
      <c r="A44" s="46">
        <f t="shared" si="6"/>
        <v>2039</v>
      </c>
      <c r="B44" s="40">
        <f t="shared" si="0"/>
        <v>65882.587590757219</v>
      </c>
      <c r="C44" s="40"/>
      <c r="D44" s="40">
        <f t="shared" si="1"/>
        <v>-6588.2587590757221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12364794.3163257</v>
      </c>
      <c r="M44" s="40"/>
      <c r="N44" s="40">
        <f t="shared" si="3"/>
        <v>12397735.610121079</v>
      </c>
      <c r="O44" s="40"/>
      <c r="P44" s="40">
        <f t="shared" si="4"/>
        <v>208146.57475725148</v>
      </c>
      <c r="Q44" s="40"/>
      <c r="R44" s="40">
        <f t="shared" si="5"/>
        <v>11742013.754102696</v>
      </c>
    </row>
    <row r="45" spans="1:18">
      <c r="A45" s="46">
        <f t="shared" si="6"/>
        <v>2040</v>
      </c>
      <c r="B45" s="40">
        <v>0</v>
      </c>
      <c r="C45" s="40"/>
      <c r="D45" s="40">
        <f t="shared" si="1"/>
        <v>0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12364794.3163257</v>
      </c>
      <c r="M45" s="40"/>
      <c r="N45" s="40">
        <f t="shared" si="3"/>
        <v>12364794.3163257</v>
      </c>
      <c r="O45" s="40"/>
      <c r="P45" s="40">
        <f t="shared" si="4"/>
        <v>207593.5207410017</v>
      </c>
      <c r="Q45" s="40"/>
      <c r="R45" s="40">
        <f t="shared" si="5"/>
        <v>11949607.274843697</v>
      </c>
    </row>
    <row r="46" spans="1:18">
      <c r="A46" s="46">
        <f t="shared" si="6"/>
        <v>2041</v>
      </c>
      <c r="B46" s="40">
        <v>0</v>
      </c>
      <c r="C46" s="40"/>
      <c r="D46" s="40">
        <f t="shared" si="1"/>
        <v>0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12364794.3163257</v>
      </c>
      <c r="M46" s="40"/>
      <c r="N46" s="40">
        <f t="shared" si="3"/>
        <v>12364794.3163257</v>
      </c>
      <c r="O46" s="40"/>
      <c r="P46" s="40">
        <f t="shared" si="4"/>
        <v>207593.5207410017</v>
      </c>
      <c r="Q46" s="40"/>
      <c r="R46" s="40">
        <f t="shared" si="5"/>
        <v>12157200.795584697</v>
      </c>
    </row>
    <row r="47" spans="1:18">
      <c r="A47" s="46">
        <f t="shared" si="6"/>
        <v>2042</v>
      </c>
      <c r="B47" s="40">
        <v>0</v>
      </c>
      <c r="C47" s="40"/>
      <c r="D47" s="40">
        <f t="shared" si="1"/>
        <v>0</v>
      </c>
      <c r="E47" s="40"/>
      <c r="F47" s="40">
        <f>L46</f>
        <v>12364794.3163257</v>
      </c>
      <c r="G47" s="40"/>
      <c r="H47" s="40"/>
      <c r="I47" s="40"/>
      <c r="J47" s="40">
        <v>0</v>
      </c>
      <c r="K47" s="40"/>
      <c r="L47" s="40">
        <f t="shared" si="2"/>
        <v>0</v>
      </c>
      <c r="M47" s="40"/>
      <c r="N47" s="40">
        <f>+L46</f>
        <v>12364794.3163257</v>
      </c>
      <c r="O47" s="40"/>
      <c r="P47" s="40">
        <f t="shared" si="4"/>
        <v>207593.5207410017</v>
      </c>
      <c r="Q47" s="40"/>
      <c r="R47" s="40">
        <f t="shared" si="5"/>
        <v>-1.862645149230957E-9</v>
      </c>
    </row>
    <row r="48" spans="1:18">
      <c r="A48" s="46">
        <f t="shared" si="6"/>
        <v>2043</v>
      </c>
      <c r="B48" s="40">
        <f t="shared" si="0"/>
        <v>0</v>
      </c>
      <c r="C48" s="40"/>
      <c r="D48" s="40">
        <f t="shared" si="1"/>
        <v>0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0</v>
      </c>
      <c r="M48" s="40"/>
      <c r="N48" s="40">
        <f t="shared" si="3"/>
        <v>0</v>
      </c>
      <c r="O48" s="40"/>
      <c r="P48" s="40">
        <f t="shared" si="4"/>
        <v>0</v>
      </c>
      <c r="Q48" s="40"/>
      <c r="R48" s="40">
        <f t="shared" si="5"/>
        <v>-1.862645149230957E-9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0</v>
      </c>
      <c r="M49" s="40"/>
      <c r="N49" s="40">
        <f t="shared" si="3"/>
        <v>0</v>
      </c>
      <c r="O49" s="40"/>
      <c r="P49" s="40">
        <f t="shared" si="4"/>
        <v>0</v>
      </c>
      <c r="Q49" s="40"/>
      <c r="R49" s="40">
        <f t="shared" si="5"/>
        <v>-1.862645149230957E-9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0</v>
      </c>
      <c r="M50" s="40"/>
      <c r="N50" s="40">
        <f t="shared" si="3"/>
        <v>0</v>
      </c>
      <c r="O50" s="40"/>
      <c r="P50" s="40">
        <f t="shared" si="4"/>
        <v>0</v>
      </c>
      <c r="Q50" s="40"/>
      <c r="R50" s="40">
        <f t="shared" si="5"/>
        <v>-1.862645149230957E-9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/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 t="shared" si="3"/>
        <v>0</v>
      </c>
      <c r="O51" s="40"/>
      <c r="P51" s="40">
        <f t="shared" si="4"/>
        <v>0</v>
      </c>
      <c r="Q51" s="40"/>
      <c r="R51" s="40">
        <f t="shared" si="5"/>
        <v>-1.862645149230957E-9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1607514.7546104807</v>
      </c>
      <c r="C62" s="38" t="s">
        <v>39</v>
      </c>
      <c r="D62" s="38">
        <f>SUM(D22:D58)</f>
        <v>-160751.47546104807</v>
      </c>
      <c r="E62" s="38">
        <v>0</v>
      </c>
      <c r="F62" s="38">
        <f>SUM(F22:F58)</f>
        <v>12364794.3163257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339595296.2528947</v>
      </c>
      <c r="O62" s="40"/>
      <c r="P62" s="38">
        <f>SUM(P22:P58)</f>
        <v>5701492.590389559</v>
      </c>
      <c r="Q62" s="40"/>
      <c r="R62" s="4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104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'Scholz-316'!$P$2</f>
        <v>-0.05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143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-6.3044933319791573E-3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'!$J$618</f>
        <v>3.3365984381040978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24.200822947612313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27.53742138571641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-2.4316855419943322E-2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16304.717001201903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IRR!D7</f>
        <v>5.5999999999999999E-3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4.2586210848404429E-2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2.2894276278349294E-4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4.2357268085620937E-2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Unit(Fcst)'!D40</f>
        <v>133722.09792436979</v>
      </c>
      <c r="M21" s="40"/>
      <c r="N21" s="40"/>
      <c r="O21" s="40"/>
      <c r="P21" s="40"/>
      <c r="Q21" s="40"/>
      <c r="R21" s="40">
        <f>'2016 YE Reserve by Unit(Fcst)'!D38</f>
        <v>-3251.7009216784031</v>
      </c>
    </row>
    <row r="22" spans="1:18">
      <c r="A22" s="46">
        <v>2017</v>
      </c>
      <c r="B22" s="40">
        <f>+L21*P$10</f>
        <v>748.8437483764709</v>
      </c>
      <c r="C22" s="40"/>
      <c r="D22" s="40">
        <f>+B22*P$2</f>
        <v>-37.442187418823544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132973.25417599332</v>
      </c>
      <c r="M22" s="40"/>
      <c r="N22" s="40">
        <f>(L21+L22)/2</f>
        <v>133347.67605018156</v>
      </c>
      <c r="O22" s="40"/>
      <c r="P22" s="40">
        <f>N22*$P$12</f>
        <v>5678.7722484177611</v>
      </c>
      <c r="Q22" s="40"/>
      <c r="R22" s="40">
        <f>R21+P22-B22-F22+D22</f>
        <v>1640.7853909440635</v>
      </c>
    </row>
    <row r="23" spans="1:18">
      <c r="A23" s="46">
        <f>A22+1</f>
        <v>2018</v>
      </c>
      <c r="B23" s="40">
        <f t="shared" ref="B23:B48" si="0">+L22*P$10</f>
        <v>744.65022338556264</v>
      </c>
      <c r="C23" s="40"/>
      <c r="D23" s="40">
        <f t="shared" ref="D23:D51" si="1">+B23*P$2</f>
        <v>-37.232511169278133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132228.60395260775</v>
      </c>
      <c r="M23" s="40"/>
      <c r="N23" s="40">
        <f t="shared" ref="N23:N51" si="3">(L22+L23)/2</f>
        <v>132600.92906430055</v>
      </c>
      <c r="O23" s="40"/>
      <c r="P23" s="40">
        <f t="shared" ref="P23:P51" si="4">N23*$P$12</f>
        <v>5646.9711238266227</v>
      </c>
      <c r="Q23" s="40"/>
      <c r="R23" s="40">
        <f t="shared" ref="R23:R51" si="5">R22+P23-B23-F23+D23</f>
        <v>6505.8737802158457</v>
      </c>
    </row>
    <row r="24" spans="1:18">
      <c r="A24" s="46">
        <f t="shared" ref="A24:A58" si="6">A23+1</f>
        <v>2019</v>
      </c>
      <c r="B24" s="40">
        <f t="shared" si="0"/>
        <v>740.48018213460341</v>
      </c>
      <c r="C24" s="40"/>
      <c r="D24" s="40">
        <f t="shared" si="1"/>
        <v>-37.024009106730169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131488.12377047315</v>
      </c>
      <c r="M24" s="40"/>
      <c r="N24" s="40">
        <f t="shared" si="3"/>
        <v>131858.36386154045</v>
      </c>
      <c r="O24" s="40"/>
      <c r="P24" s="40">
        <f t="shared" si="4"/>
        <v>5615.3480855331927</v>
      </c>
      <c r="Q24" s="40"/>
      <c r="R24" s="40">
        <f t="shared" si="5"/>
        <v>11343.717674507705</v>
      </c>
    </row>
    <row r="25" spans="1:18">
      <c r="A25" s="46">
        <f t="shared" si="6"/>
        <v>2020</v>
      </c>
      <c r="B25" s="40">
        <f t="shared" si="0"/>
        <v>736.33349311464963</v>
      </c>
      <c r="C25" s="40"/>
      <c r="D25" s="40">
        <f t="shared" si="1"/>
        <v>-36.816674655732484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130751.79027735849</v>
      </c>
      <c r="M25" s="40"/>
      <c r="N25" s="40">
        <f t="shared" si="3"/>
        <v>131119.95702391583</v>
      </c>
      <c r="O25" s="40"/>
      <c r="P25" s="40">
        <f t="shared" si="4"/>
        <v>5583.9021362542071</v>
      </c>
      <c r="Q25" s="40"/>
      <c r="R25" s="40">
        <f t="shared" si="5"/>
        <v>16154.469642991531</v>
      </c>
    </row>
    <row r="26" spans="1:18">
      <c r="A26" s="46">
        <f t="shared" si="6"/>
        <v>2021</v>
      </c>
      <c r="B26" s="40">
        <f t="shared" si="0"/>
        <v>732.21002555320752</v>
      </c>
      <c r="C26" s="40"/>
      <c r="D26" s="40">
        <f t="shared" si="1"/>
        <v>-36.610501277660376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130019.58025180528</v>
      </c>
      <c r="M26" s="40"/>
      <c r="N26" s="40">
        <f t="shared" si="3"/>
        <v>130385.68526458189</v>
      </c>
      <c r="O26" s="40"/>
      <c r="P26" s="40">
        <f t="shared" si="4"/>
        <v>5552.6322842911832</v>
      </c>
      <c r="Q26" s="40"/>
      <c r="R26" s="40">
        <f t="shared" si="5"/>
        <v>20938.281400451848</v>
      </c>
    </row>
    <row r="27" spans="1:18">
      <c r="A27" s="46">
        <f t="shared" si="6"/>
        <v>2022</v>
      </c>
      <c r="B27" s="40">
        <f t="shared" si="0"/>
        <v>728.10964941010957</v>
      </c>
      <c r="C27" s="40"/>
      <c r="D27" s="40">
        <f t="shared" si="1"/>
        <v>-36.405482470505483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129291.47060239517</v>
      </c>
      <c r="M27" s="40"/>
      <c r="N27" s="40">
        <f t="shared" si="3"/>
        <v>129655.52542710022</v>
      </c>
      <c r="O27" s="40"/>
      <c r="P27" s="40">
        <f t="shared" si="4"/>
        <v>5521.537543499152</v>
      </c>
      <c r="Q27" s="40"/>
      <c r="R27" s="40">
        <f t="shared" si="5"/>
        <v>25695.303812070382</v>
      </c>
    </row>
    <row r="28" spans="1:18">
      <c r="A28" s="46">
        <f t="shared" si="6"/>
        <v>2023</v>
      </c>
      <c r="B28" s="40">
        <f t="shared" si="0"/>
        <v>724.03223537341296</v>
      </c>
      <c r="C28" s="40"/>
      <c r="D28" s="40">
        <f t="shared" si="1"/>
        <v>-36.201611768670652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128567.43836702176</v>
      </c>
      <c r="M28" s="40"/>
      <c r="N28" s="40">
        <f t="shared" si="3"/>
        <v>128929.45448470846</v>
      </c>
      <c r="O28" s="40"/>
      <c r="P28" s="40">
        <f t="shared" si="4"/>
        <v>5490.6169332555564</v>
      </c>
      <c r="Q28" s="40"/>
      <c r="R28" s="40">
        <f t="shared" si="5"/>
        <v>30425.686898183856</v>
      </c>
    </row>
    <row r="29" spans="1:18">
      <c r="A29" s="46">
        <f t="shared" si="6"/>
        <v>2024</v>
      </c>
      <c r="B29" s="40">
        <f t="shared" si="0"/>
        <v>719.97765485532193</v>
      </c>
      <c r="C29" s="40"/>
      <c r="D29" s="40">
        <f t="shared" si="1"/>
        <v>-35.998882742766099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127847.46071216644</v>
      </c>
      <c r="M29" s="40"/>
      <c r="N29" s="40">
        <f t="shared" si="3"/>
        <v>128207.4495395941</v>
      </c>
      <c r="O29" s="40"/>
      <c r="P29" s="40">
        <f t="shared" si="4"/>
        <v>5459.8694784293257</v>
      </c>
      <c r="Q29" s="40"/>
      <c r="R29" s="40">
        <f t="shared" si="5"/>
        <v>35129.579839015096</v>
      </c>
    </row>
    <row r="30" spans="1:18">
      <c r="A30" s="46">
        <f t="shared" si="6"/>
        <v>2025</v>
      </c>
      <c r="B30" s="40">
        <f t="shared" si="0"/>
        <v>715.94577998813213</v>
      </c>
      <c r="C30" s="40"/>
      <c r="D30" s="40">
        <f t="shared" si="1"/>
        <v>-35.797288999406611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127131.51493217831</v>
      </c>
      <c r="M30" s="40"/>
      <c r="N30" s="40">
        <f t="shared" si="3"/>
        <v>127489.48782217238</v>
      </c>
      <c r="O30" s="40"/>
      <c r="P30" s="40">
        <f t="shared" si="4"/>
        <v>5429.2942093501215</v>
      </c>
      <c r="Q30" s="40"/>
      <c r="R30" s="40">
        <f t="shared" si="5"/>
        <v>39807.130979377675</v>
      </c>
    </row>
    <row r="31" spans="1:18">
      <c r="A31" s="46">
        <f t="shared" si="6"/>
        <v>2026</v>
      </c>
      <c r="B31" s="40">
        <f t="shared" si="0"/>
        <v>711.93648362019849</v>
      </c>
      <c r="C31" s="40"/>
      <c r="D31" s="40">
        <f t="shared" si="1"/>
        <v>-35.596824181009929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126419.57844855811</v>
      </c>
      <c r="M31" s="40"/>
      <c r="N31" s="40">
        <f t="shared" si="3"/>
        <v>126775.54669036821</v>
      </c>
      <c r="O31" s="40"/>
      <c r="P31" s="40">
        <f t="shared" si="4"/>
        <v>5398.890161777761</v>
      </c>
      <c r="Q31" s="40"/>
      <c r="R31" s="40">
        <f t="shared" si="5"/>
        <v>44458.487833354222</v>
      </c>
    </row>
    <row r="32" spans="1:18">
      <c r="A32" s="46">
        <f t="shared" si="6"/>
        <v>2027</v>
      </c>
      <c r="B32" s="40">
        <f t="shared" si="0"/>
        <v>707.94963931192535</v>
      </c>
      <c r="C32" s="40"/>
      <c r="D32" s="40">
        <f t="shared" si="1"/>
        <v>-35.39748196559627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125711.62880924619</v>
      </c>
      <c r="M32" s="40"/>
      <c r="N32" s="40">
        <f t="shared" si="3"/>
        <v>126065.60362890214</v>
      </c>
      <c r="O32" s="40"/>
      <c r="P32" s="40">
        <f t="shared" si="4"/>
        <v>5368.6563768718052</v>
      </c>
      <c r="Q32" s="40"/>
      <c r="R32" s="40">
        <f t="shared" si="5"/>
        <v>49083.7970889485</v>
      </c>
    </row>
    <row r="33" spans="1:18">
      <c r="A33" s="46">
        <f t="shared" si="6"/>
        <v>2028</v>
      </c>
      <c r="B33" s="40">
        <f t="shared" si="0"/>
        <v>703.98512133177871</v>
      </c>
      <c r="C33" s="40"/>
      <c r="D33" s="40">
        <f t="shared" si="1"/>
        <v>-35.199256066588937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125007.64368791442</v>
      </c>
      <c r="M33" s="40"/>
      <c r="N33" s="40">
        <f t="shared" si="3"/>
        <v>125359.6362485803</v>
      </c>
      <c r="O33" s="40"/>
      <c r="P33" s="40">
        <f t="shared" si="4"/>
        <v>5338.5919011613232</v>
      </c>
      <c r="Q33" s="40"/>
      <c r="R33" s="40">
        <f t="shared" si="5"/>
        <v>53683.204612711452</v>
      </c>
    </row>
    <row r="34" spans="1:18">
      <c r="A34" s="46">
        <f t="shared" si="6"/>
        <v>2029</v>
      </c>
      <c r="B34" s="40">
        <f t="shared" si="0"/>
        <v>700.04280465232068</v>
      </c>
      <c r="C34" s="40"/>
      <c r="D34" s="40">
        <f t="shared" si="1"/>
        <v>-35.002140232616036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124307.6008832621</v>
      </c>
      <c r="M34" s="40"/>
      <c r="N34" s="40">
        <f t="shared" si="3"/>
        <v>124657.62228558827</v>
      </c>
      <c r="O34" s="40"/>
      <c r="P34" s="40">
        <f t="shared" si="4"/>
        <v>5308.6957865148206</v>
      </c>
      <c r="Q34" s="40"/>
      <c r="R34" s="40">
        <f t="shared" si="5"/>
        <v>58256.855454341334</v>
      </c>
    </row>
    <row r="35" spans="1:18">
      <c r="A35" s="46">
        <f t="shared" si="6"/>
        <v>2030</v>
      </c>
      <c r="B35" s="40">
        <f t="shared" si="0"/>
        <v>696.12256494626774</v>
      </c>
      <c r="C35" s="40"/>
      <c r="D35" s="40">
        <f t="shared" si="1"/>
        <v>-34.806128247313389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123611.47831831583</v>
      </c>
      <c r="M35" s="40"/>
      <c r="N35" s="40">
        <f t="shared" si="3"/>
        <v>123959.53960078896</v>
      </c>
      <c r="O35" s="40"/>
      <c r="P35" s="40">
        <f t="shared" si="4"/>
        <v>5278.9670901103373</v>
      </c>
      <c r="Q35" s="40"/>
      <c r="R35" s="40">
        <f t="shared" si="5"/>
        <v>62804.893851258093</v>
      </c>
    </row>
    <row r="36" spans="1:18">
      <c r="A36" s="46">
        <f t="shared" si="6"/>
        <v>2031</v>
      </c>
      <c r="B36" s="40">
        <f t="shared" si="0"/>
        <v>692.22427858256867</v>
      </c>
      <c r="C36" s="40"/>
      <c r="D36" s="40">
        <f t="shared" si="1"/>
        <v>-34.611213929128432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122919.25403973326</v>
      </c>
      <c r="M36" s="40"/>
      <c r="N36" s="40">
        <f t="shared" si="3"/>
        <v>123265.36617902454</v>
      </c>
      <c r="O36" s="40"/>
      <c r="P36" s="40">
        <f t="shared" si="4"/>
        <v>5249.4048744057191</v>
      </c>
      <c r="Q36" s="40"/>
      <c r="R36" s="40">
        <f t="shared" si="5"/>
        <v>67327.463233152128</v>
      </c>
    </row>
    <row r="37" spans="1:18">
      <c r="A37" s="46">
        <f t="shared" si="6"/>
        <v>2032</v>
      </c>
      <c r="B37" s="40">
        <f t="shared" si="0"/>
        <v>688.34782262250621</v>
      </c>
      <c r="C37" s="40"/>
      <c r="D37" s="40">
        <f t="shared" si="1"/>
        <v>-34.417391131125314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122230.90621711075</v>
      </c>
      <c r="M37" s="40"/>
      <c r="N37" s="40">
        <f t="shared" si="3"/>
        <v>122575.08012842201</v>
      </c>
      <c r="O37" s="40"/>
      <c r="P37" s="40">
        <f t="shared" si="4"/>
        <v>5220.0082071090474</v>
      </c>
      <c r="Q37" s="40"/>
      <c r="R37" s="40">
        <f t="shared" si="5"/>
        <v>71824.706226507536</v>
      </c>
    </row>
    <row r="38" spans="1:18">
      <c r="A38" s="46">
        <f t="shared" si="6"/>
        <v>2033</v>
      </c>
      <c r="B38" s="40">
        <f t="shared" si="0"/>
        <v>684.49307481582025</v>
      </c>
      <c r="C38" s="40"/>
      <c r="D38" s="40">
        <f t="shared" si="1"/>
        <v>-34.224653740791013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121546.41314229493</v>
      </c>
      <c r="M38" s="40"/>
      <c r="N38" s="40">
        <f t="shared" si="3"/>
        <v>121888.65967970283</v>
      </c>
      <c r="O38" s="40"/>
      <c r="P38" s="40">
        <f t="shared" si="4"/>
        <v>5190.776161149236</v>
      </c>
      <c r="Q38" s="40"/>
      <c r="R38" s="40">
        <f t="shared" si="5"/>
        <v>76296.764659100154</v>
      </c>
    </row>
    <row r="39" spans="1:18">
      <c r="A39" s="46">
        <f t="shared" si="6"/>
        <v>2034</v>
      </c>
      <c r="B39" s="40">
        <f t="shared" si="0"/>
        <v>680.65991359685154</v>
      </c>
      <c r="C39" s="40"/>
      <c r="D39" s="40">
        <f t="shared" si="1"/>
        <v>-34.032995679842578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120865.75322869807</v>
      </c>
      <c r="M39" s="40"/>
      <c r="N39" s="40">
        <f t="shared" si="3"/>
        <v>121206.08318549651</v>
      </c>
      <c r="O39" s="40"/>
      <c r="P39" s="40">
        <f t="shared" si="4"/>
        <v>5161.7078146468011</v>
      </c>
      <c r="Q39" s="40"/>
      <c r="R39" s="40">
        <f t="shared" si="5"/>
        <v>80743.779564470256</v>
      </c>
    </row>
    <row r="40" spans="1:18">
      <c r="A40" s="46">
        <f t="shared" si="6"/>
        <v>2035</v>
      </c>
      <c r="B40" s="40">
        <f t="shared" si="0"/>
        <v>676.84821808070922</v>
      </c>
      <c r="C40" s="40"/>
      <c r="D40" s="40">
        <f t="shared" si="1"/>
        <v>-33.842410904035461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120188.90501061737</v>
      </c>
      <c r="M40" s="40"/>
      <c r="N40" s="40">
        <f t="shared" si="3"/>
        <v>120527.32911965772</v>
      </c>
      <c r="O40" s="40"/>
      <c r="P40" s="40">
        <f t="shared" si="4"/>
        <v>5132.8022508847789</v>
      </c>
      <c r="Q40" s="40"/>
      <c r="R40" s="40">
        <f t="shared" si="5"/>
        <v>85165.891186370296</v>
      </c>
    </row>
    <row r="41" spans="1:18">
      <c r="A41" s="46">
        <f t="shared" si="6"/>
        <v>2036</v>
      </c>
      <c r="B41" s="40">
        <f t="shared" si="0"/>
        <v>673.05786805945729</v>
      </c>
      <c r="C41" s="40"/>
      <c r="D41" s="40">
        <f t="shared" si="1"/>
        <v>-33.652893402972865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119515.8471425579</v>
      </c>
      <c r="M41" s="40"/>
      <c r="N41" s="40">
        <f t="shared" si="3"/>
        <v>119852.37607658764</v>
      </c>
      <c r="O41" s="40"/>
      <c r="P41" s="40">
        <f t="shared" si="4"/>
        <v>5104.058558279824</v>
      </c>
      <c r="Q41" s="40"/>
      <c r="R41" s="40">
        <f t="shared" si="5"/>
        <v>89563.238983187679</v>
      </c>
    </row>
    <row r="42" spans="1:18">
      <c r="A42" s="46">
        <f t="shared" si="6"/>
        <v>2037</v>
      </c>
      <c r="B42" s="40">
        <f t="shared" si="0"/>
        <v>669.28874399832421</v>
      </c>
      <c r="C42" s="40"/>
      <c r="D42" s="40">
        <f t="shared" si="1"/>
        <v>-33.464437199916212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118846.55839855957</v>
      </c>
      <c r="M42" s="40"/>
      <c r="N42" s="40">
        <f t="shared" si="3"/>
        <v>119181.20277055874</v>
      </c>
      <c r="O42" s="40"/>
      <c r="P42" s="40">
        <f t="shared" si="4"/>
        <v>5075.4758303534563</v>
      </c>
      <c r="Q42" s="40"/>
      <c r="R42" s="40">
        <f t="shared" si="5"/>
        <v>93935.961632342907</v>
      </c>
    </row>
    <row r="43" spans="1:18">
      <c r="A43" s="46">
        <f t="shared" si="6"/>
        <v>2038</v>
      </c>
      <c r="B43" s="40">
        <f t="shared" si="0"/>
        <v>665.54072703193356</v>
      </c>
      <c r="C43" s="40"/>
      <c r="D43" s="40">
        <f t="shared" si="1"/>
        <v>-33.277036351596678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118181.01767152765</v>
      </c>
      <c r="M43" s="40"/>
      <c r="N43" s="40">
        <f t="shared" si="3"/>
        <v>118513.7880350436</v>
      </c>
      <c r="O43" s="40"/>
      <c r="P43" s="40">
        <f t="shared" si="4"/>
        <v>5047.0531657034771</v>
      </c>
      <c r="Q43" s="40"/>
      <c r="R43" s="40">
        <f t="shared" si="5"/>
        <v>98284.197034662851</v>
      </c>
    </row>
    <row r="44" spans="1:18">
      <c r="A44" s="46">
        <f t="shared" si="6"/>
        <v>2039</v>
      </c>
      <c r="B44" s="40">
        <f t="shared" si="0"/>
        <v>661.8136989605548</v>
      </c>
      <c r="C44" s="40"/>
      <c r="D44" s="40">
        <f t="shared" si="1"/>
        <v>-33.090684948027743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117519.20397256709</v>
      </c>
      <c r="M44" s="40"/>
      <c r="N44" s="40">
        <f t="shared" si="3"/>
        <v>117850.11082204737</v>
      </c>
      <c r="O44" s="40"/>
      <c r="P44" s="40">
        <f t="shared" si="4"/>
        <v>5018.7896679755377</v>
      </c>
      <c r="Q44" s="40"/>
      <c r="R44" s="40">
        <f t="shared" si="5"/>
        <v>102608.08231872981</v>
      </c>
    </row>
    <row r="45" spans="1:18">
      <c r="A45" s="46">
        <f t="shared" si="6"/>
        <v>2040</v>
      </c>
      <c r="B45" s="40">
        <f t="shared" si="0"/>
        <v>658.10754224637571</v>
      </c>
      <c r="C45" s="40"/>
      <c r="D45" s="40">
        <f t="shared" si="1"/>
        <v>-32.905377112318789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116861.09643032071</v>
      </c>
      <c r="M45" s="40"/>
      <c r="N45" s="40">
        <f t="shared" si="3"/>
        <v>117190.1502014439</v>
      </c>
      <c r="O45" s="40"/>
      <c r="P45" s="40">
        <f t="shared" si="4"/>
        <v>4990.6844458348751</v>
      </c>
      <c r="Q45" s="40"/>
      <c r="R45" s="40">
        <f t="shared" si="5"/>
        <v>106907.753845206</v>
      </c>
    </row>
    <row r="46" spans="1:18">
      <c r="A46" s="46">
        <f t="shared" si="6"/>
        <v>2041</v>
      </c>
      <c r="B46" s="40">
        <v>0</v>
      </c>
      <c r="C46" s="40"/>
      <c r="D46" s="40">
        <f t="shared" si="1"/>
        <v>0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116861.09643032071</v>
      </c>
      <c r="M46" s="40"/>
      <c r="N46" s="40">
        <f t="shared" si="3"/>
        <v>116861.09643032071</v>
      </c>
      <c r="O46" s="40"/>
      <c r="P46" s="40">
        <f t="shared" si="4"/>
        <v>4976.6712925573602</v>
      </c>
      <c r="Q46" s="40"/>
      <c r="R46" s="40">
        <f t="shared" si="5"/>
        <v>111884.42513776336</v>
      </c>
    </row>
    <row r="47" spans="1:18">
      <c r="A47" s="46">
        <f t="shared" si="6"/>
        <v>2042</v>
      </c>
      <c r="B47" s="40">
        <v>0</v>
      </c>
      <c r="C47" s="40"/>
      <c r="D47" s="40">
        <f t="shared" si="1"/>
        <v>0</v>
      </c>
      <c r="E47" s="40"/>
      <c r="F47" s="40">
        <f>L46</f>
        <v>116861.09643032071</v>
      </c>
      <c r="G47" s="40"/>
      <c r="H47" s="40"/>
      <c r="I47" s="40"/>
      <c r="J47" s="40">
        <v>0</v>
      </c>
      <c r="K47" s="40"/>
      <c r="L47" s="40">
        <f t="shared" si="2"/>
        <v>0</v>
      </c>
      <c r="M47" s="40"/>
      <c r="N47" s="40">
        <f>+L46</f>
        <v>116861.09643032071</v>
      </c>
      <c r="O47" s="40"/>
      <c r="P47" s="40">
        <f t="shared" si="4"/>
        <v>4976.6712925573602</v>
      </c>
      <c r="Q47" s="40"/>
      <c r="R47" s="40">
        <f t="shared" si="5"/>
        <v>1.4551915228366852E-11</v>
      </c>
    </row>
    <row r="48" spans="1:18">
      <c r="A48" s="46">
        <f t="shared" si="6"/>
        <v>2043</v>
      </c>
      <c r="B48" s="40">
        <f t="shared" si="0"/>
        <v>0</v>
      </c>
      <c r="C48" s="40"/>
      <c r="D48" s="40">
        <f t="shared" si="1"/>
        <v>0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0</v>
      </c>
      <c r="M48" s="40"/>
      <c r="N48" s="40">
        <f t="shared" si="3"/>
        <v>0</v>
      </c>
      <c r="O48" s="40"/>
      <c r="P48" s="40">
        <f t="shared" si="4"/>
        <v>0</v>
      </c>
      <c r="Q48" s="40"/>
      <c r="R48" s="40">
        <f t="shared" si="5"/>
        <v>1.4551915228366852E-11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0</v>
      </c>
      <c r="M49" s="40"/>
      <c r="N49" s="40">
        <f t="shared" si="3"/>
        <v>0</v>
      </c>
      <c r="O49" s="40"/>
      <c r="P49" s="40">
        <f t="shared" si="4"/>
        <v>0</v>
      </c>
      <c r="Q49" s="40"/>
      <c r="R49" s="40">
        <f t="shared" si="5"/>
        <v>1.4551915228366852E-11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0</v>
      </c>
      <c r="M50" s="40"/>
      <c r="N50" s="40">
        <f t="shared" si="3"/>
        <v>0</v>
      </c>
      <c r="O50" s="40"/>
      <c r="P50" s="40">
        <f t="shared" si="4"/>
        <v>0</v>
      </c>
      <c r="Q50" s="40"/>
      <c r="R50" s="40">
        <f t="shared" si="5"/>
        <v>1.4551915228366852E-11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/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 t="shared" si="3"/>
        <v>0</v>
      </c>
      <c r="O51" s="40"/>
      <c r="P51" s="40">
        <f t="shared" si="4"/>
        <v>0</v>
      </c>
      <c r="Q51" s="40"/>
      <c r="R51" s="40">
        <f t="shared" si="5"/>
        <v>1.4551915228366852E-11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16861.001494049066</v>
      </c>
      <c r="C62" s="38" t="s">
        <v>39</v>
      </c>
      <c r="D62" s="38">
        <f>SUM(D22:D58)</f>
        <v>-843.05007470245323</v>
      </c>
      <c r="E62" s="38">
        <v>0</v>
      </c>
      <c r="F62" s="38">
        <f>SUM(F22:F58)</f>
        <v>116861.09643032071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3236184.8160509495</v>
      </c>
      <c r="O62" s="40"/>
      <c r="P62" s="38">
        <f>SUM(P22:P58)</f>
        <v>137816.84892075064</v>
      </c>
      <c r="Q62" s="40"/>
      <c r="R62" s="4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2.7109375" style="35" customWidth="1"/>
    <col min="9" max="9" width="1.85546875" style="35" customWidth="1"/>
    <col min="10" max="10" width="12.28515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2.7109375" style="35" bestFit="1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IRC!$D$4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-5.5178840382711205E-3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'!$J$624</f>
        <v>34.200867872447354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29.082512336142045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63.283380208589399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0.91908970057375206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5074048.1327385912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IRR!D3</f>
        <v>2.0999999999999999E-3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2.971826589998942E-3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8.719325706186255E-5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2.8846333329370795E-3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Unit(Fcst)'!D41</f>
        <v>9337214.2687969934</v>
      </c>
      <c r="M21" s="40"/>
      <c r="N21" s="40"/>
      <c r="O21" s="40"/>
      <c r="P21" s="40"/>
      <c r="Q21" s="40"/>
      <c r="R21" s="40">
        <f>'2016 YE Reserve by Unit(Fcst)'!D39</f>
        <v>8581737.4665015936</v>
      </c>
    </row>
    <row r="22" spans="1:18">
      <c r="A22" s="46">
        <v>2017</v>
      </c>
      <c r="B22" s="40">
        <f>+L21*P$10</f>
        <v>19608.149964473683</v>
      </c>
      <c r="C22" s="40"/>
      <c r="D22" s="40">
        <f>+B22*P$2</f>
        <v>-1960.8149964473685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9317606.1188325193</v>
      </c>
      <c r="M22" s="40"/>
      <c r="N22" s="40">
        <f>(L21+L22)/2</f>
        <v>9327410.1938147563</v>
      </c>
      <c r="O22" s="40"/>
      <c r="P22" s="40">
        <f>N22*$P$12</f>
        <v>27719.445629805879</v>
      </c>
      <c r="Q22" s="40"/>
      <c r="R22" s="40">
        <f>R21+P22-B22-F22+D22</f>
        <v>8587887.9471704774</v>
      </c>
    </row>
    <row r="23" spans="1:18">
      <c r="A23" s="46">
        <f>A22+1</f>
        <v>2018</v>
      </c>
      <c r="B23" s="40">
        <f t="shared" ref="B23:B48" si="0">+L22*P$10</f>
        <v>19566.972849548289</v>
      </c>
      <c r="C23" s="40"/>
      <c r="D23" s="40">
        <f t="shared" ref="D23:D49" si="1">+B23*P$2</f>
        <v>-1956.697284954829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9298039.1459829714</v>
      </c>
      <c r="M23" s="40"/>
      <c r="N23" s="40">
        <f t="shared" ref="N23:N50" si="3">(L22+L23)/2</f>
        <v>9307822.6324077453</v>
      </c>
      <c r="O23" s="40"/>
      <c r="P23" s="40">
        <f t="shared" ref="P23:P51" si="4">N23*$P$12</f>
        <v>27661.234793983287</v>
      </c>
      <c r="Q23" s="40"/>
      <c r="R23" s="40">
        <f t="shared" ref="R23:R51" si="5">R22+P23-B23-F23+D23</f>
        <v>8594025.5118299574</v>
      </c>
    </row>
    <row r="24" spans="1:18">
      <c r="A24" s="46">
        <f t="shared" ref="A24:A58" si="6">A23+1</f>
        <v>2019</v>
      </c>
      <c r="B24" s="40">
        <f t="shared" si="0"/>
        <v>19525.882206564238</v>
      </c>
      <c r="C24" s="40"/>
      <c r="D24" s="40">
        <f t="shared" si="1"/>
        <v>-1952.5882206564238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9278513.2637764066</v>
      </c>
      <c r="M24" s="40"/>
      <c r="N24" s="40">
        <f t="shared" si="3"/>
        <v>9288276.20487969</v>
      </c>
      <c r="O24" s="40"/>
      <c r="P24" s="40">
        <f t="shared" si="4"/>
        <v>27603.146200915922</v>
      </c>
      <c r="Q24" s="40"/>
      <c r="R24" s="40">
        <f t="shared" si="5"/>
        <v>8600150.1876036525</v>
      </c>
    </row>
    <row r="25" spans="1:18">
      <c r="A25" s="46">
        <f t="shared" si="6"/>
        <v>2020</v>
      </c>
      <c r="B25" s="40">
        <f t="shared" si="0"/>
        <v>19484.877853930451</v>
      </c>
      <c r="C25" s="40"/>
      <c r="D25" s="40">
        <f t="shared" si="1"/>
        <v>-1948.4877853930452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9259028.3859224766</v>
      </c>
      <c r="M25" s="40"/>
      <c r="N25" s="40">
        <f t="shared" si="3"/>
        <v>9268770.8248494416</v>
      </c>
      <c r="O25" s="40"/>
      <c r="P25" s="40">
        <f t="shared" si="4"/>
        <v>27545.179593893998</v>
      </c>
      <c r="Q25" s="40"/>
      <c r="R25" s="40">
        <f t="shared" si="5"/>
        <v>8606262.0015582237</v>
      </c>
    </row>
    <row r="26" spans="1:18">
      <c r="A26" s="46">
        <f t="shared" si="6"/>
        <v>2021</v>
      </c>
      <c r="B26" s="40">
        <f t="shared" si="0"/>
        <v>19443.959610437199</v>
      </c>
      <c r="C26" s="40"/>
      <c r="D26" s="40">
        <f t="shared" si="1"/>
        <v>-1944.39596104372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9239584.4263120387</v>
      </c>
      <c r="M26" s="40"/>
      <c r="N26" s="40">
        <f t="shared" si="3"/>
        <v>9249306.4061172567</v>
      </c>
      <c r="O26" s="40"/>
      <c r="P26" s="40">
        <f t="shared" si="4"/>
        <v>27487.334716746816</v>
      </c>
      <c r="Q26" s="40"/>
      <c r="R26" s="40">
        <f t="shared" si="5"/>
        <v>8612360.980703488</v>
      </c>
    </row>
    <row r="27" spans="1:18">
      <c r="A27" s="46">
        <f t="shared" si="6"/>
        <v>2022</v>
      </c>
      <c r="B27" s="40">
        <f t="shared" si="0"/>
        <v>19403.127295255279</v>
      </c>
      <c r="C27" s="40"/>
      <c r="D27" s="40">
        <f t="shared" si="1"/>
        <v>-1940.3127295255281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9220181.299016783</v>
      </c>
      <c r="M27" s="40"/>
      <c r="N27" s="40">
        <f t="shared" si="3"/>
        <v>9229882.8626644108</v>
      </c>
      <c r="O27" s="40"/>
      <c r="P27" s="40">
        <f t="shared" si="4"/>
        <v>27429.611313841648</v>
      </c>
      <c r="Q27" s="40"/>
      <c r="R27" s="40">
        <f t="shared" si="5"/>
        <v>8618447.1519925483</v>
      </c>
    </row>
    <row r="28" spans="1:18">
      <c r="A28" s="46">
        <f t="shared" si="6"/>
        <v>2023</v>
      </c>
      <c r="B28" s="40">
        <f t="shared" si="0"/>
        <v>19362.380727935244</v>
      </c>
      <c r="C28" s="40"/>
      <c r="D28" s="40">
        <f t="shared" si="1"/>
        <v>-1936.2380727935245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9200818.9182888474</v>
      </c>
      <c r="M28" s="40"/>
      <c r="N28" s="40">
        <f t="shared" si="3"/>
        <v>9210500.1086528152</v>
      </c>
      <c r="O28" s="40"/>
      <c r="P28" s="40">
        <f t="shared" si="4"/>
        <v>27372.009130082581</v>
      </c>
      <c r="Q28" s="40"/>
      <c r="R28" s="40">
        <f t="shared" si="5"/>
        <v>8624520.5423219018</v>
      </c>
    </row>
    <row r="29" spans="1:18">
      <c r="A29" s="46">
        <f t="shared" si="6"/>
        <v>2024</v>
      </c>
      <c r="B29" s="40">
        <f t="shared" si="0"/>
        <v>19321.719728406577</v>
      </c>
      <c r="C29" s="40"/>
      <c r="D29" s="40">
        <f t="shared" si="1"/>
        <v>-1932.1719728406579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9181497.1985604409</v>
      </c>
      <c r="M29" s="40"/>
      <c r="N29" s="40">
        <f t="shared" si="3"/>
        <v>9191158.0584246442</v>
      </c>
      <c r="O29" s="40"/>
      <c r="P29" s="40">
        <f t="shared" si="4"/>
        <v>27314.527910909408</v>
      </c>
      <c r="Q29" s="40"/>
      <c r="R29" s="40">
        <f t="shared" si="5"/>
        <v>8630581.1785315629</v>
      </c>
    </row>
    <row r="30" spans="1:18">
      <c r="A30" s="46">
        <f t="shared" si="6"/>
        <v>2025</v>
      </c>
      <c r="B30" s="40">
        <f t="shared" si="0"/>
        <v>19281.144116976924</v>
      </c>
      <c r="C30" s="40"/>
      <c r="D30" s="40">
        <f t="shared" si="1"/>
        <v>-1928.1144116976925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9162216.0544434637</v>
      </c>
      <c r="M30" s="40"/>
      <c r="N30" s="40">
        <f t="shared" si="3"/>
        <v>9171856.6265019514</v>
      </c>
      <c r="O30" s="40"/>
      <c r="P30" s="40">
        <f t="shared" si="4"/>
        <v>27257.167402296494</v>
      </c>
      <c r="Q30" s="40"/>
      <c r="R30" s="40">
        <f t="shared" si="5"/>
        <v>8636629.0874051861</v>
      </c>
    </row>
    <row r="31" spans="1:18">
      <c r="A31" s="46">
        <f t="shared" si="6"/>
        <v>2026</v>
      </c>
      <c r="B31" s="40">
        <f t="shared" si="0"/>
        <v>19240.653714331271</v>
      </c>
      <c r="C31" s="40"/>
      <c r="D31" s="40">
        <f t="shared" si="1"/>
        <v>-1924.0653714331272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9142975.4007291328</v>
      </c>
      <c r="M31" s="40"/>
      <c r="N31" s="40">
        <f t="shared" si="3"/>
        <v>9152595.7275862992</v>
      </c>
      <c r="O31" s="40"/>
      <c r="P31" s="40">
        <f t="shared" si="4"/>
        <v>27199.927350751677</v>
      </c>
      <c r="Q31" s="40"/>
      <c r="R31" s="40">
        <f t="shared" si="5"/>
        <v>8642664.2956701741</v>
      </c>
    </row>
    <row r="32" spans="1:18">
      <c r="A32" s="46">
        <f t="shared" si="6"/>
        <v>2027</v>
      </c>
      <c r="B32" s="40">
        <f t="shared" si="0"/>
        <v>19200.248341531176</v>
      </c>
      <c r="C32" s="40"/>
      <c r="D32" s="40">
        <f t="shared" si="1"/>
        <v>-1920.0248341531178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9123775.1523876023</v>
      </c>
      <c r="M32" s="40"/>
      <c r="N32" s="40">
        <f t="shared" si="3"/>
        <v>9133375.2765583675</v>
      </c>
      <c r="O32" s="40"/>
      <c r="P32" s="40">
        <f t="shared" si="4"/>
        <v>27142.807503315096</v>
      </c>
      <c r="Q32" s="40"/>
      <c r="R32" s="40">
        <f t="shared" si="5"/>
        <v>8648686.8299978059</v>
      </c>
    </row>
    <row r="33" spans="1:18">
      <c r="A33" s="46">
        <f t="shared" si="6"/>
        <v>2028</v>
      </c>
      <c r="B33" s="40">
        <f t="shared" si="0"/>
        <v>19159.927820013963</v>
      </c>
      <c r="C33" s="40"/>
      <c r="D33" s="40">
        <f t="shared" si="1"/>
        <v>-1915.9927820013963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9104615.2245675884</v>
      </c>
      <c r="M33" s="40"/>
      <c r="N33" s="40">
        <f t="shared" si="3"/>
        <v>9114195.1884775944</v>
      </c>
      <c r="O33" s="40"/>
      <c r="P33" s="40">
        <f t="shared" si="4"/>
        <v>27085.807607558134</v>
      </c>
      <c r="Q33" s="40"/>
      <c r="R33" s="40">
        <f t="shared" si="5"/>
        <v>8654696.7170033474</v>
      </c>
    </row>
    <row r="34" spans="1:18">
      <c r="A34" s="46">
        <f t="shared" si="6"/>
        <v>2029</v>
      </c>
      <c r="B34" s="40">
        <f t="shared" si="0"/>
        <v>19119.691971591936</v>
      </c>
      <c r="C34" s="40"/>
      <c r="D34" s="40">
        <f t="shared" si="1"/>
        <v>-1911.9691971591938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9085495.5325959958</v>
      </c>
      <c r="M34" s="40"/>
      <c r="N34" s="40">
        <f t="shared" si="3"/>
        <v>9095055.3785817921</v>
      </c>
      <c r="O34" s="40"/>
      <c r="P34" s="40">
        <f t="shared" si="4"/>
        <v>27028.927411582263</v>
      </c>
      <c r="Q34" s="40"/>
      <c r="R34" s="40">
        <f t="shared" si="5"/>
        <v>8660693.9832461774</v>
      </c>
    </row>
    <row r="35" spans="1:18">
      <c r="A35" s="46">
        <f t="shared" si="6"/>
        <v>2030</v>
      </c>
      <c r="B35" s="40">
        <f t="shared" si="0"/>
        <v>19079.540618451589</v>
      </c>
      <c r="C35" s="40"/>
      <c r="D35" s="40">
        <f t="shared" si="1"/>
        <v>-1907.954061845159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9066415.9919775445</v>
      </c>
      <c r="M35" s="40"/>
      <c r="N35" s="40">
        <f t="shared" si="3"/>
        <v>9075955.7622867711</v>
      </c>
      <c r="O35" s="40"/>
      <c r="P35" s="40">
        <f t="shared" si="4"/>
        <v>26972.166664017943</v>
      </c>
      <c r="Q35" s="40"/>
      <c r="R35" s="40">
        <f t="shared" si="5"/>
        <v>8666678.6552298982</v>
      </c>
    </row>
    <row r="36" spans="1:18">
      <c r="A36" s="46">
        <f t="shared" si="6"/>
        <v>2031</v>
      </c>
      <c r="B36" s="40">
        <f t="shared" si="0"/>
        <v>19039.473583152841</v>
      </c>
      <c r="C36" s="40"/>
      <c r="D36" s="40">
        <f t="shared" si="1"/>
        <v>-1903.9473583152842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9047376.518394392</v>
      </c>
      <c r="M36" s="40"/>
      <c r="N36" s="40">
        <f t="shared" si="3"/>
        <v>9056896.2551859692</v>
      </c>
      <c r="O36" s="40"/>
      <c r="P36" s="40">
        <f t="shared" si="4"/>
        <v>26915.525114023505</v>
      </c>
      <c r="Q36" s="40"/>
      <c r="R36" s="40">
        <f t="shared" si="5"/>
        <v>8672650.7594024539</v>
      </c>
    </row>
    <row r="37" spans="1:18">
      <c r="A37" s="46">
        <f t="shared" si="6"/>
        <v>2032</v>
      </c>
      <c r="B37" s="40">
        <f t="shared" si="0"/>
        <v>18999.490688628222</v>
      </c>
      <c r="C37" s="40"/>
      <c r="D37" s="40">
        <f t="shared" si="1"/>
        <v>-1899.9490688628223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9028377.0277057644</v>
      </c>
      <c r="M37" s="40"/>
      <c r="N37" s="40">
        <f t="shared" si="3"/>
        <v>9037876.7730500773</v>
      </c>
      <c r="O37" s="40"/>
      <c r="P37" s="40">
        <f t="shared" si="4"/>
        <v>26859.002511284052</v>
      </c>
      <c r="Q37" s="40"/>
      <c r="R37" s="40">
        <f t="shared" si="5"/>
        <v>8678610.3221562468</v>
      </c>
    </row>
    <row r="38" spans="1:18">
      <c r="A38" s="46">
        <f t="shared" si="6"/>
        <v>2033</v>
      </c>
      <c r="B38" s="40">
        <f t="shared" si="0"/>
        <v>18959.591758182105</v>
      </c>
      <c r="C38" s="40"/>
      <c r="D38" s="40">
        <f t="shared" si="1"/>
        <v>-1895.9591758182105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9009417.4359475821</v>
      </c>
      <c r="M38" s="40"/>
      <c r="N38" s="40">
        <f t="shared" si="3"/>
        <v>9018897.2318266742</v>
      </c>
      <c r="O38" s="40"/>
      <c r="P38" s="40">
        <f t="shared" si="4"/>
        <v>26802.598606010361</v>
      </c>
      <c r="Q38" s="40"/>
      <c r="R38" s="40">
        <f t="shared" si="5"/>
        <v>8684557.3698282577</v>
      </c>
    </row>
    <row r="39" spans="1:18">
      <c r="A39" s="46">
        <f t="shared" si="6"/>
        <v>2034</v>
      </c>
      <c r="B39" s="40">
        <f t="shared" si="0"/>
        <v>18919.776615489922</v>
      </c>
      <c r="C39" s="40"/>
      <c r="D39" s="40">
        <f t="shared" si="1"/>
        <v>-1891.9776615489923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8990497.6593320929</v>
      </c>
      <c r="M39" s="40"/>
      <c r="N39" s="40">
        <f t="shared" si="3"/>
        <v>8999957.5476398375</v>
      </c>
      <c r="O39" s="40"/>
      <c r="P39" s="40">
        <f t="shared" si="4"/>
        <v>26746.313148937737</v>
      </c>
      <c r="Q39" s="40"/>
      <c r="R39" s="40">
        <f t="shared" si="5"/>
        <v>8690491.9287001584</v>
      </c>
    </row>
    <row r="40" spans="1:18">
      <c r="A40" s="46">
        <f t="shared" si="6"/>
        <v>2035</v>
      </c>
      <c r="B40" s="40">
        <f t="shared" si="0"/>
        <v>18880.045084597394</v>
      </c>
      <c r="C40" s="40"/>
      <c r="D40" s="40">
        <f t="shared" si="1"/>
        <v>-1888.0045084597396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8971617.6142474953</v>
      </c>
      <c r="M40" s="40"/>
      <c r="N40" s="40">
        <f t="shared" si="3"/>
        <v>8981057.636789795</v>
      </c>
      <c r="O40" s="40"/>
      <c r="P40" s="40">
        <f t="shared" si="4"/>
        <v>26690.145891324973</v>
      </c>
      <c r="Q40" s="40"/>
      <c r="R40" s="40">
        <f t="shared" si="5"/>
        <v>8696414.0249984264</v>
      </c>
    </row>
    <row r="41" spans="1:18">
      <c r="A41" s="46">
        <f t="shared" si="6"/>
        <v>2036</v>
      </c>
      <c r="B41" s="40">
        <f t="shared" si="0"/>
        <v>18840.39698991974</v>
      </c>
      <c r="C41" s="40"/>
      <c r="D41" s="40">
        <f t="shared" si="1"/>
        <v>-1884.0396989919741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8952777.2172575761</v>
      </c>
      <c r="M41" s="40"/>
      <c r="N41" s="40">
        <f t="shared" si="3"/>
        <v>8962197.4157525357</v>
      </c>
      <c r="O41" s="40"/>
      <c r="P41" s="40">
        <f t="shared" si="4"/>
        <v>26634.096584953189</v>
      </c>
      <c r="Q41" s="40"/>
      <c r="R41" s="40">
        <f t="shared" si="5"/>
        <v>8702323.6848944686</v>
      </c>
    </row>
    <row r="42" spans="1:18">
      <c r="A42" s="46">
        <f t="shared" si="6"/>
        <v>2037</v>
      </c>
      <c r="B42" s="40">
        <f t="shared" si="0"/>
        <v>18800.832156240907</v>
      </c>
      <c r="C42" s="40"/>
      <c r="D42" s="40">
        <f t="shared" si="1"/>
        <v>-1880.0832156240908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8933976.3851013351</v>
      </c>
      <c r="M42" s="40"/>
      <c r="N42" s="40">
        <f t="shared" si="3"/>
        <v>8943376.8011794556</v>
      </c>
      <c r="O42" s="40"/>
      <c r="P42" s="40">
        <f t="shared" si="4"/>
        <v>26578.164982124788</v>
      </c>
      <c r="Q42" s="40"/>
      <c r="R42" s="40">
        <f t="shared" si="5"/>
        <v>8708220.9345047288</v>
      </c>
    </row>
    <row r="43" spans="1:18">
      <c r="A43" s="46">
        <f t="shared" si="6"/>
        <v>2038</v>
      </c>
      <c r="B43" s="40">
        <f t="shared" si="0"/>
        <v>18761.350408712802</v>
      </c>
      <c r="C43" s="40"/>
      <c r="D43" s="40">
        <f t="shared" si="1"/>
        <v>-1876.1350408712804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8915215.0346926227</v>
      </c>
      <c r="M43" s="40"/>
      <c r="N43" s="40">
        <f t="shared" si="3"/>
        <v>8924595.709896978</v>
      </c>
      <c r="O43" s="40"/>
      <c r="P43" s="40">
        <f t="shared" si="4"/>
        <v>26522.350835662324</v>
      </c>
      <c r="Q43" s="40"/>
      <c r="R43" s="40">
        <f t="shared" si="5"/>
        <v>8714105.7998908069</v>
      </c>
    </row>
    <row r="44" spans="1:18">
      <c r="A44" s="46">
        <f t="shared" si="6"/>
        <v>2039</v>
      </c>
      <c r="B44" s="40">
        <f t="shared" si="0"/>
        <v>18721.951572854505</v>
      </c>
      <c r="C44" s="40"/>
      <c r="D44" s="40">
        <f t="shared" si="1"/>
        <v>-1872.1951572854505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8896493.0831197686</v>
      </c>
      <c r="M44" s="40"/>
      <c r="N44" s="40">
        <f t="shared" si="3"/>
        <v>8905854.0589061957</v>
      </c>
      <c r="O44" s="40"/>
      <c r="P44" s="40">
        <f t="shared" si="4"/>
        <v>26466.653898907436</v>
      </c>
      <c r="Q44" s="40"/>
      <c r="R44" s="40">
        <f t="shared" si="5"/>
        <v>8719978.3070595749</v>
      </c>
    </row>
    <row r="45" spans="1:18">
      <c r="A45" s="46">
        <f t="shared" si="6"/>
        <v>2040</v>
      </c>
      <c r="B45" s="40">
        <f t="shared" si="0"/>
        <v>18682.635474551513</v>
      </c>
      <c r="C45" s="40"/>
      <c r="D45" s="40">
        <f t="shared" si="1"/>
        <v>-1868.2635474551514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8877810.4476452172</v>
      </c>
      <c r="M45" s="40"/>
      <c r="N45" s="40">
        <f t="shared" si="3"/>
        <v>8887151.7653824929</v>
      </c>
      <c r="O45" s="40"/>
      <c r="P45" s="40">
        <f t="shared" si="4"/>
        <v>26411.073925719731</v>
      </c>
      <c r="Q45" s="40"/>
      <c r="R45" s="40">
        <f t="shared" si="5"/>
        <v>8725838.481963288</v>
      </c>
    </row>
    <row r="46" spans="1:18">
      <c r="A46" s="46">
        <f t="shared" si="6"/>
        <v>2041</v>
      </c>
      <c r="B46" s="40">
        <f t="shared" si="0"/>
        <v>18643.401940054955</v>
      </c>
      <c r="C46" s="40"/>
      <c r="D46" s="40">
        <f t="shared" si="1"/>
        <v>-1864.3401940054955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8859167.045705162</v>
      </c>
      <c r="M46" s="40"/>
      <c r="N46" s="40">
        <f t="shared" si="3"/>
        <v>8868488.7466751896</v>
      </c>
      <c r="O46" s="40"/>
      <c r="P46" s="40">
        <f t="shared" si="4"/>
        <v>26355.610670475719</v>
      </c>
      <c r="Q46" s="40"/>
      <c r="R46" s="40">
        <f t="shared" si="5"/>
        <v>8731686.3504997026</v>
      </c>
    </row>
    <row r="47" spans="1:18">
      <c r="A47" s="46">
        <f t="shared" si="6"/>
        <v>2042</v>
      </c>
      <c r="B47" s="40">
        <f t="shared" si="0"/>
        <v>18604.250795980839</v>
      </c>
      <c r="C47" s="40"/>
      <c r="D47" s="40">
        <f t="shared" si="1"/>
        <v>-1860.425079598084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8840562.7949091811</v>
      </c>
      <c r="M47" s="40"/>
      <c r="N47" s="40">
        <f t="shared" si="3"/>
        <v>8849864.9203071706</v>
      </c>
      <c r="O47" s="40"/>
      <c r="P47" s="40">
        <f t="shared" si="4"/>
        <v>26300.263888067719</v>
      </c>
      <c r="Q47" s="40"/>
      <c r="R47" s="40">
        <f t="shared" si="5"/>
        <v>8737521.938512193</v>
      </c>
    </row>
    <row r="48" spans="1:18">
      <c r="A48" s="46">
        <f t="shared" si="6"/>
        <v>2043</v>
      </c>
      <c r="B48" s="40">
        <f t="shared" si="0"/>
        <v>18565.181869309279</v>
      </c>
      <c r="C48" s="40"/>
      <c r="D48" s="40">
        <f t="shared" si="1"/>
        <v>-1856.5181869309281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8821997.6130398717</v>
      </c>
      <c r="M48" s="40"/>
      <c r="N48" s="40">
        <f t="shared" si="3"/>
        <v>8831280.2039745264</v>
      </c>
      <c r="O48" s="40"/>
      <c r="P48" s="40">
        <f t="shared" si="4"/>
        <v>26245.033333902778</v>
      </c>
      <c r="Q48" s="40"/>
      <c r="R48" s="40">
        <f t="shared" si="5"/>
        <v>8743345.2717898563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8821997.6130398717</v>
      </c>
      <c r="M49" s="40"/>
      <c r="N49" s="40">
        <f t="shared" si="3"/>
        <v>8821997.6130398717</v>
      </c>
      <c r="O49" s="40"/>
      <c r="P49" s="40">
        <f t="shared" si="4"/>
        <v>26217.447083339088</v>
      </c>
      <c r="Q49" s="40"/>
      <c r="R49" s="40">
        <f t="shared" si="5"/>
        <v>8769562.7188731954</v>
      </c>
    </row>
    <row r="50" spans="1:18">
      <c r="A50" s="46">
        <f t="shared" si="6"/>
        <v>2045</v>
      </c>
      <c r="B50" s="40">
        <v>0</v>
      </c>
      <c r="C50" s="40"/>
      <c r="D50" s="40"/>
      <c r="E50" s="40"/>
      <c r="F50" s="40"/>
      <c r="G50" s="40"/>
      <c r="H50" s="40"/>
      <c r="I50" s="40"/>
      <c r="J50" s="40"/>
      <c r="K50" s="40"/>
      <c r="L50" s="40">
        <f t="shared" si="2"/>
        <v>8821997.6130398717</v>
      </c>
      <c r="M50" s="40"/>
      <c r="N50" s="40">
        <f t="shared" si="3"/>
        <v>8821997.6130398717</v>
      </c>
      <c r="O50" s="40"/>
      <c r="P50" s="40">
        <f t="shared" si="4"/>
        <v>26217.447083339088</v>
      </c>
      <c r="Q50" s="40"/>
      <c r="R50" s="40">
        <f t="shared" si="5"/>
        <v>8795780.1659565344</v>
      </c>
    </row>
    <row r="51" spans="1:18">
      <c r="A51" s="46">
        <f t="shared" si="6"/>
        <v>2046</v>
      </c>
      <c r="B51" s="40"/>
      <c r="C51" s="40"/>
      <c r="D51" s="40"/>
      <c r="E51" s="40"/>
      <c r="F51" s="40">
        <f>L49</f>
        <v>8821997.6130398717</v>
      </c>
      <c r="G51" s="40"/>
      <c r="H51" s="40"/>
      <c r="I51" s="40"/>
      <c r="J51" s="40"/>
      <c r="K51" s="40"/>
      <c r="L51" s="40">
        <f t="shared" si="2"/>
        <v>0</v>
      </c>
      <c r="M51" s="40"/>
      <c r="N51" s="40">
        <f>+L50</f>
        <v>8821997.6130398717</v>
      </c>
      <c r="O51" s="40"/>
      <c r="P51" s="40">
        <f t="shared" si="4"/>
        <v>26217.447083339088</v>
      </c>
      <c r="Q51" s="40"/>
      <c r="R51" s="40">
        <f t="shared" si="5"/>
        <v>1.862645149230957E-9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515216.65575712285</v>
      </c>
      <c r="C62" s="38" t="s">
        <v>39</v>
      </c>
      <c r="D62" s="38">
        <f>SUM(D22:D58)</f>
        <v>-51521.665575712294</v>
      </c>
      <c r="E62" s="38">
        <v>0</v>
      </c>
      <c r="F62" s="38">
        <f>SUM(F22:F58)</f>
        <v>8821997.6130398717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271549649.15749007</v>
      </c>
      <c r="O62" s="40"/>
      <c r="P62" s="38">
        <f>SUM(P22:P58)</f>
        <v>806998.46787111287</v>
      </c>
      <c r="Q62" s="40"/>
      <c r="R62" s="40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-5.5180970795683543E-2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'!$J$657</f>
        <v>10.647610915312184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26.881097916576376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37.528708831888558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0.19597947599256299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45587248.525440611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3.1963035790784765E-2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1.4703668874639158E-3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3.0492668903320849E-2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Unit(Fcst)'!D42</f>
        <v>152274744.74378127</v>
      </c>
      <c r="M21" s="40"/>
      <c r="N21" s="40"/>
      <c r="O21" s="40"/>
      <c r="P21" s="40"/>
      <c r="Q21" s="40"/>
      <c r="R21" s="40">
        <f>'2016 YE Reserve by Unit(Fcst)'!D40</f>
        <v>29842724.681787539</v>
      </c>
    </row>
    <row r="22" spans="1:18">
      <c r="A22" s="46">
        <v>2017</v>
      </c>
      <c r="B22" s="40">
        <f>+L21*P$10</f>
        <v>1142060.5855783594</v>
      </c>
      <c r="C22" s="40"/>
      <c r="D22" s="40">
        <f>+B22*P$2</f>
        <v>-342618.17567350779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151132684.15820292</v>
      </c>
      <c r="M22" s="40"/>
      <c r="N22" s="40">
        <f>(L21+L22)/2</f>
        <v>151703714.45099211</v>
      </c>
      <c r="O22" s="40"/>
      <c r="P22" s="40">
        <f>N22*$P$12</f>
        <v>4848911.2545920527</v>
      </c>
      <c r="Q22" s="40"/>
      <c r="R22" s="40">
        <f>R21+P22-B22-F22+D22</f>
        <v>33206957.175127722</v>
      </c>
    </row>
    <row r="23" spans="1:18">
      <c r="A23" s="46">
        <f>A22+1</f>
        <v>2018</v>
      </c>
      <c r="B23" s="40">
        <f t="shared" ref="B23:B48" si="0">+L22*P$10</f>
        <v>1133495.1311865218</v>
      </c>
      <c r="C23" s="40"/>
      <c r="D23" s="40">
        <f t="shared" ref="D23:D51" si="1">+B23*P$2</f>
        <v>-340048.53935595654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149999189.0270164</v>
      </c>
      <c r="M23" s="40"/>
      <c r="N23" s="40">
        <f t="shared" ref="N23:N50" si="3">(L22+L23)/2</f>
        <v>150565936.59260964</v>
      </c>
      <c r="O23" s="40"/>
      <c r="P23" s="40">
        <f t="shared" ref="P23:P51" si="4">N23*$P$12</f>
        <v>4812544.4201826118</v>
      </c>
      <c r="Q23" s="40"/>
      <c r="R23" s="40">
        <f t="shared" ref="R23:R51" si="5">R22+P23-B23-F23+D23</f>
        <v>36545957.924767852</v>
      </c>
    </row>
    <row r="24" spans="1:18">
      <c r="A24" s="46">
        <f t="shared" ref="A24:A58" si="6">A23+1</f>
        <v>2019</v>
      </c>
      <c r="B24" s="40">
        <f t="shared" si="0"/>
        <v>1124993.9177026229</v>
      </c>
      <c r="C24" s="40"/>
      <c r="D24" s="40">
        <f t="shared" si="1"/>
        <v>-337498.17531078687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148874195.10931379</v>
      </c>
      <c r="M24" s="40"/>
      <c r="N24" s="40">
        <f t="shared" si="3"/>
        <v>149436692.06816509</v>
      </c>
      <c r="O24" s="40"/>
      <c r="P24" s="40">
        <f t="shared" si="4"/>
        <v>4776450.3370312424</v>
      </c>
      <c r="Q24" s="40"/>
      <c r="R24" s="40">
        <f t="shared" si="5"/>
        <v>39859916.168785684</v>
      </c>
    </row>
    <row r="25" spans="1:18">
      <c r="A25" s="46">
        <f t="shared" si="6"/>
        <v>2020</v>
      </c>
      <c r="B25" s="40">
        <f t="shared" si="0"/>
        <v>1116556.4633198534</v>
      </c>
      <c r="C25" s="40"/>
      <c r="D25" s="40">
        <f t="shared" si="1"/>
        <v>-334966.93899595604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147757638.64599392</v>
      </c>
      <c r="M25" s="40"/>
      <c r="N25" s="40">
        <f t="shared" si="3"/>
        <v>148315916.87765384</v>
      </c>
      <c r="O25" s="40"/>
      <c r="P25" s="40">
        <f t="shared" si="4"/>
        <v>4740626.9595035082</v>
      </c>
      <c r="Q25" s="40"/>
      <c r="R25" s="40">
        <f t="shared" si="5"/>
        <v>43149019.725973383</v>
      </c>
    </row>
    <row r="26" spans="1:18">
      <c r="A26" s="46">
        <f t="shared" si="6"/>
        <v>2021</v>
      </c>
      <c r="B26" s="40">
        <f t="shared" si="0"/>
        <v>1108182.2898449544</v>
      </c>
      <c r="C26" s="40"/>
      <c r="D26" s="40">
        <f t="shared" si="1"/>
        <v>-332454.68695348629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146649456.35614896</v>
      </c>
      <c r="M26" s="40"/>
      <c r="N26" s="40">
        <f t="shared" si="3"/>
        <v>147203547.50107145</v>
      </c>
      <c r="O26" s="40"/>
      <c r="P26" s="40">
        <f t="shared" si="4"/>
        <v>4705072.2573072324</v>
      </c>
      <c r="Q26" s="40"/>
      <c r="R26" s="40">
        <f t="shared" si="5"/>
        <v>46413455.006482176</v>
      </c>
    </row>
    <row r="27" spans="1:18">
      <c r="A27" s="46">
        <f t="shared" si="6"/>
        <v>2022</v>
      </c>
      <c r="B27" s="40">
        <f t="shared" si="0"/>
        <v>1099870.9226711171</v>
      </c>
      <c r="C27" s="40"/>
      <c r="D27" s="40">
        <f t="shared" si="1"/>
        <v>-329961.2768013351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145549585.43347785</v>
      </c>
      <c r="M27" s="40"/>
      <c r="N27" s="40">
        <f t="shared" si="3"/>
        <v>146099520.89481342</v>
      </c>
      <c r="O27" s="40"/>
      <c r="P27" s="40">
        <f t="shared" si="4"/>
        <v>4669784.2153774276</v>
      </c>
      <c r="Q27" s="40"/>
      <c r="R27" s="40">
        <f t="shared" si="5"/>
        <v>49653407.022387154</v>
      </c>
    </row>
    <row r="28" spans="1:18">
      <c r="A28" s="46">
        <f t="shared" si="6"/>
        <v>2023</v>
      </c>
      <c r="B28" s="40">
        <f t="shared" si="0"/>
        <v>1091621.8907510838</v>
      </c>
      <c r="C28" s="40"/>
      <c r="D28" s="40">
        <f t="shared" si="1"/>
        <v>-327486.56722532515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144457963.54272676</v>
      </c>
      <c r="M28" s="40"/>
      <c r="N28" s="40">
        <f t="shared" si="3"/>
        <v>145003774.48810232</v>
      </c>
      <c r="O28" s="40"/>
      <c r="P28" s="40">
        <f t="shared" si="4"/>
        <v>4634760.8337620972</v>
      </c>
      <c r="Q28" s="40"/>
      <c r="R28" s="40">
        <f t="shared" si="5"/>
        <v>52869059.39817284</v>
      </c>
    </row>
    <row r="29" spans="1:18">
      <c r="A29" s="46">
        <f t="shared" si="6"/>
        <v>2024</v>
      </c>
      <c r="B29" s="40">
        <f t="shared" si="0"/>
        <v>1083434.7265704507</v>
      </c>
      <c r="C29" s="40"/>
      <c r="D29" s="40">
        <f t="shared" si="1"/>
        <v>-325030.41797113518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143374528.8161563</v>
      </c>
      <c r="M29" s="40"/>
      <c r="N29" s="40">
        <f t="shared" si="3"/>
        <v>143916246.17944151</v>
      </c>
      <c r="O29" s="40"/>
      <c r="P29" s="40">
        <f t="shared" si="4"/>
        <v>4600000.1275088806</v>
      </c>
      <c r="Q29" s="40"/>
      <c r="R29" s="40">
        <f t="shared" si="5"/>
        <v>56060594.381140135</v>
      </c>
    </row>
    <row r="30" spans="1:18">
      <c r="A30" s="46">
        <f t="shared" si="6"/>
        <v>2025</v>
      </c>
      <c r="B30" s="40">
        <f t="shared" si="0"/>
        <v>1075308.9661211723</v>
      </c>
      <c r="C30" s="40"/>
      <c r="D30" s="40">
        <f t="shared" si="1"/>
        <v>-322592.68983635167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142299219.85003513</v>
      </c>
      <c r="M30" s="40"/>
      <c r="N30" s="40">
        <f t="shared" si="3"/>
        <v>142836874.33309573</v>
      </c>
      <c r="O30" s="40"/>
      <c r="P30" s="40">
        <f t="shared" si="4"/>
        <v>4565500.1265525641</v>
      </c>
      <c r="Q30" s="40"/>
      <c r="R30" s="40">
        <f t="shared" si="5"/>
        <v>59228192.851735175</v>
      </c>
    </row>
    <row r="31" spans="1:18">
      <c r="A31" s="46">
        <f t="shared" si="6"/>
        <v>2026</v>
      </c>
      <c r="B31" s="40">
        <f t="shared" si="0"/>
        <v>1067244.1488752635</v>
      </c>
      <c r="C31" s="40"/>
      <c r="D31" s="40">
        <f t="shared" si="1"/>
        <v>-320173.24466257903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141231975.70115986</v>
      </c>
      <c r="M31" s="40"/>
      <c r="N31" s="40">
        <f t="shared" si="3"/>
        <v>141765597.77559751</v>
      </c>
      <c r="O31" s="40"/>
      <c r="P31" s="40">
        <f t="shared" si="4"/>
        <v>4531258.8756034207</v>
      </c>
      <c r="Q31" s="40"/>
      <c r="R31" s="40">
        <f t="shared" si="5"/>
        <v>62372034.333800755</v>
      </c>
    </row>
    <row r="32" spans="1:18">
      <c r="A32" s="46">
        <f t="shared" si="6"/>
        <v>2027</v>
      </c>
      <c r="B32" s="40">
        <f t="shared" si="0"/>
        <v>1059239.8177586989</v>
      </c>
      <c r="C32" s="40"/>
      <c r="D32" s="40">
        <f t="shared" si="1"/>
        <v>-317771.94532760966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140172735.88340116</v>
      </c>
      <c r="M32" s="40"/>
      <c r="N32" s="40">
        <f t="shared" si="3"/>
        <v>140702355.7922805</v>
      </c>
      <c r="O32" s="40"/>
      <c r="P32" s="40">
        <f t="shared" si="4"/>
        <v>4497274.4340363936</v>
      </c>
      <c r="Q32" s="40"/>
      <c r="R32" s="40">
        <f t="shared" si="5"/>
        <v>65492297.00475084</v>
      </c>
    </row>
    <row r="33" spans="1:18">
      <c r="A33" s="46">
        <f t="shared" si="6"/>
        <v>2028</v>
      </c>
      <c r="B33" s="40">
        <f t="shared" si="0"/>
        <v>1051295.5191255086</v>
      </c>
      <c r="C33" s="40"/>
      <c r="D33" s="40">
        <f t="shared" si="1"/>
        <v>-315388.65573765256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139121440.36427563</v>
      </c>
      <c r="M33" s="40"/>
      <c r="N33" s="40">
        <f t="shared" si="3"/>
        <v>139647088.12383839</v>
      </c>
      <c r="O33" s="40"/>
      <c r="P33" s="40">
        <f t="shared" si="4"/>
        <v>4463544.8757811207</v>
      </c>
      <c r="Q33" s="40"/>
      <c r="R33" s="40">
        <f t="shared" si="5"/>
        <v>68589157.705668807</v>
      </c>
    </row>
    <row r="34" spans="1:18">
      <c r="A34" s="46">
        <f t="shared" si="6"/>
        <v>2029</v>
      </c>
      <c r="B34" s="40">
        <f t="shared" si="0"/>
        <v>1043410.8027320672</v>
      </c>
      <c r="C34" s="40"/>
      <c r="D34" s="40">
        <f t="shared" si="1"/>
        <v>-313023.24081962014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138078029.56154355</v>
      </c>
      <c r="M34" s="40"/>
      <c r="N34" s="40">
        <f t="shared" si="3"/>
        <v>138599734.96290958</v>
      </c>
      <c r="O34" s="40"/>
      <c r="P34" s="40">
        <f t="shared" si="4"/>
        <v>4430068.2892127614</v>
      </c>
      <c r="Q34" s="40"/>
      <c r="R34" s="40">
        <f t="shared" si="5"/>
        <v>71662791.951329887</v>
      </c>
    </row>
    <row r="35" spans="1:18">
      <c r="A35" s="46">
        <f t="shared" si="6"/>
        <v>2030</v>
      </c>
      <c r="B35" s="40">
        <f t="shared" si="0"/>
        <v>1035585.2217115766</v>
      </c>
      <c r="C35" s="40"/>
      <c r="D35" s="40">
        <f t="shared" si="1"/>
        <v>-310675.56651347294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137042444.33983198</v>
      </c>
      <c r="M35" s="40"/>
      <c r="N35" s="40">
        <f t="shared" si="3"/>
        <v>137560236.95068777</v>
      </c>
      <c r="O35" s="40"/>
      <c r="P35" s="40">
        <f t="shared" si="4"/>
        <v>4396842.7770436658</v>
      </c>
      <c r="Q35" s="40"/>
      <c r="R35" s="40">
        <f t="shared" si="5"/>
        <v>74713373.940148503</v>
      </c>
    </row>
    <row r="36" spans="1:18">
      <c r="A36" s="46">
        <f t="shared" si="6"/>
        <v>2031</v>
      </c>
      <c r="B36" s="40">
        <f t="shared" si="0"/>
        <v>1027818.3325487399</v>
      </c>
      <c r="C36" s="40"/>
      <c r="D36" s="40">
        <f t="shared" si="1"/>
        <v>-308345.49976462196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136014626.00728324</v>
      </c>
      <c r="M36" s="40"/>
      <c r="N36" s="40">
        <f t="shared" si="3"/>
        <v>136528535.17355761</v>
      </c>
      <c r="O36" s="40"/>
      <c r="P36" s="40">
        <f t="shared" si="4"/>
        <v>4363866.4562158389</v>
      </c>
      <c r="Q36" s="40"/>
      <c r="R36" s="40">
        <f t="shared" si="5"/>
        <v>77741076.564050987</v>
      </c>
    </row>
    <row r="37" spans="1:18">
      <c r="A37" s="46">
        <f t="shared" si="6"/>
        <v>2032</v>
      </c>
      <c r="B37" s="40">
        <f t="shared" si="0"/>
        <v>1020109.6950546242</v>
      </c>
      <c r="C37" s="40"/>
      <c r="D37" s="40">
        <f t="shared" si="1"/>
        <v>-306032.90851638728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134994516.31222862</v>
      </c>
      <c r="M37" s="40"/>
      <c r="N37" s="40">
        <f t="shared" si="3"/>
        <v>135504571.15975595</v>
      </c>
      <c r="O37" s="40"/>
      <c r="P37" s="40">
        <f t="shared" si="4"/>
        <v>4331137.4577942202</v>
      </c>
      <c r="Q37" s="40"/>
      <c r="R37" s="40">
        <f t="shared" si="5"/>
        <v>80746071.418274194</v>
      </c>
    </row>
    <row r="38" spans="1:18">
      <c r="A38" s="46">
        <f t="shared" si="6"/>
        <v>2033</v>
      </c>
      <c r="B38" s="40">
        <f t="shared" si="0"/>
        <v>1012458.8723417146</v>
      </c>
      <c r="C38" s="40"/>
      <c r="D38" s="40">
        <f t="shared" si="1"/>
        <v>-303737.66170251434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133982057.43988691</v>
      </c>
      <c r="M38" s="40"/>
      <c r="N38" s="40">
        <f t="shared" si="3"/>
        <v>134488286.87605777</v>
      </c>
      <c r="O38" s="40"/>
      <c r="P38" s="40">
        <f t="shared" si="4"/>
        <v>4298653.9268607637</v>
      </c>
      <c r="Q38" s="40"/>
      <c r="R38" s="40">
        <f t="shared" si="5"/>
        <v>83728528.811090738</v>
      </c>
    </row>
    <row r="39" spans="1:18">
      <c r="A39" s="46">
        <f t="shared" si="6"/>
        <v>2034</v>
      </c>
      <c r="B39" s="40">
        <f t="shared" si="0"/>
        <v>1004865.4307991518</v>
      </c>
      <c r="C39" s="40"/>
      <c r="D39" s="40">
        <f t="shared" si="1"/>
        <v>-301459.6292397455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132977192.00908776</v>
      </c>
      <c r="M39" s="40"/>
      <c r="N39" s="40">
        <f t="shared" si="3"/>
        <v>133479624.72448733</v>
      </c>
      <c r="O39" s="40"/>
      <c r="P39" s="40">
        <f t="shared" si="4"/>
        <v>4266414.0224093078</v>
      </c>
      <c r="Q39" s="40"/>
      <c r="R39" s="40">
        <f t="shared" si="5"/>
        <v>86688617.773461133</v>
      </c>
    </row>
    <row r="40" spans="1:18">
      <c r="A40" s="46">
        <f t="shared" si="6"/>
        <v>2035</v>
      </c>
      <c r="B40" s="40">
        <f t="shared" si="0"/>
        <v>997328.94006815809</v>
      </c>
      <c r="C40" s="40"/>
      <c r="D40" s="40">
        <f t="shared" si="1"/>
        <v>-299198.68202044739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131979863.0690196</v>
      </c>
      <c r="M40" s="40"/>
      <c r="N40" s="40">
        <f t="shared" si="3"/>
        <v>132478527.53905368</v>
      </c>
      <c r="O40" s="40"/>
      <c r="P40" s="40">
        <f t="shared" si="4"/>
        <v>4234415.9172412381</v>
      </c>
      <c r="Q40" s="40"/>
      <c r="R40" s="40">
        <f t="shared" si="5"/>
        <v>89626506.068613783</v>
      </c>
    </row>
    <row r="41" spans="1:18">
      <c r="A41" s="46">
        <f t="shared" si="6"/>
        <v>2036</v>
      </c>
      <c r="B41" s="40">
        <f t="shared" si="0"/>
        <v>989848.97301764693</v>
      </c>
      <c r="C41" s="40"/>
      <c r="D41" s="40">
        <f t="shared" si="1"/>
        <v>-296954.69190529408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130990014.09600195</v>
      </c>
      <c r="M41" s="40"/>
      <c r="N41" s="40">
        <f t="shared" si="3"/>
        <v>131484938.58251077</v>
      </c>
      <c r="O41" s="40"/>
      <c r="P41" s="40">
        <f t="shared" si="4"/>
        <v>4202657.7978619281</v>
      </c>
      <c r="Q41" s="40"/>
      <c r="R41" s="40">
        <f t="shared" si="5"/>
        <v>92542360.201552778</v>
      </c>
    </row>
    <row r="42" spans="1:18">
      <c r="A42" s="46">
        <f t="shared" si="6"/>
        <v>2037</v>
      </c>
      <c r="B42" s="40">
        <f t="shared" si="0"/>
        <v>982425.10572001466</v>
      </c>
      <c r="C42" s="40"/>
      <c r="D42" s="40">
        <f t="shared" si="1"/>
        <v>-294727.53171600436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130007588.99028194</v>
      </c>
      <c r="M42" s="40"/>
      <c r="N42" s="40">
        <f t="shared" si="3"/>
        <v>130498801.54314195</v>
      </c>
      <c r="O42" s="40"/>
      <c r="P42" s="40">
        <f t="shared" si="4"/>
        <v>4171137.8643779643</v>
      </c>
      <c r="Q42" s="40"/>
      <c r="R42" s="40">
        <f t="shared" si="5"/>
        <v>95436345.428494722</v>
      </c>
    </row>
    <row r="43" spans="1:18">
      <c r="A43" s="46">
        <f t="shared" si="6"/>
        <v>2038</v>
      </c>
      <c r="B43" s="40">
        <f t="shared" si="0"/>
        <v>975056.91742711456</v>
      </c>
      <c r="C43" s="40"/>
      <c r="D43" s="40">
        <f t="shared" si="1"/>
        <v>-292517.07522813434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129032532.07285483</v>
      </c>
      <c r="M43" s="40"/>
      <c r="N43" s="40">
        <f t="shared" si="3"/>
        <v>129520060.53156838</v>
      </c>
      <c r="O43" s="40"/>
      <c r="P43" s="40">
        <f t="shared" si="4"/>
        <v>4139854.3303951295</v>
      </c>
      <c r="Q43" s="40"/>
      <c r="R43" s="40">
        <f t="shared" si="5"/>
        <v>98308625.766234607</v>
      </c>
    </row>
    <row r="44" spans="1:18">
      <c r="A44" s="46">
        <f t="shared" si="6"/>
        <v>2039</v>
      </c>
      <c r="B44" s="40">
        <f t="shared" si="0"/>
        <v>967743.99054641125</v>
      </c>
      <c r="C44" s="40"/>
      <c r="D44" s="40">
        <f t="shared" si="1"/>
        <v>-290323.19716392335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128064788.08230843</v>
      </c>
      <c r="M44" s="40"/>
      <c r="N44" s="40">
        <f t="shared" si="3"/>
        <v>128548660.07758163</v>
      </c>
      <c r="O44" s="40"/>
      <c r="P44" s="40">
        <f t="shared" si="4"/>
        <v>4108805.4229171663</v>
      </c>
      <c r="Q44" s="40"/>
      <c r="R44" s="40">
        <f t="shared" si="5"/>
        <v>101159364.00144145</v>
      </c>
    </row>
    <row r="45" spans="1:18">
      <c r="A45" s="46">
        <f t="shared" si="6"/>
        <v>2040</v>
      </c>
      <c r="B45" s="40">
        <f t="shared" si="0"/>
        <v>960485.91061731311</v>
      </c>
      <c r="C45" s="40"/>
      <c r="D45" s="40">
        <f t="shared" si="1"/>
        <v>-288145.77318519395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127104302.17169112</v>
      </c>
      <c r="M45" s="40"/>
      <c r="N45" s="40">
        <f t="shared" si="3"/>
        <v>127584545.12699977</v>
      </c>
      <c r="O45" s="40"/>
      <c r="P45" s="40">
        <f t="shared" si="4"/>
        <v>4077989.3822452873</v>
      </c>
      <c r="Q45" s="40"/>
      <c r="R45" s="40">
        <f t="shared" si="5"/>
        <v>103988721.69988424</v>
      </c>
    </row>
    <row r="46" spans="1:18">
      <c r="A46" s="46">
        <f t="shared" si="6"/>
        <v>2041</v>
      </c>
      <c r="B46" s="40">
        <f t="shared" si="0"/>
        <v>953282.26628768339</v>
      </c>
      <c r="C46" s="40"/>
      <c r="D46" s="40">
        <f t="shared" si="1"/>
        <v>-285984.67988630501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126151019.90540344</v>
      </c>
      <c r="M46" s="40"/>
      <c r="N46" s="40">
        <f t="shared" si="3"/>
        <v>126627661.03854728</v>
      </c>
      <c r="O46" s="40"/>
      <c r="P46" s="40">
        <f t="shared" si="4"/>
        <v>4047404.4618784483</v>
      </c>
      <c r="Q46" s="40"/>
      <c r="R46" s="40">
        <f t="shared" si="5"/>
        <v>106796859.21558869</v>
      </c>
    </row>
    <row r="47" spans="1:18">
      <c r="A47" s="46">
        <f t="shared" si="6"/>
        <v>2042</v>
      </c>
      <c r="B47" s="40">
        <f t="shared" si="0"/>
        <v>946132.6492905257</v>
      </c>
      <c r="C47" s="40"/>
      <c r="D47" s="40">
        <f t="shared" si="1"/>
        <v>-283839.79478715768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125204887.2561129</v>
      </c>
      <c r="M47" s="40"/>
      <c r="N47" s="40">
        <f t="shared" si="3"/>
        <v>125677953.58075817</v>
      </c>
      <c r="O47" s="40"/>
      <c r="P47" s="40">
        <f t="shared" si="4"/>
        <v>4017048.9284143597</v>
      </c>
      <c r="Q47" s="40"/>
      <c r="R47" s="40">
        <f t="shared" si="5"/>
        <v>109583935.69992536</v>
      </c>
    </row>
    <row r="48" spans="1:18">
      <c r="A48" s="46">
        <f t="shared" si="6"/>
        <v>2043</v>
      </c>
      <c r="B48" s="40">
        <f t="shared" si="0"/>
        <v>939036.65442084672</v>
      </c>
      <c r="C48" s="40"/>
      <c r="D48" s="40">
        <f t="shared" si="1"/>
        <v>-281710.99632625398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124265850.60169205</v>
      </c>
      <c r="M48" s="40"/>
      <c r="N48" s="40">
        <f t="shared" si="3"/>
        <v>124735368.92890248</v>
      </c>
      <c r="O48" s="40"/>
      <c r="P48" s="40">
        <f t="shared" si="4"/>
        <v>3986921.0614512516</v>
      </c>
      <c r="Q48" s="40"/>
      <c r="R48" s="40">
        <f t="shared" si="5"/>
        <v>112350109.11062951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124265850.60169205</v>
      </c>
      <c r="M49" s="40"/>
      <c r="N49" s="40">
        <f t="shared" si="3"/>
        <v>124265850.60169205</v>
      </c>
      <c r="O49" s="40"/>
      <c r="P49" s="40">
        <f t="shared" si="4"/>
        <v>3971913.8303541956</v>
      </c>
      <c r="Q49" s="40"/>
      <c r="R49" s="40">
        <f t="shared" si="5"/>
        <v>116322022.94098371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124265850.60169205</v>
      </c>
      <c r="M50" s="40"/>
      <c r="N50" s="40">
        <f t="shared" si="3"/>
        <v>124265850.60169205</v>
      </c>
      <c r="O50" s="40"/>
      <c r="P50" s="40">
        <f t="shared" si="4"/>
        <v>3971913.8303541956</v>
      </c>
      <c r="Q50" s="40"/>
      <c r="R50" s="40">
        <f t="shared" si="5"/>
        <v>120293936.77133791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124265850.60169205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124265850.60169205</v>
      </c>
      <c r="O51" s="40"/>
      <c r="P51" s="40">
        <f t="shared" si="4"/>
        <v>3971913.8303541956</v>
      </c>
      <c r="Q51" s="40"/>
      <c r="R51" s="40">
        <f t="shared" si="5"/>
        <v>5.9604644775390625E-8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28008894.142089196</v>
      </c>
      <c r="C62" s="38" t="s">
        <v>39</v>
      </c>
      <c r="D62" s="38">
        <f>SUM(D22:D58)</f>
        <v>-8402668.2426267583</v>
      </c>
      <c r="E62" s="38">
        <v>0</v>
      </c>
      <c r="F62" s="38">
        <f>SUM(F22:F58)</f>
        <v>124265850.60169205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4093312323.6792583</v>
      </c>
      <c r="O62" s="40"/>
      <c r="P62" s="38">
        <f>SUM(P22:P58)</f>
        <v>130834688.30462049</v>
      </c>
      <c r="Q62" s="40"/>
      <c r="R62" s="4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-7.6234997627987633E-2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'!$J$678</f>
        <v>20.968616953521252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25.639911949891879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46.608528903413131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0.49451105818561403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12936459.19399095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2.2688219077321235E-2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1.6356447933804014E-3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2.1052574283940834E-2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Unit(Fcst)'!D43</f>
        <v>26717998.535095364</v>
      </c>
      <c r="M21" s="40"/>
      <c r="N21" s="40"/>
      <c r="O21" s="40"/>
      <c r="P21" s="40"/>
      <c r="Q21" s="40"/>
      <c r="R21" s="40">
        <f>'2016 YE Reserve by Unit(Fcst)'!D41</f>
        <v>13212345.728191694</v>
      </c>
    </row>
    <row r="22" spans="1:18">
      <c r="A22" s="46">
        <v>2017</v>
      </c>
      <c r="B22" s="40">
        <f>+L21*P$10</f>
        <v>288554.38417902996</v>
      </c>
      <c r="C22" s="40"/>
      <c r="D22" s="40">
        <f>+B22*P$2</f>
        <v>-86566.315253708992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26429444.150916334</v>
      </c>
      <c r="M22" s="40"/>
      <c r="N22" s="40">
        <f>(L21+L22)/2</f>
        <v>26573721.343005851</v>
      </c>
      <c r="O22" s="40"/>
      <c r="P22" s="40">
        <f>N22*$P$12</f>
        <v>602910.41152980388</v>
      </c>
      <c r="Q22" s="40"/>
      <c r="R22" s="40">
        <f>R21+P22-B22-F22+D22</f>
        <v>13440135.44028876</v>
      </c>
    </row>
    <row r="23" spans="1:18">
      <c r="A23" s="46">
        <f>A22+1</f>
        <v>2018</v>
      </c>
      <c r="B23" s="40">
        <f t="shared" ref="B23:B48" si="0">+L22*P$10</f>
        <v>285437.99682989641</v>
      </c>
      <c r="C23" s="40"/>
      <c r="D23" s="40">
        <f t="shared" ref="D23:D51" si="1">+B23*P$2</f>
        <v>-85631.399048968917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26144006.154086437</v>
      </c>
      <c r="M23" s="40"/>
      <c r="N23" s="40">
        <f t="shared" ref="N23:N50" si="3">(L22+L23)/2</f>
        <v>26286725.152501386</v>
      </c>
      <c r="O23" s="40"/>
      <c r="P23" s="40">
        <f t="shared" ref="P23:P51" si="4">N23*$P$12</f>
        <v>596398.97908528184</v>
      </c>
      <c r="Q23" s="40"/>
      <c r="R23" s="40">
        <f t="shared" ref="R23:R51" si="5">R22+P23-B23-F23+D23</f>
        <v>13665465.023495175</v>
      </c>
    </row>
    <row r="24" spans="1:18">
      <c r="A24" s="46">
        <f t="shared" ref="A24:A58" si="6">A23+1</f>
        <v>2019</v>
      </c>
      <c r="B24" s="40">
        <f t="shared" si="0"/>
        <v>282355.26646413351</v>
      </c>
      <c r="C24" s="40"/>
      <c r="D24" s="40">
        <f t="shared" si="1"/>
        <v>-84706.579939240051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25861650.887622304</v>
      </c>
      <c r="M24" s="40"/>
      <c r="N24" s="40">
        <f t="shared" si="3"/>
        <v>26002828.520854369</v>
      </c>
      <c r="O24" s="40"/>
      <c r="P24" s="40">
        <f t="shared" si="4"/>
        <v>589957.8701111608</v>
      </c>
      <c r="Q24" s="40"/>
      <c r="R24" s="40">
        <f t="shared" si="5"/>
        <v>13888361.047202962</v>
      </c>
    </row>
    <row r="25" spans="1:18">
      <c r="A25" s="46">
        <f t="shared" si="6"/>
        <v>2020</v>
      </c>
      <c r="B25" s="40">
        <f t="shared" si="0"/>
        <v>279305.82958632091</v>
      </c>
      <c r="C25" s="40"/>
      <c r="D25" s="40">
        <f t="shared" si="1"/>
        <v>-83791.748875896272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25582345.058035985</v>
      </c>
      <c r="M25" s="40"/>
      <c r="N25" s="40">
        <f t="shared" si="3"/>
        <v>25721997.972829144</v>
      </c>
      <c r="O25" s="40"/>
      <c r="P25" s="40">
        <f t="shared" si="4"/>
        <v>583586.32511396031</v>
      </c>
      <c r="Q25" s="40"/>
      <c r="R25" s="40">
        <f t="shared" si="5"/>
        <v>14108849.793854704</v>
      </c>
    </row>
    <row r="26" spans="1:18">
      <c r="A26" s="46">
        <f t="shared" si="6"/>
        <v>2021</v>
      </c>
      <c r="B26" s="40">
        <f t="shared" si="0"/>
        <v>276289.32662678865</v>
      </c>
      <c r="C26" s="40"/>
      <c r="D26" s="40">
        <f t="shared" si="1"/>
        <v>-82886.797988036589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25306055.731409196</v>
      </c>
      <c r="M26" s="40"/>
      <c r="N26" s="40">
        <f t="shared" si="3"/>
        <v>25444200.394722588</v>
      </c>
      <c r="O26" s="40"/>
      <c r="P26" s="40">
        <f t="shared" si="4"/>
        <v>577283.59280272957</v>
      </c>
      <c r="Q26" s="40"/>
      <c r="R26" s="40">
        <f t="shared" si="5"/>
        <v>14326957.262042608</v>
      </c>
    </row>
    <row r="27" spans="1:18">
      <c r="A27" s="46">
        <f t="shared" si="6"/>
        <v>2022</v>
      </c>
      <c r="B27" s="40">
        <f t="shared" si="0"/>
        <v>273305.40189921932</v>
      </c>
      <c r="C27" s="40"/>
      <c r="D27" s="40">
        <f t="shared" si="1"/>
        <v>-81991.620569765786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25032750.329509977</v>
      </c>
      <c r="M27" s="40"/>
      <c r="N27" s="40">
        <f t="shared" si="3"/>
        <v>25169403.030459587</v>
      </c>
      <c r="O27" s="40"/>
      <c r="P27" s="40">
        <f t="shared" si="4"/>
        <v>571048.93000046012</v>
      </c>
      <c r="Q27" s="40"/>
      <c r="R27" s="40">
        <f t="shared" si="5"/>
        <v>14542709.169574084</v>
      </c>
    </row>
    <row r="28" spans="1:18">
      <c r="A28" s="46">
        <f t="shared" si="6"/>
        <v>2023</v>
      </c>
      <c r="B28" s="40">
        <f t="shared" si="0"/>
        <v>270353.70355870778</v>
      </c>
      <c r="C28" s="40"/>
      <c r="D28" s="40">
        <f t="shared" si="1"/>
        <v>-81106.111067612335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24762396.625951268</v>
      </c>
      <c r="M28" s="40"/>
      <c r="N28" s="40">
        <f t="shared" si="3"/>
        <v>24897573.477730624</v>
      </c>
      <c r="O28" s="40"/>
      <c r="P28" s="40">
        <f t="shared" si="4"/>
        <v>564881.60155645513</v>
      </c>
      <c r="Q28" s="40"/>
      <c r="R28" s="40">
        <f t="shared" si="5"/>
        <v>14756130.95650422</v>
      </c>
    </row>
    <row r="29" spans="1:18">
      <c r="A29" s="46">
        <f t="shared" si="6"/>
        <v>2024</v>
      </c>
      <c r="B29" s="40">
        <f t="shared" si="0"/>
        <v>267433.88356027368</v>
      </c>
      <c r="C29" s="40"/>
      <c r="D29" s="40">
        <f t="shared" si="1"/>
        <v>-80230.165068082104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24494962.742390994</v>
      </c>
      <c r="M29" s="40"/>
      <c r="N29" s="40">
        <f t="shared" si="3"/>
        <v>24628679.684171133</v>
      </c>
      <c r="O29" s="40"/>
      <c r="P29" s="40">
        <f t="shared" si="4"/>
        <v>558780.8802596454</v>
      </c>
      <c r="Q29" s="40"/>
      <c r="R29" s="40">
        <f t="shared" si="5"/>
        <v>14967247.78813551</v>
      </c>
    </row>
    <row r="30" spans="1:18">
      <c r="A30" s="46">
        <f t="shared" si="6"/>
        <v>2025</v>
      </c>
      <c r="B30" s="40">
        <f t="shared" si="0"/>
        <v>264545.59761782276</v>
      </c>
      <c r="C30" s="40"/>
      <c r="D30" s="40">
        <f t="shared" si="1"/>
        <v>-79363.679285346821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24230417.14477317</v>
      </c>
      <c r="M30" s="40"/>
      <c r="N30" s="40">
        <f t="shared" si="3"/>
        <v>24362689.94358208</v>
      </c>
      <c r="O30" s="40"/>
      <c r="P30" s="40">
        <f t="shared" si="4"/>
        <v>552746.04675284121</v>
      </c>
      <c r="Q30" s="40"/>
      <c r="R30" s="40">
        <f t="shared" si="5"/>
        <v>15176084.557985179</v>
      </c>
    </row>
    <row r="31" spans="1:18">
      <c r="A31" s="46">
        <f t="shared" si="6"/>
        <v>2026</v>
      </c>
      <c r="B31" s="40">
        <f t="shared" si="0"/>
        <v>261688.50516355026</v>
      </c>
      <c r="C31" s="40"/>
      <c r="D31" s="40">
        <f t="shared" si="1"/>
        <v>-78506.551549065072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23968728.63960962</v>
      </c>
      <c r="M31" s="40"/>
      <c r="N31" s="40">
        <f t="shared" si="3"/>
        <v>24099572.892191395</v>
      </c>
      <c r="O31" s="40"/>
      <c r="P31" s="40">
        <f t="shared" si="4"/>
        <v>546776.38944791048</v>
      </c>
      <c r="Q31" s="40"/>
      <c r="R31" s="40">
        <f t="shared" si="5"/>
        <v>15382665.890720474</v>
      </c>
    </row>
    <row r="32" spans="1:18">
      <c r="A32" s="46">
        <f t="shared" si="6"/>
        <v>2027</v>
      </c>
      <c r="B32" s="40">
        <f t="shared" si="0"/>
        <v>258862.26930778392</v>
      </c>
      <c r="C32" s="40"/>
      <c r="D32" s="40">
        <f t="shared" si="1"/>
        <v>-77658.680792335173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23709866.370301835</v>
      </c>
      <c r="M32" s="40"/>
      <c r="N32" s="40">
        <f t="shared" si="3"/>
        <v>23839297.504955728</v>
      </c>
      <c r="O32" s="40"/>
      <c r="P32" s="40">
        <f t="shared" si="4"/>
        <v>540871.20444187301</v>
      </c>
      <c r="Q32" s="40"/>
      <c r="R32" s="40">
        <f t="shared" si="5"/>
        <v>15587016.145062227</v>
      </c>
    </row>
    <row r="33" spans="1:18">
      <c r="A33" s="46">
        <f t="shared" si="6"/>
        <v>2028</v>
      </c>
      <c r="B33" s="40">
        <f t="shared" si="0"/>
        <v>256066.55679925982</v>
      </c>
      <c r="C33" s="40"/>
      <c r="D33" s="40">
        <f t="shared" si="1"/>
        <v>-76819.967039777941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23453799.813502576</v>
      </c>
      <c r="M33" s="40"/>
      <c r="N33" s="40">
        <f t="shared" si="3"/>
        <v>23581833.091902204</v>
      </c>
      <c r="O33" s="40"/>
      <c r="P33" s="40">
        <f t="shared" si="4"/>
        <v>535029.79543390078</v>
      </c>
      <c r="Q33" s="40"/>
      <c r="R33" s="40">
        <f t="shared" si="5"/>
        <v>15789159.41665709</v>
      </c>
    </row>
    <row r="34" spans="1:18">
      <c r="A34" s="46">
        <f t="shared" si="6"/>
        <v>2029</v>
      </c>
      <c r="B34" s="40">
        <f t="shared" si="0"/>
        <v>253301.03798582783</v>
      </c>
      <c r="C34" s="40"/>
      <c r="D34" s="40">
        <f t="shared" si="1"/>
        <v>-75990.311395748344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23200498.775516748</v>
      </c>
      <c r="M34" s="40"/>
      <c r="N34" s="40">
        <f t="shared" si="3"/>
        <v>23327149.294509664</v>
      </c>
      <c r="O34" s="40"/>
      <c r="P34" s="40">
        <f t="shared" si="4"/>
        <v>529251.47364321479</v>
      </c>
      <c r="Q34" s="40"/>
      <c r="R34" s="40">
        <f t="shared" si="5"/>
        <v>15989119.54091873</v>
      </c>
    </row>
    <row r="35" spans="1:18">
      <c r="A35" s="46">
        <f t="shared" si="6"/>
        <v>2030</v>
      </c>
      <c r="B35" s="40">
        <f t="shared" si="0"/>
        <v>250565.3867755809</v>
      </c>
      <c r="C35" s="40"/>
      <c r="D35" s="40">
        <f t="shared" si="1"/>
        <v>-75169.616032674268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22949933.388741169</v>
      </c>
      <c r="M35" s="40"/>
      <c r="N35" s="40">
        <f t="shared" si="3"/>
        <v>23075216.082128957</v>
      </c>
      <c r="O35" s="40"/>
      <c r="P35" s="40">
        <f t="shared" si="4"/>
        <v>523535.55772786797</v>
      </c>
      <c r="Q35" s="40"/>
      <c r="R35" s="40">
        <f t="shared" si="5"/>
        <v>16186920.095838342</v>
      </c>
    </row>
    <row r="36" spans="1:18">
      <c r="A36" s="46">
        <f t="shared" si="6"/>
        <v>2031</v>
      </c>
      <c r="B36" s="40">
        <f t="shared" si="0"/>
        <v>247859.28059840464</v>
      </c>
      <c r="C36" s="40"/>
      <c r="D36" s="40">
        <f t="shared" si="1"/>
        <v>-74357.78417952139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22702074.108142763</v>
      </c>
      <c r="M36" s="40"/>
      <c r="N36" s="40">
        <f t="shared" si="3"/>
        <v>22826003.748441964</v>
      </c>
      <c r="O36" s="40"/>
      <c r="P36" s="40">
        <f t="shared" si="4"/>
        <v>517881.37370440701</v>
      </c>
      <c r="Q36" s="40"/>
      <c r="R36" s="40">
        <f t="shared" si="5"/>
        <v>16382584.404764824</v>
      </c>
    </row>
    <row r="37" spans="1:18">
      <c r="A37" s="46">
        <f t="shared" si="6"/>
        <v>2032</v>
      </c>
      <c r="B37" s="40">
        <f t="shared" si="0"/>
        <v>245182.40036794185</v>
      </c>
      <c r="C37" s="40"/>
      <c r="D37" s="40">
        <f t="shared" si="1"/>
        <v>-73554.72011038255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22456891.707774822</v>
      </c>
      <c r="M37" s="40"/>
      <c r="N37" s="40">
        <f t="shared" si="3"/>
        <v>22579482.907958791</v>
      </c>
      <c r="O37" s="40"/>
      <c r="P37" s="40">
        <f t="shared" si="4"/>
        <v>512288.25486839941</v>
      </c>
      <c r="Q37" s="40"/>
      <c r="R37" s="40">
        <f t="shared" si="5"/>
        <v>16576135.539154898</v>
      </c>
    </row>
    <row r="38" spans="1:18">
      <c r="A38" s="46">
        <f t="shared" si="6"/>
        <v>2033</v>
      </c>
      <c r="B38" s="40">
        <f t="shared" si="0"/>
        <v>242534.4304439681</v>
      </c>
      <c r="C38" s="40"/>
      <c r="D38" s="40">
        <f t="shared" si="1"/>
        <v>-72760.329133190433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22214357.277330853</v>
      </c>
      <c r="M38" s="40"/>
      <c r="N38" s="40">
        <f t="shared" si="3"/>
        <v>22335624.492552839</v>
      </c>
      <c r="O38" s="40"/>
      <c r="P38" s="40">
        <f t="shared" si="4"/>
        <v>506755.54171582079</v>
      </c>
      <c r="Q38" s="40"/>
      <c r="R38" s="40">
        <f t="shared" si="5"/>
        <v>16767596.321293559</v>
      </c>
    </row>
    <row r="39" spans="1:18">
      <c r="A39" s="46">
        <f t="shared" si="6"/>
        <v>2034</v>
      </c>
      <c r="B39" s="40">
        <f t="shared" si="0"/>
        <v>239915.05859517324</v>
      </c>
      <c r="C39" s="40"/>
      <c r="D39" s="40">
        <f t="shared" si="1"/>
        <v>-71974.517578551968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21974442.21873568</v>
      </c>
      <c r="M39" s="40"/>
      <c r="N39" s="40">
        <f t="shared" si="3"/>
        <v>22094399.748033267</v>
      </c>
      <c r="O39" s="40"/>
      <c r="P39" s="40">
        <f t="shared" si="4"/>
        <v>501282.58186528983</v>
      </c>
      <c r="Q39" s="40"/>
      <c r="R39" s="40">
        <f t="shared" si="5"/>
        <v>16956989.326985121</v>
      </c>
    </row>
    <row r="40" spans="1:18">
      <c r="A40" s="46">
        <f t="shared" si="6"/>
        <v>2035</v>
      </c>
      <c r="B40" s="40">
        <f t="shared" si="0"/>
        <v>237323.97596234534</v>
      </c>
      <c r="C40" s="40"/>
      <c r="D40" s="40">
        <f t="shared" si="1"/>
        <v>-71197.1927887036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21737118.242773335</v>
      </c>
      <c r="M40" s="40"/>
      <c r="N40" s="40">
        <f t="shared" si="3"/>
        <v>21855780.23075451</v>
      </c>
      <c r="O40" s="40"/>
      <c r="P40" s="40">
        <f t="shared" si="4"/>
        <v>495868.72998114477</v>
      </c>
      <c r="Q40" s="40"/>
      <c r="R40" s="40">
        <f t="shared" si="5"/>
        <v>17144336.888215214</v>
      </c>
    </row>
    <row r="41" spans="1:18">
      <c r="A41" s="46">
        <f t="shared" si="6"/>
        <v>2036</v>
      </c>
      <c r="B41" s="40">
        <f t="shared" si="0"/>
        <v>234760.87702195204</v>
      </c>
      <c r="C41" s="40"/>
      <c r="D41" s="40">
        <f t="shared" si="1"/>
        <v>-70428.263106585611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21502357.365751382</v>
      </c>
      <c r="M41" s="40"/>
      <c r="N41" s="40">
        <f t="shared" si="3"/>
        <v>21619737.804262359</v>
      </c>
      <c r="O41" s="40"/>
      <c r="P41" s="40">
        <f t="shared" si="4"/>
        <v>490513.34769734833</v>
      </c>
      <c r="Q41" s="40"/>
      <c r="R41" s="40">
        <f t="shared" si="5"/>
        <v>17329661.095784023</v>
      </c>
    </row>
    <row r="42" spans="1:18">
      <c r="A42" s="46">
        <f t="shared" si="6"/>
        <v>2037</v>
      </c>
      <c r="B42" s="40">
        <f t="shared" si="0"/>
        <v>232225.45955011493</v>
      </c>
      <c r="C42" s="40"/>
      <c r="D42" s="40">
        <f t="shared" si="1"/>
        <v>-69667.63786503447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21270131.906201266</v>
      </c>
      <c r="M42" s="40"/>
      <c r="N42" s="40">
        <f t="shared" si="3"/>
        <v>21386244.635976322</v>
      </c>
      <c r="O42" s="40"/>
      <c r="P42" s="40">
        <f t="shared" si="4"/>
        <v>485215.80354221695</v>
      </c>
      <c r="Q42" s="40"/>
      <c r="R42" s="40">
        <f t="shared" si="5"/>
        <v>17512983.80191109</v>
      </c>
    </row>
    <row r="43" spans="1:18">
      <c r="A43" s="46">
        <f t="shared" si="6"/>
        <v>2038</v>
      </c>
      <c r="B43" s="40">
        <f t="shared" si="0"/>
        <v>229717.42458697368</v>
      </c>
      <c r="C43" s="40"/>
      <c r="D43" s="40">
        <f t="shared" si="1"/>
        <v>-68915.227376092094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21040414.481614292</v>
      </c>
      <c r="M43" s="40"/>
      <c r="N43" s="40">
        <f t="shared" si="3"/>
        <v>21155273.193907779</v>
      </c>
      <c r="O43" s="40"/>
      <c r="P43" s="40">
        <f t="shared" si="4"/>
        <v>479975.47286396101</v>
      </c>
      <c r="Q43" s="40"/>
      <c r="R43" s="40">
        <f t="shared" si="5"/>
        <v>17694326.622811984</v>
      </c>
    </row>
    <row r="44" spans="1:18">
      <c r="A44" s="46">
        <f t="shared" si="6"/>
        <v>2039</v>
      </c>
      <c r="B44" s="40">
        <f t="shared" si="0"/>
        <v>227236.47640143437</v>
      </c>
      <c r="C44" s="40"/>
      <c r="D44" s="40">
        <f t="shared" si="1"/>
        <v>-68170.942920430301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20813178.005212858</v>
      </c>
      <c r="M44" s="40"/>
      <c r="N44" s="40">
        <f t="shared" si="3"/>
        <v>20926796.243413575</v>
      </c>
      <c r="O44" s="40"/>
      <c r="P44" s="40">
        <f t="shared" si="4"/>
        <v>474791.73775703023</v>
      </c>
      <c r="Q44" s="40"/>
      <c r="R44" s="40">
        <f t="shared" si="5"/>
        <v>17873710.94124715</v>
      </c>
    </row>
    <row r="45" spans="1:18">
      <c r="A45" s="46">
        <f t="shared" si="6"/>
        <v>2040</v>
      </c>
      <c r="B45" s="40">
        <f t="shared" si="0"/>
        <v>224782.32245629889</v>
      </c>
      <c r="C45" s="40"/>
      <c r="D45" s="40">
        <f t="shared" si="1"/>
        <v>-67434.696736889658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20588395.682756558</v>
      </c>
      <c r="M45" s="40"/>
      <c r="N45" s="40">
        <f t="shared" si="3"/>
        <v>20700786.843984708</v>
      </c>
      <c r="O45" s="40"/>
      <c r="P45" s="40">
        <f t="shared" si="4"/>
        <v>469663.98698925431</v>
      </c>
      <c r="Q45" s="40"/>
      <c r="R45" s="40">
        <f t="shared" si="5"/>
        <v>18051157.909043215</v>
      </c>
    </row>
    <row r="46" spans="1:18">
      <c r="A46" s="46">
        <f t="shared" si="6"/>
        <v>2041</v>
      </c>
      <c r="B46" s="40">
        <f t="shared" si="0"/>
        <v>222354.67337377084</v>
      </c>
      <c r="C46" s="40"/>
      <c r="D46" s="40">
        <f t="shared" si="1"/>
        <v>-66706.40201213125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20366041.009382788</v>
      </c>
      <c r="M46" s="40"/>
      <c r="N46" s="40">
        <f t="shared" si="3"/>
        <v>20477218.346069671</v>
      </c>
      <c r="O46" s="40"/>
      <c r="P46" s="40">
        <f t="shared" si="4"/>
        <v>464591.61592977028</v>
      </c>
      <c r="Q46" s="40"/>
      <c r="R46" s="40">
        <f t="shared" si="5"/>
        <v>18226688.449587084</v>
      </c>
    </row>
    <row r="47" spans="1:18">
      <c r="A47" s="46">
        <f t="shared" si="6"/>
        <v>2042</v>
      </c>
      <c r="B47" s="40">
        <f t="shared" si="0"/>
        <v>219953.24290133413</v>
      </c>
      <c r="C47" s="40"/>
      <c r="D47" s="40">
        <f t="shared" si="1"/>
        <v>-65985.972870400234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20146087.766481455</v>
      </c>
      <c r="M47" s="40"/>
      <c r="N47" s="40">
        <f t="shared" si="3"/>
        <v>20256064.387932122</v>
      </c>
      <c r="O47" s="40"/>
      <c r="P47" s="40">
        <f t="shared" si="4"/>
        <v>459574.02647772885</v>
      </c>
      <c r="Q47" s="40"/>
      <c r="R47" s="40">
        <f t="shared" si="5"/>
        <v>18400323.260293078</v>
      </c>
    </row>
    <row r="48" spans="1:18">
      <c r="A48" s="46">
        <f t="shared" si="6"/>
        <v>2043</v>
      </c>
      <c r="B48" s="40">
        <f t="shared" si="0"/>
        <v>217577.74787799973</v>
      </c>
      <c r="C48" s="40"/>
      <c r="D48" s="40">
        <f t="shared" si="1"/>
        <v>-65273.324363399915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19928510.018603455</v>
      </c>
      <c r="M48" s="40"/>
      <c r="N48" s="40">
        <f t="shared" si="3"/>
        <v>20037298.892542455</v>
      </c>
      <c r="O48" s="40"/>
      <c r="P48" s="40">
        <f t="shared" si="4"/>
        <v>454610.62699176942</v>
      </c>
      <c r="Q48" s="40"/>
      <c r="R48" s="40">
        <f t="shared" si="5"/>
        <v>18572082.815043449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19928510.018603455</v>
      </c>
      <c r="M49" s="40"/>
      <c r="N49" s="40">
        <f t="shared" si="3"/>
        <v>19928510.018603455</v>
      </c>
      <c r="O49" s="40"/>
      <c r="P49" s="40">
        <f t="shared" si="4"/>
        <v>452142.40118666628</v>
      </c>
      <c r="Q49" s="40"/>
      <c r="R49" s="40">
        <f t="shared" si="5"/>
        <v>19024225.216230117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19928510.018603455</v>
      </c>
      <c r="M50" s="40"/>
      <c r="N50" s="40">
        <f t="shared" si="3"/>
        <v>19928510.018603455</v>
      </c>
      <c r="O50" s="40"/>
      <c r="P50" s="40">
        <f t="shared" si="4"/>
        <v>452142.40118666628</v>
      </c>
      <c r="Q50" s="40"/>
      <c r="R50" s="40">
        <f t="shared" si="5"/>
        <v>19476367.617416784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19928510.018603455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19928510.018603455</v>
      </c>
      <c r="O51" s="40"/>
      <c r="P51" s="40">
        <f t="shared" si="4"/>
        <v>452142.40118666628</v>
      </c>
      <c r="Q51" s="40"/>
      <c r="R51" s="40">
        <f t="shared" si="5"/>
        <v>-3.7252902984619141E-9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6789488.5164919086</v>
      </c>
      <c r="C62" s="38" t="s">
        <v>39</v>
      </c>
      <c r="D62" s="38">
        <f>SUM(D22:D58)</f>
        <v>-2036846.5549475723</v>
      </c>
      <c r="E62" s="38">
        <v>0</v>
      </c>
      <c r="F62" s="38">
        <f>SUM(F22:F58)</f>
        <v>19928510.018603455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685047129.91718531</v>
      </c>
      <c r="O62" s="40"/>
      <c r="P62" s="38">
        <f>SUM(P22:P58)</f>
        <v>15542499.361851245</v>
      </c>
      <c r="Q62" s="40"/>
      <c r="R62" s="4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-1.33662358582145E-2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'!$J$695</f>
        <v>24.347462309102021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27.75149468498984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52.098956994091864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0.69246662797349834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6145876.7412702106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1.1563327003726523E-2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2.5655476864402986E-4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1.1306772235082493E-2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Unit(Fcst)'!D44</f>
        <v>12977550.953576179</v>
      </c>
      <c r="M21" s="40"/>
      <c r="N21" s="40"/>
      <c r="O21" s="40"/>
      <c r="P21" s="40"/>
      <c r="Q21" s="40"/>
      <c r="R21" s="40">
        <f>'2016 YE Reserve by Unit(Fcst)'!D42</f>
        <v>8986520.9481771551</v>
      </c>
    </row>
    <row r="22" spans="1:18">
      <c r="A22" s="46">
        <v>2017</v>
      </c>
      <c r="B22" s="40">
        <f>+L21*P$10</f>
        <v>68781.020053953747</v>
      </c>
      <c r="C22" s="40"/>
      <c r="D22" s="40">
        <f>+B22*P$2</f>
        <v>-6878.1020053953753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12908769.933522226</v>
      </c>
      <c r="M22" s="40"/>
      <c r="N22" s="40">
        <f>(L21+L22)/2</f>
        <v>12943160.443549203</v>
      </c>
      <c r="O22" s="40"/>
      <c r="P22" s="40">
        <f>N22*$P$12</f>
        <v>149665.99667045745</v>
      </c>
      <c r="Q22" s="40"/>
      <c r="R22" s="40">
        <f>R21+P22-B22-F22+D22</f>
        <v>9060527.8227882627</v>
      </c>
    </row>
    <row r="23" spans="1:18">
      <c r="A23" s="46">
        <f>A22+1</f>
        <v>2018</v>
      </c>
      <c r="B23" s="40">
        <f t="shared" ref="B23:B48" si="0">+L22*P$10</f>
        <v>68416.480647667806</v>
      </c>
      <c r="C23" s="40"/>
      <c r="D23" s="40">
        <f t="shared" ref="D23:D51" si="1">+B23*P$2</f>
        <v>-6841.6480647667813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12840353.452874558</v>
      </c>
      <c r="M23" s="40"/>
      <c r="N23" s="40">
        <f t="shared" ref="N23:N50" si="3">(L22+L23)/2</f>
        <v>12874561.693198392</v>
      </c>
      <c r="O23" s="40"/>
      <c r="P23" s="40">
        <f t="shared" ref="P23:P51" si="4">N23*$P$12</f>
        <v>148872.76688810403</v>
      </c>
      <c r="Q23" s="40"/>
      <c r="R23" s="40">
        <f t="shared" ref="R23:R51" si="5">R22+P23-B23-F23+D23</f>
        <v>9134142.4609639328</v>
      </c>
    </row>
    <row r="24" spans="1:18">
      <c r="A24" s="46">
        <f t="shared" ref="A24:A58" si="6">A23+1</f>
        <v>2019</v>
      </c>
      <c r="B24" s="40">
        <f t="shared" si="0"/>
        <v>68053.873300235151</v>
      </c>
      <c r="C24" s="40"/>
      <c r="D24" s="40">
        <f t="shared" si="1"/>
        <v>-6805.3873300235155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12772299.579574322</v>
      </c>
      <c r="M24" s="40"/>
      <c r="N24" s="40">
        <f t="shared" si="3"/>
        <v>12806326.51622444</v>
      </c>
      <c r="O24" s="40"/>
      <c r="P24" s="40">
        <f t="shared" si="4"/>
        <v>148083.74122359708</v>
      </c>
      <c r="Q24" s="40"/>
      <c r="R24" s="40">
        <f t="shared" si="5"/>
        <v>9207366.9415572714</v>
      </c>
    </row>
    <row r="25" spans="1:18">
      <c r="A25" s="46">
        <f t="shared" si="6"/>
        <v>2020</v>
      </c>
      <c r="B25" s="40">
        <f t="shared" si="0"/>
        <v>67693.187771743906</v>
      </c>
      <c r="C25" s="40"/>
      <c r="D25" s="40">
        <f t="shared" si="1"/>
        <v>-6769.3187771743906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12704606.391802579</v>
      </c>
      <c r="M25" s="40"/>
      <c r="N25" s="40">
        <f t="shared" si="3"/>
        <v>12738452.985688452</v>
      </c>
      <c r="O25" s="40"/>
      <c r="P25" s="40">
        <f t="shared" si="4"/>
        <v>147298.89739511203</v>
      </c>
      <c r="Q25" s="40"/>
      <c r="R25" s="40">
        <f t="shared" si="5"/>
        <v>9280203.3324034661</v>
      </c>
    </row>
    <row r="26" spans="1:18">
      <c r="A26" s="46">
        <f t="shared" si="6"/>
        <v>2021</v>
      </c>
      <c r="B26" s="40">
        <f t="shared" si="0"/>
        <v>67334.413876553663</v>
      </c>
      <c r="C26" s="40"/>
      <c r="D26" s="40">
        <f t="shared" si="1"/>
        <v>-6733.4413876553663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12637271.977926025</v>
      </c>
      <c r="M26" s="40"/>
      <c r="N26" s="40">
        <f t="shared" si="3"/>
        <v>12670939.184864301</v>
      </c>
      <c r="O26" s="40"/>
      <c r="P26" s="40">
        <f t="shared" si="4"/>
        <v>146518.2132389179</v>
      </c>
      <c r="Q26" s="40"/>
      <c r="R26" s="40">
        <f t="shared" si="5"/>
        <v>9352653.6903781742</v>
      </c>
    </row>
    <row r="27" spans="1:18">
      <c r="A27" s="46">
        <f t="shared" si="6"/>
        <v>2022</v>
      </c>
      <c r="B27" s="40">
        <f t="shared" si="0"/>
        <v>66977.541483007939</v>
      </c>
      <c r="C27" s="40"/>
      <c r="D27" s="40">
        <f t="shared" si="1"/>
        <v>-6697.7541483007944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12570294.436443018</v>
      </c>
      <c r="M27" s="40"/>
      <c r="N27" s="40">
        <f t="shared" si="3"/>
        <v>12603783.207184521</v>
      </c>
      <c r="O27" s="40"/>
      <c r="P27" s="40">
        <f t="shared" si="4"/>
        <v>145741.66670875164</v>
      </c>
      <c r="Q27" s="40"/>
      <c r="R27" s="40">
        <f t="shared" si="5"/>
        <v>9424720.0614556186</v>
      </c>
    </row>
    <row r="28" spans="1:18">
      <c r="A28" s="46">
        <f t="shared" si="6"/>
        <v>2023</v>
      </c>
      <c r="B28" s="40">
        <f t="shared" si="0"/>
        <v>66622.560513147997</v>
      </c>
      <c r="C28" s="40"/>
      <c r="D28" s="40">
        <f t="shared" si="1"/>
        <v>-6662.2560513148001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12503671.87592987</v>
      </c>
      <c r="M28" s="40"/>
      <c r="N28" s="40">
        <f t="shared" si="3"/>
        <v>12536983.156186443</v>
      </c>
      <c r="O28" s="40"/>
      <c r="P28" s="40">
        <f t="shared" si="4"/>
        <v>144969.23587519527</v>
      </c>
      <c r="Q28" s="40"/>
      <c r="R28" s="40">
        <f t="shared" si="5"/>
        <v>9496404.4807663504</v>
      </c>
    </row>
    <row r="29" spans="1:18">
      <c r="A29" s="46">
        <f t="shared" si="6"/>
        <v>2024</v>
      </c>
      <c r="B29" s="40">
        <f t="shared" si="0"/>
        <v>66269.460942428312</v>
      </c>
      <c r="C29" s="40"/>
      <c r="D29" s="40">
        <f t="shared" si="1"/>
        <v>-6626.9460942428314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12437402.414987441</v>
      </c>
      <c r="M29" s="40"/>
      <c r="N29" s="40">
        <f t="shared" si="3"/>
        <v>12470537.145458655</v>
      </c>
      <c r="O29" s="40"/>
      <c r="P29" s="40">
        <f t="shared" si="4"/>
        <v>144200.89892505674</v>
      </c>
      <c r="Q29" s="40"/>
      <c r="R29" s="40">
        <f t="shared" si="5"/>
        <v>9567708.9726547357</v>
      </c>
    </row>
    <row r="30" spans="1:18">
      <c r="A30" s="46">
        <f t="shared" si="6"/>
        <v>2025</v>
      </c>
      <c r="B30" s="40">
        <f t="shared" si="0"/>
        <v>65918.232799433434</v>
      </c>
      <c r="C30" s="40"/>
      <c r="D30" s="40">
        <f t="shared" si="1"/>
        <v>-6591.8232799433436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12371484.182188008</v>
      </c>
      <c r="M30" s="40"/>
      <c r="N30" s="40">
        <f t="shared" si="3"/>
        <v>12404443.298587725</v>
      </c>
      <c r="O30" s="40"/>
      <c r="P30" s="40">
        <f t="shared" si="4"/>
        <v>143436.63416075392</v>
      </c>
      <c r="Q30" s="40"/>
      <c r="R30" s="40">
        <f t="shared" si="5"/>
        <v>9638635.5507361125</v>
      </c>
    </row>
    <row r="31" spans="1:18">
      <c r="A31" s="46">
        <f t="shared" si="6"/>
        <v>2026</v>
      </c>
      <c r="B31" s="40">
        <f t="shared" si="0"/>
        <v>65568.866165596439</v>
      </c>
      <c r="C31" s="40"/>
      <c r="D31" s="40">
        <f t="shared" si="1"/>
        <v>-6556.8866165596446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12305915.316022411</v>
      </c>
      <c r="M31" s="40"/>
      <c r="N31" s="40">
        <f t="shared" si="3"/>
        <v>12338699.749105209</v>
      </c>
      <c r="O31" s="40"/>
      <c r="P31" s="40">
        <f t="shared" si="4"/>
        <v>142676.41999970193</v>
      </c>
      <c r="Q31" s="40"/>
      <c r="R31" s="40">
        <f t="shared" si="5"/>
        <v>9709186.2179536577</v>
      </c>
    </row>
    <row r="32" spans="1:18">
      <c r="A32" s="46">
        <f t="shared" si="6"/>
        <v>2027</v>
      </c>
      <c r="B32" s="40">
        <f t="shared" si="0"/>
        <v>65221.351174918782</v>
      </c>
      <c r="C32" s="40"/>
      <c r="D32" s="40">
        <f t="shared" si="1"/>
        <v>-6522.1351174918782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12240693.964847492</v>
      </c>
      <c r="M32" s="40"/>
      <c r="N32" s="40">
        <f t="shared" si="3"/>
        <v>12273304.640434951</v>
      </c>
      <c r="O32" s="40"/>
      <c r="P32" s="40">
        <f t="shared" si="4"/>
        <v>141920.23497370351</v>
      </c>
      <c r="Q32" s="40"/>
      <c r="R32" s="40">
        <f t="shared" si="5"/>
        <v>9779362.9666349515</v>
      </c>
    </row>
    <row r="33" spans="1:18">
      <c r="A33" s="46">
        <f t="shared" si="6"/>
        <v>2028</v>
      </c>
      <c r="B33" s="40">
        <f t="shared" si="0"/>
        <v>64875.678013691708</v>
      </c>
      <c r="C33" s="40"/>
      <c r="D33" s="40">
        <f t="shared" si="1"/>
        <v>-6487.5678013691713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12175818.2868338</v>
      </c>
      <c r="M33" s="40"/>
      <c r="N33" s="40">
        <f t="shared" si="3"/>
        <v>12208256.125840645</v>
      </c>
      <c r="O33" s="40"/>
      <c r="P33" s="40">
        <f t="shared" si="4"/>
        <v>141168.05772834289</v>
      </c>
      <c r="Q33" s="40"/>
      <c r="R33" s="40">
        <f t="shared" si="5"/>
        <v>9849167.7785482332</v>
      </c>
    </row>
    <row r="34" spans="1:18">
      <c r="A34" s="46">
        <f t="shared" si="6"/>
        <v>2029</v>
      </c>
      <c r="B34" s="40">
        <f t="shared" si="0"/>
        <v>64531.836920219139</v>
      </c>
      <c r="C34" s="40"/>
      <c r="D34" s="40">
        <f t="shared" si="1"/>
        <v>-6453.1836920219139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12111286.449913582</v>
      </c>
      <c r="M34" s="40"/>
      <c r="N34" s="40">
        <f t="shared" si="3"/>
        <v>12143552.368373692</v>
      </c>
      <c r="O34" s="40"/>
      <c r="P34" s="40">
        <f t="shared" si="4"/>
        <v>140419.86702238268</v>
      </c>
      <c r="Q34" s="40"/>
      <c r="R34" s="40">
        <f t="shared" si="5"/>
        <v>9918602.6249583755</v>
      </c>
    </row>
    <row r="35" spans="1:18">
      <c r="A35" s="46">
        <f t="shared" si="6"/>
        <v>2030</v>
      </c>
      <c r="B35" s="40">
        <f t="shared" si="0"/>
        <v>64189.818184541982</v>
      </c>
      <c r="C35" s="40"/>
      <c r="D35" s="40">
        <f t="shared" si="1"/>
        <v>-6418.9818184541982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12047096.63172904</v>
      </c>
      <c r="M35" s="40"/>
      <c r="N35" s="40">
        <f t="shared" si="3"/>
        <v>12079191.54082131</v>
      </c>
      <c r="O35" s="40"/>
      <c r="P35" s="40">
        <f t="shared" si="4"/>
        <v>139675.64172716404</v>
      </c>
      <c r="Q35" s="40"/>
      <c r="R35" s="40">
        <f t="shared" si="5"/>
        <v>9987669.466682544</v>
      </c>
    </row>
    <row r="36" spans="1:18">
      <c r="A36" s="46">
        <f t="shared" si="6"/>
        <v>2031</v>
      </c>
      <c r="B36" s="40">
        <f t="shared" si="0"/>
        <v>63849.612148163913</v>
      </c>
      <c r="C36" s="40"/>
      <c r="D36" s="40">
        <f t="shared" si="1"/>
        <v>-6384.9612148163915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11983247.019580876</v>
      </c>
      <c r="M36" s="40"/>
      <c r="N36" s="40">
        <f t="shared" si="3"/>
        <v>12015171.825654957</v>
      </c>
      <c r="O36" s="40"/>
      <c r="P36" s="40">
        <f t="shared" si="4"/>
        <v>138935.36082601006</v>
      </c>
      <c r="Q36" s="40"/>
      <c r="R36" s="40">
        <f t="shared" si="5"/>
        <v>10056370.254145574</v>
      </c>
    </row>
    <row r="37" spans="1:18">
      <c r="A37" s="46">
        <f t="shared" si="6"/>
        <v>2032</v>
      </c>
      <c r="B37" s="40">
        <f t="shared" si="0"/>
        <v>63511.209203778642</v>
      </c>
      <c r="C37" s="40"/>
      <c r="D37" s="40">
        <f t="shared" si="1"/>
        <v>-6351.1209203778644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11919735.810377099</v>
      </c>
      <c r="M37" s="40"/>
      <c r="N37" s="40">
        <f t="shared" si="3"/>
        <v>11951491.414978988</v>
      </c>
      <c r="O37" s="40"/>
      <c r="P37" s="40">
        <f t="shared" si="4"/>
        <v>138199.00341363225</v>
      </c>
      <c r="Q37" s="40"/>
      <c r="R37" s="40">
        <f t="shared" si="5"/>
        <v>10124706.92743505</v>
      </c>
    </row>
    <row r="38" spans="1:18">
      <c r="A38" s="46">
        <f t="shared" si="6"/>
        <v>2033</v>
      </c>
      <c r="B38" s="40">
        <f t="shared" si="0"/>
        <v>63174.599794998619</v>
      </c>
      <c r="C38" s="40"/>
      <c r="D38" s="40">
        <f t="shared" si="1"/>
        <v>-6317.4599794998621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11856561.2105821</v>
      </c>
      <c r="M38" s="40"/>
      <c r="N38" s="40">
        <f t="shared" si="3"/>
        <v>11888148.510479599</v>
      </c>
      <c r="O38" s="40"/>
      <c r="P38" s="40">
        <f t="shared" si="4"/>
        <v>137466.54869554</v>
      </c>
      <c r="Q38" s="40"/>
      <c r="R38" s="40">
        <f t="shared" si="5"/>
        <v>10192681.41635609</v>
      </c>
    </row>
    <row r="39" spans="1:18">
      <c r="A39" s="46">
        <f t="shared" si="6"/>
        <v>2034</v>
      </c>
      <c r="B39" s="40">
        <f t="shared" si="0"/>
        <v>62839.774416085129</v>
      </c>
      <c r="C39" s="40"/>
      <c r="D39" s="40">
        <f t="shared" si="1"/>
        <v>-6283.9774416085129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11793721.436166015</v>
      </c>
      <c r="M39" s="40"/>
      <c r="N39" s="40">
        <f t="shared" si="3"/>
        <v>11825141.323374057</v>
      </c>
      <c r="O39" s="40"/>
      <c r="P39" s="40">
        <f t="shared" si="4"/>
        <v>136737.97598745362</v>
      </c>
      <c r="Q39" s="40"/>
      <c r="R39" s="40">
        <f t="shared" si="5"/>
        <v>10260295.640485849</v>
      </c>
    </row>
    <row r="40" spans="1:18">
      <c r="A40" s="46">
        <f t="shared" si="6"/>
        <v>2035</v>
      </c>
      <c r="B40" s="40">
        <f t="shared" si="0"/>
        <v>62506.723611679874</v>
      </c>
      <c r="C40" s="40"/>
      <c r="D40" s="40">
        <f t="shared" si="1"/>
        <v>-6250.6723611679881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11731214.712554334</v>
      </c>
      <c r="M40" s="40"/>
      <c r="N40" s="40">
        <f t="shared" si="3"/>
        <v>11762468.074360173</v>
      </c>
      <c r="O40" s="40"/>
      <c r="P40" s="40">
        <f t="shared" si="4"/>
        <v>136013.26471472011</v>
      </c>
      <c r="Q40" s="40"/>
      <c r="R40" s="40">
        <f t="shared" si="5"/>
        <v>10327551.509227721</v>
      </c>
    </row>
    <row r="41" spans="1:18">
      <c r="A41" s="46">
        <f t="shared" si="6"/>
        <v>2036</v>
      </c>
      <c r="B41" s="40">
        <f t="shared" si="0"/>
        <v>62175.437976537971</v>
      </c>
      <c r="C41" s="40"/>
      <c r="D41" s="40">
        <f t="shared" si="1"/>
        <v>-6217.5437976537978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11669039.274577796</v>
      </c>
      <c r="M41" s="40"/>
      <c r="N41" s="40">
        <f t="shared" si="3"/>
        <v>11700126.993566066</v>
      </c>
      <c r="O41" s="40"/>
      <c r="P41" s="40">
        <f t="shared" si="4"/>
        <v>135292.39441173209</v>
      </c>
      <c r="Q41" s="40"/>
      <c r="R41" s="40">
        <f t="shared" si="5"/>
        <v>10394450.921865262</v>
      </c>
    </row>
    <row r="42" spans="1:18">
      <c r="A42" s="46">
        <f t="shared" si="6"/>
        <v>2037</v>
      </c>
      <c r="B42" s="40">
        <f t="shared" si="0"/>
        <v>61845.908155262325</v>
      </c>
      <c r="C42" s="40"/>
      <c r="D42" s="40">
        <f t="shared" si="1"/>
        <v>-6184.5908155262332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11607193.366422534</v>
      </c>
      <c r="M42" s="40"/>
      <c r="N42" s="40">
        <f t="shared" si="3"/>
        <v>11638116.320500165</v>
      </c>
      <c r="O42" s="40"/>
      <c r="P42" s="40">
        <f t="shared" si="4"/>
        <v>134575.34472134992</v>
      </c>
      <c r="Q42" s="40"/>
      <c r="R42" s="40">
        <f t="shared" si="5"/>
        <v>10460995.767615825</v>
      </c>
    </row>
    <row r="43" spans="1:18">
      <c r="A43" s="46">
        <f t="shared" si="6"/>
        <v>2038</v>
      </c>
      <c r="B43" s="40">
        <f t="shared" si="0"/>
        <v>61518.124842039433</v>
      </c>
      <c r="C43" s="40"/>
      <c r="D43" s="40">
        <f t="shared" si="1"/>
        <v>-6151.8124842039433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11545675.241580494</v>
      </c>
      <c r="M43" s="40"/>
      <c r="N43" s="40">
        <f t="shared" si="3"/>
        <v>11576434.304001514</v>
      </c>
      <c r="O43" s="40"/>
      <c r="P43" s="40">
        <f t="shared" si="4"/>
        <v>133862.09539432675</v>
      </c>
      <c r="Q43" s="40"/>
      <c r="R43" s="40">
        <f t="shared" si="5"/>
        <v>10527187.925683906</v>
      </c>
    </row>
    <row r="44" spans="1:18">
      <c r="A44" s="46">
        <f t="shared" si="6"/>
        <v>2039</v>
      </c>
      <c r="B44" s="40">
        <f t="shared" si="0"/>
        <v>61192.078780376614</v>
      </c>
      <c r="C44" s="40"/>
      <c r="D44" s="40">
        <f t="shared" si="1"/>
        <v>-6119.2078780376614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11484483.162800116</v>
      </c>
      <c r="M44" s="40"/>
      <c r="N44" s="40">
        <f t="shared" si="3"/>
        <v>11515079.202190306</v>
      </c>
      <c r="O44" s="40"/>
      <c r="P44" s="40">
        <f t="shared" si="4"/>
        <v>133152.62628873682</v>
      </c>
      <c r="Q44" s="40"/>
      <c r="R44" s="40">
        <f t="shared" si="5"/>
        <v>10593029.265314227</v>
      </c>
    </row>
    <row r="45" spans="1:18">
      <c r="A45" s="46">
        <f t="shared" si="6"/>
        <v>2040</v>
      </c>
      <c r="B45" s="40">
        <f t="shared" si="0"/>
        <v>60867.760762840619</v>
      </c>
      <c r="C45" s="40"/>
      <c r="D45" s="40">
        <f t="shared" si="1"/>
        <v>-6086.7760762840626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11423615.402037276</v>
      </c>
      <c r="M45" s="40"/>
      <c r="N45" s="40">
        <f t="shared" si="3"/>
        <v>11454049.282418696</v>
      </c>
      <c r="O45" s="40"/>
      <c r="P45" s="40">
        <f t="shared" si="4"/>
        <v>132446.9173694065</v>
      </c>
      <c r="Q45" s="40"/>
      <c r="R45" s="40">
        <f t="shared" si="5"/>
        <v>10658521.64584451</v>
      </c>
    </row>
    <row r="46" spans="1:18">
      <c r="A46" s="46">
        <f t="shared" si="6"/>
        <v>2041</v>
      </c>
      <c r="B46" s="40">
        <f t="shared" si="0"/>
        <v>60545.161630797564</v>
      </c>
      <c r="C46" s="40"/>
      <c r="D46" s="40">
        <f t="shared" si="1"/>
        <v>-6054.5161630797566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11363070.240406478</v>
      </c>
      <c r="M46" s="40"/>
      <c r="N46" s="40">
        <f t="shared" si="3"/>
        <v>11393342.821221877</v>
      </c>
      <c r="O46" s="40"/>
      <c r="P46" s="40">
        <f t="shared" si="4"/>
        <v>131744.94870734864</v>
      </c>
      <c r="Q46" s="40"/>
      <c r="R46" s="40">
        <f t="shared" si="5"/>
        <v>10723666.91675798</v>
      </c>
    </row>
    <row r="47" spans="1:18">
      <c r="A47" s="46">
        <f t="shared" si="6"/>
        <v>2042</v>
      </c>
      <c r="B47" s="40">
        <f t="shared" si="0"/>
        <v>60224.272274154333</v>
      </c>
      <c r="C47" s="40"/>
      <c r="D47" s="40">
        <f t="shared" si="1"/>
        <v>-6022.4272274154337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11302845.968132323</v>
      </c>
      <c r="M47" s="40"/>
      <c r="N47" s="40">
        <f t="shared" si="3"/>
        <v>11332958.1042694</v>
      </c>
      <c r="O47" s="40"/>
      <c r="P47" s="40">
        <f t="shared" si="4"/>
        <v>131046.70047919969</v>
      </c>
      <c r="Q47" s="40"/>
      <c r="R47" s="40">
        <f t="shared" si="5"/>
        <v>10788466.91773561</v>
      </c>
    </row>
    <row r="48" spans="1:18">
      <c r="A48" s="46">
        <f t="shared" si="6"/>
        <v>2043</v>
      </c>
      <c r="B48" s="40">
        <f t="shared" si="0"/>
        <v>59905.083631101312</v>
      </c>
      <c r="C48" s="40"/>
      <c r="D48" s="40">
        <f t="shared" si="1"/>
        <v>-5990.5083631101315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11242940.884501221</v>
      </c>
      <c r="M48" s="40"/>
      <c r="N48" s="40">
        <f t="shared" si="3"/>
        <v>11272893.426316772</v>
      </c>
      <c r="O48" s="40"/>
      <c r="P48" s="40">
        <f t="shared" si="4"/>
        <v>130352.15296665992</v>
      </c>
      <c r="Q48" s="40"/>
      <c r="R48" s="40">
        <f t="shared" si="5"/>
        <v>10852923.478708057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11242940.884501221</v>
      </c>
      <c r="M49" s="40"/>
      <c r="N49" s="40">
        <f t="shared" si="3"/>
        <v>11242940.884501221</v>
      </c>
      <c r="O49" s="40"/>
      <c r="P49" s="40">
        <f t="shared" si="4"/>
        <v>130005.80193105392</v>
      </c>
      <c r="Q49" s="40"/>
      <c r="R49" s="40">
        <f t="shared" si="5"/>
        <v>10982929.28063911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11242940.884501221</v>
      </c>
      <c r="M50" s="40"/>
      <c r="N50" s="40">
        <f t="shared" si="3"/>
        <v>11242940.884501221</v>
      </c>
      <c r="O50" s="40"/>
      <c r="P50" s="40">
        <f t="shared" si="4"/>
        <v>130005.80193105392</v>
      </c>
      <c r="Q50" s="40"/>
      <c r="R50" s="40">
        <f t="shared" si="5"/>
        <v>11112935.082570164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11242940.884501221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11242940.884501221</v>
      </c>
      <c r="O51" s="40"/>
      <c r="P51" s="40">
        <f t="shared" si="4"/>
        <v>130005.80193105392</v>
      </c>
      <c r="Q51" s="40"/>
      <c r="R51" s="40">
        <f t="shared" si="5"/>
        <v>-3.7252902984619141E-9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1734610.069074956</v>
      </c>
      <c r="C62" s="38" t="s">
        <v>39</v>
      </c>
      <c r="D62" s="38">
        <f>SUM(D22:D58)</f>
        <v>-173461.00690749567</v>
      </c>
      <c r="E62" s="38">
        <v>0</v>
      </c>
      <c r="F62" s="38">
        <f>SUM(F22:F58)</f>
        <v>11242940.884501221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360146436.31235415</v>
      </c>
      <c r="O62" s="40"/>
      <c r="P62" s="38">
        <f>SUM(P22:P58)</f>
        <v>4164491.0123065189</v>
      </c>
      <c r="Q62" s="40"/>
      <c r="R62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138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(D33+H33)/(B33+F33)</f>
        <v>-1.8922617313999791E-2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'!$J$64</f>
        <v>18.74493756867928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N33/(L21+J33)</f>
        <v>7.6826255081857404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26.42756307686502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0.50671174839673427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7873470.5610161042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(L21+J33-D33-H33-R21)/N33</f>
        <v>6.6671331092672856E-2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7.1601824424609385E-4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6.5955312848426761E-2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Unit(Fcst)'!D13</f>
        <v>10894269.768294867</v>
      </c>
      <c r="M21" s="40"/>
      <c r="N21" s="40"/>
      <c r="O21" s="40"/>
      <c r="P21" s="40"/>
      <c r="Q21" s="40"/>
      <c r="R21" s="40">
        <f>'2016 YE Reserve by Unit(Fcst)'!D12</f>
        <v>5520254.4817983769</v>
      </c>
    </row>
    <row r="22" spans="1:18">
      <c r="A22" s="46">
        <v>2017</v>
      </c>
      <c r="B22" s="40">
        <f>+L21*P$10</f>
        <v>117658.11349758458</v>
      </c>
      <c r="C22" s="40"/>
      <c r="D22" s="40">
        <f>+B22*P$2</f>
        <v>-35297.434049275369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10776611.654797282</v>
      </c>
      <c r="M22" s="40"/>
      <c r="N22" s="40">
        <f>(L21+L22)/2</f>
        <v>10835440.711546075</v>
      </c>
      <c r="O22" s="40"/>
      <c r="P22" s="40">
        <f>N22*$P$12</f>
        <v>722413.25521451514</v>
      </c>
      <c r="Q22" s="40"/>
      <c r="R22" s="40">
        <f>R21+P22-B22-F22+D22</f>
        <v>6089712.1894660322</v>
      </c>
    </row>
    <row r="23" spans="1:18">
      <c r="A23" s="46">
        <f>A22+1</f>
        <v>2018</v>
      </c>
      <c r="B23" s="40">
        <f t="shared" ref="B23:B27" si="0">+L22*P$10</f>
        <v>116387.40587181065</v>
      </c>
      <c r="C23" s="40"/>
      <c r="D23" s="40">
        <f t="shared" ref="D23:D29" si="1">+B23*P$2</f>
        <v>-34916.221761543195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29" si="2">L22+J23-B23-F23</f>
        <v>10660224.248925472</v>
      </c>
      <c r="M23" s="40"/>
      <c r="N23" s="40">
        <f t="shared" ref="N23:N28" si="3">(L22+L23)/2</f>
        <v>10718417.951861378</v>
      </c>
      <c r="O23" s="40"/>
      <c r="P23" s="40">
        <f t="shared" ref="P23:P29" si="4">N23*$P$12</f>
        <v>714611.19205819839</v>
      </c>
      <c r="Q23" s="40"/>
      <c r="R23" s="40">
        <f t="shared" ref="R23:R29" si="5">R22+P23-B23-F23+D23</f>
        <v>6653019.7538908767</v>
      </c>
    </row>
    <row r="24" spans="1:18">
      <c r="A24" s="46">
        <f t="shared" ref="A24:A29" si="6">A23+1</f>
        <v>2019</v>
      </c>
      <c r="B24" s="40">
        <f t="shared" si="0"/>
        <v>115130.4218883951</v>
      </c>
      <c r="C24" s="40"/>
      <c r="D24" s="40">
        <f t="shared" si="1"/>
        <v>-34539.126566518527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10545093.827037077</v>
      </c>
      <c r="M24" s="40"/>
      <c r="N24" s="40">
        <f t="shared" si="3"/>
        <v>10602659.037981275</v>
      </c>
      <c r="O24" s="40"/>
      <c r="P24" s="40">
        <f t="shared" si="4"/>
        <v>706893.39118396991</v>
      </c>
      <c r="Q24" s="40"/>
      <c r="R24" s="40">
        <f t="shared" si="5"/>
        <v>7210243.5966199329</v>
      </c>
    </row>
    <row r="25" spans="1:18">
      <c r="A25" s="46">
        <f t="shared" si="6"/>
        <v>2020</v>
      </c>
      <c r="B25" s="40">
        <f t="shared" si="0"/>
        <v>113887.01333200044</v>
      </c>
      <c r="C25" s="40"/>
      <c r="D25" s="40">
        <f t="shared" si="1"/>
        <v>-34166.103999600127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10431206.813705077</v>
      </c>
      <c r="M25" s="40"/>
      <c r="N25" s="40">
        <f t="shared" si="3"/>
        <v>10488150.320371076</v>
      </c>
      <c r="O25" s="40"/>
      <c r="P25" s="40">
        <f t="shared" si="4"/>
        <v>699258.94255918288</v>
      </c>
      <c r="Q25" s="40"/>
      <c r="R25" s="40">
        <f t="shared" si="5"/>
        <v>7761449.4218475157</v>
      </c>
    </row>
    <row r="26" spans="1:18">
      <c r="A26" s="46">
        <f t="shared" si="6"/>
        <v>2021</v>
      </c>
      <c r="B26" s="40">
        <f t="shared" si="0"/>
        <v>112657.03358801485</v>
      </c>
      <c r="C26" s="40"/>
      <c r="D26" s="40">
        <f t="shared" si="1"/>
        <v>-33797.110076404453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10318549.780117063</v>
      </c>
      <c r="M26" s="40"/>
      <c r="N26" s="40">
        <f t="shared" si="3"/>
        <v>10374878.29691107</v>
      </c>
      <c r="O26" s="40"/>
      <c r="P26" s="40">
        <f t="shared" si="4"/>
        <v>691706.94597954385</v>
      </c>
      <c r="Q26" s="40"/>
      <c r="R26" s="40">
        <f t="shared" si="5"/>
        <v>8306702.224162641</v>
      </c>
    </row>
    <row r="27" spans="1:18">
      <c r="A27" s="46">
        <f t="shared" si="6"/>
        <v>2022</v>
      </c>
      <c r="B27" s="40">
        <f t="shared" si="0"/>
        <v>111440.33762526428</v>
      </c>
      <c r="C27" s="40"/>
      <c r="D27" s="40">
        <f t="shared" si="1"/>
        <v>-33432.10128757928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10207109.442491798</v>
      </c>
      <c r="M27" s="40"/>
      <c r="N27" s="40">
        <f t="shared" si="3"/>
        <v>10262829.61130443</v>
      </c>
      <c r="O27" s="40"/>
      <c r="P27" s="40">
        <f t="shared" si="4"/>
        <v>684236.51096296473</v>
      </c>
      <c r="Q27" s="40"/>
      <c r="R27" s="40">
        <f t="shared" si="5"/>
        <v>8846066.2962127607</v>
      </c>
    </row>
    <row r="28" spans="1:18">
      <c r="A28" s="46">
        <f t="shared" si="6"/>
        <v>2023</v>
      </c>
      <c r="B28" s="40">
        <v>0</v>
      </c>
      <c r="C28" s="40"/>
      <c r="D28" s="40">
        <f t="shared" si="1"/>
        <v>0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10207109.442491798</v>
      </c>
      <c r="M28" s="40"/>
      <c r="N28" s="40">
        <f t="shared" si="3"/>
        <v>10207109.442491798</v>
      </c>
      <c r="O28" s="40"/>
      <c r="P28" s="40">
        <f t="shared" si="4"/>
        <v>680521.57313951815</v>
      </c>
      <c r="Q28" s="40"/>
      <c r="R28" s="40">
        <f t="shared" si="5"/>
        <v>9526587.8693522792</v>
      </c>
    </row>
    <row r="29" spans="1:18">
      <c r="A29" s="46">
        <f t="shared" si="6"/>
        <v>2024</v>
      </c>
      <c r="B29" s="40">
        <v>0</v>
      </c>
      <c r="C29" s="40"/>
      <c r="D29" s="40">
        <f t="shared" si="1"/>
        <v>0</v>
      </c>
      <c r="E29" s="40"/>
      <c r="F29" s="40">
        <f>L28</f>
        <v>10207109.442491798</v>
      </c>
      <c r="G29" s="40"/>
      <c r="H29" s="40"/>
      <c r="I29" s="40"/>
      <c r="J29" s="40">
        <v>0</v>
      </c>
      <c r="K29" s="40"/>
      <c r="L29" s="40">
        <f t="shared" si="2"/>
        <v>0</v>
      </c>
      <c r="M29" s="40"/>
      <c r="N29" s="40">
        <f>+L28</f>
        <v>10207109.442491798</v>
      </c>
      <c r="O29" s="40"/>
      <c r="P29" s="40">
        <f t="shared" si="4"/>
        <v>680521.57313951815</v>
      </c>
      <c r="Q29" s="40"/>
      <c r="R29" s="40">
        <f t="shared" si="5"/>
        <v>0</v>
      </c>
    </row>
    <row r="30" spans="1:18">
      <c r="A30" s="46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46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46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2" t="s">
        <v>38</v>
      </c>
      <c r="B33" s="38">
        <f>SUM(B22:B29)</f>
        <v>687160.32580306998</v>
      </c>
      <c r="C33" s="38" t="s">
        <v>39</v>
      </c>
      <c r="D33" s="38">
        <f>SUM(D22:D29)</f>
        <v>-206148.09774092096</v>
      </c>
      <c r="E33" s="38">
        <v>0</v>
      </c>
      <c r="F33" s="38">
        <f>SUM(F22:F29)</f>
        <v>10207109.442491798</v>
      </c>
      <c r="G33" s="38" t="s">
        <v>39</v>
      </c>
      <c r="H33" s="38">
        <f>SUM(H22:H29)</f>
        <v>0</v>
      </c>
      <c r="I33" s="38">
        <v>0</v>
      </c>
      <c r="J33" s="38">
        <f>SUM(J22:J29)</f>
        <v>0</v>
      </c>
      <c r="K33" s="40"/>
      <c r="L33" s="40"/>
      <c r="M33" s="40"/>
      <c r="N33" s="38">
        <f>SUM(N22:N29)</f>
        <v>83696594.8149589</v>
      </c>
      <c r="O33" s="40"/>
      <c r="P33" s="38">
        <f>SUM(P22:P29)</f>
        <v>5580163.3842374124</v>
      </c>
      <c r="Q33" s="40"/>
      <c r="R33" s="40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1" sqref="P11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104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'Scholz-316'!$P$2</f>
        <v>-0.05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-7.0344746443646786E-3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'!$J$700</f>
        <v>7.7225685281430501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27.630710504768324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35.353279032911374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0.19608007651785123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41923.073328700339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IRR!D7</f>
        <v>5.5999999999999999E-3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2.9349748280507095E-2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1.9897658256299468E-4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2.9150771697944101E-2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Unit(Fcst)'!D45</f>
        <v>190579.7287856233</v>
      </c>
      <c r="M21" s="40"/>
      <c r="N21" s="40"/>
      <c r="O21" s="40"/>
      <c r="P21" s="40"/>
      <c r="Q21" s="40"/>
      <c r="R21" s="40">
        <f>'2016 YE Reserve by Unit(Fcst)'!D43</f>
        <v>37368.887803036348</v>
      </c>
    </row>
    <row r="22" spans="1:18">
      <c r="A22" s="46">
        <v>2017</v>
      </c>
      <c r="B22" s="40">
        <f>+L21*P$10</f>
        <v>1067.2464811994905</v>
      </c>
      <c r="C22" s="40"/>
      <c r="D22" s="40">
        <f>+B22*P$2</f>
        <v>-53.362324059974526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189512.48230442381</v>
      </c>
      <c r="M22" s="40"/>
      <c r="N22" s="40">
        <f>(L21+L22)/2</f>
        <v>190046.10554502357</v>
      </c>
      <c r="O22" s="40"/>
      <c r="P22" s="40">
        <f>N22*$P$12</f>
        <v>5577.8053594371258</v>
      </c>
      <c r="Q22" s="40"/>
      <c r="R22" s="40">
        <f>R21+P22-B22-F22+D22</f>
        <v>41826.084357214007</v>
      </c>
    </row>
    <row r="23" spans="1:18">
      <c r="A23" s="46">
        <f>A22+1</f>
        <v>2018</v>
      </c>
      <c r="B23" s="40">
        <f t="shared" ref="B23:B48" si="0">+L22*P$10</f>
        <v>1061.2699009047733</v>
      </c>
      <c r="C23" s="40"/>
      <c r="D23" s="40">
        <f t="shared" ref="D23:D51" si="1">+B23*P$2</f>
        <v>-53.063495045238668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188451.21240351905</v>
      </c>
      <c r="M23" s="40"/>
      <c r="N23" s="40">
        <f t="shared" ref="N23:N50" si="3">(L22+L23)/2</f>
        <v>188981.84735397145</v>
      </c>
      <c r="O23" s="40"/>
      <c r="P23" s="40">
        <f t="shared" ref="P23:P51" si="4">N23*$P$12</f>
        <v>5546.5696494242775</v>
      </c>
      <c r="Q23" s="40"/>
      <c r="R23" s="40">
        <f t="shared" ref="R23:R51" si="5">R22+P23-B23-F23+D23</f>
        <v>46258.320610688279</v>
      </c>
    </row>
    <row r="24" spans="1:18">
      <c r="A24" s="46">
        <f t="shared" ref="A24:A58" si="6">A23+1</f>
        <v>2019</v>
      </c>
      <c r="B24" s="40">
        <f t="shared" si="0"/>
        <v>1055.3267894597066</v>
      </c>
      <c r="C24" s="40"/>
      <c r="D24" s="40">
        <f t="shared" si="1"/>
        <v>-52.766339472985329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187395.88561405934</v>
      </c>
      <c r="M24" s="40"/>
      <c r="N24" s="40">
        <f t="shared" si="3"/>
        <v>187923.54900878918</v>
      </c>
      <c r="O24" s="40"/>
      <c r="P24" s="40">
        <f t="shared" si="4"/>
        <v>5515.5088593875007</v>
      </c>
      <c r="Q24" s="40"/>
      <c r="R24" s="40">
        <f t="shared" si="5"/>
        <v>50665.736341143092</v>
      </c>
    </row>
    <row r="25" spans="1:18">
      <c r="A25" s="46">
        <f t="shared" si="6"/>
        <v>2020</v>
      </c>
      <c r="B25" s="40">
        <f t="shared" si="0"/>
        <v>1049.4169594387322</v>
      </c>
      <c r="C25" s="40"/>
      <c r="D25" s="40">
        <f t="shared" si="1"/>
        <v>-52.470847971936614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186346.46865462061</v>
      </c>
      <c r="M25" s="40"/>
      <c r="N25" s="40">
        <f t="shared" si="3"/>
        <v>186871.17713433999</v>
      </c>
      <c r="O25" s="40"/>
      <c r="P25" s="40">
        <f t="shared" si="4"/>
        <v>5484.6220097749319</v>
      </c>
      <c r="Q25" s="40"/>
      <c r="R25" s="40">
        <f t="shared" si="5"/>
        <v>55048.470543507356</v>
      </c>
    </row>
    <row r="26" spans="1:18">
      <c r="A26" s="46">
        <f t="shared" si="6"/>
        <v>2021</v>
      </c>
      <c r="B26" s="40">
        <f t="shared" si="0"/>
        <v>1043.5402244658753</v>
      </c>
      <c r="C26" s="40"/>
      <c r="D26" s="40">
        <f t="shared" si="1"/>
        <v>-52.177011223293768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185302.92843015475</v>
      </c>
      <c r="M26" s="40"/>
      <c r="N26" s="40">
        <f t="shared" si="3"/>
        <v>185824.69854238769</v>
      </c>
      <c r="O26" s="40"/>
      <c r="P26" s="40">
        <f t="shared" si="4"/>
        <v>5453.9081265201921</v>
      </c>
      <c r="Q26" s="40"/>
      <c r="R26" s="40">
        <f t="shared" si="5"/>
        <v>59406.661434338377</v>
      </c>
    </row>
    <row r="27" spans="1:18">
      <c r="A27" s="46">
        <f t="shared" si="6"/>
        <v>2022</v>
      </c>
      <c r="B27" s="40">
        <f t="shared" si="0"/>
        <v>1037.6963992088665</v>
      </c>
      <c r="C27" s="40"/>
      <c r="D27" s="40">
        <f t="shared" si="1"/>
        <v>-51.88481996044333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184265.23203094589</v>
      </c>
      <c r="M27" s="40"/>
      <c r="N27" s="40">
        <f t="shared" si="3"/>
        <v>184784.08023055032</v>
      </c>
      <c r="O27" s="40"/>
      <c r="P27" s="40">
        <f t="shared" si="4"/>
        <v>5423.3662410116794</v>
      </c>
      <c r="Q27" s="40"/>
      <c r="R27" s="40">
        <f t="shared" si="5"/>
        <v>63740.446456180754</v>
      </c>
    </row>
    <row r="28" spans="1:18">
      <c r="A28" s="46">
        <f t="shared" si="6"/>
        <v>2023</v>
      </c>
      <c r="B28" s="40">
        <f t="shared" si="0"/>
        <v>1031.8852993732969</v>
      </c>
      <c r="C28" s="40"/>
      <c r="D28" s="40">
        <f t="shared" si="1"/>
        <v>-51.594264968664845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183233.34673157259</v>
      </c>
      <c r="M28" s="40"/>
      <c r="N28" s="40">
        <f t="shared" si="3"/>
        <v>183749.28938125924</v>
      </c>
      <c r="O28" s="40"/>
      <c r="P28" s="40">
        <f t="shared" si="4"/>
        <v>5392.9953900620139</v>
      </c>
      <c r="Q28" s="40"/>
      <c r="R28" s="40">
        <f t="shared" si="5"/>
        <v>68049.962281900807</v>
      </c>
    </row>
    <row r="29" spans="1:18">
      <c r="A29" s="46">
        <f t="shared" si="6"/>
        <v>2024</v>
      </c>
      <c r="B29" s="40">
        <f t="shared" si="0"/>
        <v>1026.1067416968065</v>
      </c>
      <c r="C29" s="40"/>
      <c r="D29" s="40">
        <f t="shared" si="1"/>
        <v>-51.305337084840325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182207.23998987579</v>
      </c>
      <c r="M29" s="40"/>
      <c r="N29" s="40">
        <f t="shared" si="3"/>
        <v>182720.29336072417</v>
      </c>
      <c r="O29" s="40"/>
      <c r="P29" s="40">
        <f t="shared" si="4"/>
        <v>5362.7946158776658</v>
      </c>
      <c r="Q29" s="40"/>
      <c r="R29" s="40">
        <f t="shared" si="5"/>
        <v>72335.344818996833</v>
      </c>
    </row>
    <row r="30" spans="1:18">
      <c r="A30" s="46">
        <f t="shared" si="6"/>
        <v>2025</v>
      </c>
      <c r="B30" s="40">
        <f t="shared" si="0"/>
        <v>1020.3605439433044</v>
      </c>
      <c r="C30" s="40"/>
      <c r="D30" s="40">
        <f t="shared" si="1"/>
        <v>-51.018027197165225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181186.87944593249</v>
      </c>
      <c r="M30" s="40"/>
      <c r="N30" s="40">
        <f t="shared" si="3"/>
        <v>181697.05971790414</v>
      </c>
      <c r="O30" s="40"/>
      <c r="P30" s="40">
        <f t="shared" si="4"/>
        <v>5332.7629660287521</v>
      </c>
      <c r="Q30" s="40"/>
      <c r="R30" s="40">
        <f t="shared" si="5"/>
        <v>76596.729213885119</v>
      </c>
    </row>
    <row r="31" spans="1:18">
      <c r="A31" s="46">
        <f t="shared" si="6"/>
        <v>2026</v>
      </c>
      <c r="B31" s="40">
        <f t="shared" si="0"/>
        <v>1014.6465248972219</v>
      </c>
      <c r="C31" s="40"/>
      <c r="D31" s="40">
        <f t="shared" si="1"/>
        <v>-50.732326244861099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180172.23292103526</v>
      </c>
      <c r="M31" s="40"/>
      <c r="N31" s="40">
        <f t="shared" si="3"/>
        <v>180679.55618348386</v>
      </c>
      <c r="O31" s="40"/>
      <c r="P31" s="40">
        <f t="shared" si="4"/>
        <v>5302.8994934189905</v>
      </c>
      <c r="Q31" s="40"/>
      <c r="R31" s="40">
        <f t="shared" si="5"/>
        <v>80834.249856162016</v>
      </c>
    </row>
    <row r="32" spans="1:18">
      <c r="A32" s="46">
        <f t="shared" si="6"/>
        <v>2027</v>
      </c>
      <c r="B32" s="40">
        <f t="shared" si="0"/>
        <v>1008.9645043577974</v>
      </c>
      <c r="C32" s="40"/>
      <c r="D32" s="40">
        <f t="shared" si="1"/>
        <v>-50.44822521788987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179163.26841667746</v>
      </c>
      <c r="M32" s="40"/>
      <c r="N32" s="40">
        <f t="shared" si="3"/>
        <v>179667.75066885637</v>
      </c>
      <c r="O32" s="40"/>
      <c r="P32" s="40">
        <f t="shared" si="4"/>
        <v>5273.2032562558452</v>
      </c>
      <c r="Q32" s="40"/>
      <c r="R32" s="40">
        <f t="shared" si="5"/>
        <v>85048.040382842184</v>
      </c>
    </row>
    <row r="33" spans="1:18">
      <c r="A33" s="46">
        <f t="shared" si="6"/>
        <v>2028</v>
      </c>
      <c r="B33" s="40">
        <f t="shared" si="0"/>
        <v>1003.3143031333938</v>
      </c>
      <c r="C33" s="40"/>
      <c r="D33" s="40">
        <f t="shared" si="1"/>
        <v>-50.165715156669691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178159.95411354405</v>
      </c>
      <c r="M33" s="40"/>
      <c r="N33" s="40">
        <f t="shared" si="3"/>
        <v>178661.61126511075</v>
      </c>
      <c r="O33" s="40"/>
      <c r="P33" s="40">
        <f t="shared" si="4"/>
        <v>5243.6733180208112</v>
      </c>
      <c r="Q33" s="40"/>
      <c r="R33" s="40">
        <f t="shared" si="5"/>
        <v>89238.233682572929</v>
      </c>
    </row>
    <row r="34" spans="1:18">
      <c r="A34" s="46">
        <f t="shared" si="6"/>
        <v>2029</v>
      </c>
      <c r="B34" s="40">
        <f t="shared" si="0"/>
        <v>997.6957430358467</v>
      </c>
      <c r="C34" s="40"/>
      <c r="D34" s="40">
        <f t="shared" si="1"/>
        <v>-49.884787151792338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177162.25837050821</v>
      </c>
      <c r="M34" s="40"/>
      <c r="N34" s="40">
        <f t="shared" si="3"/>
        <v>177661.10624202614</v>
      </c>
      <c r="O34" s="40"/>
      <c r="P34" s="40">
        <f t="shared" si="4"/>
        <v>5214.3087474398953</v>
      </c>
      <c r="Q34" s="40"/>
      <c r="R34" s="40">
        <f t="shared" si="5"/>
        <v>93404.961899825183</v>
      </c>
    </row>
    <row r="35" spans="1:18">
      <c r="A35" s="46">
        <f t="shared" si="6"/>
        <v>2030</v>
      </c>
      <c r="B35" s="40">
        <f t="shared" si="0"/>
        <v>992.10864687484593</v>
      </c>
      <c r="C35" s="40"/>
      <c r="D35" s="40">
        <f t="shared" si="1"/>
        <v>-49.605432343742301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176170.14972363337</v>
      </c>
      <c r="M35" s="40"/>
      <c r="N35" s="40">
        <f t="shared" si="3"/>
        <v>176666.20404707079</v>
      </c>
      <c r="O35" s="40"/>
      <c r="P35" s="40">
        <f t="shared" si="4"/>
        <v>5185.1086184542319</v>
      </c>
      <c r="Q35" s="40"/>
      <c r="R35" s="40">
        <f t="shared" si="5"/>
        <v>97548.356439060837</v>
      </c>
    </row>
    <row r="36" spans="1:18">
      <c r="A36" s="46">
        <f t="shared" si="6"/>
        <v>2031</v>
      </c>
      <c r="B36" s="40">
        <f t="shared" si="0"/>
        <v>986.5528384523468</v>
      </c>
      <c r="C36" s="40"/>
      <c r="D36" s="40">
        <f t="shared" si="1"/>
        <v>-49.327641922617346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175183.59688518103</v>
      </c>
      <c r="M36" s="40"/>
      <c r="N36" s="40">
        <f t="shared" si="3"/>
        <v>175676.8733044072</v>
      </c>
      <c r="O36" s="40"/>
      <c r="P36" s="40">
        <f t="shared" si="4"/>
        <v>5156.0720101908882</v>
      </c>
      <c r="Q36" s="40"/>
      <c r="R36" s="40">
        <f t="shared" si="5"/>
        <v>101668.54796887675</v>
      </c>
    </row>
    <row r="37" spans="1:18">
      <c r="A37" s="46">
        <f t="shared" si="6"/>
        <v>2032</v>
      </c>
      <c r="B37" s="40">
        <f t="shared" si="0"/>
        <v>981.02814255701378</v>
      </c>
      <c r="C37" s="40"/>
      <c r="D37" s="40">
        <f t="shared" si="1"/>
        <v>-49.051407127850695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174202.56874262402</v>
      </c>
      <c r="M37" s="40"/>
      <c r="N37" s="40">
        <f t="shared" si="3"/>
        <v>174693.08281390253</v>
      </c>
      <c r="O37" s="40"/>
      <c r="P37" s="40">
        <f t="shared" si="4"/>
        <v>5127.1980069338188</v>
      </c>
      <c r="Q37" s="40"/>
      <c r="R37" s="40">
        <f t="shared" si="5"/>
        <v>105765.66642612571</v>
      </c>
    </row>
    <row r="38" spans="1:18">
      <c r="A38" s="46">
        <f t="shared" si="6"/>
        <v>2033</v>
      </c>
      <c r="B38" s="40">
        <f t="shared" si="0"/>
        <v>975.53438495869455</v>
      </c>
      <c r="C38" s="40"/>
      <c r="D38" s="40">
        <f t="shared" si="1"/>
        <v>-48.776719247934729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173227.03435766531</v>
      </c>
      <c r="M38" s="40"/>
      <c r="N38" s="40">
        <f t="shared" si="3"/>
        <v>173714.80155014468</v>
      </c>
      <c r="O38" s="40"/>
      <c r="P38" s="40">
        <f t="shared" si="4"/>
        <v>5098.4856980949899</v>
      </c>
      <c r="Q38" s="40"/>
      <c r="R38" s="40">
        <f t="shared" si="5"/>
        <v>109839.84102001406</v>
      </c>
    </row>
    <row r="39" spans="1:18">
      <c r="A39" s="46">
        <f t="shared" si="6"/>
        <v>2034</v>
      </c>
      <c r="B39" s="40">
        <f t="shared" si="0"/>
        <v>970.07139240292577</v>
      </c>
      <c r="C39" s="40"/>
      <c r="D39" s="40">
        <f t="shared" si="1"/>
        <v>-48.503569620146294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172256.96296526238</v>
      </c>
      <c r="M39" s="40"/>
      <c r="N39" s="40">
        <f t="shared" si="3"/>
        <v>172741.99866146385</v>
      </c>
      <c r="O39" s="40"/>
      <c r="P39" s="40">
        <f t="shared" si="4"/>
        <v>5069.9341781856574</v>
      </c>
      <c r="Q39" s="40"/>
      <c r="R39" s="40">
        <f t="shared" si="5"/>
        <v>113891.20023617665</v>
      </c>
    </row>
    <row r="40" spans="1:18">
      <c r="A40" s="46">
        <f t="shared" si="6"/>
        <v>2035</v>
      </c>
      <c r="B40" s="40">
        <f t="shared" si="0"/>
        <v>964.6389926054693</v>
      </c>
      <c r="C40" s="40"/>
      <c r="D40" s="40">
        <f t="shared" si="1"/>
        <v>-48.231949630273469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171292.32397265692</v>
      </c>
      <c r="M40" s="40"/>
      <c r="N40" s="40">
        <f t="shared" si="3"/>
        <v>171774.64346895966</v>
      </c>
      <c r="O40" s="40"/>
      <c r="P40" s="40">
        <f t="shared" si="4"/>
        <v>5041.5425467878185</v>
      </c>
      <c r="Q40" s="40"/>
      <c r="R40" s="40">
        <f t="shared" si="5"/>
        <v>117919.87184072872</v>
      </c>
    </row>
    <row r="41" spans="1:18">
      <c r="A41" s="46">
        <f t="shared" si="6"/>
        <v>2036</v>
      </c>
      <c r="B41" s="40">
        <f t="shared" si="0"/>
        <v>959.23701424687874</v>
      </c>
      <c r="C41" s="40"/>
      <c r="D41" s="40">
        <f t="shared" si="1"/>
        <v>-47.961850712343939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170333.08695841004</v>
      </c>
      <c r="M41" s="40"/>
      <c r="N41" s="40">
        <f t="shared" si="3"/>
        <v>170812.70546553348</v>
      </c>
      <c r="O41" s="40"/>
      <c r="P41" s="40">
        <f t="shared" si="4"/>
        <v>5013.3099085258063</v>
      </c>
      <c r="Q41" s="40"/>
      <c r="R41" s="40">
        <f t="shared" si="5"/>
        <v>121925.98288429531</v>
      </c>
    </row>
    <row r="42" spans="1:18">
      <c r="A42" s="46">
        <f t="shared" si="6"/>
        <v>2037</v>
      </c>
      <c r="B42" s="40">
        <f t="shared" si="0"/>
        <v>953.86528696709627</v>
      </c>
      <c r="C42" s="40"/>
      <c r="D42" s="40">
        <f t="shared" si="1"/>
        <v>-47.693264348354816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169379.22167144294</v>
      </c>
      <c r="M42" s="40"/>
      <c r="N42" s="40">
        <f t="shared" si="3"/>
        <v>169856.15431492648</v>
      </c>
      <c r="O42" s="40"/>
      <c r="P42" s="40">
        <f t="shared" si="4"/>
        <v>4985.235373038061</v>
      </c>
      <c r="Q42" s="40"/>
      <c r="R42" s="40">
        <f t="shared" si="5"/>
        <v>125909.65970601792</v>
      </c>
    </row>
    <row r="43" spans="1:18">
      <c r="A43" s="46">
        <f t="shared" si="6"/>
        <v>2038</v>
      </c>
      <c r="B43" s="40">
        <f t="shared" si="0"/>
        <v>948.52364136008043</v>
      </c>
      <c r="C43" s="40"/>
      <c r="D43" s="40">
        <f t="shared" si="1"/>
        <v>-47.426182068004024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168430.69803008286</v>
      </c>
      <c r="M43" s="40"/>
      <c r="N43" s="40">
        <f t="shared" si="3"/>
        <v>168904.95985076291</v>
      </c>
      <c r="O43" s="40"/>
      <c r="P43" s="40">
        <f t="shared" si="4"/>
        <v>4957.3180549490489</v>
      </c>
      <c r="Q43" s="40"/>
      <c r="R43" s="40">
        <f t="shared" si="5"/>
        <v>129871.02793753888</v>
      </c>
    </row>
    <row r="44" spans="1:18">
      <c r="A44" s="46">
        <f t="shared" si="6"/>
        <v>2039</v>
      </c>
      <c r="B44" s="40">
        <f t="shared" si="0"/>
        <v>943.21190896846394</v>
      </c>
      <c r="C44" s="40"/>
      <c r="D44" s="40">
        <f t="shared" si="1"/>
        <v>-47.160595448423202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167487.4861211144</v>
      </c>
      <c r="M44" s="40"/>
      <c r="N44" s="40">
        <f t="shared" si="3"/>
        <v>167959.09207559863</v>
      </c>
      <c r="O44" s="40"/>
      <c r="P44" s="40">
        <f t="shared" si="4"/>
        <v>4929.5570738413335</v>
      </c>
      <c r="Q44" s="40"/>
      <c r="R44" s="40">
        <f t="shared" si="5"/>
        <v>133810.21250696332</v>
      </c>
    </row>
    <row r="45" spans="1:18">
      <c r="A45" s="46">
        <f t="shared" si="6"/>
        <v>2040</v>
      </c>
      <c r="B45" s="40">
        <f t="shared" si="0"/>
        <v>937.92992227824061</v>
      </c>
      <c r="C45" s="40"/>
      <c r="D45" s="40">
        <f t="shared" si="1"/>
        <v>-46.896496113912036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166549.55619883616</v>
      </c>
      <c r="M45" s="40"/>
      <c r="N45" s="40">
        <f t="shared" si="3"/>
        <v>167018.52115997527</v>
      </c>
      <c r="O45" s="40"/>
      <c r="P45" s="40">
        <f t="shared" si="4"/>
        <v>4901.9515542278223</v>
      </c>
      <c r="Q45" s="40"/>
      <c r="R45" s="40">
        <f t="shared" si="5"/>
        <v>137727.33764279899</v>
      </c>
    </row>
    <row r="46" spans="1:18">
      <c r="A46" s="46">
        <f t="shared" si="6"/>
        <v>2041</v>
      </c>
      <c r="B46" s="40">
        <f t="shared" si="0"/>
        <v>932.67751471348242</v>
      </c>
      <c r="C46" s="40"/>
      <c r="D46" s="40">
        <f t="shared" si="1"/>
        <v>-46.633875735674124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165616.87868412267</v>
      </c>
      <c r="M46" s="40"/>
      <c r="N46" s="40">
        <f t="shared" si="3"/>
        <v>166083.21744147941</v>
      </c>
      <c r="O46" s="40"/>
      <c r="P46" s="40">
        <f t="shared" si="4"/>
        <v>4874.500625524146</v>
      </c>
      <c r="Q46" s="40"/>
      <c r="R46" s="40">
        <f t="shared" si="5"/>
        <v>141622.52687787396</v>
      </c>
    </row>
    <row r="47" spans="1:18">
      <c r="A47" s="46">
        <f t="shared" si="6"/>
        <v>2042</v>
      </c>
      <c r="B47" s="40">
        <f t="shared" si="0"/>
        <v>927.45452063108689</v>
      </c>
      <c r="C47" s="40"/>
      <c r="D47" s="40">
        <f t="shared" si="1"/>
        <v>-46.37272603155435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164689.42416349158</v>
      </c>
      <c r="M47" s="40"/>
      <c r="N47" s="40">
        <f t="shared" si="3"/>
        <v>165153.15142380714</v>
      </c>
      <c r="O47" s="40"/>
      <c r="P47" s="40">
        <f t="shared" si="4"/>
        <v>4847.2034220212117</v>
      </c>
      <c r="Q47" s="40"/>
      <c r="R47" s="40">
        <f t="shared" si="5"/>
        <v>145495.90305323253</v>
      </c>
    </row>
    <row r="48" spans="1:18">
      <c r="A48" s="46">
        <f t="shared" si="6"/>
        <v>2043</v>
      </c>
      <c r="B48" s="40">
        <f t="shared" si="0"/>
        <v>922.26077531555279</v>
      </c>
      <c r="C48" s="40"/>
      <c r="D48" s="40">
        <f t="shared" si="1"/>
        <v>-46.113038765777645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163767.16338817604</v>
      </c>
      <c r="M48" s="40"/>
      <c r="N48" s="40">
        <f t="shared" si="3"/>
        <v>164228.29377583379</v>
      </c>
      <c r="O48" s="40"/>
      <c r="P48" s="40">
        <f t="shared" si="4"/>
        <v>4820.0590828578916</v>
      </c>
      <c r="Q48" s="40"/>
      <c r="R48" s="40">
        <f t="shared" si="5"/>
        <v>149347.58832200908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163767.16338817604</v>
      </c>
      <c r="M49" s="40"/>
      <c r="N49" s="40">
        <f t="shared" si="3"/>
        <v>163767.16338817604</v>
      </c>
      <c r="O49" s="40"/>
      <c r="P49" s="40">
        <f t="shared" si="4"/>
        <v>4806.5250220556445</v>
      </c>
      <c r="Q49" s="40"/>
      <c r="R49" s="40">
        <f t="shared" si="5"/>
        <v>154154.11334406471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163767.16338817604</v>
      </c>
      <c r="M50" s="40"/>
      <c r="N50" s="40">
        <f t="shared" si="3"/>
        <v>163767.16338817604</v>
      </c>
      <c r="O50" s="40"/>
      <c r="P50" s="40">
        <f t="shared" si="4"/>
        <v>4806.5250220556445</v>
      </c>
      <c r="Q50" s="40"/>
      <c r="R50" s="40">
        <f t="shared" si="5"/>
        <v>158960.63836612034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163767.16338817604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163767.16338817604</v>
      </c>
      <c r="O51" s="40"/>
      <c r="P51" s="40">
        <f t="shared" si="4"/>
        <v>4806.5250220556445</v>
      </c>
      <c r="Q51" s="40"/>
      <c r="R51" s="40">
        <f t="shared" si="5"/>
        <v>-5.8207660913467407E-11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26812.565397447284</v>
      </c>
      <c r="C62" s="38" t="s">
        <v>39</v>
      </c>
      <c r="D62" s="38">
        <f>SUM(D22:D58)</f>
        <v>-1340.6282698723646</v>
      </c>
      <c r="E62" s="38">
        <v>0</v>
      </c>
      <c r="F62" s="38">
        <f>SUM(F22:F58)</f>
        <v>163767.16338817604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5265853.31415282</v>
      </c>
      <c r="O62" s="40"/>
      <c r="P62" s="38">
        <f>SUM(P22:P58)</f>
        <v>154551.4692524593</v>
      </c>
      <c r="Q62" s="40"/>
      <c r="R62" s="4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2.7109375" style="35" customWidth="1"/>
    <col min="9" max="9" width="1.85546875" style="35" customWidth="1"/>
    <col min="10" max="10" width="12.28515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2.7109375" style="35" bestFit="1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IRC!$D$4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145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-5.5178840382711196E-3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'!$J$765</f>
        <v>13.279058110783085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29.082512336142031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42.361570446925114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0.3851464453147766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12168411.434599474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IRR!D3</f>
        <v>2.0999999999999999E-3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2.1331425275543808E-2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1.3025683373057395E-4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2.1201168441813235E-2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Unit(Fcst)'!D27</f>
        <v>38605472.022311002</v>
      </c>
      <c r="M21" s="40"/>
      <c r="N21" s="40"/>
      <c r="O21" s="40"/>
      <c r="P21" s="40"/>
      <c r="Q21" s="40"/>
      <c r="R21" s="40">
        <f>'2016 YE Reserve by Unit(Fcst)'!D27</f>
        <v>14868760.319092141</v>
      </c>
    </row>
    <row r="22" spans="1:18">
      <c r="A22" s="46">
        <v>2017</v>
      </c>
      <c r="B22" s="40">
        <f>+L21*P$10</f>
        <v>81071.491246853097</v>
      </c>
      <c r="C22" s="40"/>
      <c r="D22" s="40">
        <f>+B22*P$2</f>
        <v>-8107.1491246853102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38524400.531064145</v>
      </c>
      <c r="M22" s="40"/>
      <c r="N22" s="40">
        <f>(L21+L22)/2</f>
        <v>38564936.276687577</v>
      </c>
      <c r="O22" s="40"/>
      <c r="P22" s="40">
        <f>N22*$P$12</f>
        <v>822645.05644226971</v>
      </c>
      <c r="Q22" s="40"/>
      <c r="R22" s="40">
        <f>R21+P22-B22-F22+D22</f>
        <v>15602226.735162873</v>
      </c>
    </row>
    <row r="23" spans="1:18">
      <c r="A23" s="46">
        <f>A22+1</f>
        <v>2018</v>
      </c>
      <c r="B23" s="40">
        <f t="shared" ref="B23:B48" si="0">+L22*P$10</f>
        <v>80901.241115234705</v>
      </c>
      <c r="C23" s="40"/>
      <c r="D23" s="40">
        <f t="shared" ref="D23:D49" si="1">+B23*P$2</f>
        <v>-8090.1241115234707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38443499.28994891</v>
      </c>
      <c r="M23" s="40"/>
      <c r="N23" s="40">
        <f t="shared" ref="N23:N50" si="3">(L22+L23)/2</f>
        <v>38483949.910506532</v>
      </c>
      <c r="O23" s="40"/>
      <c r="P23" s="40">
        <f t="shared" ref="P23:P51" si="4">N23*$P$12</f>
        <v>820917.50182374089</v>
      </c>
      <c r="Q23" s="40"/>
      <c r="R23" s="40">
        <f t="shared" ref="R23:R51" si="5">R22+P23-B23-F23+D23</f>
        <v>16334152.871759854</v>
      </c>
    </row>
    <row r="24" spans="1:18">
      <c r="A24" s="46">
        <f t="shared" ref="A24:A58" si="6">A23+1</f>
        <v>2019</v>
      </c>
      <c r="B24" s="40">
        <f t="shared" si="0"/>
        <v>80731.348508892712</v>
      </c>
      <c r="C24" s="40"/>
      <c r="D24" s="40">
        <f t="shared" si="1"/>
        <v>-8073.1348508892715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38362767.941440016</v>
      </c>
      <c r="M24" s="40"/>
      <c r="N24" s="40">
        <f t="shared" si="3"/>
        <v>38403133.615694463</v>
      </c>
      <c r="O24" s="40"/>
      <c r="P24" s="40">
        <f t="shared" si="4"/>
        <v>819193.57506991096</v>
      </c>
      <c r="Q24" s="40"/>
      <c r="R24" s="40">
        <f t="shared" si="5"/>
        <v>17064541.963469982</v>
      </c>
    </row>
    <row r="25" spans="1:18">
      <c r="A25" s="46">
        <f t="shared" si="6"/>
        <v>2020</v>
      </c>
      <c r="B25" s="40">
        <f t="shared" si="0"/>
        <v>80561.812677024034</v>
      </c>
      <c r="C25" s="40"/>
      <c r="D25" s="40">
        <f t="shared" si="1"/>
        <v>-8056.1812677024036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38282206.12876299</v>
      </c>
      <c r="M25" s="40"/>
      <c r="N25" s="40">
        <f t="shared" si="3"/>
        <v>38322487.035101503</v>
      </c>
      <c r="O25" s="40"/>
      <c r="P25" s="40">
        <f t="shared" si="4"/>
        <v>817473.26856226404</v>
      </c>
      <c r="Q25" s="40"/>
      <c r="R25" s="40">
        <f t="shared" si="5"/>
        <v>17793397.23808752</v>
      </c>
    </row>
    <row r="26" spans="1:18">
      <c r="A26" s="46">
        <f t="shared" si="6"/>
        <v>2021</v>
      </c>
      <c r="B26" s="40">
        <f t="shared" si="0"/>
        <v>80392.632870402274</v>
      </c>
      <c r="C26" s="40"/>
      <c r="D26" s="40">
        <f t="shared" si="1"/>
        <v>-8039.2632870402276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38201813.495892584</v>
      </c>
      <c r="M26" s="40"/>
      <c r="N26" s="40">
        <f t="shared" si="3"/>
        <v>38242009.812327787</v>
      </c>
      <c r="O26" s="40"/>
      <c r="P26" s="40">
        <f t="shared" si="4"/>
        <v>815756.57469828322</v>
      </c>
      <c r="Q26" s="40"/>
      <c r="R26" s="40">
        <f t="shared" si="5"/>
        <v>18520721.916628361</v>
      </c>
    </row>
    <row r="27" spans="1:18">
      <c r="A27" s="46">
        <f t="shared" si="6"/>
        <v>2022</v>
      </c>
      <c r="B27" s="40">
        <f t="shared" si="0"/>
        <v>80223.808341374417</v>
      </c>
      <c r="C27" s="40"/>
      <c r="D27" s="40">
        <f t="shared" si="1"/>
        <v>-8022.3808341374424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38121589.687551208</v>
      </c>
      <c r="M27" s="40"/>
      <c r="N27" s="40">
        <f t="shared" si="3"/>
        <v>38161701.591721892</v>
      </c>
      <c r="O27" s="40"/>
      <c r="P27" s="40">
        <f t="shared" si="4"/>
        <v>814043.48589141679</v>
      </c>
      <c r="Q27" s="40"/>
      <c r="R27" s="40">
        <f t="shared" si="5"/>
        <v>19246519.213344269</v>
      </c>
    </row>
    <row r="28" spans="1:18">
      <c r="A28" s="46">
        <f t="shared" si="6"/>
        <v>2023</v>
      </c>
      <c r="B28" s="40">
        <f t="shared" si="0"/>
        <v>80055.338343857526</v>
      </c>
      <c r="C28" s="40"/>
      <c r="D28" s="40">
        <f t="shared" si="1"/>
        <v>-8005.5338343857529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38041534.349207349</v>
      </c>
      <c r="M28" s="40"/>
      <c r="N28" s="40">
        <f t="shared" si="3"/>
        <v>38081562.018379278</v>
      </c>
      <c r="O28" s="40"/>
      <c r="P28" s="40">
        <f t="shared" si="4"/>
        <v>812333.99457104481</v>
      </c>
      <c r="Q28" s="40"/>
      <c r="R28" s="40">
        <f t="shared" si="5"/>
        <v>19970792.335737068</v>
      </c>
    </row>
    <row r="29" spans="1:18">
      <c r="A29" s="46">
        <f t="shared" si="6"/>
        <v>2024</v>
      </c>
      <c r="B29" s="40">
        <f t="shared" si="0"/>
        <v>79887.222133335425</v>
      </c>
      <c r="C29" s="40"/>
      <c r="D29" s="40">
        <f t="shared" si="1"/>
        <v>-7988.7222133335426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37961647.127074011</v>
      </c>
      <c r="M29" s="40"/>
      <c r="N29" s="40">
        <f t="shared" si="3"/>
        <v>38001590.73814068</v>
      </c>
      <c r="O29" s="40"/>
      <c r="P29" s="40">
        <f t="shared" si="4"/>
        <v>810628.0931824455</v>
      </c>
      <c r="Q29" s="40"/>
      <c r="R29" s="40">
        <f t="shared" si="5"/>
        <v>20693544.484572843</v>
      </c>
    </row>
    <row r="30" spans="1:18">
      <c r="A30" s="46">
        <f t="shared" si="6"/>
        <v>2025</v>
      </c>
      <c r="B30" s="40">
        <f t="shared" si="0"/>
        <v>79719.458966855411</v>
      </c>
      <c r="C30" s="40"/>
      <c r="D30" s="40">
        <f t="shared" si="1"/>
        <v>-7971.9458966855418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37881927.668107152</v>
      </c>
      <c r="M30" s="40"/>
      <c r="N30" s="40">
        <f t="shared" si="3"/>
        <v>37921787.397590578</v>
      </c>
      <c r="O30" s="40"/>
      <c r="P30" s="40">
        <f t="shared" si="4"/>
        <v>808925.77418676228</v>
      </c>
      <c r="Q30" s="40"/>
      <c r="R30" s="40">
        <f t="shared" si="5"/>
        <v>21414778.853896067</v>
      </c>
    </row>
    <row r="31" spans="1:18">
      <c r="A31" s="46">
        <f t="shared" si="6"/>
        <v>2026</v>
      </c>
      <c r="B31" s="40">
        <f t="shared" si="0"/>
        <v>79552.048103025008</v>
      </c>
      <c r="C31" s="40"/>
      <c r="D31" s="40">
        <f t="shared" si="1"/>
        <v>-7955.2048103025008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37802375.620004125</v>
      </c>
      <c r="M31" s="40"/>
      <c r="N31" s="40">
        <f t="shared" si="3"/>
        <v>37842151.644055635</v>
      </c>
      <c r="O31" s="40"/>
      <c r="P31" s="40">
        <f t="shared" si="4"/>
        <v>807227.03006096999</v>
      </c>
      <c r="Q31" s="40"/>
      <c r="R31" s="40">
        <f t="shared" si="5"/>
        <v>22134498.63104371</v>
      </c>
    </row>
    <row r="32" spans="1:18">
      <c r="A32" s="46">
        <f t="shared" si="6"/>
        <v>2027</v>
      </c>
      <c r="B32" s="40">
        <f t="shared" si="0"/>
        <v>79384.988802008651</v>
      </c>
      <c r="C32" s="40"/>
      <c r="D32" s="40">
        <f t="shared" si="1"/>
        <v>-7938.4988802008656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37722990.631202117</v>
      </c>
      <c r="M32" s="40"/>
      <c r="N32" s="40">
        <f t="shared" si="3"/>
        <v>37762683.125603124</v>
      </c>
      <c r="O32" s="40"/>
      <c r="P32" s="40">
        <f t="shared" si="4"/>
        <v>805531.85329784208</v>
      </c>
      <c r="Q32" s="40"/>
      <c r="R32" s="40">
        <f t="shared" si="5"/>
        <v>22852706.996659342</v>
      </c>
    </row>
    <row r="33" spans="1:18">
      <c r="A33" s="46">
        <f t="shared" si="6"/>
        <v>2028</v>
      </c>
      <c r="B33" s="40">
        <f t="shared" si="0"/>
        <v>79218.280325524436</v>
      </c>
      <c r="C33" s="40"/>
      <c r="D33" s="40">
        <f t="shared" si="1"/>
        <v>-7921.8280325524438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37643772.350876592</v>
      </c>
      <c r="M33" s="40"/>
      <c r="N33" s="40">
        <f t="shared" si="3"/>
        <v>37683381.491039351</v>
      </c>
      <c r="O33" s="40"/>
      <c r="P33" s="40">
        <f t="shared" si="4"/>
        <v>803840.23640591651</v>
      </c>
      <c r="Q33" s="40"/>
      <c r="R33" s="40">
        <f t="shared" si="5"/>
        <v>23569407.124707181</v>
      </c>
    </row>
    <row r="34" spans="1:18">
      <c r="A34" s="46">
        <f t="shared" si="6"/>
        <v>2029</v>
      </c>
      <c r="B34" s="40">
        <f t="shared" si="0"/>
        <v>79051.921936840838</v>
      </c>
      <c r="C34" s="40"/>
      <c r="D34" s="40">
        <f t="shared" si="1"/>
        <v>-7905.1921936840845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37564720.428939752</v>
      </c>
      <c r="M34" s="40"/>
      <c r="N34" s="40">
        <f t="shared" si="3"/>
        <v>37604246.389908172</v>
      </c>
      <c r="O34" s="40"/>
      <c r="P34" s="40">
        <f t="shared" si="4"/>
        <v>802152.17190946417</v>
      </c>
      <c r="Q34" s="40"/>
      <c r="R34" s="40">
        <f t="shared" si="5"/>
        <v>24284602.182486121</v>
      </c>
    </row>
    <row r="35" spans="1:18">
      <c r="A35" s="46">
        <f t="shared" si="6"/>
        <v>2030</v>
      </c>
      <c r="B35" s="40">
        <f t="shared" si="0"/>
        <v>78885.912900773474</v>
      </c>
      <c r="C35" s="40"/>
      <c r="D35" s="40">
        <f t="shared" si="1"/>
        <v>-7888.5912900773474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37485834.516038977</v>
      </c>
      <c r="M35" s="40"/>
      <c r="N35" s="40">
        <f t="shared" si="3"/>
        <v>37525277.472489364</v>
      </c>
      <c r="O35" s="40"/>
      <c r="P35" s="40">
        <f t="shared" si="4"/>
        <v>800467.65234845423</v>
      </c>
      <c r="Q35" s="40"/>
      <c r="R35" s="40">
        <f t="shared" si="5"/>
        <v>24998295.330643725</v>
      </c>
    </row>
    <row r="36" spans="1:18">
      <c r="A36" s="46">
        <f t="shared" si="6"/>
        <v>2031</v>
      </c>
      <c r="B36" s="40">
        <f t="shared" si="0"/>
        <v>78720.252483681848</v>
      </c>
      <c r="C36" s="40"/>
      <c r="D36" s="40">
        <f t="shared" si="1"/>
        <v>-7872.0252483681852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37407114.263555296</v>
      </c>
      <c r="M36" s="40"/>
      <c r="N36" s="40">
        <f t="shared" si="3"/>
        <v>37446474.389797136</v>
      </c>
      <c r="O36" s="40"/>
      <c r="P36" s="40">
        <f t="shared" si="4"/>
        <v>798786.67027852254</v>
      </c>
      <c r="Q36" s="40"/>
      <c r="R36" s="40">
        <f t="shared" si="5"/>
        <v>25710489.7231902</v>
      </c>
    </row>
    <row r="37" spans="1:18">
      <c r="A37" s="46">
        <f t="shared" si="6"/>
        <v>2032</v>
      </c>
      <c r="B37" s="40">
        <f t="shared" si="0"/>
        <v>78554.939953466121</v>
      </c>
      <c r="C37" s="40"/>
      <c r="D37" s="40">
        <f t="shared" si="1"/>
        <v>-7855.4939953466128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37328559.323601827</v>
      </c>
      <c r="M37" s="40"/>
      <c r="N37" s="40">
        <f t="shared" si="3"/>
        <v>37367836.793578565</v>
      </c>
      <c r="O37" s="40"/>
      <c r="P37" s="40">
        <f t="shared" si="4"/>
        <v>797109.21827093768</v>
      </c>
      <c r="Q37" s="40"/>
      <c r="R37" s="40">
        <f t="shared" si="5"/>
        <v>26421188.507512327</v>
      </c>
    </row>
    <row r="38" spans="1:18">
      <c r="A38" s="46">
        <f t="shared" si="6"/>
        <v>2033</v>
      </c>
      <c r="B38" s="40">
        <f t="shared" si="0"/>
        <v>78389.97457956383</v>
      </c>
      <c r="C38" s="40"/>
      <c r="D38" s="40">
        <f t="shared" si="1"/>
        <v>-7838.9974579563832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37250169.349022262</v>
      </c>
      <c r="M38" s="40"/>
      <c r="N38" s="40">
        <f t="shared" si="3"/>
        <v>37289364.336312041</v>
      </c>
      <c r="O38" s="40"/>
      <c r="P38" s="40">
        <f t="shared" si="4"/>
        <v>795435.28891256847</v>
      </c>
      <c r="Q38" s="40"/>
      <c r="R38" s="40">
        <f t="shared" si="5"/>
        <v>27130394.824387375</v>
      </c>
    </row>
    <row r="39" spans="1:18">
      <c r="A39" s="46">
        <f t="shared" si="6"/>
        <v>2034</v>
      </c>
      <c r="B39" s="40">
        <f t="shared" si="0"/>
        <v>78225.355632946739</v>
      </c>
      <c r="C39" s="40"/>
      <c r="D39" s="40">
        <f t="shared" si="1"/>
        <v>-7822.5355632946739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37171943.993389316</v>
      </c>
      <c r="M39" s="40"/>
      <c r="N39" s="40">
        <f t="shared" si="3"/>
        <v>37211056.671205789</v>
      </c>
      <c r="O39" s="40"/>
      <c r="P39" s="40">
        <f t="shared" si="4"/>
        <v>793764.87480585219</v>
      </c>
      <c r="Q39" s="40"/>
      <c r="R39" s="40">
        <f t="shared" si="5"/>
        <v>27838111.807996988</v>
      </c>
    </row>
    <row r="40" spans="1:18">
      <c r="A40" s="46">
        <f t="shared" si="6"/>
        <v>2035</v>
      </c>
      <c r="B40" s="40">
        <f t="shared" si="0"/>
        <v>78061.08238611756</v>
      </c>
      <c r="C40" s="40"/>
      <c r="D40" s="40">
        <f t="shared" si="1"/>
        <v>-7806.108238611756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37093882.911003195</v>
      </c>
      <c r="M40" s="40"/>
      <c r="N40" s="40">
        <f t="shared" si="3"/>
        <v>37132913.452196255</v>
      </c>
      <c r="O40" s="40"/>
      <c r="P40" s="40">
        <f t="shared" si="4"/>
        <v>792097.96856875985</v>
      </c>
      <c r="Q40" s="40"/>
      <c r="R40" s="40">
        <f t="shared" si="5"/>
        <v>28544342.58594102</v>
      </c>
    </row>
    <row r="41" spans="1:18">
      <c r="A41" s="46">
        <f t="shared" si="6"/>
        <v>2036</v>
      </c>
      <c r="B41" s="40">
        <f t="shared" si="0"/>
        <v>77897.154113106706</v>
      </c>
      <c r="C41" s="40"/>
      <c r="D41" s="40">
        <f t="shared" si="1"/>
        <v>-7789.7154113106708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37015985.756890088</v>
      </c>
      <c r="M41" s="40"/>
      <c r="N41" s="40">
        <f t="shared" si="3"/>
        <v>37054934.333946645</v>
      </c>
      <c r="O41" s="40"/>
      <c r="P41" s="40">
        <f t="shared" si="4"/>
        <v>790434.56283476553</v>
      </c>
      <c r="Q41" s="40"/>
      <c r="R41" s="40">
        <f t="shared" si="5"/>
        <v>29249090.279251371</v>
      </c>
    </row>
    <row r="42" spans="1:18">
      <c r="A42" s="46">
        <f t="shared" si="6"/>
        <v>2037</v>
      </c>
      <c r="B42" s="40">
        <f t="shared" si="0"/>
        <v>77733.570089469184</v>
      </c>
      <c r="C42" s="40"/>
      <c r="D42" s="40">
        <f t="shared" si="1"/>
        <v>-7773.3570089469185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36938252.186800621</v>
      </c>
      <c r="M42" s="40"/>
      <c r="N42" s="40">
        <f t="shared" si="3"/>
        <v>36977118.971845359</v>
      </c>
      <c r="O42" s="40"/>
      <c r="P42" s="40">
        <f t="shared" si="4"/>
        <v>788774.65025281254</v>
      </c>
      <c r="Q42" s="40"/>
      <c r="R42" s="40">
        <f t="shared" si="5"/>
        <v>29952358.002405766</v>
      </c>
    </row>
    <row r="43" spans="1:18">
      <c r="A43" s="46">
        <f t="shared" si="6"/>
        <v>2038</v>
      </c>
      <c r="B43" s="40">
        <f t="shared" si="0"/>
        <v>77570.329592281298</v>
      </c>
      <c r="C43" s="40"/>
      <c r="D43" s="40">
        <f t="shared" si="1"/>
        <v>-7757.0329592281305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36860681.857208341</v>
      </c>
      <c r="M43" s="40"/>
      <c r="N43" s="40">
        <f t="shared" si="3"/>
        <v>36899467.022004485</v>
      </c>
      <c r="O43" s="40"/>
      <c r="P43" s="40">
        <f t="shared" si="4"/>
        <v>787118.22348728171</v>
      </c>
      <c r="Q43" s="40"/>
      <c r="R43" s="40">
        <f t="shared" si="5"/>
        <v>30654148.86334154</v>
      </c>
    </row>
    <row r="44" spans="1:18">
      <c r="A44" s="46">
        <f t="shared" si="6"/>
        <v>2039</v>
      </c>
      <c r="B44" s="40">
        <f t="shared" si="0"/>
        <v>77407.431900137512</v>
      </c>
      <c r="C44" s="40"/>
      <c r="D44" s="40">
        <f t="shared" si="1"/>
        <v>-7740.7431900137517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36783274.425308205</v>
      </c>
      <c r="M44" s="40"/>
      <c r="N44" s="40">
        <f t="shared" si="3"/>
        <v>36821978.14125827</v>
      </c>
      <c r="O44" s="40"/>
      <c r="P44" s="40">
        <f t="shared" si="4"/>
        <v>785465.27521795826</v>
      </c>
      <c r="Q44" s="40"/>
      <c r="R44" s="40">
        <f t="shared" si="5"/>
        <v>31354465.963469349</v>
      </c>
    </row>
    <row r="45" spans="1:18">
      <c r="A45" s="46">
        <f t="shared" si="6"/>
        <v>2040</v>
      </c>
      <c r="B45" s="40">
        <f t="shared" si="0"/>
        <v>77244.87629314723</v>
      </c>
      <c r="C45" s="40"/>
      <c r="D45" s="40">
        <f t="shared" si="1"/>
        <v>-7724.4876293147236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36706029.54901506</v>
      </c>
      <c r="M45" s="40"/>
      <c r="N45" s="40">
        <f t="shared" si="3"/>
        <v>36744651.987161636</v>
      </c>
      <c r="O45" s="40"/>
      <c r="P45" s="40">
        <f t="shared" si="4"/>
        <v>783815.79814000067</v>
      </c>
      <c r="Q45" s="40"/>
      <c r="R45" s="40">
        <f t="shared" si="5"/>
        <v>32053312.397686888</v>
      </c>
    </row>
    <row r="46" spans="1:18">
      <c r="A46" s="46">
        <f t="shared" si="6"/>
        <v>2041</v>
      </c>
      <c r="B46" s="40">
        <f t="shared" si="0"/>
        <v>77082.662052931628</v>
      </c>
      <c r="C46" s="40"/>
      <c r="D46" s="40">
        <f t="shared" si="1"/>
        <v>-7708.2662052931628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36628946.886962131</v>
      </c>
      <c r="M46" s="40"/>
      <c r="N46" s="40">
        <f t="shared" si="3"/>
        <v>36667488.217988595</v>
      </c>
      <c r="O46" s="40"/>
      <c r="P46" s="40">
        <f t="shared" si="4"/>
        <v>782169.78496390674</v>
      </c>
      <c r="Q46" s="40"/>
      <c r="R46" s="40">
        <f t="shared" si="5"/>
        <v>32750691.254392568</v>
      </c>
    </row>
    <row r="47" spans="1:18">
      <c r="A47" s="46">
        <f t="shared" si="6"/>
        <v>2042</v>
      </c>
      <c r="B47" s="40">
        <f t="shared" si="0"/>
        <v>76920.788462620476</v>
      </c>
      <c r="C47" s="40"/>
      <c r="D47" s="40">
        <f t="shared" si="1"/>
        <v>-7692.0788462620476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36552026.098499507</v>
      </c>
      <c r="M47" s="40"/>
      <c r="N47" s="40">
        <f t="shared" si="3"/>
        <v>36590486.492730819</v>
      </c>
      <c r="O47" s="40"/>
      <c r="P47" s="40">
        <f t="shared" si="4"/>
        <v>780527.22841548244</v>
      </c>
      <c r="Q47" s="40"/>
      <c r="R47" s="40">
        <f t="shared" si="5"/>
        <v>33446605.615499169</v>
      </c>
    </row>
    <row r="48" spans="1:18">
      <c r="A48" s="46">
        <f t="shared" si="6"/>
        <v>2043</v>
      </c>
      <c r="B48" s="40">
        <f t="shared" si="0"/>
        <v>76759.254806848956</v>
      </c>
      <c r="C48" s="40"/>
      <c r="D48" s="40">
        <f t="shared" si="1"/>
        <v>-7675.9254806848958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36475266.84369266</v>
      </c>
      <c r="M48" s="40"/>
      <c r="N48" s="40">
        <f t="shared" si="3"/>
        <v>36513646.471096084</v>
      </c>
      <c r="O48" s="40"/>
      <c r="P48" s="40">
        <f t="shared" si="4"/>
        <v>778888.12123580999</v>
      </c>
      <c r="Q48" s="40"/>
      <c r="R48" s="40">
        <f t="shared" si="5"/>
        <v>34141058.556447446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36475266.84369266</v>
      </c>
      <c r="M49" s="40"/>
      <c r="N49" s="40">
        <f t="shared" si="3"/>
        <v>36475266.84369266</v>
      </c>
      <c r="O49" s="40"/>
      <c r="P49" s="40">
        <f t="shared" si="4"/>
        <v>778069.42908175057</v>
      </c>
      <c r="Q49" s="40"/>
      <c r="R49" s="40">
        <f t="shared" si="5"/>
        <v>34919127.985529199</v>
      </c>
    </row>
    <row r="50" spans="1:18">
      <c r="A50" s="46">
        <f t="shared" si="6"/>
        <v>2045</v>
      </c>
      <c r="B50" s="40">
        <v>0</v>
      </c>
      <c r="C50" s="40"/>
      <c r="D50" s="40"/>
      <c r="E50" s="40"/>
      <c r="F50" s="40"/>
      <c r="G50" s="40"/>
      <c r="H50" s="40"/>
      <c r="I50" s="40"/>
      <c r="J50" s="40"/>
      <c r="K50" s="40"/>
      <c r="L50" s="40">
        <f t="shared" si="2"/>
        <v>36475266.84369266</v>
      </c>
      <c r="M50" s="40"/>
      <c r="N50" s="40">
        <f t="shared" si="3"/>
        <v>36475266.84369266</v>
      </c>
      <c r="O50" s="40"/>
      <c r="P50" s="40">
        <f t="shared" si="4"/>
        <v>778069.42908175057</v>
      </c>
      <c r="Q50" s="40"/>
      <c r="R50" s="40">
        <f t="shared" si="5"/>
        <v>35697197.414610952</v>
      </c>
    </row>
    <row r="51" spans="1:18">
      <c r="A51" s="46">
        <f t="shared" si="6"/>
        <v>2046</v>
      </c>
      <c r="B51" s="40"/>
      <c r="C51" s="40"/>
      <c r="D51" s="40"/>
      <c r="E51" s="40"/>
      <c r="F51" s="40">
        <f>L49</f>
        <v>36475266.84369266</v>
      </c>
      <c r="G51" s="40"/>
      <c r="H51" s="40"/>
      <c r="I51" s="40"/>
      <c r="J51" s="40"/>
      <c r="K51" s="40"/>
      <c r="L51" s="40">
        <f t="shared" si="2"/>
        <v>0</v>
      </c>
      <c r="M51" s="40"/>
      <c r="N51" s="40">
        <f>+L50</f>
        <v>36475266.84369266</v>
      </c>
      <c r="O51" s="40"/>
      <c r="P51" s="40">
        <f t="shared" si="4"/>
        <v>778069.42908175057</v>
      </c>
      <c r="Q51" s="40"/>
      <c r="R51" s="40">
        <f t="shared" si="5"/>
        <v>4.4703483581542969E-8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2130205.1786183217</v>
      </c>
      <c r="C62" s="38" t="s">
        <v>39</v>
      </c>
      <c r="D62" s="38">
        <f>SUM(D22:D58)</f>
        <v>-213020.51786183202</v>
      </c>
      <c r="E62" s="38">
        <v>0</v>
      </c>
      <c r="F62" s="38">
        <f>SUM(F22:F58)</f>
        <v>36475266.84369266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1122744116.3314457</v>
      </c>
      <c r="O62" s="40"/>
      <c r="P62" s="38">
        <f>SUM(P22:P58)</f>
        <v>23949732.221080691</v>
      </c>
      <c r="Q62" s="40"/>
      <c r="R62" s="40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145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(D54+H54)/(B54+F54)</f>
        <v>-5.5180970795683536E-2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'!$J$838</f>
        <v>6.6425885631755985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N54/(L21+J54)</f>
        <v>26.881097916576383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33.52368647975198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0.13848552033511982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38194914.527868629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(L21+J54-D54-H54-R21)/N54</f>
        <v>3.4101860471081359E-2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1.6460293180767089E-3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3.2455831153004648E-2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Unit(Fcst)'!D28</f>
        <v>182680843.81603819</v>
      </c>
      <c r="M21" s="40"/>
      <c r="N21" s="40"/>
      <c r="O21" s="40"/>
      <c r="P21" s="40"/>
      <c r="Q21" s="40"/>
      <c r="R21" s="40">
        <f>'2016 YE Reserve by Unit(Fcst)'!D28</f>
        <v>25298651.711122807</v>
      </c>
    </row>
    <row r="22" spans="1:18">
      <c r="A22" s="46">
        <v>2017</v>
      </c>
      <c r="B22" s="40">
        <f>+L21*P$10</f>
        <v>1370106.3286202864</v>
      </c>
      <c r="C22" s="40"/>
      <c r="D22" s="40">
        <f>+B22*P$2</f>
        <v>-411031.89858608594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181310737.48741791</v>
      </c>
      <c r="M22" s="40"/>
      <c r="N22" s="40">
        <f>(L21+L22)/2</f>
        <v>181995790.65172803</v>
      </c>
      <c r="O22" s="40"/>
      <c r="P22" s="40">
        <f>N22*$P$12</f>
        <v>6206395.0591293629</v>
      </c>
      <c r="Q22" s="40"/>
      <c r="R22" s="40">
        <f>R21+P22-B22-F22+D22</f>
        <v>29723908.543045796</v>
      </c>
    </row>
    <row r="23" spans="1:18">
      <c r="A23" s="46">
        <f>A22+1</f>
        <v>2018</v>
      </c>
      <c r="B23" s="40">
        <f t="shared" ref="B23:B48" si="0">+L22*P$10</f>
        <v>1359830.5311556342</v>
      </c>
      <c r="C23" s="40"/>
      <c r="D23" s="40">
        <f t="shared" ref="D23:D51" si="1">+B23*P$2</f>
        <v>-407949.15934669023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179950906.95626226</v>
      </c>
      <c r="M23" s="40"/>
      <c r="N23" s="40">
        <f t="shared" ref="N23:N50" si="3">(L22+L23)/2</f>
        <v>180630822.22184008</v>
      </c>
      <c r="O23" s="40"/>
      <c r="P23" s="40">
        <f t="shared" ref="P23:P51" si="4">N23*$P$12</f>
        <v>6159847.0961858928</v>
      </c>
      <c r="Q23" s="40"/>
      <c r="R23" s="40">
        <f t="shared" ref="R23:R51" si="5">R22+P23-B23-F23+D23</f>
        <v>34115975.948729366</v>
      </c>
    </row>
    <row r="24" spans="1:18">
      <c r="A24" s="46">
        <f t="shared" ref="A24:A51" si="6">A23+1</f>
        <v>2019</v>
      </c>
      <c r="B24" s="40">
        <f t="shared" si="0"/>
        <v>1349631.802171967</v>
      </c>
      <c r="C24" s="40"/>
      <c r="D24" s="40">
        <f t="shared" si="1"/>
        <v>-404889.5406515901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178601275.15409029</v>
      </c>
      <c r="M24" s="40"/>
      <c r="N24" s="40">
        <f t="shared" si="3"/>
        <v>179276091.05517626</v>
      </c>
      <c r="O24" s="40"/>
      <c r="P24" s="40">
        <f t="shared" si="4"/>
        <v>6113648.2429644978</v>
      </c>
      <c r="Q24" s="40"/>
      <c r="R24" s="40">
        <f t="shared" si="5"/>
        <v>38475102.848870307</v>
      </c>
    </row>
    <row r="25" spans="1:18">
      <c r="A25" s="46">
        <f t="shared" si="6"/>
        <v>2020</v>
      </c>
      <c r="B25" s="40">
        <f t="shared" si="0"/>
        <v>1339509.563655677</v>
      </c>
      <c r="C25" s="40"/>
      <c r="D25" s="40">
        <f t="shared" si="1"/>
        <v>-401852.86909670307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177261765.59043461</v>
      </c>
      <c r="M25" s="40"/>
      <c r="N25" s="40">
        <f t="shared" si="3"/>
        <v>177931520.37226245</v>
      </c>
      <c r="O25" s="40"/>
      <c r="P25" s="40">
        <f t="shared" si="4"/>
        <v>6067795.8811422642</v>
      </c>
      <c r="Q25" s="40"/>
      <c r="R25" s="40">
        <f t="shared" si="5"/>
        <v>42801536.297260195</v>
      </c>
    </row>
    <row r="26" spans="1:18">
      <c r="A26" s="46">
        <f t="shared" si="6"/>
        <v>2021</v>
      </c>
      <c r="B26" s="40">
        <f t="shared" si="0"/>
        <v>1329463.2419282596</v>
      </c>
      <c r="C26" s="40"/>
      <c r="D26" s="40">
        <f t="shared" si="1"/>
        <v>-398838.97257847787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175932302.34850636</v>
      </c>
      <c r="M26" s="40"/>
      <c r="N26" s="40">
        <f t="shared" si="3"/>
        <v>176597033.9694705</v>
      </c>
      <c r="O26" s="40"/>
      <c r="P26" s="40">
        <f t="shared" si="4"/>
        <v>6022287.4120336985</v>
      </c>
      <c r="Q26" s="40"/>
      <c r="R26" s="40">
        <f t="shared" si="5"/>
        <v>47095521.494787157</v>
      </c>
    </row>
    <row r="27" spans="1:18">
      <c r="A27" s="46">
        <f t="shared" si="6"/>
        <v>2022</v>
      </c>
      <c r="B27" s="40">
        <f t="shared" si="0"/>
        <v>1319492.2676137977</v>
      </c>
      <c r="C27" s="40"/>
      <c r="D27" s="40">
        <f t="shared" si="1"/>
        <v>-395847.68028413929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174612810.08089256</v>
      </c>
      <c r="M27" s="40"/>
      <c r="N27" s="40">
        <f t="shared" si="3"/>
        <v>175272556.21469945</v>
      </c>
      <c r="O27" s="40"/>
      <c r="P27" s="40">
        <f t="shared" si="4"/>
        <v>5977120.2564434446</v>
      </c>
      <c r="Q27" s="40"/>
      <c r="R27" s="40">
        <f t="shared" si="5"/>
        <v>51357301.803332657</v>
      </c>
    </row>
    <row r="28" spans="1:18">
      <c r="A28" s="46">
        <f t="shared" si="6"/>
        <v>2023</v>
      </c>
      <c r="B28" s="40">
        <f t="shared" si="0"/>
        <v>1309596.0756066942</v>
      </c>
      <c r="C28" s="40"/>
      <c r="D28" s="40">
        <f t="shared" si="1"/>
        <v>-392878.82268200826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173303214.00528586</v>
      </c>
      <c r="M28" s="40"/>
      <c r="N28" s="40">
        <f t="shared" si="3"/>
        <v>173958012.04308921</v>
      </c>
      <c r="O28" s="40"/>
      <c r="P28" s="40">
        <f t="shared" si="4"/>
        <v>5932291.8545201188</v>
      </c>
      <c r="Q28" s="40"/>
      <c r="R28" s="40">
        <f t="shared" si="5"/>
        <v>55587118.759564072</v>
      </c>
    </row>
    <row r="29" spans="1:18">
      <c r="A29" s="46">
        <f t="shared" si="6"/>
        <v>2024</v>
      </c>
      <c r="B29" s="40">
        <f t="shared" si="0"/>
        <v>1299774.1050396438</v>
      </c>
      <c r="C29" s="40"/>
      <c r="D29" s="40">
        <f t="shared" si="1"/>
        <v>-389932.23151189316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172003439.9002462</v>
      </c>
      <c r="M29" s="40"/>
      <c r="N29" s="40">
        <f t="shared" si="3"/>
        <v>172653326.95276603</v>
      </c>
      <c r="O29" s="40"/>
      <c r="P29" s="40">
        <f t="shared" si="4"/>
        <v>5887799.6656112177</v>
      </c>
      <c r="Q29" s="40"/>
      <c r="R29" s="40">
        <f t="shared" si="5"/>
        <v>59785212.088623755</v>
      </c>
    </row>
    <row r="30" spans="1:18">
      <c r="A30" s="46">
        <f t="shared" si="6"/>
        <v>2025</v>
      </c>
      <c r="B30" s="40">
        <f t="shared" si="0"/>
        <v>1290025.7992518465</v>
      </c>
      <c r="C30" s="40"/>
      <c r="D30" s="40">
        <f t="shared" si="1"/>
        <v>-387007.73977555393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170713414.10099435</v>
      </c>
      <c r="M30" s="40"/>
      <c r="N30" s="40">
        <f t="shared" si="3"/>
        <v>171358427.00062028</v>
      </c>
      <c r="O30" s="40"/>
      <c r="P30" s="40">
        <f t="shared" si="4"/>
        <v>5843641.1681191335</v>
      </c>
      <c r="Q30" s="40"/>
      <c r="R30" s="40">
        <f t="shared" si="5"/>
        <v>63951819.717715487</v>
      </c>
    </row>
    <row r="31" spans="1:18">
      <c r="A31" s="46">
        <f t="shared" si="6"/>
        <v>2026</v>
      </c>
      <c r="B31" s="40">
        <f t="shared" si="0"/>
        <v>1280350.6057574577</v>
      </c>
      <c r="C31" s="40"/>
      <c r="D31" s="40">
        <f t="shared" si="1"/>
        <v>-384105.1817272373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169433063.4952369</v>
      </c>
      <c r="M31" s="40"/>
      <c r="N31" s="40">
        <f t="shared" si="3"/>
        <v>170073238.79811561</v>
      </c>
      <c r="O31" s="40"/>
      <c r="P31" s="40">
        <f t="shared" si="4"/>
        <v>5799813.859358239</v>
      </c>
      <c r="Q31" s="40"/>
      <c r="R31" s="40">
        <f t="shared" si="5"/>
        <v>68087177.789589033</v>
      </c>
    </row>
    <row r="32" spans="1:18">
      <c r="A32" s="46">
        <f t="shared" si="6"/>
        <v>2027</v>
      </c>
      <c r="B32" s="40">
        <f t="shared" si="0"/>
        <v>1270747.9762142766</v>
      </c>
      <c r="C32" s="40"/>
      <c r="D32" s="40">
        <f t="shared" si="1"/>
        <v>-381224.392864283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168162315.51902261</v>
      </c>
      <c r="M32" s="40"/>
      <c r="N32" s="40">
        <f t="shared" si="3"/>
        <v>168797689.50712976</v>
      </c>
      <c r="O32" s="40"/>
      <c r="P32" s="40">
        <f t="shared" si="4"/>
        <v>5756315.2554130526</v>
      </c>
      <c r="Q32" s="40"/>
      <c r="R32" s="40">
        <f t="shared" si="5"/>
        <v>72191520.675923526</v>
      </c>
    </row>
    <row r="33" spans="1:18">
      <c r="A33" s="46">
        <f t="shared" si="6"/>
        <v>2028</v>
      </c>
      <c r="B33" s="40">
        <f t="shared" si="0"/>
        <v>1261217.3663926695</v>
      </c>
      <c r="C33" s="40"/>
      <c r="D33" s="40">
        <f t="shared" si="1"/>
        <v>-378365.20991780085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166901098.15262994</v>
      </c>
      <c r="M33" s="40"/>
      <c r="N33" s="40">
        <f t="shared" si="3"/>
        <v>167531706.83582628</v>
      </c>
      <c r="O33" s="40"/>
      <c r="P33" s="40">
        <f t="shared" si="4"/>
        <v>5713142.8909974545</v>
      </c>
      <c r="Q33" s="40"/>
      <c r="R33" s="40">
        <f t="shared" si="5"/>
        <v>76265080.99061051</v>
      </c>
    </row>
    <row r="34" spans="1:18">
      <c r="A34" s="46">
        <f t="shared" si="6"/>
        <v>2029</v>
      </c>
      <c r="B34" s="40">
        <f t="shared" si="0"/>
        <v>1251758.2361447245</v>
      </c>
      <c r="C34" s="40"/>
      <c r="D34" s="40">
        <f t="shared" si="1"/>
        <v>-375527.47084341734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165649339.91648522</v>
      </c>
      <c r="M34" s="40"/>
      <c r="N34" s="40">
        <f t="shared" si="3"/>
        <v>166275219.03455758</v>
      </c>
      <c r="O34" s="40"/>
      <c r="P34" s="40">
        <f t="shared" si="4"/>
        <v>5670294.3193149744</v>
      </c>
      <c r="Q34" s="40"/>
      <c r="R34" s="40">
        <f t="shared" si="5"/>
        <v>80308089.602937341</v>
      </c>
    </row>
    <row r="35" spans="1:18">
      <c r="A35" s="46">
        <f t="shared" si="6"/>
        <v>2030</v>
      </c>
      <c r="B35" s="40">
        <f t="shared" si="0"/>
        <v>1242370.049373639</v>
      </c>
      <c r="C35" s="40"/>
      <c r="D35" s="40">
        <f t="shared" si="1"/>
        <v>-372711.01481209171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164406969.86711159</v>
      </c>
      <c r="M35" s="40"/>
      <c r="N35" s="40">
        <f t="shared" si="3"/>
        <v>165028154.89179841</v>
      </c>
      <c r="O35" s="40"/>
      <c r="P35" s="40">
        <f t="shared" si="4"/>
        <v>5627767.1119201118</v>
      </c>
      <c r="Q35" s="40"/>
      <c r="R35" s="40">
        <f t="shared" si="5"/>
        <v>84320775.650671721</v>
      </c>
    </row>
    <row r="36" spans="1:18">
      <c r="A36" s="46">
        <f t="shared" si="6"/>
        <v>2031</v>
      </c>
      <c r="B36" s="40">
        <f t="shared" si="0"/>
        <v>1233052.2740033369</v>
      </c>
      <c r="C36" s="40"/>
      <c r="D36" s="40">
        <f t="shared" si="1"/>
        <v>-369915.68220100104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163173917.59310827</v>
      </c>
      <c r="M36" s="40"/>
      <c r="N36" s="40">
        <f t="shared" si="3"/>
        <v>163790443.73010993</v>
      </c>
      <c r="O36" s="40"/>
      <c r="P36" s="40">
        <f t="shared" si="4"/>
        <v>5585558.8585807113</v>
      </c>
      <c r="Q36" s="40"/>
      <c r="R36" s="40">
        <f t="shared" si="5"/>
        <v>88303366.553048089</v>
      </c>
    </row>
    <row r="37" spans="1:18">
      <c r="A37" s="46">
        <f t="shared" si="6"/>
        <v>2032</v>
      </c>
      <c r="B37" s="40">
        <f t="shared" si="0"/>
        <v>1223804.381948312</v>
      </c>
      <c r="C37" s="40"/>
      <c r="D37" s="40">
        <f t="shared" si="1"/>
        <v>-367141.31458449358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161950113.21115994</v>
      </c>
      <c r="M37" s="40"/>
      <c r="N37" s="40">
        <f t="shared" si="3"/>
        <v>162562015.40213412</v>
      </c>
      <c r="O37" s="40"/>
      <c r="P37" s="40">
        <f t="shared" si="4"/>
        <v>5543667.1671413565</v>
      </c>
      <c r="Q37" s="40"/>
      <c r="R37" s="40">
        <f t="shared" si="5"/>
        <v>92256088.023656651</v>
      </c>
    </row>
    <row r="38" spans="1:18">
      <c r="A38" s="46">
        <f t="shared" si="6"/>
        <v>2033</v>
      </c>
      <c r="B38" s="40">
        <f t="shared" si="0"/>
        <v>1214625.8490836995</v>
      </c>
      <c r="C38" s="40"/>
      <c r="D38" s="40">
        <f t="shared" si="1"/>
        <v>-364387.75472510984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160735487.36207625</v>
      </c>
      <c r="M38" s="40"/>
      <c r="N38" s="40">
        <f t="shared" si="3"/>
        <v>161342800.28661811</v>
      </c>
      <c r="O38" s="40"/>
      <c r="P38" s="40">
        <f t="shared" si="4"/>
        <v>5502089.6633877968</v>
      </c>
      <c r="Q38" s="40"/>
      <c r="R38" s="40">
        <f t="shared" si="5"/>
        <v>96179164.083235621</v>
      </c>
    </row>
    <row r="39" spans="1:18">
      <c r="A39" s="46">
        <f t="shared" si="6"/>
        <v>2034</v>
      </c>
      <c r="B39" s="40">
        <f t="shared" si="0"/>
        <v>1205516.1552155719</v>
      </c>
      <c r="C39" s="40"/>
      <c r="D39" s="40">
        <f t="shared" si="1"/>
        <v>-361654.84656467155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159529971.20686069</v>
      </c>
      <c r="M39" s="40"/>
      <c r="N39" s="40">
        <f t="shared" si="3"/>
        <v>160132729.28446847</v>
      </c>
      <c r="O39" s="40"/>
      <c r="P39" s="40">
        <f t="shared" si="4"/>
        <v>5460823.9909123881</v>
      </c>
      <c r="Q39" s="40"/>
      <c r="R39" s="40">
        <f t="shared" si="5"/>
        <v>100072817.07236777</v>
      </c>
    </row>
    <row r="40" spans="1:18">
      <c r="A40" s="46">
        <f t="shared" si="6"/>
        <v>2035</v>
      </c>
      <c r="B40" s="40">
        <f t="shared" si="0"/>
        <v>1196474.7840514551</v>
      </c>
      <c r="C40" s="40"/>
      <c r="D40" s="40">
        <f t="shared" si="1"/>
        <v>-358942.4352154365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158333496.42280924</v>
      </c>
      <c r="M40" s="40"/>
      <c r="N40" s="40">
        <f t="shared" si="3"/>
        <v>158931733.81483495</v>
      </c>
      <c r="O40" s="40"/>
      <c r="P40" s="40">
        <f t="shared" si="4"/>
        <v>5419867.8109805444</v>
      </c>
      <c r="Q40" s="40"/>
      <c r="R40" s="40">
        <f t="shared" si="5"/>
        <v>103937267.66408142</v>
      </c>
    </row>
    <row r="41" spans="1:18">
      <c r="A41" s="46">
        <f t="shared" si="6"/>
        <v>2036</v>
      </c>
      <c r="B41" s="40">
        <f t="shared" si="0"/>
        <v>1187501.2231710693</v>
      </c>
      <c r="C41" s="40"/>
      <c r="D41" s="40">
        <f t="shared" si="1"/>
        <v>-356250.36695132079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157145995.19963819</v>
      </c>
      <c r="M41" s="40"/>
      <c r="N41" s="40">
        <f t="shared" si="3"/>
        <v>157739745.81122372</v>
      </c>
      <c r="O41" s="40"/>
      <c r="P41" s="40">
        <f t="shared" si="4"/>
        <v>5379218.8023981918</v>
      </c>
      <c r="Q41" s="40"/>
      <c r="R41" s="40">
        <f t="shared" si="5"/>
        <v>107772734.87635723</v>
      </c>
    </row>
    <row r="42" spans="1:18">
      <c r="A42" s="46">
        <f t="shared" si="6"/>
        <v>2037</v>
      </c>
      <c r="B42" s="40">
        <f t="shared" si="0"/>
        <v>1178594.9639972863</v>
      </c>
      <c r="C42" s="40"/>
      <c r="D42" s="40">
        <f t="shared" si="1"/>
        <v>-353578.48919918586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155967400.23564091</v>
      </c>
      <c r="M42" s="40"/>
      <c r="N42" s="40">
        <f t="shared" si="3"/>
        <v>156556697.71763957</v>
      </c>
      <c r="O42" s="40"/>
      <c r="P42" s="40">
        <f t="shared" si="4"/>
        <v>5338874.6613802062</v>
      </c>
      <c r="Q42" s="40"/>
      <c r="R42" s="40">
        <f t="shared" si="5"/>
        <v>111579436.08454095</v>
      </c>
    </row>
    <row r="43" spans="1:18">
      <c r="A43" s="46">
        <f t="shared" si="6"/>
        <v>2038</v>
      </c>
      <c r="B43" s="40">
        <f t="shared" si="0"/>
        <v>1169755.5017673068</v>
      </c>
      <c r="C43" s="40"/>
      <c r="D43" s="40">
        <f t="shared" si="1"/>
        <v>-350926.65053019201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154797644.73387361</v>
      </c>
      <c r="M43" s="40"/>
      <c r="N43" s="40">
        <f t="shared" si="3"/>
        <v>155382522.48475724</v>
      </c>
      <c r="O43" s="40"/>
      <c r="P43" s="40">
        <f t="shared" si="4"/>
        <v>5298833.101419854</v>
      </c>
      <c r="Q43" s="40"/>
      <c r="R43" s="40">
        <f t="shared" si="5"/>
        <v>115357587.0336633</v>
      </c>
    </row>
    <row r="44" spans="1:18">
      <c r="A44" s="46">
        <f t="shared" si="6"/>
        <v>2039</v>
      </c>
      <c r="B44" s="40">
        <f t="shared" si="0"/>
        <v>1160982.335504052</v>
      </c>
      <c r="C44" s="40"/>
      <c r="D44" s="40">
        <f t="shared" si="1"/>
        <v>-348294.70065121556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153636662.39836955</v>
      </c>
      <c r="M44" s="40"/>
      <c r="N44" s="40">
        <f t="shared" si="3"/>
        <v>154217153.56612158</v>
      </c>
      <c r="O44" s="40"/>
      <c r="P44" s="40">
        <f t="shared" si="4"/>
        <v>5259091.8531592051</v>
      </c>
      <c r="Q44" s="40"/>
      <c r="R44" s="40">
        <f t="shared" si="5"/>
        <v>119107401.85066724</v>
      </c>
    </row>
    <row r="45" spans="1:18">
      <c r="A45" s="46">
        <f t="shared" si="6"/>
        <v>2040</v>
      </c>
      <c r="B45" s="40">
        <f t="shared" si="0"/>
        <v>1152274.9679877716</v>
      </c>
      <c r="C45" s="40"/>
      <c r="D45" s="40">
        <f t="shared" si="1"/>
        <v>-345682.49039633147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152484387.43038177</v>
      </c>
      <c r="M45" s="40"/>
      <c r="N45" s="40">
        <f t="shared" si="3"/>
        <v>153060524.91437566</v>
      </c>
      <c r="O45" s="40"/>
      <c r="P45" s="40">
        <f t="shared" si="4"/>
        <v>5219648.6642605113</v>
      </c>
      <c r="Q45" s="40"/>
      <c r="R45" s="40">
        <f t="shared" si="5"/>
        <v>122829093.05654363</v>
      </c>
    </row>
    <row r="46" spans="1:18">
      <c r="A46" s="46">
        <f t="shared" si="6"/>
        <v>2041</v>
      </c>
      <c r="B46" s="40">
        <f t="shared" si="0"/>
        <v>1143632.9057278633</v>
      </c>
      <c r="C46" s="40"/>
      <c r="D46" s="40">
        <f t="shared" si="1"/>
        <v>-343089.87171835901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151340754.52465391</v>
      </c>
      <c r="M46" s="40"/>
      <c r="N46" s="40">
        <f t="shared" si="3"/>
        <v>151912570.97751784</v>
      </c>
      <c r="O46" s="40"/>
      <c r="P46" s="40">
        <f t="shared" si="4"/>
        <v>5180501.2992785573</v>
      </c>
      <c r="Q46" s="40"/>
      <c r="R46" s="40">
        <f t="shared" si="5"/>
        <v>126522871.57837597</v>
      </c>
    </row>
    <row r="47" spans="1:18">
      <c r="A47" s="46">
        <f t="shared" si="6"/>
        <v>2042</v>
      </c>
      <c r="B47" s="40">
        <f t="shared" si="0"/>
        <v>1135055.6589349043</v>
      </c>
      <c r="C47" s="40"/>
      <c r="D47" s="40">
        <f t="shared" si="1"/>
        <v>-340516.69768047129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150205698.86571902</v>
      </c>
      <c r="M47" s="40"/>
      <c r="N47" s="40">
        <f t="shared" si="3"/>
        <v>150773226.69518647</v>
      </c>
      <c r="O47" s="40"/>
      <c r="P47" s="40">
        <f t="shared" si="4"/>
        <v>5141647.5395339681</v>
      </c>
      <c r="Q47" s="40"/>
      <c r="R47" s="40">
        <f t="shared" si="5"/>
        <v>130188946.76129456</v>
      </c>
    </row>
    <row r="48" spans="1:18">
      <c r="A48" s="46">
        <f t="shared" si="6"/>
        <v>2043</v>
      </c>
      <c r="B48" s="40">
        <f t="shared" si="0"/>
        <v>1126542.7414928926</v>
      </c>
      <c r="C48" s="40"/>
      <c r="D48" s="40">
        <f t="shared" si="1"/>
        <v>-337962.82244786777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149079156.12422612</v>
      </c>
      <c r="M48" s="40"/>
      <c r="N48" s="40">
        <f t="shared" si="3"/>
        <v>149642427.49497259</v>
      </c>
      <c r="O48" s="40"/>
      <c r="P48" s="40">
        <f t="shared" si="4"/>
        <v>5103085.1829874637</v>
      </c>
      <c r="Q48" s="40"/>
      <c r="R48" s="40">
        <f t="shared" si="5"/>
        <v>133827526.38034126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149079156.12422612</v>
      </c>
      <c r="M49" s="40"/>
      <c r="N49" s="40">
        <f t="shared" si="3"/>
        <v>149079156.12422612</v>
      </c>
      <c r="O49" s="40"/>
      <c r="P49" s="40">
        <f t="shared" si="4"/>
        <v>5083876.5812949138</v>
      </c>
      <c r="Q49" s="40"/>
      <c r="R49" s="40">
        <f t="shared" si="5"/>
        <v>138911402.96163619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149079156.12422612</v>
      </c>
      <c r="M50" s="40"/>
      <c r="N50" s="40">
        <f t="shared" si="3"/>
        <v>149079156.12422612</v>
      </c>
      <c r="O50" s="40"/>
      <c r="P50" s="40">
        <f t="shared" si="4"/>
        <v>5083876.5812949138</v>
      </c>
      <c r="Q50" s="40"/>
      <c r="R50" s="40">
        <f t="shared" si="5"/>
        <v>143995279.54293111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149079156.12422612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149079156.12422612</v>
      </c>
      <c r="O51" s="40"/>
      <c r="P51" s="40">
        <f t="shared" si="4"/>
        <v>5083876.5812949138</v>
      </c>
      <c r="Q51" s="40"/>
      <c r="R51" s="40">
        <f t="shared" si="5"/>
        <v>-8.9406967163085938E-8</v>
      </c>
    </row>
    <row r="52" spans="1:18">
      <c r="A52" s="46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2" t="s">
        <v>38</v>
      </c>
      <c r="B54" s="38">
        <f>SUM(B22:B51)</f>
        <v>33601687.691812091</v>
      </c>
      <c r="C54" s="38" t="s">
        <v>39</v>
      </c>
      <c r="D54" s="38">
        <f>SUM(D22:D51)</f>
        <v>-10080506.30754363</v>
      </c>
      <c r="E54" s="38">
        <v>0</v>
      </c>
      <c r="F54" s="38">
        <f>SUM(F22:F51)</f>
        <v>149079156.12422612</v>
      </c>
      <c r="G54" s="38" t="s">
        <v>39</v>
      </c>
      <c r="H54" s="38">
        <f>SUM(H22:H51)</f>
        <v>0</v>
      </c>
      <c r="I54" s="38">
        <v>0</v>
      </c>
      <c r="J54" s="38">
        <f>SUM(J22:J51)</f>
        <v>0</v>
      </c>
      <c r="K54" s="40"/>
      <c r="L54" s="40"/>
      <c r="M54" s="40"/>
      <c r="N54" s="38">
        <f>SUM(N22:N51)</f>
        <v>4910661650.1017199</v>
      </c>
      <c r="O54" s="40"/>
      <c r="P54" s="38">
        <f>SUM(P22:P51)</f>
        <v>167462698.41245899</v>
      </c>
      <c r="Q54" s="40"/>
      <c r="R54" s="40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1" sqref="P11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145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-7.6234997627987633E-2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'!$J$854</f>
        <v>29.270754398826799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25.639911949891875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54.910666348718678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0.71401027949896256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1998246.6338010149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1.4127377614904508E-2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1.3883458842740223E-3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1.2739031730630485E-2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Unit(Fcst)'!D29</f>
        <v>3483090.652292348</v>
      </c>
      <c r="M21" s="40"/>
      <c r="N21" s="40"/>
      <c r="O21" s="40"/>
      <c r="P21" s="40"/>
      <c r="Q21" s="40"/>
      <c r="R21" s="40">
        <f>'2016 YE Reserve by Unit(Fcst)'!D29</f>
        <v>2486962.5301634832</v>
      </c>
    </row>
    <row r="22" spans="1:18">
      <c r="A22" s="46">
        <v>2017</v>
      </c>
      <c r="B22" s="40">
        <f>+L21*P$10</f>
        <v>37617.379044757363</v>
      </c>
      <c r="C22" s="40"/>
      <c r="D22" s="40">
        <f>+B22*P$2</f>
        <v>-11285.213713427209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3445473.2732475908</v>
      </c>
      <c r="M22" s="40"/>
      <c r="N22" s="40">
        <f>(L21+L22)/2</f>
        <v>3464281.9627699694</v>
      </c>
      <c r="O22" s="40"/>
      <c r="P22" s="40">
        <f>N22*$P$12</f>
        <v>48941.219452553916</v>
      </c>
      <c r="Q22" s="40"/>
      <c r="R22" s="40">
        <f>R21+P22-B22-F22+D22</f>
        <v>2487001.1568578528</v>
      </c>
    </row>
    <row r="23" spans="1:18">
      <c r="A23" s="46">
        <f>A22+1</f>
        <v>2018</v>
      </c>
      <c r="B23" s="40">
        <f t="shared" ref="B23:B48" si="0">+L22*P$10</f>
        <v>37211.111351073981</v>
      </c>
      <c r="C23" s="40"/>
      <c r="D23" s="40">
        <f t="shared" ref="D23:D51" si="1">+B23*P$2</f>
        <v>-11163.333405322193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3408262.1618965166</v>
      </c>
      <c r="M23" s="40"/>
      <c r="N23" s="40">
        <f t="shared" ref="N23:N50" si="3">(L22+L23)/2</f>
        <v>3426867.7175720539</v>
      </c>
      <c r="O23" s="40"/>
      <c r="P23" s="40">
        <f t="shared" ref="P23:P51" si="4">N23*$P$12</f>
        <v>48412.654282466334</v>
      </c>
      <c r="Q23" s="40"/>
      <c r="R23" s="40">
        <f t="shared" ref="R23:R51" si="5">R22+P23-B23-F23+D23</f>
        <v>2487039.3663839228</v>
      </c>
    </row>
    <row r="24" spans="1:18">
      <c r="A24" s="46">
        <f t="shared" ref="A24:A58" si="6">A23+1</f>
        <v>2019</v>
      </c>
      <c r="B24" s="40">
        <f t="shared" si="0"/>
        <v>36809.231348482383</v>
      </c>
      <c r="C24" s="40"/>
      <c r="D24" s="40">
        <f t="shared" si="1"/>
        <v>-11042.769404544715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3371452.9305480341</v>
      </c>
      <c r="M24" s="40"/>
      <c r="N24" s="40">
        <f t="shared" si="3"/>
        <v>3389857.5462222751</v>
      </c>
      <c r="O24" s="40"/>
      <c r="P24" s="40">
        <f t="shared" si="4"/>
        <v>47889.797616215692</v>
      </c>
      <c r="Q24" s="40"/>
      <c r="R24" s="40">
        <f t="shared" si="5"/>
        <v>2487077.1632471117</v>
      </c>
    </row>
    <row r="25" spans="1:18">
      <c r="A25" s="46">
        <f t="shared" si="6"/>
        <v>2020</v>
      </c>
      <c r="B25" s="40">
        <f t="shared" si="0"/>
        <v>36411.691649918772</v>
      </c>
      <c r="C25" s="40"/>
      <c r="D25" s="40">
        <f t="shared" si="1"/>
        <v>-10923.507494975631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3335041.2388981152</v>
      </c>
      <c r="M25" s="40"/>
      <c r="N25" s="40">
        <f t="shared" si="3"/>
        <v>3353247.0847230749</v>
      </c>
      <c r="O25" s="40"/>
      <c r="P25" s="40">
        <f t="shared" si="4"/>
        <v>47372.587801960566</v>
      </c>
      <c r="Q25" s="40"/>
      <c r="R25" s="40">
        <f t="shared" si="5"/>
        <v>2487114.5519041778</v>
      </c>
    </row>
    <row r="26" spans="1:18">
      <c r="A26" s="46">
        <f t="shared" si="6"/>
        <v>2021</v>
      </c>
      <c r="B26" s="40">
        <f t="shared" si="0"/>
        <v>36018.445380099649</v>
      </c>
      <c r="C26" s="40"/>
      <c r="D26" s="40">
        <f t="shared" si="1"/>
        <v>-10805.533614029895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3299022.7935180156</v>
      </c>
      <c r="M26" s="40"/>
      <c r="N26" s="40">
        <f t="shared" si="3"/>
        <v>3317032.0162080657</v>
      </c>
      <c r="O26" s="40"/>
      <c r="P26" s="40">
        <f t="shared" si="4"/>
        <v>46860.963853699395</v>
      </c>
      <c r="Q26" s="40"/>
      <c r="R26" s="40">
        <f t="shared" si="5"/>
        <v>2487151.5367637477</v>
      </c>
    </row>
    <row r="27" spans="1:18">
      <c r="A27" s="46">
        <f t="shared" si="6"/>
        <v>2022</v>
      </c>
      <c r="B27" s="40">
        <f t="shared" si="0"/>
        <v>35629.446169994568</v>
      </c>
      <c r="C27" s="40"/>
      <c r="D27" s="40">
        <f t="shared" si="1"/>
        <v>-10688.83385099837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3263393.3473480209</v>
      </c>
      <c r="M27" s="40"/>
      <c r="N27" s="40">
        <f t="shared" si="3"/>
        <v>3281208.0704330183</v>
      </c>
      <c r="O27" s="40"/>
      <c r="P27" s="40">
        <f t="shared" si="4"/>
        <v>46354.865444079434</v>
      </c>
      <c r="Q27" s="40"/>
      <c r="R27" s="40">
        <f t="shared" si="5"/>
        <v>2487188.122186834</v>
      </c>
    </row>
    <row r="28" spans="1:18">
      <c r="A28" s="46">
        <f t="shared" si="6"/>
        <v>2023</v>
      </c>
      <c r="B28" s="40">
        <f t="shared" si="0"/>
        <v>35244.648151358626</v>
      </c>
      <c r="C28" s="40"/>
      <c r="D28" s="40">
        <f t="shared" si="1"/>
        <v>-10573.394445407588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3228148.6991966623</v>
      </c>
      <c r="M28" s="40"/>
      <c r="N28" s="40">
        <f t="shared" si="3"/>
        <v>3245771.0232723416</v>
      </c>
      <c r="O28" s="40"/>
      <c r="P28" s="40">
        <f t="shared" si="4"/>
        <v>45854.232897283378</v>
      </c>
      <c r="Q28" s="40"/>
      <c r="R28" s="40">
        <f t="shared" si="5"/>
        <v>2487224.3124873512</v>
      </c>
    </row>
    <row r="29" spans="1:18">
      <c r="A29" s="46">
        <f t="shared" si="6"/>
        <v>2024</v>
      </c>
      <c r="B29" s="40">
        <f t="shared" si="0"/>
        <v>34864.005951323954</v>
      </c>
      <c r="C29" s="40"/>
      <c r="D29" s="40">
        <f t="shared" si="1"/>
        <v>-10459.201785397187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3193284.6932453383</v>
      </c>
      <c r="M29" s="40"/>
      <c r="N29" s="40">
        <f t="shared" si="3"/>
        <v>3210716.6962210005</v>
      </c>
      <c r="O29" s="40"/>
      <c r="P29" s="40">
        <f t="shared" si="4"/>
        <v>45359.007181992718</v>
      </c>
      <c r="Q29" s="40"/>
      <c r="R29" s="40">
        <f t="shared" si="5"/>
        <v>2487260.1119326227</v>
      </c>
    </row>
    <row r="30" spans="1:18">
      <c r="A30" s="46">
        <f t="shared" si="6"/>
        <v>2025</v>
      </c>
      <c r="B30" s="40">
        <f t="shared" si="0"/>
        <v>34487.474687049653</v>
      </c>
      <c r="C30" s="40"/>
      <c r="D30" s="40">
        <f t="shared" si="1"/>
        <v>-10346.242406114896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3158797.2185582886</v>
      </c>
      <c r="M30" s="40"/>
      <c r="N30" s="40">
        <f t="shared" si="3"/>
        <v>3176040.9559018137</v>
      </c>
      <c r="O30" s="40"/>
      <c r="P30" s="40">
        <f t="shared" si="4"/>
        <v>44869.129904427195</v>
      </c>
      <c r="Q30" s="40"/>
      <c r="R30" s="40">
        <f t="shared" si="5"/>
        <v>2487295.5247438853</v>
      </c>
    </row>
    <row r="31" spans="1:18">
      <c r="A31" s="46">
        <f t="shared" si="6"/>
        <v>2026</v>
      </c>
      <c r="B31" s="40">
        <f t="shared" si="0"/>
        <v>34115.009960429517</v>
      </c>
      <c r="C31" s="40"/>
      <c r="D31" s="40">
        <f t="shared" si="1"/>
        <v>-10234.502988128856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3124682.2085978589</v>
      </c>
      <c r="M31" s="40"/>
      <c r="N31" s="40">
        <f t="shared" si="3"/>
        <v>3141739.7135780738</v>
      </c>
      <c r="O31" s="40"/>
      <c r="P31" s="40">
        <f t="shared" si="4"/>
        <v>44384.54330145938</v>
      </c>
      <c r="Q31" s="40"/>
      <c r="R31" s="40">
        <f t="shared" si="5"/>
        <v>2487330.555096786</v>
      </c>
    </row>
    <row r="32" spans="1:18">
      <c r="A32" s="46">
        <f t="shared" si="6"/>
        <v>2027</v>
      </c>
      <c r="B32" s="40">
        <f t="shared" si="0"/>
        <v>33746.567852856875</v>
      </c>
      <c r="C32" s="40"/>
      <c r="D32" s="40">
        <f t="shared" si="1"/>
        <v>-10123.970355857062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3090935.6407450018</v>
      </c>
      <c r="M32" s="40"/>
      <c r="N32" s="40">
        <f t="shared" si="3"/>
        <v>3107808.9246714301</v>
      </c>
      <c r="O32" s="40"/>
      <c r="P32" s="40">
        <f t="shared" si="4"/>
        <v>43905.190233803609</v>
      </c>
      <c r="Q32" s="40"/>
      <c r="R32" s="40">
        <f t="shared" si="5"/>
        <v>2487365.2071218756</v>
      </c>
    </row>
    <row r="33" spans="1:18">
      <c r="A33" s="46">
        <f t="shared" si="6"/>
        <v>2028</v>
      </c>
      <c r="B33" s="40">
        <f t="shared" si="0"/>
        <v>33382.104920046018</v>
      </c>
      <c r="C33" s="40"/>
      <c r="D33" s="40">
        <f t="shared" si="1"/>
        <v>-10014.631476013805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3057553.5358249559</v>
      </c>
      <c r="M33" s="40"/>
      <c r="N33" s="40">
        <f t="shared" si="3"/>
        <v>3074244.5882849786</v>
      </c>
      <c r="O33" s="40"/>
      <c r="P33" s="40">
        <f t="shared" si="4"/>
        <v>43431.014179278529</v>
      </c>
      <c r="Q33" s="40"/>
      <c r="R33" s="40">
        <f t="shared" si="5"/>
        <v>2487399.4849050944</v>
      </c>
    </row>
    <row r="34" spans="1:18">
      <c r="A34" s="46">
        <f t="shared" si="6"/>
        <v>2029</v>
      </c>
      <c r="B34" s="40">
        <f t="shared" si="0"/>
        <v>33021.578186909523</v>
      </c>
      <c r="C34" s="40"/>
      <c r="D34" s="40">
        <f t="shared" si="1"/>
        <v>-9906.4734560728557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3024531.9576380462</v>
      </c>
      <c r="M34" s="40"/>
      <c r="N34" s="40">
        <f t="shared" si="3"/>
        <v>3041042.7467315011</v>
      </c>
      <c r="O34" s="40"/>
      <c r="P34" s="40">
        <f t="shared" si="4"/>
        <v>42961.959226142324</v>
      </c>
      <c r="Q34" s="40"/>
      <c r="R34" s="40">
        <f t="shared" si="5"/>
        <v>2487433.3924882538</v>
      </c>
    </row>
    <row r="35" spans="1:18">
      <c r="A35" s="46">
        <f t="shared" si="6"/>
        <v>2030</v>
      </c>
      <c r="B35" s="40">
        <f t="shared" si="0"/>
        <v>32664.945142490902</v>
      </c>
      <c r="C35" s="40"/>
      <c r="D35" s="40">
        <f t="shared" si="1"/>
        <v>-9799.4835427472699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2991867.0124955554</v>
      </c>
      <c r="M35" s="40"/>
      <c r="N35" s="40">
        <f t="shared" si="3"/>
        <v>3008199.4850668008</v>
      </c>
      <c r="O35" s="40"/>
      <c r="P35" s="40">
        <f t="shared" si="4"/>
        <v>42497.970066499991</v>
      </c>
      <c r="Q35" s="40"/>
      <c r="R35" s="40">
        <f t="shared" si="5"/>
        <v>2487466.9338695155</v>
      </c>
    </row>
    <row r="36" spans="1:18">
      <c r="A36" s="46">
        <f t="shared" si="6"/>
        <v>2031</v>
      </c>
      <c r="B36" s="40">
        <f t="shared" si="0"/>
        <v>32312.163734951999</v>
      </c>
      <c r="C36" s="40"/>
      <c r="D36" s="40">
        <f t="shared" si="1"/>
        <v>-9693.6491204855993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2959554.8487606035</v>
      </c>
      <c r="M36" s="40"/>
      <c r="N36" s="40">
        <f t="shared" si="3"/>
        <v>2975710.9306280795</v>
      </c>
      <c r="O36" s="40"/>
      <c r="P36" s="40">
        <f t="shared" si="4"/>
        <v>42038.991989781789</v>
      </c>
      <c r="Q36" s="40"/>
      <c r="R36" s="40">
        <f t="shared" si="5"/>
        <v>2487500.1130038598</v>
      </c>
    </row>
    <row r="37" spans="1:18">
      <c r="A37" s="46">
        <f t="shared" si="6"/>
        <v>2032</v>
      </c>
      <c r="B37" s="40">
        <f t="shared" si="0"/>
        <v>31963.192366614519</v>
      </c>
      <c r="C37" s="40"/>
      <c r="D37" s="40">
        <f t="shared" si="1"/>
        <v>-9588.9577099843555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2927591.656393989</v>
      </c>
      <c r="M37" s="40"/>
      <c r="N37" s="40">
        <f t="shared" si="3"/>
        <v>2943573.2525772965</v>
      </c>
      <c r="O37" s="40"/>
      <c r="P37" s="40">
        <f t="shared" si="4"/>
        <v>41584.970876292151</v>
      </c>
      <c r="Q37" s="40"/>
      <c r="R37" s="40">
        <f t="shared" si="5"/>
        <v>2487532.9338035532</v>
      </c>
    </row>
    <row r="38" spans="1:18">
      <c r="A38" s="46">
        <f t="shared" si="6"/>
        <v>2033</v>
      </c>
      <c r="B38" s="40">
        <f t="shared" si="0"/>
        <v>31617.989889055083</v>
      </c>
      <c r="C38" s="40"/>
      <c r="D38" s="40">
        <f t="shared" si="1"/>
        <v>-9485.3969667165238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2895973.666504934</v>
      </c>
      <c r="M38" s="40"/>
      <c r="N38" s="40">
        <f t="shared" si="3"/>
        <v>2911782.6614494612</v>
      </c>
      <c r="O38" s="40"/>
      <c r="P38" s="40">
        <f t="shared" si="4"/>
        <v>41135.853190828188</v>
      </c>
      <c r="Q38" s="40"/>
      <c r="R38" s="40">
        <f t="shared" si="5"/>
        <v>2487565.4001386096</v>
      </c>
    </row>
    <row r="39" spans="1:18">
      <c r="A39" s="46">
        <f t="shared" si="6"/>
        <v>2034</v>
      </c>
      <c r="B39" s="40">
        <f t="shared" si="0"/>
        <v>31276.515598253289</v>
      </c>
      <c r="C39" s="40"/>
      <c r="D39" s="40">
        <f t="shared" si="1"/>
        <v>-9382.9546794759863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2864697.1509066806</v>
      </c>
      <c r="M39" s="40"/>
      <c r="N39" s="40">
        <f t="shared" si="3"/>
        <v>2880335.4087058073</v>
      </c>
      <c r="O39" s="40"/>
      <c r="P39" s="40">
        <f t="shared" si="4"/>
        <v>40691.585976367249</v>
      </c>
      <c r="Q39" s="40"/>
      <c r="R39" s="40">
        <f t="shared" si="5"/>
        <v>2487597.5158372475</v>
      </c>
    </row>
    <row r="40" spans="1:18">
      <c r="A40" s="46">
        <f t="shared" si="6"/>
        <v>2035</v>
      </c>
      <c r="B40" s="40">
        <f t="shared" si="0"/>
        <v>30938.729229792152</v>
      </c>
      <c r="C40" s="40"/>
      <c r="D40" s="40">
        <f t="shared" si="1"/>
        <v>-9281.6187689376457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2833758.4216768886</v>
      </c>
      <c r="M40" s="40"/>
      <c r="N40" s="40">
        <f t="shared" si="3"/>
        <v>2849227.7862917846</v>
      </c>
      <c r="O40" s="40"/>
      <c r="P40" s="40">
        <f t="shared" si="4"/>
        <v>40252.116847822479</v>
      </c>
      <c r="Q40" s="40"/>
      <c r="R40" s="40">
        <f t="shared" si="5"/>
        <v>2487629.2846863405</v>
      </c>
    </row>
    <row r="41" spans="1:18">
      <c r="A41" s="46">
        <f t="shared" si="6"/>
        <v>2036</v>
      </c>
      <c r="B41" s="40">
        <f t="shared" si="0"/>
        <v>30604.590954110397</v>
      </c>
      <c r="C41" s="40"/>
      <c r="D41" s="40">
        <f t="shared" si="1"/>
        <v>-9181.3772862331189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2803153.8307227781</v>
      </c>
      <c r="M41" s="40"/>
      <c r="N41" s="40">
        <f t="shared" si="3"/>
        <v>2818456.1261998331</v>
      </c>
      <c r="O41" s="40"/>
      <c r="P41" s="40">
        <f t="shared" si="4"/>
        <v>39817.393985865994</v>
      </c>
      <c r="Q41" s="40"/>
      <c r="R41" s="40">
        <f t="shared" si="5"/>
        <v>2487660.7104318631</v>
      </c>
    </row>
    <row r="42" spans="1:18">
      <c r="A42" s="46">
        <f t="shared" si="6"/>
        <v>2037</v>
      </c>
      <c r="B42" s="40">
        <f t="shared" si="0"/>
        <v>30274.061371806005</v>
      </c>
      <c r="C42" s="40"/>
      <c r="D42" s="40">
        <f t="shared" si="1"/>
        <v>-9082.2184115418004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2772879.769350972</v>
      </c>
      <c r="M42" s="40"/>
      <c r="N42" s="40">
        <f t="shared" si="3"/>
        <v>2788016.8000368751</v>
      </c>
      <c r="O42" s="40"/>
      <c r="P42" s="40">
        <f t="shared" si="4"/>
        <v>39387.366130818642</v>
      </c>
      <c r="Q42" s="40"/>
      <c r="R42" s="40">
        <f t="shared" si="5"/>
        <v>2487691.7967793336</v>
      </c>
    </row>
    <row r="43" spans="1:18">
      <c r="A43" s="46">
        <f t="shared" si="6"/>
        <v>2038</v>
      </c>
      <c r="B43" s="40">
        <f t="shared" si="0"/>
        <v>29947.101508990498</v>
      </c>
      <c r="C43" s="40"/>
      <c r="D43" s="40">
        <f t="shared" si="1"/>
        <v>-8984.1304526971489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2742932.6678419816</v>
      </c>
      <c r="M43" s="40"/>
      <c r="N43" s="40">
        <f t="shared" si="3"/>
        <v>2757906.2185964771</v>
      </c>
      <c r="O43" s="40"/>
      <c r="P43" s="40">
        <f t="shared" si="4"/>
        <v>38961.982576605806</v>
      </c>
      <c r="Q43" s="40"/>
      <c r="R43" s="40">
        <f t="shared" si="5"/>
        <v>2487722.5473942519</v>
      </c>
    </row>
    <row r="44" spans="1:18">
      <c r="A44" s="46">
        <f t="shared" si="6"/>
        <v>2039</v>
      </c>
      <c r="B44" s="40">
        <f t="shared" si="0"/>
        <v>29623.672812693403</v>
      </c>
      <c r="C44" s="40"/>
      <c r="D44" s="40">
        <f t="shared" si="1"/>
        <v>-8887.1018438080209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2713308.9950292883</v>
      </c>
      <c r="M44" s="40"/>
      <c r="N44" s="40">
        <f t="shared" si="3"/>
        <v>2728120.8314356348</v>
      </c>
      <c r="O44" s="40"/>
      <c r="P44" s="40">
        <f t="shared" si="4"/>
        <v>38541.193164778459</v>
      </c>
      <c r="Q44" s="40"/>
      <c r="R44" s="40">
        <f t="shared" si="5"/>
        <v>2487752.9659025292</v>
      </c>
    </row>
    <row r="45" spans="1:18">
      <c r="A45" s="46">
        <f t="shared" si="6"/>
        <v>2040</v>
      </c>
      <c r="B45" s="40">
        <f t="shared" si="0"/>
        <v>29303.737146316314</v>
      </c>
      <c r="C45" s="40"/>
      <c r="D45" s="40">
        <f t="shared" si="1"/>
        <v>-8791.121143894894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2684005.2578829722</v>
      </c>
      <c r="M45" s="40"/>
      <c r="N45" s="40">
        <f t="shared" si="3"/>
        <v>2698657.1264561303</v>
      </c>
      <c r="O45" s="40"/>
      <c r="P45" s="40">
        <f t="shared" si="4"/>
        <v>38124.948278598858</v>
      </c>
      <c r="Q45" s="40"/>
      <c r="R45" s="40">
        <f t="shared" si="5"/>
        <v>2487783.0558909173</v>
      </c>
    </row>
    <row r="46" spans="1:18">
      <c r="A46" s="46">
        <f t="shared" si="6"/>
        <v>2041</v>
      </c>
      <c r="B46" s="40">
        <f t="shared" si="0"/>
        <v>28987.256785136102</v>
      </c>
      <c r="C46" s="40"/>
      <c r="D46" s="40">
        <f t="shared" si="1"/>
        <v>-8696.1770355408298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2655018.0010978361</v>
      </c>
      <c r="M46" s="40"/>
      <c r="N46" s="40">
        <f t="shared" si="3"/>
        <v>2669511.6294904044</v>
      </c>
      <c r="O46" s="40"/>
      <c r="P46" s="40">
        <f t="shared" si="4"/>
        <v>37713.198837189993</v>
      </c>
      <c r="Q46" s="40"/>
      <c r="R46" s="40">
        <f t="shared" si="5"/>
        <v>2487812.8209074303</v>
      </c>
    </row>
    <row r="47" spans="1:18">
      <c r="A47" s="46">
        <f t="shared" si="6"/>
        <v>2042</v>
      </c>
      <c r="B47" s="40">
        <f t="shared" si="0"/>
        <v>28674.194411856632</v>
      </c>
      <c r="C47" s="40"/>
      <c r="D47" s="40">
        <f t="shared" si="1"/>
        <v>-8602.2583235569891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2626343.8066859795</v>
      </c>
      <c r="M47" s="40"/>
      <c r="N47" s="40">
        <f t="shared" si="3"/>
        <v>2640680.903891908</v>
      </c>
      <c r="O47" s="40"/>
      <c r="P47" s="40">
        <f t="shared" si="4"/>
        <v>37305.896289748343</v>
      </c>
      <c r="Q47" s="40"/>
      <c r="R47" s="40">
        <f t="shared" si="5"/>
        <v>2487842.2644617646</v>
      </c>
    </row>
    <row r="48" spans="1:18">
      <c r="A48" s="46">
        <f t="shared" si="6"/>
        <v>2043</v>
      </c>
      <c r="B48" s="40">
        <f t="shared" si="0"/>
        <v>28364.51311220858</v>
      </c>
      <c r="C48" s="40"/>
      <c r="D48" s="40">
        <f t="shared" si="1"/>
        <v>-8509.3539336625745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2597979.2935737707</v>
      </c>
      <c r="M48" s="40"/>
      <c r="N48" s="40">
        <f t="shared" si="3"/>
        <v>2612161.5501298751</v>
      </c>
      <c r="O48" s="40"/>
      <c r="P48" s="40">
        <f t="shared" si="4"/>
        <v>36902.992609819055</v>
      </c>
      <c r="Q48" s="40"/>
      <c r="R48" s="40">
        <f t="shared" si="5"/>
        <v>2487871.3900257121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2597979.2935737707</v>
      </c>
      <c r="M49" s="40"/>
      <c r="N49" s="40">
        <f t="shared" si="3"/>
        <v>2597979.2935737707</v>
      </c>
      <c r="O49" s="40"/>
      <c r="P49" s="40">
        <f t="shared" si="4"/>
        <v>36702.634516019512</v>
      </c>
      <c r="Q49" s="40"/>
      <c r="R49" s="40">
        <f t="shared" si="5"/>
        <v>2524574.0245417315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2597979.2935737707</v>
      </c>
      <c r="M50" s="40"/>
      <c r="N50" s="40">
        <f t="shared" si="3"/>
        <v>2597979.2935737707</v>
      </c>
      <c r="O50" s="40"/>
      <c r="P50" s="40">
        <f t="shared" si="4"/>
        <v>36702.634516019512</v>
      </c>
      <c r="Q50" s="40"/>
      <c r="R50" s="40">
        <f t="shared" si="5"/>
        <v>2561276.6590577508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2597979.2935737707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2597979.2935737707</v>
      </c>
      <c r="O51" s="40"/>
      <c r="P51" s="40">
        <f t="shared" si="4"/>
        <v>36702.634516019512</v>
      </c>
      <c r="Q51" s="40"/>
      <c r="R51" s="40">
        <f t="shared" si="5"/>
        <v>-4.6566128730773926E-10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885111.35871857661</v>
      </c>
      <c r="C62" s="38" t="s">
        <v>39</v>
      </c>
      <c r="D62" s="38">
        <f>SUM(D22:D58)</f>
        <v>-265533.40761557303</v>
      </c>
      <c r="E62" s="38">
        <v>0</v>
      </c>
      <c r="F62" s="38">
        <f>SUM(F22:F58)</f>
        <v>2597979.2935737707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89306137.638267264</v>
      </c>
      <c r="O62" s="40"/>
      <c r="P62" s="38">
        <f>SUM(P22:P58)</f>
        <v>1261661.5297444381</v>
      </c>
      <c r="Q62" s="40"/>
      <c r="R62" s="40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1" sqref="P11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145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-1.3366235858214497E-2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'!$J$879</f>
        <v>2.8349733650253728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27.751494684989844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30.586468050015217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7.7401601861610672E-2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1648653.3345099192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3.3726638677333873E-2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4.3699834306981536E-4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3.3289640334264056E-2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Unit(Fcst)'!D30</f>
        <v>17552673.007404462</v>
      </c>
      <c r="M21" s="40"/>
      <c r="N21" s="40"/>
      <c r="O21" s="40"/>
      <c r="P21" s="40"/>
      <c r="Q21" s="40"/>
      <c r="R21" s="40">
        <f>'2016 YE Reserve by Unit(Fcst)'!D30</f>
        <v>1358605.0077261606</v>
      </c>
    </row>
    <row r="22" spans="1:18">
      <c r="A22" s="46">
        <v>2017</v>
      </c>
      <c r="B22" s="40">
        <f>+L21*P$10</f>
        <v>93029.166939243645</v>
      </c>
      <c r="C22" s="40"/>
      <c r="D22" s="40">
        <f>+B22*P$2</f>
        <v>-9302.9166939243642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17459643.840465218</v>
      </c>
      <c r="M22" s="40"/>
      <c r="N22" s="40">
        <f>(L21+L22)/2</f>
        <v>17506158.42393484</v>
      </c>
      <c r="O22" s="40"/>
      <c r="P22" s="40">
        <f>N22*$P$12</f>
        <v>590423.87979221495</v>
      </c>
      <c r="Q22" s="40"/>
      <c r="R22" s="40">
        <f>R21+P22-B22-F22+D22</f>
        <v>1846696.8038852075</v>
      </c>
    </row>
    <row r="23" spans="1:18">
      <c r="A23" s="46">
        <f>A22+1</f>
        <v>2018</v>
      </c>
      <c r="B23" s="40">
        <f t="shared" ref="B23:B48" si="0">+L22*P$10</f>
        <v>92536.112354465658</v>
      </c>
      <c r="C23" s="40"/>
      <c r="D23" s="40">
        <f t="shared" ref="D23:D51" si="1">+B23*P$2</f>
        <v>-9253.6112354465658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17367107.728110753</v>
      </c>
      <c r="M23" s="40"/>
      <c r="N23" s="40">
        <f t="shared" ref="N23:N50" si="3">(L22+L23)/2</f>
        <v>17413375.784287985</v>
      </c>
      <c r="O23" s="40"/>
      <c r="P23" s="40">
        <f t="shared" ref="P23:P51" si="4">N23*$P$12</f>
        <v>587294.63322931621</v>
      </c>
      <c r="Q23" s="40"/>
      <c r="R23" s="40">
        <f t="shared" ref="R23:R51" si="5">R22+P23-B23-F23+D23</f>
        <v>2332201.7135246112</v>
      </c>
    </row>
    <row r="24" spans="1:18">
      <c r="A24" s="46">
        <f t="shared" ref="A24:A58" si="6">A23+1</f>
        <v>2019</v>
      </c>
      <c r="B24" s="40">
        <f t="shared" si="0"/>
        <v>92045.670958986986</v>
      </c>
      <c r="C24" s="40"/>
      <c r="D24" s="40">
        <f t="shared" si="1"/>
        <v>-9204.5670958986993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17275062.057151765</v>
      </c>
      <c r="M24" s="40"/>
      <c r="N24" s="40">
        <f t="shared" si="3"/>
        <v>17321084.892631259</v>
      </c>
      <c r="O24" s="40"/>
      <c r="P24" s="40">
        <f t="shared" si="4"/>
        <v>584181.97167320084</v>
      </c>
      <c r="Q24" s="40"/>
      <c r="R24" s="40">
        <f t="shared" si="5"/>
        <v>2815133.4471429265</v>
      </c>
    </row>
    <row r="25" spans="1:18">
      <c r="A25" s="46">
        <f t="shared" si="6"/>
        <v>2020</v>
      </c>
      <c r="B25" s="40">
        <f t="shared" si="0"/>
        <v>91557.828902904352</v>
      </c>
      <c r="C25" s="40"/>
      <c r="D25" s="40">
        <f t="shared" si="1"/>
        <v>-9155.7828902904348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17183504.228248861</v>
      </c>
      <c r="M25" s="40"/>
      <c r="N25" s="40">
        <f t="shared" si="3"/>
        <v>17229283.142700315</v>
      </c>
      <c r="O25" s="40"/>
      <c r="P25" s="40">
        <f t="shared" si="4"/>
        <v>581085.80722333293</v>
      </c>
      <c r="Q25" s="40"/>
      <c r="R25" s="40">
        <f t="shared" si="5"/>
        <v>3295505.6425730647</v>
      </c>
    </row>
    <row r="26" spans="1:18">
      <c r="A26" s="46">
        <f t="shared" si="6"/>
        <v>2021</v>
      </c>
      <c r="B26" s="40">
        <f t="shared" si="0"/>
        <v>91072.572409718967</v>
      </c>
      <c r="C26" s="40"/>
      <c r="D26" s="40">
        <f t="shared" si="1"/>
        <v>-9107.2572409718978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17092431.655839141</v>
      </c>
      <c r="M26" s="40"/>
      <c r="N26" s="40">
        <f t="shared" si="3"/>
        <v>17137967.942044001</v>
      </c>
      <c r="O26" s="40"/>
      <c r="P26" s="40">
        <f t="shared" si="4"/>
        <v>578006.05244504916</v>
      </c>
      <c r="Q26" s="40"/>
      <c r="R26" s="40">
        <f t="shared" si="5"/>
        <v>3773331.8653674228</v>
      </c>
    </row>
    <row r="27" spans="1:18">
      <c r="A27" s="46">
        <f t="shared" si="6"/>
        <v>2022</v>
      </c>
      <c r="B27" s="40">
        <f t="shared" si="0"/>
        <v>90589.887775947456</v>
      </c>
      <c r="C27" s="40"/>
      <c r="D27" s="40">
        <f t="shared" si="1"/>
        <v>-9058.9887775947464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17001841.768063195</v>
      </c>
      <c r="M27" s="40"/>
      <c r="N27" s="40">
        <f t="shared" si="3"/>
        <v>17047136.711951166</v>
      </c>
      <c r="O27" s="40"/>
      <c r="P27" s="40">
        <f t="shared" si="4"/>
        <v>574942.62036709033</v>
      </c>
      <c r="Q27" s="40"/>
      <c r="R27" s="40">
        <f t="shared" si="5"/>
        <v>4248625.609180971</v>
      </c>
    </row>
    <row r="28" spans="1:18">
      <c r="A28" s="46">
        <f t="shared" si="6"/>
        <v>2023</v>
      </c>
      <c r="B28" s="40">
        <f t="shared" si="0"/>
        <v>90109.761370734937</v>
      </c>
      <c r="C28" s="40"/>
      <c r="D28" s="40">
        <f t="shared" si="1"/>
        <v>-9010.9761370734941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16911732.006692462</v>
      </c>
      <c r="M28" s="40"/>
      <c r="N28" s="40">
        <f t="shared" si="3"/>
        <v>16956786.887377828</v>
      </c>
      <c r="O28" s="40"/>
      <c r="P28" s="40">
        <f t="shared" si="4"/>
        <v>571895.42447914497</v>
      </c>
      <c r="Q28" s="40"/>
      <c r="R28" s="40">
        <f t="shared" si="5"/>
        <v>4721400.2961523067</v>
      </c>
    </row>
    <row r="29" spans="1:18">
      <c r="A29" s="46">
        <f t="shared" si="6"/>
        <v>2024</v>
      </c>
      <c r="B29" s="40">
        <f t="shared" si="0"/>
        <v>89632.179635470049</v>
      </c>
      <c r="C29" s="40"/>
      <c r="D29" s="40">
        <f t="shared" si="1"/>
        <v>-8963.2179635470056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16822099.827056993</v>
      </c>
      <c r="M29" s="40"/>
      <c r="N29" s="40">
        <f t="shared" si="3"/>
        <v>16866915.916874729</v>
      </c>
      <c r="O29" s="40"/>
      <c r="P29" s="40">
        <f t="shared" si="4"/>
        <v>568864.37872940558</v>
      </c>
      <c r="Q29" s="40"/>
      <c r="R29" s="40">
        <f t="shared" si="5"/>
        <v>5191669.2772826953</v>
      </c>
    </row>
    <row r="30" spans="1:18">
      <c r="A30" s="46">
        <f t="shared" si="6"/>
        <v>2025</v>
      </c>
      <c r="B30" s="40">
        <f t="shared" si="0"/>
        <v>89157.129083402062</v>
      </c>
      <c r="C30" s="40"/>
      <c r="D30" s="40">
        <f t="shared" si="1"/>
        <v>-8915.7129083402069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16732942.69797359</v>
      </c>
      <c r="M30" s="40"/>
      <c r="N30" s="40">
        <f t="shared" si="3"/>
        <v>16777521.262515292</v>
      </c>
      <c r="O30" s="40"/>
      <c r="P30" s="40">
        <f t="shared" si="4"/>
        <v>565849.39752213971</v>
      </c>
      <c r="Q30" s="40"/>
      <c r="R30" s="40">
        <f t="shared" si="5"/>
        <v>5659445.8328130916</v>
      </c>
    </row>
    <row r="31" spans="1:18">
      <c r="A31" s="46">
        <f t="shared" si="6"/>
        <v>2026</v>
      </c>
      <c r="B31" s="40">
        <f t="shared" si="0"/>
        <v>88684.596299260025</v>
      </c>
      <c r="C31" s="40"/>
      <c r="D31" s="40">
        <f t="shared" si="1"/>
        <v>-8868.4596299260029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16644258.101674329</v>
      </c>
      <c r="M31" s="40"/>
      <c r="N31" s="40">
        <f t="shared" si="3"/>
        <v>16688600.39982396</v>
      </c>
      <c r="O31" s="40"/>
      <c r="P31" s="40">
        <f t="shared" si="4"/>
        <v>562850.39571527229</v>
      </c>
      <c r="Q31" s="40"/>
      <c r="R31" s="40">
        <f t="shared" si="5"/>
        <v>6124743.1725991778</v>
      </c>
    </row>
    <row r="32" spans="1:18">
      <c r="A32" s="46">
        <f t="shared" si="6"/>
        <v>2027</v>
      </c>
      <c r="B32" s="40">
        <f t="shared" si="0"/>
        <v>88214.567938873952</v>
      </c>
      <c r="C32" s="40"/>
      <c r="D32" s="40">
        <f t="shared" si="1"/>
        <v>-8821.4567938873952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16556043.533735456</v>
      </c>
      <c r="M32" s="40"/>
      <c r="N32" s="40">
        <f t="shared" si="3"/>
        <v>16600150.817704894</v>
      </c>
      <c r="O32" s="40"/>
      <c r="P32" s="40">
        <f t="shared" si="4"/>
        <v>559867.28861798136</v>
      </c>
      <c r="Q32" s="40"/>
      <c r="R32" s="40">
        <f t="shared" si="5"/>
        <v>6587574.4364843983</v>
      </c>
    </row>
    <row r="33" spans="1:18">
      <c r="A33" s="46">
        <f t="shared" si="6"/>
        <v>2028</v>
      </c>
      <c r="B33" s="40">
        <f t="shared" si="0"/>
        <v>87747.030728797923</v>
      </c>
      <c r="C33" s="40"/>
      <c r="D33" s="40">
        <f t="shared" si="1"/>
        <v>-8774.7030728797927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16468296.503006658</v>
      </c>
      <c r="M33" s="40"/>
      <c r="N33" s="40">
        <f t="shared" si="3"/>
        <v>16512170.018371057</v>
      </c>
      <c r="O33" s="40"/>
      <c r="P33" s="40">
        <f t="shared" si="4"/>
        <v>556899.99198830605</v>
      </c>
      <c r="Q33" s="40"/>
      <c r="R33" s="40">
        <f t="shared" si="5"/>
        <v>7047952.6946710264</v>
      </c>
    </row>
    <row r="34" spans="1:18">
      <c r="A34" s="46">
        <f t="shared" si="6"/>
        <v>2029</v>
      </c>
      <c r="B34" s="40">
        <f t="shared" si="0"/>
        <v>87281.97146593529</v>
      </c>
      <c r="C34" s="40"/>
      <c r="D34" s="40">
        <f t="shared" si="1"/>
        <v>-8728.1971465935294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16381014.531540722</v>
      </c>
      <c r="M34" s="40"/>
      <c r="N34" s="40">
        <f t="shared" si="3"/>
        <v>16424655.517273691</v>
      </c>
      <c r="O34" s="40"/>
      <c r="P34" s="40">
        <f t="shared" si="4"/>
        <v>553948.42203076801</v>
      </c>
      <c r="Q34" s="40"/>
      <c r="R34" s="40">
        <f t="shared" si="5"/>
        <v>7505890.9480892662</v>
      </c>
    </row>
    <row r="35" spans="1:18">
      <c r="A35" s="46">
        <f t="shared" si="6"/>
        <v>2030</v>
      </c>
      <c r="B35" s="40">
        <f t="shared" si="0"/>
        <v>86819.377017165825</v>
      </c>
      <c r="C35" s="40"/>
      <c r="D35" s="40">
        <f t="shared" si="1"/>
        <v>-8681.9377017165825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16294195.154523555</v>
      </c>
      <c r="M35" s="40"/>
      <c r="N35" s="40">
        <f t="shared" si="3"/>
        <v>16337604.843032138</v>
      </c>
      <c r="O35" s="40"/>
      <c r="P35" s="40">
        <f t="shared" si="4"/>
        <v>551012.49539400486</v>
      </c>
      <c r="Q35" s="40"/>
      <c r="R35" s="40">
        <f t="shared" si="5"/>
        <v>7961402.1287643882</v>
      </c>
    </row>
    <row r="36" spans="1:18">
      <c r="A36" s="46">
        <f t="shared" si="6"/>
        <v>2031</v>
      </c>
      <c r="B36" s="40">
        <f t="shared" si="0"/>
        <v>86359.23431897485</v>
      </c>
      <c r="C36" s="40"/>
      <c r="D36" s="40">
        <f t="shared" si="1"/>
        <v>-8635.923431897485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16207835.92020458</v>
      </c>
      <c r="M36" s="40"/>
      <c r="N36" s="40">
        <f t="shared" si="3"/>
        <v>16251015.537364068</v>
      </c>
      <c r="O36" s="40"/>
      <c r="P36" s="40">
        <f t="shared" si="4"/>
        <v>548092.12916841672</v>
      </c>
      <c r="Q36" s="40"/>
      <c r="R36" s="40">
        <f t="shared" si="5"/>
        <v>8414499.1001819316</v>
      </c>
    </row>
    <row r="37" spans="1:18">
      <c r="A37" s="46">
        <f t="shared" si="6"/>
        <v>2032</v>
      </c>
      <c r="B37" s="40">
        <f t="shared" si="0"/>
        <v>85901.530377084273</v>
      </c>
      <c r="C37" s="40"/>
      <c r="D37" s="40">
        <f t="shared" si="1"/>
        <v>-8590.1530377084273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16121934.389827495</v>
      </c>
      <c r="M37" s="40"/>
      <c r="N37" s="40">
        <f t="shared" si="3"/>
        <v>16164885.155016039</v>
      </c>
      <c r="O37" s="40"/>
      <c r="P37" s="40">
        <f t="shared" si="4"/>
        <v>545187.24088382407</v>
      </c>
      <c r="Q37" s="40"/>
      <c r="R37" s="40">
        <f t="shared" si="5"/>
        <v>8865194.6576509625</v>
      </c>
    </row>
    <row r="38" spans="1:18">
      <c r="A38" s="46">
        <f t="shared" si="6"/>
        <v>2033</v>
      </c>
      <c r="B38" s="40">
        <f t="shared" si="0"/>
        <v>85446.252266085721</v>
      </c>
      <c r="C38" s="40"/>
      <c r="D38" s="40">
        <f t="shared" si="1"/>
        <v>-8544.6252266085721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16036488.137561409</v>
      </c>
      <c r="M38" s="40"/>
      <c r="N38" s="40">
        <f t="shared" si="3"/>
        <v>16079211.263694452</v>
      </c>
      <c r="O38" s="40"/>
      <c r="P38" s="40">
        <f t="shared" si="4"/>
        <v>542297.74850713974</v>
      </c>
      <c r="Q38" s="40"/>
      <c r="R38" s="40">
        <f t="shared" si="5"/>
        <v>9313501.5286654066</v>
      </c>
    </row>
    <row r="39" spans="1:18">
      <c r="A39" s="46">
        <f t="shared" si="6"/>
        <v>2034</v>
      </c>
      <c r="B39" s="40">
        <f t="shared" si="0"/>
        <v>84993.387129075461</v>
      </c>
      <c r="C39" s="40"/>
      <c r="D39" s="40">
        <f t="shared" si="1"/>
        <v>-8499.3387129075472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15951494.750432333</v>
      </c>
      <c r="M39" s="40"/>
      <c r="N39" s="40">
        <f t="shared" si="3"/>
        <v>15993991.443996871</v>
      </c>
      <c r="O39" s="40"/>
      <c r="P39" s="40">
        <f t="shared" si="4"/>
        <v>539423.57044005196</v>
      </c>
      <c r="Q39" s="40"/>
      <c r="R39" s="40">
        <f t="shared" si="5"/>
        <v>9759432.3732634746</v>
      </c>
    </row>
    <row r="40" spans="1:18">
      <c r="A40" s="46">
        <f t="shared" si="6"/>
        <v>2035</v>
      </c>
      <c r="B40" s="40">
        <f t="shared" si="0"/>
        <v>84542.922177291359</v>
      </c>
      <c r="C40" s="40"/>
      <c r="D40" s="40">
        <f t="shared" si="1"/>
        <v>-8454.2922177291366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15866951.828255042</v>
      </c>
      <c r="M40" s="40"/>
      <c r="N40" s="40">
        <f t="shared" si="3"/>
        <v>15909223.289343689</v>
      </c>
      <c r="O40" s="40"/>
      <c r="P40" s="40">
        <f t="shared" si="4"/>
        <v>536564.62551671965</v>
      </c>
      <c r="Q40" s="40"/>
      <c r="R40" s="40">
        <f t="shared" si="5"/>
        <v>10202999.784385175</v>
      </c>
    </row>
    <row r="41" spans="1:18">
      <c r="A41" s="46">
        <f t="shared" si="6"/>
        <v>2036</v>
      </c>
      <c r="B41" s="40">
        <f t="shared" si="0"/>
        <v>84094.844689751728</v>
      </c>
      <c r="C41" s="40"/>
      <c r="D41" s="40">
        <f t="shared" si="1"/>
        <v>-8409.4844689751735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15782856.983565291</v>
      </c>
      <c r="M41" s="40"/>
      <c r="N41" s="40">
        <f t="shared" si="3"/>
        <v>15824904.405910168</v>
      </c>
      <c r="O41" s="40"/>
      <c r="P41" s="40">
        <f t="shared" si="4"/>
        <v>533720.83300148114</v>
      </c>
      <c r="Q41" s="40"/>
      <c r="R41" s="40">
        <f t="shared" si="5"/>
        <v>10644216.288227929</v>
      </c>
    </row>
    <row r="42" spans="1:18">
      <c r="A42" s="46">
        <f t="shared" si="6"/>
        <v>2037</v>
      </c>
      <c r="B42" s="40">
        <f t="shared" si="0"/>
        <v>83649.142012896045</v>
      </c>
      <c r="C42" s="40"/>
      <c r="D42" s="40">
        <f t="shared" si="1"/>
        <v>-8364.9142012896045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15699207.841552395</v>
      </c>
      <c r="M42" s="40"/>
      <c r="N42" s="40">
        <f t="shared" si="3"/>
        <v>15741032.412558842</v>
      </c>
      <c r="O42" s="40"/>
      <c r="P42" s="40">
        <f t="shared" si="4"/>
        <v>530892.11258657323</v>
      </c>
      <c r="Q42" s="40"/>
      <c r="R42" s="40">
        <f t="shared" si="5"/>
        <v>11083094.344600316</v>
      </c>
    </row>
    <row r="43" spans="1:18">
      <c r="A43" s="46">
        <f t="shared" si="6"/>
        <v>2038</v>
      </c>
      <c r="B43" s="40">
        <f t="shared" si="0"/>
        <v>83205.801560227701</v>
      </c>
      <c r="C43" s="40"/>
      <c r="D43" s="40">
        <f t="shared" si="1"/>
        <v>-8320.5801560227701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15616002.039992169</v>
      </c>
      <c r="M43" s="40"/>
      <c r="N43" s="40">
        <f t="shared" si="3"/>
        <v>15657604.940772282</v>
      </c>
      <c r="O43" s="40"/>
      <c r="P43" s="40">
        <f t="shared" si="4"/>
        <v>528078.3843898644</v>
      </c>
      <c r="Q43" s="40"/>
      <c r="R43" s="40">
        <f t="shared" si="5"/>
        <v>11519646.347273931</v>
      </c>
    </row>
    <row r="44" spans="1:18">
      <c r="A44" s="46">
        <f t="shared" si="6"/>
        <v>2039</v>
      </c>
      <c r="B44" s="40">
        <f t="shared" si="0"/>
        <v>82764.810811958494</v>
      </c>
      <c r="C44" s="40"/>
      <c r="D44" s="40">
        <f t="shared" si="1"/>
        <v>-8276.4810811958505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15533237.229180209</v>
      </c>
      <c r="M44" s="40"/>
      <c r="N44" s="40">
        <f t="shared" si="3"/>
        <v>15574619.634586189</v>
      </c>
      <c r="O44" s="40"/>
      <c r="P44" s="40">
        <f t="shared" si="4"/>
        <v>525279.56895259814</v>
      </c>
      <c r="Q44" s="40"/>
      <c r="R44" s="40">
        <f t="shared" si="5"/>
        <v>11953884.624333374</v>
      </c>
    </row>
    <row r="45" spans="1:18">
      <c r="A45" s="46">
        <f t="shared" si="6"/>
        <v>2040</v>
      </c>
      <c r="B45" s="40">
        <f t="shared" si="0"/>
        <v>82326.157314655109</v>
      </c>
      <c r="C45" s="40"/>
      <c r="D45" s="40">
        <f t="shared" si="1"/>
        <v>-8232.615731465512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15450911.071865555</v>
      </c>
      <c r="M45" s="40"/>
      <c r="N45" s="40">
        <f t="shared" si="3"/>
        <v>15492074.150522882</v>
      </c>
      <c r="O45" s="40"/>
      <c r="P45" s="40">
        <f t="shared" si="4"/>
        <v>522495.58723714936</v>
      </c>
      <c r="Q45" s="40"/>
      <c r="R45" s="40">
        <f t="shared" si="5"/>
        <v>12385821.438524405</v>
      </c>
    </row>
    <row r="46" spans="1:18">
      <c r="A46" s="46">
        <f t="shared" si="6"/>
        <v>2041</v>
      </c>
      <c r="B46" s="40">
        <f t="shared" si="0"/>
        <v>81889.82868088744</v>
      </c>
      <c r="C46" s="40"/>
      <c r="D46" s="40">
        <f t="shared" si="1"/>
        <v>-8188.982868088744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15369021.243184667</v>
      </c>
      <c r="M46" s="40"/>
      <c r="N46" s="40">
        <f t="shared" si="3"/>
        <v>15409966.157525111</v>
      </c>
      <c r="O46" s="40"/>
      <c r="P46" s="40">
        <f t="shared" si="4"/>
        <v>519726.36062479246</v>
      </c>
      <c r="Q46" s="40"/>
      <c r="R46" s="40">
        <f t="shared" si="5"/>
        <v>12815468.98760022</v>
      </c>
    </row>
    <row r="47" spans="1:18">
      <c r="A47" s="46">
        <f t="shared" si="6"/>
        <v>2042</v>
      </c>
      <c r="B47" s="40">
        <f t="shared" si="0"/>
        <v>81455.812588878733</v>
      </c>
      <c r="C47" s="40"/>
      <c r="D47" s="40">
        <f t="shared" si="1"/>
        <v>-8145.5812588878734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15287565.430595789</v>
      </c>
      <c r="M47" s="40"/>
      <c r="N47" s="40">
        <f t="shared" si="3"/>
        <v>15328293.336890228</v>
      </c>
      <c r="O47" s="40"/>
      <c r="P47" s="40">
        <f t="shared" si="4"/>
        <v>516971.81091348105</v>
      </c>
      <c r="Q47" s="40"/>
      <c r="R47" s="40">
        <f t="shared" si="5"/>
        <v>13242839.404665936</v>
      </c>
    </row>
    <row r="48" spans="1:18">
      <c r="A48" s="46">
        <f t="shared" si="6"/>
        <v>2043</v>
      </c>
      <c r="B48" s="40">
        <f t="shared" si="0"/>
        <v>81024.096782157678</v>
      </c>
      <c r="C48" s="40"/>
      <c r="D48" s="40">
        <f t="shared" si="1"/>
        <v>-8102.4096782157685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15206541.333813632</v>
      </c>
      <c r="M48" s="40"/>
      <c r="N48" s="40">
        <f t="shared" si="3"/>
        <v>15247053.382204711</v>
      </c>
      <c r="O48" s="40"/>
      <c r="P48" s="40">
        <f t="shared" si="4"/>
        <v>514231.86031563964</v>
      </c>
      <c r="Q48" s="40"/>
      <c r="R48" s="40">
        <f t="shared" si="5"/>
        <v>13667944.758521203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15206541.333813632</v>
      </c>
      <c r="M49" s="40"/>
      <c r="N49" s="40">
        <f t="shared" si="3"/>
        <v>15206541.333813632</v>
      </c>
      <c r="O49" s="40"/>
      <c r="P49" s="40">
        <f t="shared" si="4"/>
        <v>512865.52509747504</v>
      </c>
      <c r="Q49" s="40"/>
      <c r="R49" s="40">
        <f t="shared" si="5"/>
        <v>14180810.283618677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15206541.333813632</v>
      </c>
      <c r="M50" s="40"/>
      <c r="N50" s="40">
        <f t="shared" si="3"/>
        <v>15206541.333813632</v>
      </c>
      <c r="O50" s="40"/>
      <c r="P50" s="40">
        <f t="shared" si="4"/>
        <v>512865.52509747504</v>
      </c>
      <c r="Q50" s="40"/>
      <c r="R50" s="40">
        <f t="shared" si="5"/>
        <v>14693675.808716152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15206541.333813632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15206541.333813632</v>
      </c>
      <c r="O51" s="40"/>
      <c r="P51" s="40">
        <f t="shared" si="4"/>
        <v>512865.52509747504</v>
      </c>
      <c r="Q51" s="40"/>
      <c r="R51" s="40">
        <f t="shared" si="5"/>
        <v>-5.5879354476928711E-9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2346131.6735908315</v>
      </c>
      <c r="C62" s="38" t="s">
        <v>39</v>
      </c>
      <c r="D62" s="38">
        <f>SUM(D22:D58)</f>
        <v>-234613.16735908319</v>
      </c>
      <c r="E62" s="38">
        <v>0</v>
      </c>
      <c r="F62" s="38">
        <f>SUM(F22:F58)</f>
        <v>15206541.333813632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487112911.67234963</v>
      </c>
      <c r="O62" s="40"/>
      <c r="P62" s="38">
        <f>SUM(P22:P58)</f>
        <v>16428681.167037381</v>
      </c>
      <c r="Q62" s="40"/>
      <c r="R62" s="4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P11" sqref="P11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1" style="35" customWidth="1"/>
    <col min="9" max="9" width="1.85546875" style="35" customWidth="1"/>
    <col min="10" max="10" width="12.140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6.85546875" style="35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104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'Scholz-316'!$P$2</f>
        <v>-0.05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145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-7.0344746443646803E-3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'!$J$902</f>
        <v>16.330755063414529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27.630710504768324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43.961465568182852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0.3343840712809672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1752428.6704308046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IRR!D7</f>
        <v>5.5999999999999999E-3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2.4344303533103715E-2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1.6001456169504702E-4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2.4184288971408667E-2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Unit(Fcst)'!D31</f>
        <v>4684485.6039167261</v>
      </c>
      <c r="M21" s="40"/>
      <c r="N21" s="40"/>
      <c r="O21" s="40"/>
      <c r="P21" s="40"/>
      <c r="Q21" s="40"/>
      <c r="R21" s="40">
        <f>'2016 YE Reserve by Unit(Fcst)'!D31</f>
        <v>1566417.3680947551</v>
      </c>
    </row>
    <row r="22" spans="1:18">
      <c r="A22" s="46">
        <v>2017</v>
      </c>
      <c r="B22" s="40">
        <f>+L21*P$10</f>
        <v>26233.119381933666</v>
      </c>
      <c r="C22" s="40"/>
      <c r="D22" s="40">
        <f>+B22*P$2</f>
        <v>-1311.6559690966833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4658252.4845347926</v>
      </c>
      <c r="M22" s="40"/>
      <c r="N22" s="40">
        <f>(L21+L22)/2</f>
        <v>4671369.0442257598</v>
      </c>
      <c r="O22" s="40"/>
      <c r="P22" s="40">
        <f>N22*$P$12</f>
        <v>113721.22592777648</v>
      </c>
      <c r="Q22" s="40"/>
      <c r="R22" s="40">
        <f>R21+P22-B22-F22+D22</f>
        <v>1652593.8186715012</v>
      </c>
    </row>
    <row r="23" spans="1:18">
      <c r="A23" s="46">
        <f>A22+1</f>
        <v>2018</v>
      </c>
      <c r="B23" s="40">
        <f t="shared" ref="B23:B48" si="0">+L22*P$10</f>
        <v>26086.213913394837</v>
      </c>
      <c r="C23" s="40"/>
      <c r="D23" s="40">
        <f t="shared" ref="D23:D51" si="1">+B23*P$2</f>
        <v>-1304.310695669742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1" si="2">L22+J23-B23-F23</f>
        <v>4632166.2706213975</v>
      </c>
      <c r="M23" s="40"/>
      <c r="N23" s="40">
        <f t="shared" ref="N23:N50" si="3">(L22+L23)/2</f>
        <v>4645209.3775780946</v>
      </c>
      <c r="O23" s="40"/>
      <c r="P23" s="40">
        <f t="shared" ref="P23:P51" si="4">N23*$P$12</f>
        <v>113084.38706258092</v>
      </c>
      <c r="Q23" s="40"/>
      <c r="R23" s="40">
        <f t="shared" ref="R23:R51" si="5">R22+P23-B23-F23+D23</f>
        <v>1738287.6811250176</v>
      </c>
    </row>
    <row r="24" spans="1:18">
      <c r="A24" s="46">
        <f t="shared" ref="A24:A58" si="6">A23+1</f>
        <v>2019</v>
      </c>
      <c r="B24" s="40">
        <f t="shared" si="0"/>
        <v>25940.131115479828</v>
      </c>
      <c r="C24" s="40"/>
      <c r="D24" s="40">
        <f t="shared" si="1"/>
        <v>-1297.0065557739915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4606226.1395059181</v>
      </c>
      <c r="M24" s="40"/>
      <c r="N24" s="40">
        <f t="shared" si="3"/>
        <v>4619196.2050636578</v>
      </c>
      <c r="O24" s="40"/>
      <c r="P24" s="40">
        <f t="shared" si="4"/>
        <v>112451.11449503047</v>
      </c>
      <c r="Q24" s="40"/>
      <c r="R24" s="40">
        <f t="shared" si="5"/>
        <v>1823501.6579487941</v>
      </c>
    </row>
    <row r="25" spans="1:18">
      <c r="A25" s="46">
        <f t="shared" si="6"/>
        <v>2020</v>
      </c>
      <c r="B25" s="40">
        <f t="shared" si="0"/>
        <v>25794.86638123314</v>
      </c>
      <c r="C25" s="40"/>
      <c r="D25" s="40">
        <f t="shared" si="1"/>
        <v>-1289.7433190616571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4580431.2731246846</v>
      </c>
      <c r="M25" s="40"/>
      <c r="N25" s="40">
        <f t="shared" si="3"/>
        <v>4593328.7063153014</v>
      </c>
      <c r="O25" s="40"/>
      <c r="P25" s="40">
        <f t="shared" si="4"/>
        <v>111821.38825385831</v>
      </c>
      <c r="Q25" s="40"/>
      <c r="R25" s="40">
        <f t="shared" si="5"/>
        <v>1908238.4365023577</v>
      </c>
    </row>
    <row r="26" spans="1:18">
      <c r="A26" s="46">
        <f t="shared" si="6"/>
        <v>2021</v>
      </c>
      <c r="B26" s="40">
        <f t="shared" si="0"/>
        <v>25650.415129498233</v>
      </c>
      <c r="C26" s="40"/>
      <c r="D26" s="40">
        <f t="shared" si="1"/>
        <v>-1282.5207564749117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4554780.857995186</v>
      </c>
      <c r="M26" s="40"/>
      <c r="N26" s="40">
        <f t="shared" si="3"/>
        <v>4567606.0655599348</v>
      </c>
      <c r="O26" s="40"/>
      <c r="P26" s="40">
        <f t="shared" si="4"/>
        <v>111195.18847963668</v>
      </c>
      <c r="Q26" s="40"/>
      <c r="R26" s="40">
        <f t="shared" si="5"/>
        <v>1992500.689096021</v>
      </c>
    </row>
    <row r="27" spans="1:18">
      <c r="A27" s="46">
        <f t="shared" si="6"/>
        <v>2022</v>
      </c>
      <c r="B27" s="40">
        <f t="shared" si="0"/>
        <v>25506.772804773042</v>
      </c>
      <c r="C27" s="40"/>
      <c r="D27" s="40">
        <f t="shared" si="1"/>
        <v>-1275.3386402386523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4529274.0851904126</v>
      </c>
      <c r="M27" s="40"/>
      <c r="N27" s="40">
        <f t="shared" si="3"/>
        <v>4542027.4715927988</v>
      </c>
      <c r="O27" s="40"/>
      <c r="P27" s="40">
        <f t="shared" si="4"/>
        <v>110572.49542415071</v>
      </c>
      <c r="Q27" s="40"/>
      <c r="R27" s="40">
        <f t="shared" si="5"/>
        <v>2076291.0730751599</v>
      </c>
    </row>
    <row r="28" spans="1:18">
      <c r="A28" s="46">
        <f t="shared" si="6"/>
        <v>2023</v>
      </c>
      <c r="B28" s="40">
        <f t="shared" si="0"/>
        <v>25363.934877066309</v>
      </c>
      <c r="C28" s="40"/>
      <c r="D28" s="40">
        <f t="shared" si="1"/>
        <v>-1268.1967438533156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4503910.1503133466</v>
      </c>
      <c r="M28" s="40"/>
      <c r="N28" s="40">
        <f t="shared" si="3"/>
        <v>4516592.1177518796</v>
      </c>
      <c r="O28" s="40"/>
      <c r="P28" s="40">
        <f t="shared" si="4"/>
        <v>109953.28944977548</v>
      </c>
      <c r="Q28" s="40"/>
      <c r="R28" s="40">
        <f t="shared" si="5"/>
        <v>2159612.2309040157</v>
      </c>
    </row>
    <row r="29" spans="1:18">
      <c r="A29" s="46">
        <f t="shared" si="6"/>
        <v>2024</v>
      </c>
      <c r="B29" s="40">
        <f t="shared" si="0"/>
        <v>25221.89684175474</v>
      </c>
      <c r="C29" s="40"/>
      <c r="D29" s="40">
        <f t="shared" si="1"/>
        <v>-1261.0948420877371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4478688.2534715915</v>
      </c>
      <c r="M29" s="40"/>
      <c r="N29" s="40">
        <f t="shared" si="3"/>
        <v>4491299.2018924691</v>
      </c>
      <c r="O29" s="40"/>
      <c r="P29" s="40">
        <f t="shared" si="4"/>
        <v>109337.55102885673</v>
      </c>
      <c r="Q29" s="40"/>
      <c r="R29" s="40">
        <f t="shared" si="5"/>
        <v>2242466.7902490296</v>
      </c>
    </row>
    <row r="30" spans="1:18">
      <c r="A30" s="46">
        <f t="shared" si="6"/>
        <v>2025</v>
      </c>
      <c r="B30" s="40">
        <f t="shared" si="0"/>
        <v>25080.654219440912</v>
      </c>
      <c r="C30" s="40"/>
      <c r="D30" s="40">
        <f t="shared" si="1"/>
        <v>-1254.0327109720456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4453607.5992521504</v>
      </c>
      <c r="M30" s="40"/>
      <c r="N30" s="40">
        <f t="shared" si="3"/>
        <v>4466147.926361871</v>
      </c>
      <c r="O30" s="40"/>
      <c r="P30" s="40">
        <f t="shared" si="4"/>
        <v>108725.26074309513</v>
      </c>
      <c r="Q30" s="40"/>
      <c r="R30" s="40">
        <f t="shared" si="5"/>
        <v>2324857.3640617114</v>
      </c>
    </row>
    <row r="31" spans="1:18">
      <c r="A31" s="46">
        <f t="shared" si="6"/>
        <v>2026</v>
      </c>
      <c r="B31" s="40">
        <f t="shared" si="0"/>
        <v>24940.20255581204</v>
      </c>
      <c r="C31" s="40"/>
      <c r="D31" s="40">
        <f t="shared" si="1"/>
        <v>-1247.0101277906022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4428667.3966963384</v>
      </c>
      <c r="M31" s="40"/>
      <c r="N31" s="40">
        <f t="shared" si="3"/>
        <v>4441137.4979742449</v>
      </c>
      <c r="O31" s="40"/>
      <c r="P31" s="40">
        <f t="shared" si="4"/>
        <v>108116.39928293381</v>
      </c>
      <c r="Q31" s="40"/>
      <c r="R31" s="40">
        <f t="shared" si="5"/>
        <v>2406786.5506610423</v>
      </c>
    </row>
    <row r="32" spans="1:18">
      <c r="A32" s="46">
        <f t="shared" si="6"/>
        <v>2027</v>
      </c>
      <c r="B32" s="40">
        <f t="shared" si="0"/>
        <v>24800.537421499495</v>
      </c>
      <c r="C32" s="40"/>
      <c r="D32" s="40">
        <f t="shared" si="1"/>
        <v>-1240.0268710749749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4403866.8592748391</v>
      </c>
      <c r="M32" s="40"/>
      <c r="N32" s="40">
        <f t="shared" si="3"/>
        <v>4416267.1279855892</v>
      </c>
      <c r="O32" s="40"/>
      <c r="P32" s="40">
        <f t="shared" si="4"/>
        <v>107510.94744694937</v>
      </c>
      <c r="Q32" s="40"/>
      <c r="R32" s="40">
        <f t="shared" si="5"/>
        <v>2488256.9338154173</v>
      </c>
    </row>
    <row r="33" spans="1:18">
      <c r="A33" s="46">
        <f t="shared" si="6"/>
        <v>2028</v>
      </c>
      <c r="B33" s="40">
        <f t="shared" si="0"/>
        <v>24661.6544119391</v>
      </c>
      <c r="C33" s="40"/>
      <c r="D33" s="40">
        <f t="shared" si="1"/>
        <v>-1233.0827205969551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4379205.2048629001</v>
      </c>
      <c r="M33" s="40"/>
      <c r="N33" s="40">
        <f t="shared" si="3"/>
        <v>4391536.0320688691</v>
      </c>
      <c r="O33" s="40"/>
      <c r="P33" s="40">
        <f t="shared" si="4"/>
        <v>106908.88614124645</v>
      </c>
      <c r="Q33" s="40"/>
      <c r="R33" s="40">
        <f t="shared" si="5"/>
        <v>2569271.0828241282</v>
      </c>
    </row>
    <row r="34" spans="1:18">
      <c r="A34" s="46">
        <f t="shared" si="6"/>
        <v>2029</v>
      </c>
      <c r="B34" s="40">
        <f t="shared" si="0"/>
        <v>24523.549147232239</v>
      </c>
      <c r="C34" s="40"/>
      <c r="D34" s="40">
        <f t="shared" si="1"/>
        <v>-1226.1774573616119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4354681.6557156676</v>
      </c>
      <c r="M34" s="40"/>
      <c r="N34" s="40">
        <f t="shared" si="3"/>
        <v>4366943.4302892834</v>
      </c>
      <c r="O34" s="40"/>
      <c r="P34" s="40">
        <f t="shared" si="4"/>
        <v>106310.19637885546</v>
      </c>
      <c r="Q34" s="40"/>
      <c r="R34" s="40">
        <f t="shared" si="5"/>
        <v>2649831.5525983898</v>
      </c>
    </row>
    <row r="35" spans="1:18">
      <c r="A35" s="46">
        <f t="shared" si="6"/>
        <v>2030</v>
      </c>
      <c r="B35" s="40">
        <f t="shared" si="0"/>
        <v>24386.21727200774</v>
      </c>
      <c r="C35" s="40"/>
      <c r="D35" s="40">
        <f t="shared" si="1"/>
        <v>-1219.3108636003869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4330295.4384436598</v>
      </c>
      <c r="M35" s="40"/>
      <c r="N35" s="40">
        <f t="shared" si="3"/>
        <v>4342488.5470796637</v>
      </c>
      <c r="O35" s="40"/>
      <c r="P35" s="40">
        <f t="shared" si="4"/>
        <v>105714.85927913387</v>
      </c>
      <c r="Q35" s="40"/>
      <c r="R35" s="40">
        <f t="shared" si="5"/>
        <v>2729940.8837419152</v>
      </c>
    </row>
    <row r="36" spans="1:18">
      <c r="A36" s="46">
        <f t="shared" si="6"/>
        <v>2031</v>
      </c>
      <c r="B36" s="40">
        <f t="shared" si="0"/>
        <v>24249.654455284493</v>
      </c>
      <c r="C36" s="40"/>
      <c r="D36" s="40">
        <f t="shared" si="1"/>
        <v>-1212.4827227642247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4306045.7839883752</v>
      </c>
      <c r="M36" s="40"/>
      <c r="N36" s="40">
        <f t="shared" si="3"/>
        <v>4318170.611216018</v>
      </c>
      <c r="O36" s="40"/>
      <c r="P36" s="40">
        <f t="shared" si="4"/>
        <v>105122.85606717074</v>
      </c>
      <c r="Q36" s="40"/>
      <c r="R36" s="40">
        <f t="shared" si="5"/>
        <v>2809601.6026310371</v>
      </c>
    </row>
    <row r="37" spans="1:18">
      <c r="A37" s="46">
        <f t="shared" si="6"/>
        <v>2032</v>
      </c>
      <c r="B37" s="40">
        <f t="shared" si="0"/>
        <v>24113.856390334902</v>
      </c>
      <c r="C37" s="40"/>
      <c r="D37" s="40">
        <f t="shared" si="1"/>
        <v>-1205.6928195167452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4281931.9275980406</v>
      </c>
      <c r="M37" s="40"/>
      <c r="N37" s="40">
        <f t="shared" si="3"/>
        <v>4293988.8557932079</v>
      </c>
      <c r="O37" s="40"/>
      <c r="P37" s="40">
        <f t="shared" si="4"/>
        <v>104534.16807319457</v>
      </c>
      <c r="Q37" s="40"/>
      <c r="R37" s="40">
        <f t="shared" si="5"/>
        <v>2888816.2214943799</v>
      </c>
    </row>
    <row r="38" spans="1:18">
      <c r="A38" s="46">
        <f t="shared" si="6"/>
        <v>2033</v>
      </c>
      <c r="B38" s="40">
        <f t="shared" si="0"/>
        <v>23978.818794549028</v>
      </c>
      <c r="C38" s="40"/>
      <c r="D38" s="40">
        <f t="shared" si="1"/>
        <v>-1198.9409397274515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4257953.1088034911</v>
      </c>
      <c r="M38" s="40"/>
      <c r="N38" s="40">
        <f t="shared" si="3"/>
        <v>4269942.5182007663</v>
      </c>
      <c r="O38" s="40"/>
      <c r="P38" s="40">
        <f t="shared" si="4"/>
        <v>103948.77673198469</v>
      </c>
      <c r="Q38" s="40"/>
      <c r="R38" s="40">
        <f t="shared" si="5"/>
        <v>2967587.2384920884</v>
      </c>
    </row>
    <row r="39" spans="1:18">
      <c r="A39" s="46">
        <f t="shared" si="6"/>
        <v>2034</v>
      </c>
      <c r="B39" s="40">
        <f t="shared" si="0"/>
        <v>23844.537409299552</v>
      </c>
      <c r="C39" s="40"/>
      <c r="D39" s="40">
        <f t="shared" si="1"/>
        <v>-1192.2268704649775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4234108.5713941911</v>
      </c>
      <c r="M39" s="40"/>
      <c r="N39" s="40">
        <f t="shared" si="3"/>
        <v>4246030.8400988411</v>
      </c>
      <c r="O39" s="40"/>
      <c r="P39" s="40">
        <f t="shared" si="4"/>
        <v>103366.66358228556</v>
      </c>
      <c r="Q39" s="40"/>
      <c r="R39" s="40">
        <f t="shared" si="5"/>
        <v>3045917.1377946092</v>
      </c>
    </row>
    <row r="40" spans="1:18">
      <c r="A40" s="46">
        <f t="shared" si="6"/>
        <v>2035</v>
      </c>
      <c r="B40" s="40">
        <f t="shared" si="0"/>
        <v>23711.007999807469</v>
      </c>
      <c r="C40" s="40"/>
      <c r="D40" s="40">
        <f t="shared" si="1"/>
        <v>-1185.5503999903735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4210397.5633943835</v>
      </c>
      <c r="M40" s="40"/>
      <c r="N40" s="40">
        <f t="shared" si="3"/>
        <v>4222253.0673942873</v>
      </c>
      <c r="O40" s="40"/>
      <c r="P40" s="40">
        <f t="shared" si="4"/>
        <v>102787.81026622475</v>
      </c>
      <c r="Q40" s="40"/>
      <c r="R40" s="40">
        <f t="shared" si="5"/>
        <v>3123808.389661036</v>
      </c>
    </row>
    <row r="41" spans="1:18">
      <c r="A41" s="46">
        <f t="shared" si="6"/>
        <v>2036</v>
      </c>
      <c r="B41" s="40">
        <f t="shared" si="0"/>
        <v>23578.226355008548</v>
      </c>
      <c r="C41" s="40"/>
      <c r="D41" s="40">
        <f t="shared" si="1"/>
        <v>-1178.9113177504275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4186819.3370393747</v>
      </c>
      <c r="M41" s="40"/>
      <c r="N41" s="40">
        <f t="shared" si="3"/>
        <v>4198608.4502168791</v>
      </c>
      <c r="O41" s="40"/>
      <c r="P41" s="40">
        <f t="shared" si="4"/>
        <v>102212.19852873389</v>
      </c>
      <c r="Q41" s="40"/>
      <c r="R41" s="40">
        <f t="shared" si="5"/>
        <v>3201263.4505170113</v>
      </c>
    </row>
    <row r="42" spans="1:18">
      <c r="A42" s="46">
        <f t="shared" si="6"/>
        <v>2037</v>
      </c>
      <c r="B42" s="40">
        <f t="shared" si="0"/>
        <v>23446.188287420497</v>
      </c>
      <c r="C42" s="40"/>
      <c r="D42" s="40">
        <f t="shared" si="1"/>
        <v>-1172.3094143710248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4163373.1487519541</v>
      </c>
      <c r="M42" s="40"/>
      <c r="N42" s="40">
        <f t="shared" si="3"/>
        <v>4175096.2428956646</v>
      </c>
      <c r="O42" s="40"/>
      <c r="P42" s="40">
        <f t="shared" si="4"/>
        <v>101639.81021697298</v>
      </c>
      <c r="Q42" s="40"/>
      <c r="R42" s="40">
        <f t="shared" si="5"/>
        <v>3278284.7630321928</v>
      </c>
    </row>
    <row r="43" spans="1:18">
      <c r="A43" s="46">
        <f t="shared" si="6"/>
        <v>2038</v>
      </c>
      <c r="B43" s="40">
        <f t="shared" si="0"/>
        <v>23314.889633010942</v>
      </c>
      <c r="C43" s="40"/>
      <c r="D43" s="40">
        <f t="shared" si="1"/>
        <v>-1165.7444816505472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4140058.259118943</v>
      </c>
      <c r="M43" s="40"/>
      <c r="N43" s="40">
        <f t="shared" si="3"/>
        <v>4151715.7039354485</v>
      </c>
      <c r="O43" s="40"/>
      <c r="P43" s="40">
        <f t="shared" si="4"/>
        <v>101070.62727975791</v>
      </c>
      <c r="Q43" s="40"/>
      <c r="R43" s="40">
        <f t="shared" si="5"/>
        <v>3354874.7561972891</v>
      </c>
    </row>
    <row r="44" spans="1:18">
      <c r="A44" s="46">
        <f t="shared" si="6"/>
        <v>2039</v>
      </c>
      <c r="B44" s="40">
        <f t="shared" si="0"/>
        <v>23184.326251066079</v>
      </c>
      <c r="C44" s="40"/>
      <c r="D44" s="40">
        <f t="shared" si="1"/>
        <v>-1159.2163125533041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4116873.9328678767</v>
      </c>
      <c r="M44" s="40"/>
      <c r="N44" s="40">
        <f t="shared" si="3"/>
        <v>4128466.0959934099</v>
      </c>
      <c r="O44" s="40"/>
      <c r="P44" s="40">
        <f t="shared" si="4"/>
        <v>100504.63176699127</v>
      </c>
      <c r="Q44" s="40"/>
      <c r="R44" s="40">
        <f t="shared" si="5"/>
        <v>3431035.8454006608</v>
      </c>
    </row>
    <row r="45" spans="1:18">
      <c r="A45" s="46">
        <f t="shared" si="6"/>
        <v>2040</v>
      </c>
      <c r="B45" s="40">
        <f t="shared" si="0"/>
        <v>23054.49402406011</v>
      </c>
      <c r="C45" s="40"/>
      <c r="D45" s="40">
        <f t="shared" si="1"/>
        <v>-1152.7247012030055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4093819.4388438165</v>
      </c>
      <c r="M45" s="40"/>
      <c r="N45" s="40">
        <f t="shared" si="3"/>
        <v>4105346.6858558469</v>
      </c>
      <c r="O45" s="40"/>
      <c r="P45" s="40">
        <f t="shared" si="4"/>
        <v>99941.80582909612</v>
      </c>
      <c r="Q45" s="40"/>
      <c r="R45" s="40">
        <f t="shared" si="5"/>
        <v>3506770.4325044937</v>
      </c>
    </row>
    <row r="46" spans="1:18">
      <c r="A46" s="46">
        <f t="shared" si="6"/>
        <v>2041</v>
      </c>
      <c r="B46" s="40">
        <f t="shared" si="0"/>
        <v>22925.388857525373</v>
      </c>
      <c r="C46" s="40"/>
      <c r="D46" s="40">
        <f t="shared" si="1"/>
        <v>-1146.2694428762686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4070894.0499862912</v>
      </c>
      <c r="M46" s="40"/>
      <c r="N46" s="40">
        <f t="shared" si="3"/>
        <v>4082356.7444150541</v>
      </c>
      <c r="O46" s="40"/>
      <c r="P46" s="40">
        <f t="shared" si="4"/>
        <v>99382.131716453179</v>
      </c>
      <c r="Q46" s="40"/>
      <c r="R46" s="40">
        <f t="shared" si="5"/>
        <v>3582080.9059205451</v>
      </c>
    </row>
    <row r="47" spans="1:18">
      <c r="A47" s="46">
        <f t="shared" si="6"/>
        <v>2042</v>
      </c>
      <c r="B47" s="40">
        <f t="shared" si="0"/>
        <v>22797.00667992323</v>
      </c>
      <c r="C47" s="40"/>
      <c r="D47" s="40">
        <f t="shared" si="1"/>
        <v>-1139.8503339961615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4048097.0433063679</v>
      </c>
      <c r="M47" s="40"/>
      <c r="N47" s="40">
        <f t="shared" si="3"/>
        <v>4059495.5466463296</v>
      </c>
      <c r="O47" s="40"/>
      <c r="P47" s="40">
        <f t="shared" si="4"/>
        <v>98825.591778841044</v>
      </c>
      <c r="Q47" s="40"/>
      <c r="R47" s="40">
        <f t="shared" si="5"/>
        <v>3656969.6406854666</v>
      </c>
    </row>
    <row r="48" spans="1:18">
      <c r="A48" s="46">
        <f t="shared" si="6"/>
        <v>2043</v>
      </c>
      <c r="B48" s="40">
        <f t="shared" si="0"/>
        <v>22669.343442515659</v>
      </c>
      <c r="C48" s="40"/>
      <c r="D48" s="40">
        <f t="shared" si="1"/>
        <v>-1133.467172125783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4025427.6998638525</v>
      </c>
      <c r="M48" s="40"/>
      <c r="N48" s="40">
        <f t="shared" si="3"/>
        <v>4036762.3715851102</v>
      </c>
      <c r="O48" s="40"/>
      <c r="P48" s="40">
        <f t="shared" si="4"/>
        <v>98272.168464879534</v>
      </c>
      <c r="Q48" s="40"/>
      <c r="R48" s="40">
        <f t="shared" si="5"/>
        <v>3731438.9985357048</v>
      </c>
    </row>
    <row r="49" spans="1:18">
      <c r="A49" s="46">
        <f t="shared" si="6"/>
        <v>2044</v>
      </c>
      <c r="B49" s="40">
        <v>0</v>
      </c>
      <c r="C49" s="40"/>
      <c r="D49" s="40">
        <f t="shared" si="1"/>
        <v>0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4025427.6998638525</v>
      </c>
      <c r="M49" s="40"/>
      <c r="N49" s="40">
        <f t="shared" si="3"/>
        <v>4025427.6998638525</v>
      </c>
      <c r="O49" s="40"/>
      <c r="P49" s="40">
        <f t="shared" si="4"/>
        <v>97996.23377604915</v>
      </c>
      <c r="Q49" s="40"/>
      <c r="R49" s="40">
        <f t="shared" si="5"/>
        <v>3829435.232311754</v>
      </c>
    </row>
    <row r="50" spans="1:18">
      <c r="A50" s="46">
        <f t="shared" si="6"/>
        <v>2045</v>
      </c>
      <c r="B50" s="40">
        <v>0</v>
      </c>
      <c r="C50" s="40"/>
      <c r="D50" s="40">
        <f t="shared" si="1"/>
        <v>0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4025427.6998638525</v>
      </c>
      <c r="M50" s="40"/>
      <c r="N50" s="40">
        <f t="shared" si="3"/>
        <v>4025427.6998638525</v>
      </c>
      <c r="O50" s="40"/>
      <c r="P50" s="40">
        <f t="shared" si="4"/>
        <v>97996.23377604915</v>
      </c>
      <c r="Q50" s="40"/>
      <c r="R50" s="40">
        <f t="shared" si="5"/>
        <v>3927431.4660878032</v>
      </c>
    </row>
    <row r="51" spans="1:18">
      <c r="A51" s="46">
        <f t="shared" si="6"/>
        <v>2046</v>
      </c>
      <c r="B51" s="40">
        <v>0</v>
      </c>
      <c r="C51" s="40"/>
      <c r="D51" s="40">
        <f t="shared" si="1"/>
        <v>0</v>
      </c>
      <c r="E51" s="40"/>
      <c r="F51" s="40">
        <f>L50</f>
        <v>4025427.6998638525</v>
      </c>
      <c r="G51" s="40"/>
      <c r="H51" s="40"/>
      <c r="I51" s="40"/>
      <c r="J51" s="40">
        <v>0</v>
      </c>
      <c r="K51" s="40"/>
      <c r="L51" s="40">
        <f t="shared" si="2"/>
        <v>0</v>
      </c>
      <c r="M51" s="40"/>
      <c r="N51" s="40">
        <f>+L50</f>
        <v>4025427.6998638525</v>
      </c>
      <c r="O51" s="40"/>
      <c r="P51" s="40">
        <f t="shared" si="4"/>
        <v>97996.23377604915</v>
      </c>
      <c r="Q51" s="40"/>
      <c r="R51" s="40">
        <f t="shared" si="5"/>
        <v>0</v>
      </c>
    </row>
    <row r="52" spans="1:18">
      <c r="A52" s="46">
        <f t="shared" si="6"/>
        <v>2047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>
      <c r="A53" s="46">
        <f t="shared" si="6"/>
        <v>2048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>
      <c r="A54" s="46">
        <f t="shared" si="6"/>
        <v>2049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46">
        <f t="shared" si="6"/>
        <v>2052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659057.90405287128</v>
      </c>
      <c r="C62" s="38" t="s">
        <v>39</v>
      </c>
      <c r="D62" s="38">
        <f>SUM(D22:D58)</f>
        <v>-32952.895202643558</v>
      </c>
      <c r="E62" s="38">
        <v>0</v>
      </c>
      <c r="F62" s="38">
        <f>SUM(F22:F58)</f>
        <v>4025427.6998638525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129435665.58557786</v>
      </c>
      <c r="O62" s="40"/>
      <c r="P62" s="38">
        <f>SUM(P22:P58)</f>
        <v>3151021.1310246135</v>
      </c>
      <c r="Q62" s="40"/>
      <c r="R62" s="40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/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2.2851562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2.7109375" style="63" customWidth="1"/>
    <col min="9" max="9" width="1.85546875" style="63" customWidth="1"/>
    <col min="10" max="10" width="12.28515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5.7109375" style="63" bestFit="1" customWidth="1"/>
    <col min="15" max="15" width="1.85546875" style="63" customWidth="1"/>
    <col min="16" max="16" width="12.7109375" style="63" bestFit="1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IRC!$D$4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146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(D62+H62)/(B62+F62)</f>
        <v>-6.7021261798562359E-3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'!$J$943</f>
        <v>24.90789469431629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N62/(L21+J62)</f>
        <v>34.680312154448984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59.588206848765275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0.57323626190052268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15891903.762370808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IRR!D3</f>
        <v>2.0999999999999999E-3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(L21+J62-D62-H62-R21)/N62</f>
        <v>1.249890319178474E-2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1.1247403696617714E-4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1.2386429154818562E-2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Unit(Fcst)'!D47</f>
        <v>37765760.642789222</v>
      </c>
      <c r="M21" s="40"/>
      <c r="N21" s="40"/>
      <c r="O21" s="40"/>
      <c r="P21" s="40"/>
      <c r="Q21" s="40"/>
      <c r="R21" s="40">
        <f>'2016 YE Reserve by Unit(Fcst)'!D45</f>
        <v>21648703.458702374</v>
      </c>
    </row>
    <row r="22" spans="1:18">
      <c r="A22" s="46">
        <v>2017</v>
      </c>
      <c r="B22" s="40">
        <f>+L21*P$10</f>
        <v>79308.097349857358</v>
      </c>
      <c r="C22" s="40"/>
      <c r="D22" s="40">
        <f>+B22*P$2</f>
        <v>-7930.8097349857362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37686452.545439363</v>
      </c>
      <c r="M22" s="40"/>
      <c r="N22" s="40">
        <f>(L21+L22)/2</f>
        <v>37726106.594114289</v>
      </c>
      <c r="O22" s="40"/>
      <c r="P22" s="40">
        <f>N22*$P$12</f>
        <v>471534.95412278641</v>
      </c>
      <c r="Q22" s="40"/>
      <c r="R22" s="40">
        <f>R21+P22-B22-F22+D22</f>
        <v>22032999.505740318</v>
      </c>
    </row>
    <row r="23" spans="1:18">
      <c r="A23" s="46">
        <f>A22+1</f>
        <v>2018</v>
      </c>
      <c r="B23" s="40">
        <f t="shared" ref="B23:B54" si="0">+L22*P$10</f>
        <v>79141.550345422656</v>
      </c>
      <c r="C23" s="40"/>
      <c r="D23" s="40">
        <f t="shared" ref="D23:D54" si="1">+B23*P$2</f>
        <v>-7914.1550345422656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7" si="2">L22+J23-B23-F23</f>
        <v>37607310.995093942</v>
      </c>
      <c r="M23" s="40"/>
      <c r="N23" s="40">
        <f t="shared" ref="N23:N56" si="3">(L22+L23)/2</f>
        <v>37646881.770266652</v>
      </c>
      <c r="O23" s="40"/>
      <c r="P23" s="40">
        <f t="shared" ref="P23:P57" si="4">N23*$P$12</f>
        <v>470544.73071912857</v>
      </c>
      <c r="Q23" s="40"/>
      <c r="R23" s="40">
        <f t="shared" ref="R23:R57" si="5">R22+P23-B23-F23+D23</f>
        <v>22416488.531079482</v>
      </c>
    </row>
    <row r="24" spans="1:18">
      <c r="A24" s="46">
        <f t="shared" ref="A24:A58" si="6">A23+1</f>
        <v>2019</v>
      </c>
      <c r="B24" s="40">
        <f t="shared" si="0"/>
        <v>78975.353089697266</v>
      </c>
      <c r="C24" s="40"/>
      <c r="D24" s="40">
        <f t="shared" si="1"/>
        <v>-7897.5353089697273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37528335.642004244</v>
      </c>
      <c r="M24" s="40"/>
      <c r="N24" s="40">
        <f t="shared" si="3"/>
        <v>37567823.318549097</v>
      </c>
      <c r="O24" s="40"/>
      <c r="P24" s="40">
        <f t="shared" si="4"/>
        <v>469556.5867846185</v>
      </c>
      <c r="Q24" s="40"/>
      <c r="R24" s="40">
        <f t="shared" si="5"/>
        <v>22799172.229465436</v>
      </c>
    </row>
    <row r="25" spans="1:18">
      <c r="A25" s="46">
        <f t="shared" si="6"/>
        <v>2020</v>
      </c>
      <c r="B25" s="40">
        <f t="shared" si="0"/>
        <v>78809.504848208904</v>
      </c>
      <c r="C25" s="40"/>
      <c r="D25" s="40">
        <f t="shared" si="1"/>
        <v>-7880.9504848208908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37449526.137156032</v>
      </c>
      <c r="M25" s="40"/>
      <c r="N25" s="40">
        <f t="shared" si="3"/>
        <v>37488930.889580138</v>
      </c>
      <c r="O25" s="40"/>
      <c r="P25" s="40">
        <f t="shared" si="4"/>
        <v>468570.51795237069</v>
      </c>
      <c r="Q25" s="40"/>
      <c r="R25" s="40">
        <f t="shared" si="5"/>
        <v>23181052.29208478</v>
      </c>
    </row>
    <row r="26" spans="1:18">
      <c r="A26" s="46">
        <f t="shared" si="6"/>
        <v>2021</v>
      </c>
      <c r="B26" s="40">
        <f t="shared" si="0"/>
        <v>78644.004888027659</v>
      </c>
      <c r="C26" s="40"/>
      <c r="D26" s="40">
        <f t="shared" si="1"/>
        <v>-7864.4004888027666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37370882.132268004</v>
      </c>
      <c r="M26" s="40"/>
      <c r="N26" s="40">
        <f t="shared" si="3"/>
        <v>37410204.134712018</v>
      </c>
      <c r="O26" s="40"/>
      <c r="P26" s="40">
        <f t="shared" si="4"/>
        <v>467586.5198646707</v>
      </c>
      <c r="Q26" s="40"/>
      <c r="R26" s="40">
        <f t="shared" si="5"/>
        <v>23562130.406572621</v>
      </c>
    </row>
    <row r="27" spans="1:18">
      <c r="A27" s="46">
        <f t="shared" si="6"/>
        <v>2022</v>
      </c>
      <c r="B27" s="40">
        <f t="shared" si="0"/>
        <v>78478.852477762804</v>
      </c>
      <c r="C27" s="40"/>
      <c r="D27" s="40">
        <f t="shared" si="1"/>
        <v>-7847.8852477762812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37292403.279790245</v>
      </c>
      <c r="M27" s="40"/>
      <c r="N27" s="40">
        <f t="shared" si="3"/>
        <v>37331642.706029125</v>
      </c>
      <c r="O27" s="40"/>
      <c r="P27" s="40">
        <f t="shared" si="4"/>
        <v>466604.58817295491</v>
      </c>
      <c r="Q27" s="40"/>
      <c r="R27" s="40">
        <f t="shared" si="5"/>
        <v>23942408.257020038</v>
      </c>
    </row>
    <row r="28" spans="1:18">
      <c r="A28" s="46">
        <f t="shared" si="6"/>
        <v>2023</v>
      </c>
      <c r="B28" s="40">
        <f t="shared" si="0"/>
        <v>78314.046887559511</v>
      </c>
      <c r="C28" s="40"/>
      <c r="D28" s="40">
        <f t="shared" si="1"/>
        <v>-7831.4046887559516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37214089.232902683</v>
      </c>
      <c r="M28" s="40"/>
      <c r="N28" s="40">
        <f t="shared" si="3"/>
        <v>37253246.256346464</v>
      </c>
      <c r="O28" s="40"/>
      <c r="P28" s="40">
        <f t="shared" si="4"/>
        <v>465624.71853779175</v>
      </c>
      <c r="Q28" s="40"/>
      <c r="R28" s="40">
        <f t="shared" si="5"/>
        <v>24321887.523981515</v>
      </c>
    </row>
    <row r="29" spans="1:18">
      <c r="A29" s="46">
        <f t="shared" si="6"/>
        <v>2024</v>
      </c>
      <c r="B29" s="40">
        <f t="shared" si="0"/>
        <v>78149.587389095628</v>
      </c>
      <c r="C29" s="40"/>
      <c r="D29" s="40">
        <f t="shared" si="1"/>
        <v>-7814.9587389095632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37135939.645513587</v>
      </c>
      <c r="M29" s="40"/>
      <c r="N29" s="40">
        <f t="shared" si="3"/>
        <v>37175014.439208135</v>
      </c>
      <c r="O29" s="40"/>
      <c r="P29" s="40">
        <f t="shared" si="4"/>
        <v>464646.90662886231</v>
      </c>
      <c r="Q29" s="40"/>
      <c r="R29" s="40">
        <f t="shared" si="5"/>
        <v>24700569.884482373</v>
      </c>
    </row>
    <row r="30" spans="1:18">
      <c r="A30" s="46">
        <f t="shared" si="6"/>
        <v>2025</v>
      </c>
      <c r="B30" s="40">
        <f t="shared" si="0"/>
        <v>77985.47325557853</v>
      </c>
      <c r="C30" s="40"/>
      <c r="D30" s="40">
        <f t="shared" si="1"/>
        <v>-7798.5473255578536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37057954.172258005</v>
      </c>
      <c r="M30" s="40"/>
      <c r="N30" s="40">
        <f t="shared" si="3"/>
        <v>37096946.908885792</v>
      </c>
      <c r="O30" s="40"/>
      <c r="P30" s="40">
        <f t="shared" si="4"/>
        <v>463671.14812494162</v>
      </c>
      <c r="Q30" s="40"/>
      <c r="R30" s="40">
        <f t="shared" si="5"/>
        <v>25078457.012026176</v>
      </c>
    </row>
    <row r="31" spans="1:18">
      <c r="A31" s="46">
        <f t="shared" si="6"/>
        <v>2026</v>
      </c>
      <c r="B31" s="40">
        <f t="shared" si="0"/>
        <v>77821.70376174181</v>
      </c>
      <c r="C31" s="40"/>
      <c r="D31" s="40">
        <f t="shared" si="1"/>
        <v>-7782.170376174181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36980132.468496263</v>
      </c>
      <c r="M31" s="40"/>
      <c r="N31" s="40">
        <f t="shared" si="3"/>
        <v>37019043.320377134</v>
      </c>
      <c r="O31" s="40"/>
      <c r="P31" s="40">
        <f t="shared" si="4"/>
        <v>462697.43871387932</v>
      </c>
      <c r="Q31" s="40"/>
      <c r="R31" s="40">
        <f t="shared" si="5"/>
        <v>25455550.576602139</v>
      </c>
    </row>
    <row r="32" spans="1:18">
      <c r="A32" s="46">
        <f t="shared" si="6"/>
        <v>2027</v>
      </c>
      <c r="B32" s="40">
        <f t="shared" si="0"/>
        <v>77658.278183842151</v>
      </c>
      <c r="C32" s="40"/>
      <c r="D32" s="40">
        <f t="shared" si="1"/>
        <v>-7765.8278183842158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36902474.190312423</v>
      </c>
      <c r="M32" s="40"/>
      <c r="N32" s="40">
        <f t="shared" si="3"/>
        <v>36941303.329404339</v>
      </c>
      <c r="O32" s="40"/>
      <c r="P32" s="40">
        <f t="shared" si="4"/>
        <v>461725.77409258013</v>
      </c>
      <c r="Q32" s="40"/>
      <c r="R32" s="40">
        <f t="shared" si="5"/>
        <v>25831852.244692493</v>
      </c>
    </row>
    <row r="33" spans="1:18">
      <c r="A33" s="46">
        <f t="shared" si="6"/>
        <v>2028</v>
      </c>
      <c r="B33" s="40">
        <f t="shared" si="0"/>
        <v>77495.195799656081</v>
      </c>
      <c r="C33" s="40"/>
      <c r="D33" s="40">
        <f t="shared" si="1"/>
        <v>-7749.5195799656085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36824978.994512767</v>
      </c>
      <c r="M33" s="40"/>
      <c r="N33" s="40">
        <f t="shared" si="3"/>
        <v>36863726.592412591</v>
      </c>
      <c r="O33" s="40"/>
      <c r="P33" s="40">
        <f t="shared" si="4"/>
        <v>460756.14996698574</v>
      </c>
      <c r="Q33" s="40"/>
      <c r="R33" s="40">
        <f t="shared" si="5"/>
        <v>26207363.679279856</v>
      </c>
    </row>
    <row r="34" spans="1:18">
      <c r="A34" s="46">
        <f t="shared" si="6"/>
        <v>2029</v>
      </c>
      <c r="B34" s="40">
        <f t="shared" si="0"/>
        <v>77332.455888476805</v>
      </c>
      <c r="C34" s="40"/>
      <c r="D34" s="40">
        <f t="shared" si="1"/>
        <v>-7733.2455888476807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36747646.538624287</v>
      </c>
      <c r="M34" s="40"/>
      <c r="N34" s="40">
        <f t="shared" si="3"/>
        <v>36786312.766568527</v>
      </c>
      <c r="O34" s="40"/>
      <c r="P34" s="40">
        <f t="shared" si="4"/>
        <v>459788.56205205509</v>
      </c>
      <c r="Q34" s="40"/>
      <c r="R34" s="40">
        <f t="shared" si="5"/>
        <v>26582086.53985459</v>
      </c>
    </row>
    <row r="35" spans="1:18">
      <c r="A35" s="46">
        <f t="shared" si="6"/>
        <v>2030</v>
      </c>
      <c r="B35" s="40">
        <f t="shared" si="0"/>
        <v>77170.057731110996</v>
      </c>
      <c r="C35" s="40"/>
      <c r="D35" s="40">
        <f t="shared" si="1"/>
        <v>-7717.0057731111001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36670476.480893172</v>
      </c>
      <c r="M35" s="40"/>
      <c r="N35" s="40">
        <f t="shared" si="3"/>
        <v>36709061.509758726</v>
      </c>
      <c r="O35" s="40"/>
      <c r="P35" s="40">
        <f t="shared" si="4"/>
        <v>458823.00607174565</v>
      </c>
      <c r="Q35" s="40"/>
      <c r="R35" s="40">
        <f t="shared" si="5"/>
        <v>26956022.482422113</v>
      </c>
    </row>
    <row r="36" spans="1:18">
      <c r="A36" s="46">
        <f t="shared" si="6"/>
        <v>2031</v>
      </c>
      <c r="B36" s="40">
        <f t="shared" si="0"/>
        <v>77008.000609875657</v>
      </c>
      <c r="C36" s="40"/>
      <c r="D36" s="40">
        <f t="shared" si="1"/>
        <v>-7700.8000609875662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36593468.480283298</v>
      </c>
      <c r="M36" s="40"/>
      <c r="N36" s="40">
        <f t="shared" si="3"/>
        <v>36631972.480588235</v>
      </c>
      <c r="O36" s="40"/>
      <c r="P36" s="40">
        <f t="shared" si="4"/>
        <v>457859.47775899502</v>
      </c>
      <c r="Q36" s="40"/>
      <c r="R36" s="40">
        <f t="shared" si="5"/>
        <v>27329173.159510247</v>
      </c>
    </row>
    <row r="37" spans="1:18">
      <c r="A37" s="46">
        <f t="shared" si="6"/>
        <v>2032</v>
      </c>
      <c r="B37" s="40">
        <f t="shared" si="0"/>
        <v>76846.283808594919</v>
      </c>
      <c r="C37" s="40"/>
      <c r="D37" s="40">
        <f t="shared" si="1"/>
        <v>-7684.6283808594926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36516622.196474701</v>
      </c>
      <c r="M37" s="40"/>
      <c r="N37" s="40">
        <f t="shared" si="3"/>
        <v>36555045.338378996</v>
      </c>
      <c r="O37" s="40"/>
      <c r="P37" s="40">
        <f t="shared" si="4"/>
        <v>456897.97285570111</v>
      </c>
      <c r="Q37" s="40"/>
      <c r="R37" s="40">
        <f t="shared" si="5"/>
        <v>27701540.220176492</v>
      </c>
    </row>
    <row r="38" spans="1:18">
      <c r="A38" s="46">
        <f t="shared" si="6"/>
        <v>2033</v>
      </c>
      <c r="B38" s="40">
        <f t="shared" si="0"/>
        <v>76684.906612596867</v>
      </c>
      <c r="C38" s="40"/>
      <c r="D38" s="40">
        <f t="shared" si="1"/>
        <v>-7668.4906612596869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36439937.289862104</v>
      </c>
      <c r="M38" s="40"/>
      <c r="N38" s="40">
        <f t="shared" si="3"/>
        <v>36478279.743168399</v>
      </c>
      <c r="O38" s="40"/>
      <c r="P38" s="40">
        <f t="shared" si="4"/>
        <v>455938.48711270408</v>
      </c>
      <c r="Q38" s="40"/>
      <c r="R38" s="40">
        <f t="shared" si="5"/>
        <v>28073125.310015339</v>
      </c>
    </row>
    <row r="39" spans="1:18">
      <c r="A39" s="46">
        <f t="shared" si="6"/>
        <v>2034</v>
      </c>
      <c r="B39" s="40">
        <f t="shared" si="0"/>
        <v>76523.868308710415</v>
      </c>
      <c r="C39" s="40"/>
      <c r="D39" s="40">
        <f t="shared" si="1"/>
        <v>-7652.3868308710416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36363413.421553396</v>
      </c>
      <c r="M39" s="40"/>
      <c r="N39" s="40">
        <f t="shared" si="3"/>
        <v>36401675.35570775</v>
      </c>
      <c r="O39" s="40"/>
      <c r="P39" s="40">
        <f t="shared" si="4"/>
        <v>454981.01628976746</v>
      </c>
      <c r="Q39" s="40"/>
      <c r="R39" s="40">
        <f t="shared" si="5"/>
        <v>28443930.071165524</v>
      </c>
    </row>
    <row r="40" spans="1:18">
      <c r="A40" s="46">
        <f t="shared" si="6"/>
        <v>2035</v>
      </c>
      <c r="B40" s="40">
        <f t="shared" si="0"/>
        <v>76363.168185262126</v>
      </c>
      <c r="C40" s="40"/>
      <c r="D40" s="40">
        <f t="shared" si="1"/>
        <v>-7636.316818526213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36287050.253368132</v>
      </c>
      <c r="M40" s="40"/>
      <c r="N40" s="40">
        <f t="shared" si="3"/>
        <v>36325231.837460764</v>
      </c>
      <c r="O40" s="40"/>
      <c r="P40" s="40">
        <f t="shared" si="4"/>
        <v>454025.55615555897</v>
      </c>
      <c r="Q40" s="40"/>
      <c r="R40" s="40">
        <f t="shared" si="5"/>
        <v>28813956.142317291</v>
      </c>
    </row>
    <row r="41" spans="1:18">
      <c r="A41" s="46">
        <f t="shared" si="6"/>
        <v>2036</v>
      </c>
      <c r="B41" s="40">
        <f t="shared" si="0"/>
        <v>76202.805532073078</v>
      </c>
      <c r="C41" s="40"/>
      <c r="D41" s="40">
        <f t="shared" si="1"/>
        <v>-7620.280553207308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36210847.447836056</v>
      </c>
      <c r="M41" s="40"/>
      <c r="N41" s="40">
        <f t="shared" si="3"/>
        <v>36248948.85060209</v>
      </c>
      <c r="O41" s="40"/>
      <c r="P41" s="40">
        <f t="shared" si="4"/>
        <v>453072.10248763225</v>
      </c>
      <c r="Q41" s="40"/>
      <c r="R41" s="40">
        <f t="shared" si="5"/>
        <v>29183205.158719644</v>
      </c>
    </row>
    <row r="42" spans="1:18">
      <c r="A42" s="46">
        <f t="shared" si="6"/>
        <v>2037</v>
      </c>
      <c r="B42" s="40">
        <f t="shared" si="0"/>
        <v>76042.779640455716</v>
      </c>
      <c r="C42" s="40"/>
      <c r="D42" s="40">
        <f t="shared" si="1"/>
        <v>-7604.2779640455719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36134804.668195598</v>
      </c>
      <c r="M42" s="40"/>
      <c r="N42" s="40">
        <f t="shared" si="3"/>
        <v>36172826.058015823</v>
      </c>
      <c r="O42" s="40"/>
      <c r="P42" s="40">
        <f t="shared" si="4"/>
        <v>452120.65107240819</v>
      </c>
      <c r="Q42" s="40"/>
      <c r="R42" s="40">
        <f t="shared" si="5"/>
        <v>29551678.752187554</v>
      </c>
    </row>
    <row r="43" spans="1:18">
      <c r="A43" s="46">
        <f t="shared" si="6"/>
        <v>2038</v>
      </c>
      <c r="B43" s="40">
        <f t="shared" si="0"/>
        <v>75883.089803210751</v>
      </c>
      <c r="C43" s="40"/>
      <c r="D43" s="40">
        <f t="shared" si="1"/>
        <v>-7588.3089803210751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36058921.578392386</v>
      </c>
      <c r="M43" s="40"/>
      <c r="N43" s="40">
        <f t="shared" si="3"/>
        <v>36096863.123293996</v>
      </c>
      <c r="O43" s="40"/>
      <c r="P43" s="40">
        <f t="shared" si="4"/>
        <v>451171.19770515617</v>
      </c>
      <c r="Q43" s="40"/>
      <c r="R43" s="40">
        <f t="shared" si="5"/>
        <v>29919378.55110918</v>
      </c>
    </row>
    <row r="44" spans="1:18">
      <c r="A44" s="46">
        <f t="shared" si="6"/>
        <v>2039</v>
      </c>
      <c r="B44" s="40">
        <f t="shared" si="0"/>
        <v>75723.735314624006</v>
      </c>
      <c r="C44" s="40"/>
      <c r="D44" s="40">
        <f t="shared" si="1"/>
        <v>-7572.3735314624009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35983197.843077764</v>
      </c>
      <c r="M44" s="40"/>
      <c r="N44" s="40">
        <f t="shared" si="3"/>
        <v>36021059.710735075</v>
      </c>
      <c r="O44" s="40"/>
      <c r="P44" s="40">
        <f t="shared" si="4"/>
        <v>450223.73818997532</v>
      </c>
      <c r="Q44" s="40"/>
      <c r="R44" s="40">
        <f t="shared" si="5"/>
        <v>30286306.180453073</v>
      </c>
    </row>
    <row r="45" spans="1:18">
      <c r="A45" s="46">
        <f t="shared" si="6"/>
        <v>2040</v>
      </c>
      <c r="B45" s="40">
        <f t="shared" si="0"/>
        <v>75564.715470463299</v>
      </c>
      <c r="C45" s="40"/>
      <c r="D45" s="40">
        <f t="shared" si="1"/>
        <v>-7556.4715470463307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35907633.127607301</v>
      </c>
      <c r="M45" s="40"/>
      <c r="N45" s="40">
        <f t="shared" si="3"/>
        <v>35945415.485342532</v>
      </c>
      <c r="O45" s="40"/>
      <c r="P45" s="40">
        <f t="shared" si="4"/>
        <v>449278.26833977638</v>
      </c>
      <c r="Q45" s="40"/>
      <c r="R45" s="40">
        <f t="shared" si="5"/>
        <v>30652463.261775341</v>
      </c>
    </row>
    <row r="46" spans="1:18">
      <c r="A46" s="46">
        <f t="shared" si="6"/>
        <v>2041</v>
      </c>
      <c r="B46" s="40">
        <f t="shared" si="0"/>
        <v>75406.029567975333</v>
      </c>
      <c r="C46" s="40"/>
      <c r="D46" s="40">
        <f t="shared" si="1"/>
        <v>-7540.6029567975338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35832227.098039329</v>
      </c>
      <c r="M46" s="40"/>
      <c r="N46" s="40">
        <f t="shared" si="3"/>
        <v>35869930.112823315</v>
      </c>
      <c r="O46" s="40"/>
      <c r="P46" s="40">
        <f t="shared" si="4"/>
        <v>448334.7839762629</v>
      </c>
      <c r="Q46" s="40"/>
      <c r="R46" s="40">
        <f t="shared" si="5"/>
        <v>31017851.413226832</v>
      </c>
    </row>
    <row r="47" spans="1:18">
      <c r="A47" s="46">
        <f t="shared" si="6"/>
        <v>2042</v>
      </c>
      <c r="B47" s="40">
        <f t="shared" si="0"/>
        <v>75247.676905882588</v>
      </c>
      <c r="C47" s="40"/>
      <c r="D47" s="40">
        <f t="shared" si="1"/>
        <v>-7524.767690588259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35756979.421133444</v>
      </c>
      <c r="M47" s="40"/>
      <c r="N47" s="40">
        <f t="shared" si="3"/>
        <v>35794603.259586386</v>
      </c>
      <c r="O47" s="40"/>
      <c r="P47" s="40">
        <f t="shared" si="4"/>
        <v>447393.28092991275</v>
      </c>
      <c r="Q47" s="40"/>
      <c r="R47" s="40">
        <f t="shared" si="5"/>
        <v>31382472.249560274</v>
      </c>
    </row>
    <row r="48" spans="1:18">
      <c r="A48" s="46">
        <f t="shared" si="6"/>
        <v>2043</v>
      </c>
      <c r="B48" s="40">
        <f t="shared" si="0"/>
        <v>75089.656784380233</v>
      </c>
      <c r="C48" s="40"/>
      <c r="D48" s="40">
        <f t="shared" si="1"/>
        <v>-7508.965678438024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35681889.764349066</v>
      </c>
      <c r="M48" s="40"/>
      <c r="N48" s="40">
        <f t="shared" si="3"/>
        <v>35719434.592741251</v>
      </c>
      <c r="O48" s="40"/>
      <c r="P48" s="40">
        <f t="shared" si="4"/>
        <v>446453.75503995985</v>
      </c>
      <c r="Q48" s="40"/>
      <c r="R48" s="40">
        <f t="shared" si="5"/>
        <v>31746327.382137414</v>
      </c>
    </row>
    <row r="49" spans="1:18">
      <c r="A49" s="46">
        <f t="shared" si="6"/>
        <v>2044</v>
      </c>
      <c r="B49" s="40">
        <f t="shared" si="0"/>
        <v>74931.968505133031</v>
      </c>
      <c r="C49" s="40"/>
      <c r="D49" s="40">
        <f t="shared" si="1"/>
        <v>-7493.1968505133036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35606957.795843929</v>
      </c>
      <c r="M49" s="40"/>
      <c r="N49" s="40">
        <f t="shared" si="3"/>
        <v>35644423.780096501</v>
      </c>
      <c r="O49" s="40"/>
      <c r="P49" s="40">
        <f t="shared" si="4"/>
        <v>445516.20215437602</v>
      </c>
      <c r="Q49" s="40"/>
      <c r="R49" s="40">
        <f t="shared" si="5"/>
        <v>32109418.418936145</v>
      </c>
    </row>
    <row r="50" spans="1:18">
      <c r="A50" s="46">
        <f t="shared" si="6"/>
        <v>2045</v>
      </c>
      <c r="B50" s="40">
        <f t="shared" si="0"/>
        <v>74774.611371272244</v>
      </c>
      <c r="C50" s="40"/>
      <c r="D50" s="40">
        <f t="shared" si="1"/>
        <v>-7477.4611371272249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35532183.184472658</v>
      </c>
      <c r="M50" s="40"/>
      <c r="N50" s="40">
        <f t="shared" si="3"/>
        <v>35569570.49015829</v>
      </c>
      <c r="O50" s="40"/>
      <c r="P50" s="40">
        <f t="shared" si="4"/>
        <v>444580.6181298517</v>
      </c>
      <c r="Q50" s="40"/>
      <c r="R50" s="40">
        <f t="shared" si="5"/>
        <v>32471746.964557599</v>
      </c>
    </row>
    <row r="51" spans="1:18">
      <c r="A51" s="46">
        <f t="shared" si="6"/>
        <v>2046</v>
      </c>
      <c r="B51" s="40">
        <f t="shared" si="0"/>
        <v>74617.584687392577</v>
      </c>
      <c r="C51" s="40"/>
      <c r="D51" s="40">
        <f t="shared" si="1"/>
        <v>-7461.7584687392582</v>
      </c>
      <c r="E51" s="40"/>
      <c r="F51" s="40"/>
      <c r="G51" s="40"/>
      <c r="H51" s="40"/>
      <c r="I51" s="40"/>
      <c r="J51" s="40">
        <v>0</v>
      </c>
      <c r="K51" s="40"/>
      <c r="L51" s="40">
        <f t="shared" si="2"/>
        <v>35457565.599785268</v>
      </c>
      <c r="M51" s="40"/>
      <c r="N51" s="40">
        <f t="shared" si="3"/>
        <v>35494874.392128959</v>
      </c>
      <c r="O51" s="40"/>
      <c r="P51" s="40">
        <f t="shared" si="4"/>
        <v>443646.99883177906</v>
      </c>
      <c r="Q51" s="40"/>
      <c r="R51" s="40">
        <f t="shared" si="5"/>
        <v>32833314.620233245</v>
      </c>
    </row>
    <row r="52" spans="1:18">
      <c r="A52" s="46">
        <f t="shared" si="6"/>
        <v>2047</v>
      </c>
      <c r="B52" s="40">
        <f t="shared" si="0"/>
        <v>74460.887759549063</v>
      </c>
      <c r="C52" s="40"/>
      <c r="D52" s="40">
        <f t="shared" si="1"/>
        <v>-7446.0887759549069</v>
      </c>
      <c r="E52" s="40"/>
      <c r="F52" s="40"/>
      <c r="G52" s="40"/>
      <c r="H52" s="40"/>
      <c r="I52" s="40"/>
      <c r="J52" s="40">
        <v>0</v>
      </c>
      <c r="K52" s="40"/>
      <c r="L52" s="40">
        <f t="shared" si="2"/>
        <v>35383104.712025717</v>
      </c>
      <c r="M52" s="40"/>
      <c r="N52" s="40">
        <f t="shared" si="3"/>
        <v>35420335.155905493</v>
      </c>
      <c r="O52" s="40"/>
      <c r="P52" s="40">
        <f t="shared" si="4"/>
        <v>442715.34013423236</v>
      </c>
      <c r="Q52" s="40"/>
      <c r="R52" s="40">
        <f t="shared" si="5"/>
        <v>33194122.983831976</v>
      </c>
    </row>
    <row r="53" spans="1:18">
      <c r="A53" s="46">
        <f t="shared" si="6"/>
        <v>2048</v>
      </c>
      <c r="B53" s="40">
        <f t="shared" si="0"/>
        <v>74304.519895253994</v>
      </c>
      <c r="C53" s="40"/>
      <c r="D53" s="40">
        <f t="shared" si="1"/>
        <v>-7430.4519895253998</v>
      </c>
      <c r="E53" s="40"/>
      <c r="F53" s="40"/>
      <c r="G53" s="40"/>
      <c r="H53" s="40"/>
      <c r="I53" s="40"/>
      <c r="J53" s="40">
        <v>0</v>
      </c>
      <c r="K53" s="40"/>
      <c r="L53" s="40">
        <f t="shared" si="2"/>
        <v>35308800.192130461</v>
      </c>
      <c r="M53" s="40"/>
      <c r="N53" s="40">
        <f t="shared" si="3"/>
        <v>35345952.452078089</v>
      </c>
      <c r="O53" s="40"/>
      <c r="P53" s="40">
        <f t="shared" si="4"/>
        <v>441785.63791995047</v>
      </c>
      <c r="Q53" s="40"/>
      <c r="R53" s="40">
        <f t="shared" si="5"/>
        <v>33554173.649867147</v>
      </c>
    </row>
    <row r="54" spans="1:18">
      <c r="A54" s="46">
        <f t="shared" si="6"/>
        <v>2049</v>
      </c>
      <c r="B54" s="40">
        <f t="shared" si="0"/>
        <v>74148.480403473965</v>
      </c>
      <c r="C54" s="40"/>
      <c r="D54" s="40">
        <f t="shared" si="1"/>
        <v>-7414.8480403473968</v>
      </c>
      <c r="E54" s="40"/>
      <c r="F54" s="40"/>
      <c r="G54" s="40"/>
      <c r="H54" s="40"/>
      <c r="I54" s="40"/>
      <c r="J54" s="40">
        <v>0</v>
      </c>
      <c r="K54" s="40"/>
      <c r="L54" s="40">
        <f t="shared" si="2"/>
        <v>35234651.711726986</v>
      </c>
      <c r="M54" s="40"/>
      <c r="N54" s="40">
        <f t="shared" si="3"/>
        <v>35271725.95192872</v>
      </c>
      <c r="O54" s="40"/>
      <c r="P54" s="40">
        <f t="shared" si="4"/>
        <v>440857.88808031852</v>
      </c>
      <c r="Q54" s="40"/>
      <c r="R54" s="40">
        <f t="shared" si="5"/>
        <v>33913468.209503643</v>
      </c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>
        <v>0</v>
      </c>
      <c r="K55" s="40"/>
      <c r="L55" s="40">
        <f t="shared" si="2"/>
        <v>35234651.711726986</v>
      </c>
      <c r="M55" s="40"/>
      <c r="N55" s="40">
        <f t="shared" si="3"/>
        <v>35234651.711726986</v>
      </c>
      <c r="O55" s="40"/>
      <c r="P55" s="40">
        <f t="shared" si="4"/>
        <v>440394.50074112805</v>
      </c>
      <c r="Q55" s="40"/>
      <c r="R55" s="40">
        <f t="shared" si="5"/>
        <v>34353862.710244775</v>
      </c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>
        <f t="shared" si="2"/>
        <v>35234651.711726986</v>
      </c>
      <c r="M56" s="40"/>
      <c r="N56" s="40">
        <f t="shared" si="3"/>
        <v>35234651.711726986</v>
      </c>
      <c r="O56" s="40"/>
      <c r="P56" s="40">
        <f t="shared" si="4"/>
        <v>440394.50074112805</v>
      </c>
      <c r="Q56" s="40"/>
      <c r="R56" s="40">
        <f t="shared" si="5"/>
        <v>34794257.210985906</v>
      </c>
    </row>
    <row r="57" spans="1:18">
      <c r="A57" s="46">
        <f t="shared" si="6"/>
        <v>2052</v>
      </c>
      <c r="B57" s="40"/>
      <c r="C57" s="40"/>
      <c r="D57" s="40"/>
      <c r="E57" s="40"/>
      <c r="F57" s="40">
        <f>+L55</f>
        <v>35234651.711726986</v>
      </c>
      <c r="G57" s="40"/>
      <c r="H57" s="40"/>
      <c r="I57" s="40"/>
      <c r="J57" s="40"/>
      <c r="K57" s="40"/>
      <c r="L57" s="40">
        <f t="shared" si="2"/>
        <v>0</v>
      </c>
      <c r="M57" s="40"/>
      <c r="N57" s="40">
        <f>+L56</f>
        <v>35234651.711726986</v>
      </c>
      <c r="O57" s="40"/>
      <c r="P57" s="40">
        <f t="shared" si="4"/>
        <v>440394.50074112805</v>
      </c>
      <c r="Q57" s="40"/>
      <c r="R57" s="40">
        <f t="shared" si="5"/>
        <v>5.2154064178466797E-8</v>
      </c>
    </row>
    <row r="58" spans="1:18">
      <c r="A58" s="46">
        <f t="shared" si="6"/>
        <v>2053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6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>
      <c r="A62" s="42" t="s">
        <v>38</v>
      </c>
      <c r="B62" s="38">
        <f>SUM(B22:B58)</f>
        <v>2531108.9310622187</v>
      </c>
      <c r="C62" s="38" t="s">
        <v>39</v>
      </c>
      <c r="D62" s="38">
        <f>SUM(D22:D58)</f>
        <v>-253110.8931062218</v>
      </c>
      <c r="E62" s="38">
        <v>0</v>
      </c>
      <c r="F62" s="38">
        <f>SUM(F22:F58)</f>
        <v>35234651.711726986</v>
      </c>
      <c r="G62" s="38" t="s">
        <v>39</v>
      </c>
      <c r="H62" s="38">
        <f>SUM(H22:H58)</f>
        <v>0</v>
      </c>
      <c r="I62" s="38">
        <v>0</v>
      </c>
      <c r="J62" s="38">
        <f>SUM(J22:J58)</f>
        <v>0</v>
      </c>
      <c r="K62" s="40"/>
      <c r="L62" s="40"/>
      <c r="M62" s="40"/>
      <c r="N62" s="38">
        <f>SUM(N22:N58)</f>
        <v>1309728367.8421342</v>
      </c>
      <c r="O62" s="40"/>
      <c r="P62" s="38">
        <f>SUM(P22:P58)</f>
        <v>16370168.077193074</v>
      </c>
      <c r="Q62" s="40"/>
      <c r="R62" s="4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10" workbookViewId="0">
      <selection activeCell="C49" sqref="C49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1" style="63" customWidth="1"/>
    <col min="9" max="9" width="1.85546875" style="63" customWidth="1"/>
    <col min="10" max="10" width="12.140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6.85546875" style="63" customWidth="1"/>
    <col min="15" max="15" width="1.85546875" style="63" customWidth="1"/>
    <col min="16" max="16" width="13.85546875" style="63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146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(D61+H61)/(B61+F61)</f>
        <v>-6.5993315130019353E-2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'!$J$1018</f>
        <v>13.575533981396674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N61/(L21+J61)</f>
        <v>31.560440270158374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45.135974251555048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0.28173993894220944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90698963.267652735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(L21+J61-D61-H61-R21)/N61</f>
        <v>2.4849253352442997E-2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1.462100159004449E-3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2.3387153193438547E-2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Unit(Fcst)'!D48</f>
        <v>282887489.52399993</v>
      </c>
      <c r="M21" s="40"/>
      <c r="N21" s="40"/>
      <c r="O21" s="40"/>
      <c r="P21" s="40"/>
      <c r="Q21" s="40"/>
      <c r="R21" s="40">
        <f>'2016 YE Reserve by Unit(Fcst)'!D46</f>
        <v>79700704.026006654</v>
      </c>
    </row>
    <row r="22" spans="1:18">
      <c r="A22" s="46">
        <v>2017</v>
      </c>
      <c r="B22" s="40">
        <f>+L21*P$10</f>
        <v>2121656.1714299992</v>
      </c>
      <c r="C22" s="40"/>
      <c r="D22" s="40">
        <f>+B22*P$2</f>
        <v>-636496.85142899968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280765833.35256994</v>
      </c>
      <c r="M22" s="40"/>
      <c r="N22" s="40">
        <f>(L21+L22)/2</f>
        <v>281826661.43828493</v>
      </c>
      <c r="O22" s="40"/>
      <c r="P22" s="40">
        <f>N22*$P$12</f>
        <v>7003182.1115531195</v>
      </c>
      <c r="Q22" s="40"/>
      <c r="R22" s="40">
        <f>R21+P22-B22-F22+D22</f>
        <v>83945733.114700779</v>
      </c>
    </row>
    <row r="23" spans="1:18">
      <c r="A23" s="46">
        <f>A22+1</f>
        <v>2018</v>
      </c>
      <c r="B23" s="40">
        <f t="shared" ref="B23:B54" si="0">+L22*P$10</f>
        <v>2105743.7501442744</v>
      </c>
      <c r="C23" s="40"/>
      <c r="D23" s="40">
        <f t="shared" ref="D23:D54" si="1">+B23*P$2</f>
        <v>-631723.12504328229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7" si="2">L22+J23-B23-F23</f>
        <v>278660089.60242563</v>
      </c>
      <c r="M23" s="40"/>
      <c r="N23" s="40">
        <f t="shared" ref="N23:N56" si="3">(L22+L23)/2</f>
        <v>279712961.47749782</v>
      </c>
      <c r="O23" s="40"/>
      <c r="P23" s="40">
        <f t="shared" ref="P23:P57" si="4">N23*$P$12</f>
        <v>6950658.2457164712</v>
      </c>
      <c r="Q23" s="40"/>
      <c r="R23" s="40">
        <f t="shared" ref="R23:R57" si="5">R22+P23-B23-F23+D23</f>
        <v>88158924.485229686</v>
      </c>
    </row>
    <row r="24" spans="1:18">
      <c r="A24" s="46">
        <f t="shared" ref="A24:A57" si="6">A23+1</f>
        <v>2019</v>
      </c>
      <c r="B24" s="40">
        <f t="shared" si="0"/>
        <v>2089950.6720181922</v>
      </c>
      <c r="C24" s="40"/>
      <c r="D24" s="40">
        <f t="shared" si="1"/>
        <v>-626985.2016054577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276570138.93040746</v>
      </c>
      <c r="M24" s="40"/>
      <c r="N24" s="40">
        <f t="shared" si="3"/>
        <v>277615114.26641655</v>
      </c>
      <c r="O24" s="40"/>
      <c r="P24" s="40">
        <f t="shared" si="4"/>
        <v>6898528.3088735966</v>
      </c>
      <c r="Q24" s="40"/>
      <c r="R24" s="40">
        <f t="shared" si="5"/>
        <v>92340516.92047964</v>
      </c>
    </row>
    <row r="25" spans="1:18">
      <c r="A25" s="46">
        <f t="shared" si="6"/>
        <v>2020</v>
      </c>
      <c r="B25" s="40">
        <f t="shared" si="0"/>
        <v>2074276.0419780558</v>
      </c>
      <c r="C25" s="40"/>
      <c r="D25" s="40">
        <f t="shared" si="1"/>
        <v>-622282.81259341678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274495862.8884294</v>
      </c>
      <c r="M25" s="40"/>
      <c r="N25" s="40">
        <f t="shared" si="3"/>
        <v>275533000.90941846</v>
      </c>
      <c r="O25" s="40"/>
      <c r="P25" s="40">
        <f t="shared" si="4"/>
        <v>6846789.3465570463</v>
      </c>
      <c r="Q25" s="40"/>
      <c r="R25" s="40">
        <f t="shared" si="5"/>
        <v>96490747.412465215</v>
      </c>
    </row>
    <row r="26" spans="1:18">
      <c r="A26" s="46">
        <f t="shared" si="6"/>
        <v>2021</v>
      </c>
      <c r="B26" s="40">
        <f t="shared" si="0"/>
        <v>2058718.9716632206</v>
      </c>
      <c r="C26" s="40"/>
      <c r="D26" s="40">
        <f t="shared" si="1"/>
        <v>-617615.69149896619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272437143.91676617</v>
      </c>
      <c r="M26" s="40"/>
      <c r="N26" s="40">
        <f t="shared" si="3"/>
        <v>273466503.40259778</v>
      </c>
      <c r="O26" s="40"/>
      <c r="P26" s="40">
        <f t="shared" si="4"/>
        <v>6795438.426457867</v>
      </c>
      <c r="Q26" s="40"/>
      <c r="R26" s="40">
        <f t="shared" si="5"/>
        <v>100609851.1757609</v>
      </c>
    </row>
    <row r="27" spans="1:18">
      <c r="A27" s="46">
        <f t="shared" si="6"/>
        <v>2022</v>
      </c>
      <c r="B27" s="40">
        <f t="shared" si="0"/>
        <v>2043278.5793757462</v>
      </c>
      <c r="C27" s="40"/>
      <c r="D27" s="40">
        <f t="shared" si="1"/>
        <v>-612983.57381272386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270393865.33739042</v>
      </c>
      <c r="M27" s="40"/>
      <c r="N27" s="40">
        <f t="shared" si="3"/>
        <v>271415504.62707829</v>
      </c>
      <c r="O27" s="40"/>
      <c r="P27" s="40">
        <f t="shared" si="4"/>
        <v>6744472.6382594332</v>
      </c>
      <c r="Q27" s="40"/>
      <c r="R27" s="40">
        <f t="shared" si="5"/>
        <v>104698061.66083187</v>
      </c>
    </row>
    <row r="28" spans="1:18">
      <c r="A28" s="46">
        <f t="shared" si="6"/>
        <v>2023</v>
      </c>
      <c r="B28" s="40">
        <f t="shared" si="0"/>
        <v>2027953.9900304282</v>
      </c>
      <c r="C28" s="40"/>
      <c r="D28" s="40">
        <f t="shared" si="1"/>
        <v>-608386.1970091284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268365911.34735999</v>
      </c>
      <c r="M28" s="40"/>
      <c r="N28" s="40">
        <f t="shared" si="3"/>
        <v>269379888.34237522</v>
      </c>
      <c r="O28" s="40"/>
      <c r="P28" s="40">
        <f t="shared" si="4"/>
        <v>6693889.0934724873</v>
      </c>
      <c r="Q28" s="40"/>
      <c r="R28" s="40">
        <f t="shared" si="5"/>
        <v>108755610.5672648</v>
      </c>
    </row>
    <row r="29" spans="1:18">
      <c r="A29" s="46">
        <f t="shared" si="6"/>
        <v>2024</v>
      </c>
      <c r="B29" s="40">
        <f t="shared" si="0"/>
        <v>2012744.3351051998</v>
      </c>
      <c r="C29" s="40"/>
      <c r="D29" s="40">
        <f t="shared" si="1"/>
        <v>-603823.30053155997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266353167.01225477</v>
      </c>
      <c r="M29" s="40"/>
      <c r="N29" s="40">
        <f t="shared" si="3"/>
        <v>267359539.17980736</v>
      </c>
      <c r="O29" s="40"/>
      <c r="P29" s="40">
        <f t="shared" si="4"/>
        <v>6643684.9252714431</v>
      </c>
      <c r="Q29" s="40"/>
      <c r="R29" s="40">
        <f t="shared" si="5"/>
        <v>112782727.85689947</v>
      </c>
    </row>
    <row r="30" spans="1:18">
      <c r="A30" s="46">
        <f t="shared" si="6"/>
        <v>2025</v>
      </c>
      <c r="B30" s="40">
        <f t="shared" si="0"/>
        <v>1997648.7525919108</v>
      </c>
      <c r="C30" s="40"/>
      <c r="D30" s="40">
        <f t="shared" si="1"/>
        <v>-599294.62577757321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264355518.25966287</v>
      </c>
      <c r="M30" s="40"/>
      <c r="N30" s="40">
        <f t="shared" si="3"/>
        <v>265354342.63595882</v>
      </c>
      <c r="O30" s="40"/>
      <c r="P30" s="40">
        <f t="shared" si="4"/>
        <v>6593857.2883319072</v>
      </c>
      <c r="Q30" s="40"/>
      <c r="R30" s="40">
        <f t="shared" si="5"/>
        <v>116779641.7668619</v>
      </c>
    </row>
    <row r="31" spans="1:18">
      <c r="A31" s="46">
        <f t="shared" si="6"/>
        <v>2026</v>
      </c>
      <c r="B31" s="40">
        <f t="shared" si="0"/>
        <v>1982666.3869474714</v>
      </c>
      <c r="C31" s="40"/>
      <c r="D31" s="40">
        <f t="shared" si="1"/>
        <v>-594799.91608424135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262372851.87271538</v>
      </c>
      <c r="M31" s="40"/>
      <c r="N31" s="40">
        <f t="shared" si="3"/>
        <v>263364185.06618911</v>
      </c>
      <c r="O31" s="40"/>
      <c r="P31" s="40">
        <f t="shared" si="4"/>
        <v>6544403.3586694179</v>
      </c>
      <c r="Q31" s="40"/>
      <c r="R31" s="40">
        <f t="shared" si="5"/>
        <v>120746578.8224996</v>
      </c>
    </row>
    <row r="32" spans="1:18">
      <c r="A32" s="46">
        <f t="shared" si="6"/>
        <v>2027</v>
      </c>
      <c r="B32" s="40">
        <f t="shared" si="0"/>
        <v>1967796.3890453654</v>
      </c>
      <c r="C32" s="40"/>
      <c r="D32" s="40">
        <f t="shared" si="1"/>
        <v>-590338.91671360959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260405055.48367003</v>
      </c>
      <c r="M32" s="40"/>
      <c r="N32" s="40">
        <f t="shared" si="3"/>
        <v>261388953.6781927</v>
      </c>
      <c r="O32" s="40"/>
      <c r="P32" s="40">
        <f t="shared" si="4"/>
        <v>6495320.333479397</v>
      </c>
      <c r="Q32" s="40"/>
      <c r="R32" s="40">
        <f t="shared" si="5"/>
        <v>124683763.85022002</v>
      </c>
    </row>
    <row r="33" spans="1:18">
      <c r="A33" s="46">
        <f t="shared" si="6"/>
        <v>2028</v>
      </c>
      <c r="B33" s="40">
        <f t="shared" si="0"/>
        <v>1953037.916127525</v>
      </c>
      <c r="C33" s="40"/>
      <c r="D33" s="40">
        <f t="shared" si="1"/>
        <v>-585911.37483825744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258452017.56754249</v>
      </c>
      <c r="M33" s="40"/>
      <c r="N33" s="40">
        <f t="shared" si="3"/>
        <v>259428536.52560627</v>
      </c>
      <c r="O33" s="40"/>
      <c r="P33" s="40">
        <f t="shared" si="4"/>
        <v>6446605.4309783019</v>
      </c>
      <c r="Q33" s="40"/>
      <c r="R33" s="40">
        <f t="shared" si="5"/>
        <v>128591419.99023254</v>
      </c>
    </row>
    <row r="34" spans="1:18">
      <c r="A34" s="46">
        <f t="shared" si="6"/>
        <v>2029</v>
      </c>
      <c r="B34" s="40">
        <f t="shared" si="0"/>
        <v>1938390.1317565686</v>
      </c>
      <c r="C34" s="40"/>
      <c r="D34" s="40">
        <f t="shared" si="1"/>
        <v>-581517.03952697059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256513627.43578592</v>
      </c>
      <c r="M34" s="40"/>
      <c r="N34" s="40">
        <f t="shared" si="3"/>
        <v>257482822.50166422</v>
      </c>
      <c r="O34" s="40"/>
      <c r="P34" s="40">
        <f t="shared" si="4"/>
        <v>6398255.8902459648</v>
      </c>
      <c r="Q34" s="40"/>
      <c r="R34" s="40">
        <f t="shared" si="5"/>
        <v>132469768.70919496</v>
      </c>
    </row>
    <row r="35" spans="1:18">
      <c r="A35" s="46">
        <f t="shared" si="6"/>
        <v>2030</v>
      </c>
      <c r="B35" s="40">
        <f t="shared" si="0"/>
        <v>1923852.2057683943</v>
      </c>
      <c r="C35" s="40"/>
      <c r="D35" s="40">
        <f t="shared" si="1"/>
        <v>-577155.66173051822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254589775.23001751</v>
      </c>
      <c r="M35" s="40"/>
      <c r="N35" s="40">
        <f t="shared" si="3"/>
        <v>255551701.33290172</v>
      </c>
      <c r="O35" s="40"/>
      <c r="P35" s="40">
        <f t="shared" si="4"/>
        <v>6350268.9710691189</v>
      </c>
      <c r="Q35" s="40"/>
      <c r="R35" s="40">
        <f t="shared" si="5"/>
        <v>136319029.81276515</v>
      </c>
    </row>
    <row r="36" spans="1:18">
      <c r="A36" s="46">
        <f t="shared" si="6"/>
        <v>2031</v>
      </c>
      <c r="B36" s="40">
        <f t="shared" si="0"/>
        <v>1909423.3142251312</v>
      </c>
      <c r="C36" s="40"/>
      <c r="D36" s="40">
        <f t="shared" si="1"/>
        <v>-572826.99426753935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252680351.91579238</v>
      </c>
      <c r="M36" s="40"/>
      <c r="N36" s="40">
        <f t="shared" si="3"/>
        <v>253635063.57290494</v>
      </c>
      <c r="O36" s="40"/>
      <c r="P36" s="40">
        <f t="shared" si="4"/>
        <v>6302641.9537861012</v>
      </c>
      <c r="Q36" s="40"/>
      <c r="R36" s="40">
        <f t="shared" si="5"/>
        <v>140139421.45805857</v>
      </c>
    </row>
    <row r="37" spans="1:18">
      <c r="A37" s="46">
        <f t="shared" si="6"/>
        <v>2032</v>
      </c>
      <c r="B37" s="40">
        <f t="shared" si="0"/>
        <v>1895102.6393684428</v>
      </c>
      <c r="C37" s="40"/>
      <c r="D37" s="40">
        <f t="shared" si="1"/>
        <v>-568530.7918105328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250785249.27642393</v>
      </c>
      <c r="M37" s="40"/>
      <c r="N37" s="40">
        <f t="shared" si="3"/>
        <v>251732800.59610814</v>
      </c>
      <c r="O37" s="40"/>
      <c r="P37" s="40">
        <f t="shared" si="4"/>
        <v>6255372.1391327046</v>
      </c>
      <c r="Q37" s="40"/>
      <c r="R37" s="40">
        <f t="shared" si="5"/>
        <v>143931160.16601229</v>
      </c>
    </row>
    <row r="38" spans="1:18">
      <c r="A38" s="46">
        <f t="shared" si="6"/>
        <v>2033</v>
      </c>
      <c r="B38" s="40">
        <f t="shared" si="0"/>
        <v>1880889.3695731794</v>
      </c>
      <c r="C38" s="40"/>
      <c r="D38" s="40">
        <f t="shared" si="1"/>
        <v>-564266.81087195384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248904359.90685076</v>
      </c>
      <c r="M38" s="40"/>
      <c r="N38" s="40">
        <f t="shared" si="3"/>
        <v>249844804.59163734</v>
      </c>
      <c r="O38" s="40"/>
      <c r="P38" s="40">
        <f t="shared" si="4"/>
        <v>6208456.8480892098</v>
      </c>
      <c r="Q38" s="40"/>
      <c r="R38" s="40">
        <f t="shared" si="5"/>
        <v>147694460.83365637</v>
      </c>
    </row>
    <row r="39" spans="1:18">
      <c r="A39" s="46">
        <f t="shared" si="6"/>
        <v>2034</v>
      </c>
      <c r="B39" s="40">
        <f t="shared" si="0"/>
        <v>1866782.6993013807</v>
      </c>
      <c r="C39" s="40"/>
      <c r="D39" s="40">
        <f t="shared" si="1"/>
        <v>-560034.80979041418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247037577.20754936</v>
      </c>
      <c r="M39" s="40"/>
      <c r="N39" s="40">
        <f t="shared" si="3"/>
        <v>247970968.55720007</v>
      </c>
      <c r="O39" s="40"/>
      <c r="P39" s="40">
        <f t="shared" si="4"/>
        <v>6161893.4217285411</v>
      </c>
      <c r="Q39" s="40"/>
      <c r="R39" s="40">
        <f t="shared" si="5"/>
        <v>151429536.74629313</v>
      </c>
    </row>
    <row r="40" spans="1:18">
      <c r="A40" s="46">
        <f t="shared" si="6"/>
        <v>2035</v>
      </c>
      <c r="B40" s="40">
        <f t="shared" si="0"/>
        <v>1852781.8290566201</v>
      </c>
      <c r="C40" s="40"/>
      <c r="D40" s="40">
        <f t="shared" si="1"/>
        <v>-555834.54871698597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245184795.37849274</v>
      </c>
      <c r="M40" s="40"/>
      <c r="N40" s="40">
        <f t="shared" si="3"/>
        <v>246111186.29302105</v>
      </c>
      <c r="O40" s="40"/>
      <c r="P40" s="40">
        <f t="shared" si="4"/>
        <v>6115679.2210655762</v>
      </c>
      <c r="Q40" s="40"/>
      <c r="R40" s="40">
        <f t="shared" si="5"/>
        <v>155136599.5895851</v>
      </c>
    </row>
    <row r="41" spans="1:18">
      <c r="A41" s="46">
        <f t="shared" si="6"/>
        <v>2036</v>
      </c>
      <c r="B41" s="40">
        <f t="shared" si="0"/>
        <v>1838885.9653386956</v>
      </c>
      <c r="C41" s="40"/>
      <c r="D41" s="40">
        <f t="shared" si="1"/>
        <v>-551665.78960160865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243345909.41315404</v>
      </c>
      <c r="M41" s="40"/>
      <c r="N41" s="40">
        <f t="shared" si="3"/>
        <v>244265352.39582339</v>
      </c>
      <c r="O41" s="40"/>
      <c r="P41" s="40">
        <f t="shared" si="4"/>
        <v>6069811.6269075843</v>
      </c>
      <c r="Q41" s="40"/>
      <c r="R41" s="40">
        <f t="shared" si="5"/>
        <v>158815859.46155238</v>
      </c>
    </row>
    <row r="42" spans="1:18">
      <c r="A42" s="46">
        <f t="shared" si="6"/>
        <v>2037</v>
      </c>
      <c r="B42" s="40">
        <f t="shared" si="0"/>
        <v>1825094.3205986551</v>
      </c>
      <c r="C42" s="40"/>
      <c r="D42" s="40">
        <f t="shared" si="1"/>
        <v>-547528.29617959657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241520815.09255537</v>
      </c>
      <c r="M42" s="40"/>
      <c r="N42" s="40">
        <f t="shared" si="3"/>
        <v>242433362.2528547</v>
      </c>
      <c r="O42" s="40"/>
      <c r="P42" s="40">
        <f t="shared" si="4"/>
        <v>6024288.0397057775</v>
      </c>
      <c r="Q42" s="40"/>
      <c r="R42" s="40">
        <f t="shared" si="5"/>
        <v>162467524.88447991</v>
      </c>
    </row>
    <row r="43" spans="1:18">
      <c r="A43" s="46">
        <f t="shared" si="6"/>
        <v>2038</v>
      </c>
      <c r="B43" s="40">
        <f t="shared" si="0"/>
        <v>1811406.1131941653</v>
      </c>
      <c r="C43" s="40"/>
      <c r="D43" s="40">
        <f t="shared" si="1"/>
        <v>-543421.83395824954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239709408.97936121</v>
      </c>
      <c r="M43" s="40"/>
      <c r="N43" s="40">
        <f t="shared" si="3"/>
        <v>240615112.03595829</v>
      </c>
      <c r="O43" s="40"/>
      <c r="P43" s="40">
        <f t="shared" si="4"/>
        <v>5979105.8794079842</v>
      </c>
      <c r="Q43" s="40"/>
      <c r="R43" s="40">
        <f t="shared" si="5"/>
        <v>166091802.81673548</v>
      </c>
    </row>
    <row r="44" spans="1:18">
      <c r="A44" s="46">
        <f t="shared" si="6"/>
        <v>2039</v>
      </c>
      <c r="B44" s="40">
        <f t="shared" si="0"/>
        <v>1797820.567345209</v>
      </c>
      <c r="C44" s="40"/>
      <c r="D44" s="40">
        <f t="shared" si="1"/>
        <v>-539346.17020356271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237911588.412016</v>
      </c>
      <c r="M44" s="40"/>
      <c r="N44" s="40">
        <f t="shared" si="3"/>
        <v>238810498.69568861</v>
      </c>
      <c r="O44" s="40"/>
      <c r="P44" s="40">
        <f t="shared" si="4"/>
        <v>5934262.5853124242</v>
      </c>
      <c r="Q44" s="40"/>
      <c r="R44" s="40">
        <f t="shared" si="5"/>
        <v>169688898.66449913</v>
      </c>
    </row>
    <row r="45" spans="1:18">
      <c r="A45" s="46">
        <f t="shared" si="6"/>
        <v>2040</v>
      </c>
      <c r="B45" s="40">
        <f t="shared" si="0"/>
        <v>1784336.9130901201</v>
      </c>
      <c r="C45" s="40"/>
      <c r="D45" s="40">
        <f t="shared" si="1"/>
        <v>-535301.07392703602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236127251.49892589</v>
      </c>
      <c r="M45" s="40"/>
      <c r="N45" s="40">
        <f t="shared" si="3"/>
        <v>237019419.95547095</v>
      </c>
      <c r="O45" s="40"/>
      <c r="P45" s="40">
        <f t="shared" si="4"/>
        <v>5889755.6159225814</v>
      </c>
      <c r="Q45" s="40"/>
      <c r="R45" s="40">
        <f t="shared" si="5"/>
        <v>173259016.29340455</v>
      </c>
    </row>
    <row r="46" spans="1:18">
      <c r="A46" s="46">
        <f t="shared" si="6"/>
        <v>2041</v>
      </c>
      <c r="B46" s="40">
        <f t="shared" si="0"/>
        <v>1770954.386241944</v>
      </c>
      <c r="C46" s="40"/>
      <c r="D46" s="40">
        <f t="shared" si="1"/>
        <v>-531286.31587258319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234356297.11268395</v>
      </c>
      <c r="M46" s="40"/>
      <c r="N46" s="40">
        <f t="shared" si="3"/>
        <v>235241774.30580491</v>
      </c>
      <c r="O46" s="40"/>
      <c r="P46" s="40">
        <f t="shared" si="4"/>
        <v>5845582.4488031613</v>
      </c>
      <c r="Q46" s="40"/>
      <c r="R46" s="40">
        <f t="shared" si="5"/>
        <v>176802358.04009318</v>
      </c>
    </row>
    <row r="47" spans="1:18">
      <c r="A47" s="46">
        <f t="shared" si="6"/>
        <v>2042</v>
      </c>
      <c r="B47" s="40">
        <f t="shared" si="0"/>
        <v>1757672.2283451296</v>
      </c>
      <c r="C47" s="40"/>
      <c r="D47" s="40">
        <f t="shared" si="1"/>
        <v>-527301.66850353882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232598624.88433883</v>
      </c>
      <c r="M47" s="40"/>
      <c r="N47" s="40">
        <f t="shared" si="3"/>
        <v>233477460.99851137</v>
      </c>
      <c r="O47" s="40"/>
      <c r="P47" s="40">
        <f t="shared" si="4"/>
        <v>5801740.5804371377</v>
      </c>
      <c r="Q47" s="40"/>
      <c r="R47" s="40">
        <f t="shared" si="5"/>
        <v>180319124.72368163</v>
      </c>
    </row>
    <row r="48" spans="1:18">
      <c r="A48" s="46">
        <f t="shared" si="6"/>
        <v>2043</v>
      </c>
      <c r="B48" s="40">
        <f t="shared" si="0"/>
        <v>1744489.6866325412</v>
      </c>
      <c r="C48" s="40"/>
      <c r="D48" s="40">
        <f t="shared" si="1"/>
        <v>-523346.90598976234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230854135.19770628</v>
      </c>
      <c r="M48" s="40"/>
      <c r="N48" s="40">
        <f t="shared" si="3"/>
        <v>231726380.04102254</v>
      </c>
      <c r="O48" s="40"/>
      <c r="P48" s="40">
        <f t="shared" si="4"/>
        <v>5758227.5260838596</v>
      </c>
      <c r="Q48" s="40"/>
      <c r="R48" s="40">
        <f t="shared" si="5"/>
        <v>183809515.65714318</v>
      </c>
    </row>
    <row r="49" spans="1:18">
      <c r="A49" s="46">
        <f t="shared" si="6"/>
        <v>2044</v>
      </c>
      <c r="B49" s="40">
        <f t="shared" si="0"/>
        <v>1731406.013982797</v>
      </c>
      <c r="C49" s="40"/>
      <c r="D49" s="40">
        <f t="shared" si="1"/>
        <v>-519421.80419483909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229122729.18372348</v>
      </c>
      <c r="M49" s="40"/>
      <c r="N49" s="40">
        <f t="shared" si="3"/>
        <v>229988432.1907149</v>
      </c>
      <c r="O49" s="40"/>
      <c r="P49" s="40">
        <f t="shared" si="4"/>
        <v>5715040.8196382308</v>
      </c>
      <c r="Q49" s="40"/>
      <c r="R49" s="40">
        <f t="shared" si="5"/>
        <v>187273728.65860376</v>
      </c>
    </row>
    <row r="50" spans="1:18">
      <c r="A50" s="46">
        <f t="shared" si="6"/>
        <v>2045</v>
      </c>
      <c r="B50" s="40">
        <f t="shared" si="0"/>
        <v>1718420.468877926</v>
      </c>
      <c r="C50" s="40"/>
      <c r="D50" s="40">
        <f t="shared" si="1"/>
        <v>-515526.14066337777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227404308.71484557</v>
      </c>
      <c r="M50" s="40"/>
      <c r="N50" s="40">
        <f t="shared" si="3"/>
        <v>228263518.94928452</v>
      </c>
      <c r="O50" s="40"/>
      <c r="P50" s="40">
        <f t="shared" si="4"/>
        <v>5672178.0134909442</v>
      </c>
      <c r="Q50" s="40"/>
      <c r="R50" s="40">
        <f t="shared" si="5"/>
        <v>190711960.06255341</v>
      </c>
    </row>
    <row r="51" spans="1:18">
      <c r="A51" s="46">
        <f t="shared" si="6"/>
        <v>2046</v>
      </c>
      <c r="B51" s="40">
        <f t="shared" si="0"/>
        <v>1705532.3153613417</v>
      </c>
      <c r="C51" s="40"/>
      <c r="D51" s="40">
        <f t="shared" si="1"/>
        <v>-511659.6946084025</v>
      </c>
      <c r="E51" s="40"/>
      <c r="F51" s="40"/>
      <c r="G51" s="40"/>
      <c r="H51" s="40"/>
      <c r="I51" s="40"/>
      <c r="J51" s="40">
        <v>0</v>
      </c>
      <c r="K51" s="40"/>
      <c r="L51" s="40">
        <f t="shared" si="2"/>
        <v>225698776.39948422</v>
      </c>
      <c r="M51" s="40"/>
      <c r="N51" s="40">
        <f t="shared" si="3"/>
        <v>226551542.55716491</v>
      </c>
      <c r="O51" s="40"/>
      <c r="P51" s="40">
        <f t="shared" si="4"/>
        <v>5629636.6783897625</v>
      </c>
      <c r="Q51" s="40"/>
      <c r="R51" s="40">
        <f t="shared" si="5"/>
        <v>194124404.73097342</v>
      </c>
    </row>
    <row r="52" spans="1:18">
      <c r="A52" s="46">
        <f t="shared" si="6"/>
        <v>2047</v>
      </c>
      <c r="B52" s="40">
        <f t="shared" si="0"/>
        <v>1692740.8229961316</v>
      </c>
      <c r="C52" s="40"/>
      <c r="D52" s="40">
        <f t="shared" si="1"/>
        <v>-507822.24689883948</v>
      </c>
      <c r="E52" s="40"/>
      <c r="F52" s="40"/>
      <c r="G52" s="40"/>
      <c r="H52" s="40"/>
      <c r="I52" s="40"/>
      <c r="J52" s="40">
        <v>0</v>
      </c>
      <c r="K52" s="40"/>
      <c r="L52" s="40">
        <f t="shared" si="2"/>
        <v>224006035.57648808</v>
      </c>
      <c r="M52" s="40"/>
      <c r="N52" s="40">
        <f t="shared" si="3"/>
        <v>224852405.98798615</v>
      </c>
      <c r="O52" s="40"/>
      <c r="P52" s="40">
        <f t="shared" si="4"/>
        <v>5587414.4033018388</v>
      </c>
      <c r="Q52" s="40"/>
      <c r="R52" s="40">
        <f t="shared" si="5"/>
        <v>197511256.06438029</v>
      </c>
    </row>
    <row r="53" spans="1:18">
      <c r="A53" s="46">
        <f t="shared" si="6"/>
        <v>2048</v>
      </c>
      <c r="B53" s="40">
        <f t="shared" si="0"/>
        <v>1680045.2668236606</v>
      </c>
      <c r="C53" s="40"/>
      <c r="D53" s="40">
        <f t="shared" si="1"/>
        <v>-504013.58004709816</v>
      </c>
      <c r="E53" s="40"/>
      <c r="F53" s="40"/>
      <c r="G53" s="40"/>
      <c r="H53" s="40"/>
      <c r="I53" s="40"/>
      <c r="J53" s="40">
        <v>0</v>
      </c>
      <c r="K53" s="40"/>
      <c r="L53" s="40">
        <f t="shared" si="2"/>
        <v>222325990.30966443</v>
      </c>
      <c r="M53" s="40"/>
      <c r="N53" s="40">
        <f t="shared" si="3"/>
        <v>223166012.94307625</v>
      </c>
      <c r="O53" s="40"/>
      <c r="P53" s="40">
        <f t="shared" si="4"/>
        <v>5545508.7952770749</v>
      </c>
      <c r="Q53" s="40"/>
      <c r="R53" s="40">
        <f t="shared" si="5"/>
        <v>200872706.01278663</v>
      </c>
    </row>
    <row r="54" spans="1:18">
      <c r="A54" s="46">
        <f t="shared" si="6"/>
        <v>2049</v>
      </c>
      <c r="B54" s="40">
        <f t="shared" si="0"/>
        <v>1667444.9273224832</v>
      </c>
      <c r="C54" s="40"/>
      <c r="D54" s="40">
        <f t="shared" si="1"/>
        <v>-500233.47819674492</v>
      </c>
      <c r="E54" s="40"/>
      <c r="F54" s="40"/>
      <c r="G54" s="40"/>
      <c r="H54" s="40"/>
      <c r="I54" s="40"/>
      <c r="J54" s="40">
        <v>0</v>
      </c>
      <c r="K54" s="40"/>
      <c r="L54" s="40">
        <f t="shared" si="2"/>
        <v>220658545.38234195</v>
      </c>
      <c r="M54" s="40"/>
      <c r="N54" s="40">
        <f t="shared" si="3"/>
        <v>221492267.84600317</v>
      </c>
      <c r="O54" s="40"/>
      <c r="P54" s="40">
        <f t="shared" si="4"/>
        <v>5503917.4793124963</v>
      </c>
      <c r="Q54" s="40"/>
      <c r="R54" s="40">
        <f t="shared" si="5"/>
        <v>204208945.08657992</v>
      </c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>
        <v>0</v>
      </c>
      <c r="K55" s="40"/>
      <c r="L55" s="40">
        <f t="shared" si="2"/>
        <v>220658545.38234195</v>
      </c>
      <c r="M55" s="40"/>
      <c r="N55" s="40">
        <f t="shared" si="3"/>
        <v>220658545.38234195</v>
      </c>
      <c r="O55" s="40"/>
      <c r="P55" s="40">
        <f t="shared" si="4"/>
        <v>5483200.0985873556</v>
      </c>
      <c r="Q55" s="40"/>
      <c r="R55" s="40">
        <f t="shared" si="5"/>
        <v>209692145.18516728</v>
      </c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>
        <f t="shared" si="2"/>
        <v>220658545.38234195</v>
      </c>
      <c r="M56" s="40"/>
      <c r="N56" s="40">
        <f t="shared" si="3"/>
        <v>220658545.38234195</v>
      </c>
      <c r="O56" s="40"/>
      <c r="P56" s="40">
        <f t="shared" si="4"/>
        <v>5483200.0985873556</v>
      </c>
      <c r="Q56" s="40"/>
      <c r="R56" s="40">
        <f t="shared" si="5"/>
        <v>215175345.28375465</v>
      </c>
    </row>
    <row r="57" spans="1:18">
      <c r="A57" s="46">
        <f t="shared" si="6"/>
        <v>2052</v>
      </c>
      <c r="B57" s="40"/>
      <c r="C57" s="40"/>
      <c r="D57" s="40"/>
      <c r="E57" s="40"/>
      <c r="F57" s="40">
        <f>+L55</f>
        <v>220658545.38234195</v>
      </c>
      <c r="G57" s="40"/>
      <c r="H57" s="40"/>
      <c r="I57" s="40"/>
      <c r="J57" s="40"/>
      <c r="K57" s="40"/>
      <c r="L57" s="40">
        <f t="shared" si="2"/>
        <v>0</v>
      </c>
      <c r="M57" s="40"/>
      <c r="N57" s="40">
        <f>+L56</f>
        <v>220658545.38234195</v>
      </c>
      <c r="O57" s="40"/>
      <c r="P57" s="40">
        <f t="shared" si="4"/>
        <v>5483200.0985873556</v>
      </c>
      <c r="Q57" s="40"/>
      <c r="R57" s="40">
        <f t="shared" si="5"/>
        <v>5.9604644775390625E-8</v>
      </c>
    </row>
    <row r="58" spans="1:18">
      <c r="A58" s="46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2" t="s">
        <v>38</v>
      </c>
      <c r="B61" s="38">
        <f>SUM(B22:B57)</f>
        <v>62228944.141657896</v>
      </c>
      <c r="C61" s="38" t="s">
        <v>39</v>
      </c>
      <c r="D61" s="38">
        <f>SUM(D22:D57)</f>
        <v>-18668683.242497373</v>
      </c>
      <c r="E61" s="38">
        <v>0</v>
      </c>
      <c r="F61" s="38">
        <f>SUM(F22:F57)</f>
        <v>220658545.38234195</v>
      </c>
      <c r="G61" s="38" t="s">
        <v>39</v>
      </c>
      <c r="H61" s="38">
        <f>SUM(H22:H57)</f>
        <v>0</v>
      </c>
      <c r="I61" s="38">
        <v>0</v>
      </c>
      <c r="J61" s="38">
        <f>SUM(J22:J57)</f>
        <v>0</v>
      </c>
      <c r="K61" s="40"/>
      <c r="L61" s="40"/>
      <c r="M61" s="40"/>
      <c r="N61" s="38">
        <f>SUM(N22:N57)</f>
        <v>8928053716.2972527</v>
      </c>
      <c r="O61" s="40"/>
      <c r="P61" s="38">
        <f>SUM(P22:P57)</f>
        <v>221855468.74049062</v>
      </c>
      <c r="Q61" s="40"/>
      <c r="R61" s="4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activeCell="A2" sqref="A2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1" style="63" customWidth="1"/>
    <col min="9" max="9" width="1.85546875" style="63" customWidth="1"/>
    <col min="10" max="10" width="12.140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6.85546875" style="63" customWidth="1"/>
    <col min="15" max="15" width="1.85546875" style="63" customWidth="1"/>
    <col min="16" max="16" width="13.85546875" style="63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146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(D61+H61)/(B61+F61)</f>
        <v>-9.0349062655160461E-2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'!$J$1043</f>
        <v>27.144247512019493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N61/(L21+J61)</f>
        <v>29.831440767529433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56.975688279548926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0.60298538345147967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20051877.172126789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(L21+J61-D61-H61-R21)/N61</f>
        <v>1.6337249112492101E-2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1.5857476299692321E-3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1.4751501482522869E-2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Unit(Fcst)'!D49</f>
        <v>38601239.89121078</v>
      </c>
      <c r="M21" s="40"/>
      <c r="N21" s="40"/>
      <c r="O21" s="40"/>
      <c r="P21" s="40"/>
      <c r="Q21" s="40"/>
      <c r="R21" s="40">
        <f>'2016 YE Reserve by Unit(Fcst)'!D47</f>
        <v>23275983.437504284</v>
      </c>
    </row>
    <row r="22" spans="1:18">
      <c r="A22" s="46">
        <v>2017</v>
      </c>
      <c r="B22" s="40">
        <f>+L21*P$10</f>
        <v>416893.39082507644</v>
      </c>
      <c r="C22" s="40"/>
      <c r="D22" s="40">
        <f>+B22*P$2</f>
        <v>-125068.01724752292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38184346.500385702</v>
      </c>
      <c r="M22" s="40"/>
      <c r="N22" s="40">
        <f>(L21+L22)/2</f>
        <v>38392793.195798241</v>
      </c>
      <c r="O22" s="40"/>
      <c r="P22" s="40">
        <f>N22*$P$12</f>
        <v>627232.62656414753</v>
      </c>
      <c r="Q22" s="40"/>
      <c r="R22" s="40">
        <f>R21+P22-B22-F22+D22</f>
        <v>23361254.655995831</v>
      </c>
    </row>
    <row r="23" spans="1:18">
      <c r="A23" s="46">
        <f>A22+1</f>
        <v>2018</v>
      </c>
      <c r="B23" s="40">
        <f t="shared" ref="B23:B54" si="0">+L22*P$10</f>
        <v>412390.94220416562</v>
      </c>
      <c r="C23" s="40"/>
      <c r="D23" s="40">
        <f t="shared" ref="D23:D54" si="1">+B23*P$2</f>
        <v>-123717.28266124969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7" si="2">L22+J23-B23-F23</f>
        <v>37771955.558181539</v>
      </c>
      <c r="M23" s="40"/>
      <c r="N23" s="40">
        <f t="shared" ref="N23:N56" si="3">(L22+L23)/2</f>
        <v>37978151.02928362</v>
      </c>
      <c r="O23" s="40"/>
      <c r="P23" s="40">
        <f t="shared" ref="P23:P57" si="4">N23*$P$12</f>
        <v>620458.51419725479</v>
      </c>
      <c r="Q23" s="40"/>
      <c r="R23" s="40">
        <f t="shared" ref="R23:R57" si="5">R22+P23-B23-F23+D23</f>
        <v>23445604.945327673</v>
      </c>
    </row>
    <row r="24" spans="1:18">
      <c r="A24" s="46">
        <f t="shared" ref="A24:A57" si="6">A23+1</f>
        <v>2019</v>
      </c>
      <c r="B24" s="40">
        <f t="shared" si="0"/>
        <v>407937.12002836063</v>
      </c>
      <c r="C24" s="40"/>
      <c r="D24" s="40">
        <f t="shared" si="1"/>
        <v>-122381.13600850818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37364018.438153177</v>
      </c>
      <c r="M24" s="40"/>
      <c r="N24" s="40">
        <f t="shared" si="3"/>
        <v>37567986.998167358</v>
      </c>
      <c r="O24" s="40"/>
      <c r="P24" s="40">
        <f t="shared" si="4"/>
        <v>613757.56224392448</v>
      </c>
      <c r="Q24" s="40"/>
      <c r="R24" s="40">
        <f t="shared" si="5"/>
        <v>23529044.251534726</v>
      </c>
    </row>
    <row r="25" spans="1:18">
      <c r="A25" s="46">
        <f t="shared" si="6"/>
        <v>2020</v>
      </c>
      <c r="B25" s="40">
        <f t="shared" si="0"/>
        <v>403531.39913205436</v>
      </c>
      <c r="C25" s="40"/>
      <c r="D25" s="40">
        <f t="shared" si="1"/>
        <v>-121059.41973961631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36960487.039021119</v>
      </c>
      <c r="M25" s="40"/>
      <c r="N25" s="40">
        <f t="shared" si="3"/>
        <v>37162252.738587148</v>
      </c>
      <c r="O25" s="40"/>
      <c r="P25" s="40">
        <f t="shared" si="4"/>
        <v>607128.98057169002</v>
      </c>
      <c r="Q25" s="40"/>
      <c r="R25" s="40">
        <f t="shared" si="5"/>
        <v>23611582.413234748</v>
      </c>
    </row>
    <row r="26" spans="1:18">
      <c r="A26" s="46">
        <f t="shared" si="6"/>
        <v>2021</v>
      </c>
      <c r="B26" s="40">
        <f t="shared" si="0"/>
        <v>399173.26002142811</v>
      </c>
      <c r="C26" s="40"/>
      <c r="D26" s="40">
        <f t="shared" si="1"/>
        <v>-119751.97800642843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36561313.778999694</v>
      </c>
      <c r="M26" s="40"/>
      <c r="N26" s="40">
        <f t="shared" si="3"/>
        <v>36760900.40901041</v>
      </c>
      <c r="O26" s="40"/>
      <c r="P26" s="40">
        <f t="shared" si="4"/>
        <v>600571.9875815158</v>
      </c>
      <c r="Q26" s="40"/>
      <c r="R26" s="40">
        <f t="shared" si="5"/>
        <v>23693229.162788406</v>
      </c>
    </row>
    <row r="27" spans="1:18">
      <c r="A27" s="46">
        <f t="shared" si="6"/>
        <v>2022</v>
      </c>
      <c r="B27" s="40">
        <f t="shared" si="0"/>
        <v>394862.18881319673</v>
      </c>
      <c r="C27" s="40"/>
      <c r="D27" s="40">
        <f t="shared" si="1"/>
        <v>-118458.65664395901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36166451.590186499</v>
      </c>
      <c r="M27" s="40"/>
      <c r="N27" s="40">
        <f t="shared" si="3"/>
        <v>36363882.684593096</v>
      </c>
      <c r="O27" s="40"/>
      <c r="P27" s="40">
        <f t="shared" si="4"/>
        <v>594085.8101156354</v>
      </c>
      <c r="Q27" s="40"/>
      <c r="R27" s="40">
        <f t="shared" si="5"/>
        <v>23773994.127446882</v>
      </c>
    </row>
    <row r="28" spans="1:18">
      <c r="A28" s="46">
        <f t="shared" si="6"/>
        <v>2023</v>
      </c>
      <c r="B28" s="40">
        <f t="shared" si="0"/>
        <v>390597.67717401421</v>
      </c>
      <c r="C28" s="40"/>
      <c r="D28" s="40">
        <f t="shared" si="1"/>
        <v>-117179.30315220426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35775853.913012482</v>
      </c>
      <c r="M28" s="40"/>
      <c r="N28" s="40">
        <f t="shared" si="3"/>
        <v>35971152.751599491</v>
      </c>
      <c r="O28" s="40"/>
      <c r="P28" s="40">
        <f t="shared" si="4"/>
        <v>587669.68336638657</v>
      </c>
      <c r="Q28" s="40"/>
      <c r="R28" s="40">
        <f t="shared" si="5"/>
        <v>23853886.830487054</v>
      </c>
    </row>
    <row r="29" spans="1:18">
      <c r="A29" s="46">
        <f t="shared" si="6"/>
        <v>2024</v>
      </c>
      <c r="B29" s="40">
        <f t="shared" si="0"/>
        <v>386379.22226053482</v>
      </c>
      <c r="C29" s="40"/>
      <c r="D29" s="40">
        <f t="shared" si="1"/>
        <v>-115913.76667816045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35389474.690751947</v>
      </c>
      <c r="M29" s="40"/>
      <c r="N29" s="40">
        <f t="shared" si="3"/>
        <v>35582664.301882215</v>
      </c>
      <c r="O29" s="40"/>
      <c r="P29" s="40">
        <f t="shared" si="4"/>
        <v>581322.85078602959</v>
      </c>
      <c r="Q29" s="40"/>
      <c r="R29" s="40">
        <f t="shared" si="5"/>
        <v>23932916.692334387</v>
      </c>
    </row>
    <row r="30" spans="1:18">
      <c r="A30" s="46">
        <f t="shared" si="6"/>
        <v>2025</v>
      </c>
      <c r="B30" s="40">
        <f t="shared" si="0"/>
        <v>382206.32666012103</v>
      </c>
      <c r="C30" s="40"/>
      <c r="D30" s="40">
        <f t="shared" si="1"/>
        <v>-114661.89799803631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35007268.364091828</v>
      </c>
      <c r="M30" s="40"/>
      <c r="N30" s="40">
        <f t="shared" si="3"/>
        <v>35198371.527421892</v>
      </c>
      <c r="O30" s="40"/>
      <c r="P30" s="40">
        <f t="shared" si="4"/>
        <v>575044.56399754051</v>
      </c>
      <c r="Q30" s="40"/>
      <c r="R30" s="40">
        <f t="shared" si="5"/>
        <v>24011093.03167377</v>
      </c>
    </row>
    <row r="31" spans="1:18">
      <c r="A31" s="46">
        <f t="shared" si="6"/>
        <v>2026</v>
      </c>
      <c r="B31" s="40">
        <f t="shared" si="0"/>
        <v>378078.49833219178</v>
      </c>
      <c r="C31" s="40"/>
      <c r="D31" s="40">
        <f t="shared" si="1"/>
        <v>-113423.54949965753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34629189.865759633</v>
      </c>
      <c r="M31" s="40"/>
      <c r="N31" s="40">
        <f t="shared" si="3"/>
        <v>34818229.114925727</v>
      </c>
      <c r="O31" s="40"/>
      <c r="P31" s="40">
        <f t="shared" si="4"/>
        <v>568834.0827063669</v>
      </c>
      <c r="Q31" s="40"/>
      <c r="R31" s="40">
        <f t="shared" si="5"/>
        <v>24088425.066548288</v>
      </c>
    </row>
    <row r="32" spans="1:18">
      <c r="A32" s="46">
        <f t="shared" si="6"/>
        <v>2027</v>
      </c>
      <c r="B32" s="40">
        <f t="shared" si="0"/>
        <v>373995.25055020407</v>
      </c>
      <c r="C32" s="40"/>
      <c r="D32" s="40">
        <f t="shared" si="1"/>
        <v>-112198.57516506122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34255194.61520943</v>
      </c>
      <c r="M32" s="40"/>
      <c r="N32" s="40">
        <f t="shared" si="3"/>
        <v>34442192.240484536</v>
      </c>
      <c r="O32" s="40"/>
      <c r="P32" s="40">
        <f t="shared" si="4"/>
        <v>562690.67461313831</v>
      </c>
      <c r="Q32" s="40"/>
      <c r="R32" s="40">
        <f t="shared" si="5"/>
        <v>24164921.915446162</v>
      </c>
    </row>
    <row r="33" spans="1:18">
      <c r="A33" s="46">
        <f t="shared" si="6"/>
        <v>2028</v>
      </c>
      <c r="B33" s="40">
        <f t="shared" si="0"/>
        <v>369956.10184426187</v>
      </c>
      <c r="C33" s="40"/>
      <c r="D33" s="40">
        <f t="shared" si="1"/>
        <v>-110986.83055327856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33885238.513365172</v>
      </c>
      <c r="M33" s="40"/>
      <c r="N33" s="40">
        <f t="shared" si="3"/>
        <v>34070216.564287305</v>
      </c>
      <c r="O33" s="40"/>
      <c r="P33" s="40">
        <f t="shared" si="4"/>
        <v>556613.61532731645</v>
      </c>
      <c r="Q33" s="40"/>
      <c r="R33" s="40">
        <f t="shared" si="5"/>
        <v>24240592.598375939</v>
      </c>
    </row>
    <row r="34" spans="1:18">
      <c r="A34" s="46">
        <f t="shared" si="6"/>
        <v>2029</v>
      </c>
      <c r="B34" s="40">
        <f t="shared" si="0"/>
        <v>365960.57594434387</v>
      </c>
      <c r="C34" s="40"/>
      <c r="D34" s="40">
        <f t="shared" si="1"/>
        <v>-109788.17278330316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33519277.937420826</v>
      </c>
      <c r="M34" s="40"/>
      <c r="N34" s="40">
        <f t="shared" si="3"/>
        <v>33702258.225392997</v>
      </c>
      <c r="O34" s="40"/>
      <c r="P34" s="40">
        <f t="shared" si="4"/>
        <v>550602.18828178139</v>
      </c>
      <c r="Q34" s="40"/>
      <c r="R34" s="40">
        <f t="shared" si="5"/>
        <v>24315446.037930071</v>
      </c>
    </row>
    <row r="35" spans="1:18">
      <c r="A35" s="46">
        <f t="shared" si="6"/>
        <v>2030</v>
      </c>
      <c r="B35" s="40">
        <f t="shared" si="0"/>
        <v>362008.20172414492</v>
      </c>
      <c r="C35" s="40"/>
      <c r="D35" s="40">
        <f t="shared" si="1"/>
        <v>-108602.46051724347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33157269.735696681</v>
      </c>
      <c r="M35" s="40"/>
      <c r="N35" s="40">
        <f t="shared" si="3"/>
        <v>33338273.836558752</v>
      </c>
      <c r="O35" s="40"/>
      <c r="P35" s="40">
        <f t="shared" si="4"/>
        <v>544655.68464833812</v>
      </c>
      <c r="Q35" s="40"/>
      <c r="R35" s="40">
        <f t="shared" si="5"/>
        <v>24389491.060337022</v>
      </c>
    </row>
    <row r="36" spans="1:18">
      <c r="A36" s="46">
        <f t="shared" si="6"/>
        <v>2031</v>
      </c>
      <c r="B36" s="40">
        <f t="shared" si="0"/>
        <v>358098.51314552419</v>
      </c>
      <c r="C36" s="40"/>
      <c r="D36" s="40">
        <f t="shared" si="1"/>
        <v>-107429.55394365726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32799171.222551156</v>
      </c>
      <c r="M36" s="40"/>
      <c r="N36" s="40">
        <f t="shared" si="3"/>
        <v>32978220.47912392</v>
      </c>
      <c r="O36" s="40"/>
      <c r="P36" s="40">
        <f t="shared" si="4"/>
        <v>538773.40325413609</v>
      </c>
      <c r="Q36" s="40"/>
      <c r="R36" s="40">
        <f t="shared" si="5"/>
        <v>24462736.396501977</v>
      </c>
    </row>
    <row r="37" spans="1:18">
      <c r="A37" s="46">
        <f t="shared" si="6"/>
        <v>2032</v>
      </c>
      <c r="B37" s="40">
        <f t="shared" si="0"/>
        <v>354231.04920355248</v>
      </c>
      <c r="C37" s="40"/>
      <c r="D37" s="40">
        <f t="shared" si="1"/>
        <v>-106269.31476106575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32444940.173347604</v>
      </c>
      <c r="M37" s="40"/>
      <c r="N37" s="40">
        <f t="shared" si="3"/>
        <v>32622055.69794938</v>
      </c>
      <c r="O37" s="40"/>
      <c r="P37" s="40">
        <f t="shared" si="4"/>
        <v>532954.65049899137</v>
      </c>
      <c r="Q37" s="40"/>
      <c r="R37" s="40">
        <f t="shared" si="5"/>
        <v>24535190.68303635</v>
      </c>
    </row>
    <row r="38" spans="1:18">
      <c r="A38" s="46">
        <f t="shared" si="6"/>
        <v>2033</v>
      </c>
      <c r="B38" s="40">
        <f t="shared" si="0"/>
        <v>350405.35387215414</v>
      </c>
      <c r="C38" s="40"/>
      <c r="D38" s="40">
        <f t="shared" si="1"/>
        <v>-105121.60616164624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32094534.81947545</v>
      </c>
      <c r="M38" s="40"/>
      <c r="N38" s="40">
        <f t="shared" si="3"/>
        <v>32269737.496411525</v>
      </c>
      <c r="O38" s="40"/>
      <c r="P38" s="40">
        <f t="shared" si="4"/>
        <v>527198.74027360219</v>
      </c>
      <c r="Q38" s="40"/>
      <c r="R38" s="40">
        <f t="shared" si="5"/>
        <v>24606862.463276152</v>
      </c>
    </row>
    <row r="39" spans="1:18">
      <c r="A39" s="46">
        <f t="shared" si="6"/>
        <v>2034</v>
      </c>
      <c r="B39" s="40">
        <f t="shared" si="0"/>
        <v>346620.97605033487</v>
      </c>
      <c r="C39" s="40"/>
      <c r="D39" s="40">
        <f t="shared" si="1"/>
        <v>-103986.29281510046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31747913.843425114</v>
      </c>
      <c r="M39" s="40"/>
      <c r="N39" s="40">
        <f t="shared" si="3"/>
        <v>31921224.331450284</v>
      </c>
      <c r="O39" s="40"/>
      <c r="P39" s="40">
        <f t="shared" si="4"/>
        <v>521504.99387864739</v>
      </c>
      <c r="Q39" s="40"/>
      <c r="R39" s="40">
        <f t="shared" si="5"/>
        <v>24677760.188289363</v>
      </c>
    </row>
    <row r="40" spans="1:18">
      <c r="A40" s="46">
        <f t="shared" si="6"/>
        <v>2035</v>
      </c>
      <c r="B40" s="40">
        <f t="shared" si="0"/>
        <v>342877.46950899123</v>
      </c>
      <c r="C40" s="40"/>
      <c r="D40" s="40">
        <f t="shared" si="1"/>
        <v>-102863.24085269736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31405036.373916123</v>
      </c>
      <c r="M40" s="40"/>
      <c r="N40" s="40">
        <f t="shared" si="3"/>
        <v>31576475.108670618</v>
      </c>
      <c r="O40" s="40"/>
      <c r="P40" s="40">
        <f t="shared" si="4"/>
        <v>515872.73994475795</v>
      </c>
      <c r="Q40" s="40"/>
      <c r="R40" s="40">
        <f t="shared" si="5"/>
        <v>24747892.217872433</v>
      </c>
    </row>
    <row r="41" spans="1:18">
      <c r="A41" s="46">
        <f t="shared" si="6"/>
        <v>2036</v>
      </c>
      <c r="B41" s="40">
        <f t="shared" si="0"/>
        <v>339174.39283829415</v>
      </c>
      <c r="C41" s="40"/>
      <c r="D41" s="40">
        <f t="shared" si="1"/>
        <v>-101752.31785148825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31065861.981077828</v>
      </c>
      <c r="M41" s="40"/>
      <c r="N41" s="40">
        <f t="shared" si="3"/>
        <v>31235449.177496977</v>
      </c>
      <c r="O41" s="40"/>
      <c r="P41" s="40">
        <f t="shared" si="4"/>
        <v>510301.31435335462</v>
      </c>
      <c r="Q41" s="40"/>
      <c r="R41" s="40">
        <f t="shared" si="5"/>
        <v>24817266.821536005</v>
      </c>
    </row>
    <row r="42" spans="1:18">
      <c r="A42" s="46">
        <f t="shared" si="6"/>
        <v>2037</v>
      </c>
      <c r="B42" s="40">
        <f t="shared" si="0"/>
        <v>335511.30939564056</v>
      </c>
      <c r="C42" s="40"/>
      <c r="D42" s="40">
        <f t="shared" si="1"/>
        <v>-100653.39281869217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30730350.671682186</v>
      </c>
      <c r="M42" s="40"/>
      <c r="N42" s="40">
        <f t="shared" si="3"/>
        <v>30898106.326380007</v>
      </c>
      <c r="O42" s="40"/>
      <c r="P42" s="40">
        <f t="shared" si="4"/>
        <v>504790.06015833834</v>
      </c>
      <c r="Q42" s="40"/>
      <c r="R42" s="40">
        <f t="shared" si="5"/>
        <v>24885892.179480009</v>
      </c>
    </row>
    <row r="43" spans="1:18">
      <c r="A43" s="46">
        <f t="shared" si="6"/>
        <v>2038</v>
      </c>
      <c r="B43" s="40">
        <f t="shared" si="0"/>
        <v>331887.7872541676</v>
      </c>
      <c r="C43" s="40"/>
      <c r="D43" s="40">
        <f t="shared" si="1"/>
        <v>-99566.336176250275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30398462.884428021</v>
      </c>
      <c r="M43" s="40"/>
      <c r="N43" s="40">
        <f t="shared" si="3"/>
        <v>30564406.778055102</v>
      </c>
      <c r="O43" s="40"/>
      <c r="P43" s="40">
        <f t="shared" si="4"/>
        <v>499338.32750862825</v>
      </c>
      <c r="Q43" s="40"/>
      <c r="R43" s="40">
        <f t="shared" si="5"/>
        <v>24953776.383558221</v>
      </c>
    </row>
    <row r="44" spans="1:18">
      <c r="A44" s="46">
        <f t="shared" si="6"/>
        <v>2039</v>
      </c>
      <c r="B44" s="40">
        <f t="shared" si="0"/>
        <v>328303.39915182267</v>
      </c>
      <c r="C44" s="40"/>
      <c r="D44" s="40">
        <f t="shared" si="1"/>
        <v>-98491.019745546801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30070159.485276196</v>
      </c>
      <c r="M44" s="40"/>
      <c r="N44" s="40">
        <f t="shared" si="3"/>
        <v>30234311.184852108</v>
      </c>
      <c r="O44" s="40"/>
      <c r="P44" s="40">
        <f t="shared" si="4"/>
        <v>493945.47357153508</v>
      </c>
      <c r="Q44" s="40"/>
      <c r="R44" s="40">
        <f t="shared" si="5"/>
        <v>25020927.438232385</v>
      </c>
    </row>
    <row r="45" spans="1:18">
      <c r="A45" s="46">
        <f t="shared" si="6"/>
        <v>2040</v>
      </c>
      <c r="B45" s="40">
        <f t="shared" si="0"/>
        <v>324757.72244098294</v>
      </c>
      <c r="C45" s="40"/>
      <c r="D45" s="40">
        <f t="shared" si="1"/>
        <v>-97427.316732294872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29745401.762835212</v>
      </c>
      <c r="M45" s="40"/>
      <c r="N45" s="40">
        <f t="shared" si="3"/>
        <v>29907780.624055706</v>
      </c>
      <c r="O45" s="40"/>
      <c r="P45" s="40">
        <f t="shared" si="4"/>
        <v>488610.86245696252</v>
      </c>
      <c r="Q45" s="40"/>
      <c r="R45" s="40">
        <f t="shared" si="5"/>
        <v>25087353.261516068</v>
      </c>
    </row>
    <row r="46" spans="1:18">
      <c r="A46" s="46">
        <f t="shared" si="6"/>
        <v>2041</v>
      </c>
      <c r="B46" s="40">
        <f t="shared" si="0"/>
        <v>321250.3390386203</v>
      </c>
      <c r="C46" s="40"/>
      <c r="D46" s="40">
        <f t="shared" si="1"/>
        <v>-96375.101711586089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29424151.42379659</v>
      </c>
      <c r="M46" s="40"/>
      <c r="N46" s="40">
        <f t="shared" si="3"/>
        <v>29584776.593315899</v>
      </c>
      <c r="O46" s="40"/>
      <c r="P46" s="40">
        <f t="shared" si="4"/>
        <v>483333.86514242727</v>
      </c>
      <c r="Q46" s="40"/>
      <c r="R46" s="40">
        <f t="shared" si="5"/>
        <v>25153061.685908288</v>
      </c>
    </row>
    <row r="47" spans="1:18">
      <c r="A47" s="46">
        <f t="shared" si="6"/>
        <v>2042</v>
      </c>
      <c r="B47" s="40">
        <f t="shared" si="0"/>
        <v>317780.83537700318</v>
      </c>
      <c r="C47" s="40"/>
      <c r="D47" s="40">
        <f t="shared" si="1"/>
        <v>-95334.250613100958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29106370.588419586</v>
      </c>
      <c r="M47" s="40"/>
      <c r="N47" s="40">
        <f t="shared" si="3"/>
        <v>29265261.00610809</v>
      </c>
      <c r="O47" s="40"/>
      <c r="P47" s="40">
        <f t="shared" si="4"/>
        <v>478113.85939888906</v>
      </c>
      <c r="Q47" s="40"/>
      <c r="R47" s="40">
        <f t="shared" si="5"/>
        <v>25218060.459317073</v>
      </c>
    </row>
    <row r="48" spans="1:18">
      <c r="A48" s="46">
        <f t="shared" si="6"/>
        <v>2043</v>
      </c>
      <c r="B48" s="40">
        <f t="shared" si="0"/>
        <v>314348.80235493154</v>
      </c>
      <c r="C48" s="40"/>
      <c r="D48" s="40">
        <f t="shared" si="1"/>
        <v>-94304.640706479462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28792021.786064655</v>
      </c>
      <c r="M48" s="40"/>
      <c r="N48" s="40">
        <f t="shared" si="3"/>
        <v>28949196.187242121</v>
      </c>
      <c r="O48" s="40"/>
      <c r="P48" s="40">
        <f t="shared" si="4"/>
        <v>472950.22971738101</v>
      </c>
      <c r="Q48" s="40"/>
      <c r="R48" s="40">
        <f t="shared" si="5"/>
        <v>25282357.245973043</v>
      </c>
    </row>
    <row r="49" spans="1:18">
      <c r="A49" s="46">
        <f t="shared" si="6"/>
        <v>2044</v>
      </c>
      <c r="B49" s="40">
        <f t="shared" si="0"/>
        <v>310953.83528949827</v>
      </c>
      <c r="C49" s="40"/>
      <c r="D49" s="40">
        <f t="shared" si="1"/>
        <v>-93286.150586849471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28481067.950775158</v>
      </c>
      <c r="M49" s="40"/>
      <c r="N49" s="40">
        <f t="shared" si="3"/>
        <v>28636544.868419908</v>
      </c>
      <c r="O49" s="40"/>
      <c r="P49" s="40">
        <f t="shared" si="4"/>
        <v>467842.36723643338</v>
      </c>
      <c r="Q49" s="40"/>
      <c r="R49" s="40">
        <f t="shared" si="5"/>
        <v>25345959.627333127</v>
      </c>
    </row>
    <row r="50" spans="1:18">
      <c r="A50" s="46">
        <f t="shared" si="6"/>
        <v>2045</v>
      </c>
      <c r="B50" s="40">
        <f t="shared" si="0"/>
        <v>307595.53386837174</v>
      </c>
      <c r="C50" s="40"/>
      <c r="D50" s="40">
        <f t="shared" si="1"/>
        <v>-92278.660160511514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28173472.416906785</v>
      </c>
      <c r="M50" s="40"/>
      <c r="N50" s="40">
        <f t="shared" si="3"/>
        <v>28327270.183840971</v>
      </c>
      <c r="O50" s="40"/>
      <c r="P50" s="40">
        <f t="shared" si="4"/>
        <v>462789.66967027984</v>
      </c>
      <c r="Q50" s="40"/>
      <c r="R50" s="40">
        <f t="shared" si="5"/>
        <v>25408875.102974523</v>
      </c>
    </row>
    <row r="51" spans="1:18">
      <c r="A51" s="46">
        <f t="shared" si="6"/>
        <v>2046</v>
      </c>
      <c r="B51" s="40">
        <f t="shared" si="0"/>
        <v>304273.50210259331</v>
      </c>
      <c r="C51" s="40"/>
      <c r="D51" s="40">
        <f t="shared" si="1"/>
        <v>-91282.050630777987</v>
      </c>
      <c r="E51" s="40"/>
      <c r="F51" s="40"/>
      <c r="G51" s="40"/>
      <c r="H51" s="40"/>
      <c r="I51" s="40"/>
      <c r="J51" s="40">
        <v>0</v>
      </c>
      <c r="K51" s="40"/>
      <c r="L51" s="40">
        <f t="shared" si="2"/>
        <v>27869198.91480419</v>
      </c>
      <c r="M51" s="40"/>
      <c r="N51" s="40">
        <f t="shared" si="3"/>
        <v>28021335.66585549</v>
      </c>
      <c r="O51" s="40"/>
      <c r="P51" s="40">
        <f t="shared" si="4"/>
        <v>457791.54123784084</v>
      </c>
      <c r="Q51" s="40"/>
      <c r="R51" s="40">
        <f t="shared" si="5"/>
        <v>25471111.091478992</v>
      </c>
    </row>
    <row r="52" spans="1:18">
      <c r="A52" s="46">
        <f t="shared" si="6"/>
        <v>2047</v>
      </c>
      <c r="B52" s="40">
        <f t="shared" si="0"/>
        <v>300987.34827988525</v>
      </c>
      <c r="C52" s="40"/>
      <c r="D52" s="40">
        <f t="shared" si="1"/>
        <v>-90296.204483965572</v>
      </c>
      <c r="E52" s="40"/>
      <c r="F52" s="40"/>
      <c r="G52" s="40"/>
      <c r="H52" s="40"/>
      <c r="I52" s="40"/>
      <c r="J52" s="40">
        <v>0</v>
      </c>
      <c r="K52" s="40"/>
      <c r="L52" s="40">
        <f t="shared" si="2"/>
        <v>27568211.566524304</v>
      </c>
      <c r="M52" s="40"/>
      <c r="N52" s="40">
        <f t="shared" si="3"/>
        <v>27718705.240664247</v>
      </c>
      <c r="O52" s="40"/>
      <c r="P52" s="40">
        <f t="shared" si="4"/>
        <v>452847.39259247214</v>
      </c>
      <c r="Q52" s="40"/>
      <c r="R52" s="40">
        <f t="shared" si="5"/>
        <v>25532674.93130761</v>
      </c>
    </row>
    <row r="53" spans="1:18">
      <c r="A53" s="46">
        <f t="shared" si="6"/>
        <v>2048</v>
      </c>
      <c r="B53" s="40">
        <f t="shared" si="0"/>
        <v>297736.68491846253</v>
      </c>
      <c r="C53" s="40"/>
      <c r="D53" s="40">
        <f t="shared" si="1"/>
        <v>-89321.005475538754</v>
      </c>
      <c r="E53" s="40"/>
      <c r="F53" s="40"/>
      <c r="G53" s="40"/>
      <c r="H53" s="40"/>
      <c r="I53" s="40"/>
      <c r="J53" s="40">
        <v>0</v>
      </c>
      <c r="K53" s="40"/>
      <c r="L53" s="40">
        <f t="shared" si="2"/>
        <v>27270474.881605841</v>
      </c>
      <c r="M53" s="40"/>
      <c r="N53" s="40">
        <f t="shared" si="3"/>
        <v>27419343.224065073</v>
      </c>
      <c r="O53" s="40"/>
      <c r="P53" s="40">
        <f t="shared" si="4"/>
        <v>447956.64075247338</v>
      </c>
      <c r="Q53" s="40"/>
      <c r="R53" s="40">
        <f t="shared" si="5"/>
        <v>25593573.881666079</v>
      </c>
    </row>
    <row r="54" spans="1:18">
      <c r="A54" s="46">
        <f t="shared" si="6"/>
        <v>2049</v>
      </c>
      <c r="B54" s="40">
        <f t="shared" si="0"/>
        <v>294521.12872134312</v>
      </c>
      <c r="C54" s="40"/>
      <c r="D54" s="40">
        <f t="shared" si="1"/>
        <v>-88356.338616402936</v>
      </c>
      <c r="E54" s="40"/>
      <c r="F54" s="40"/>
      <c r="G54" s="40"/>
      <c r="H54" s="40"/>
      <c r="I54" s="40"/>
      <c r="J54" s="40">
        <v>0</v>
      </c>
      <c r="K54" s="40"/>
      <c r="L54" s="40">
        <f t="shared" si="2"/>
        <v>26975953.7528845</v>
      </c>
      <c r="M54" s="40"/>
      <c r="N54" s="40">
        <f t="shared" si="3"/>
        <v>27123214.31724517</v>
      </c>
      <c r="O54" s="40"/>
      <c r="P54" s="40">
        <f t="shared" si="4"/>
        <v>443118.70903234667</v>
      </c>
      <c r="Q54" s="40"/>
      <c r="R54" s="40">
        <f t="shared" si="5"/>
        <v>25653815.123360679</v>
      </c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>
        <v>0</v>
      </c>
      <c r="K55" s="40"/>
      <c r="L55" s="40">
        <f t="shared" si="2"/>
        <v>26975953.7528845</v>
      </c>
      <c r="M55" s="40"/>
      <c r="N55" s="40">
        <f t="shared" si="3"/>
        <v>26975953.7528845</v>
      </c>
      <c r="O55" s="40"/>
      <c r="P55" s="40">
        <f t="shared" si="4"/>
        <v>440712.87650794024</v>
      </c>
      <c r="Q55" s="40"/>
      <c r="R55" s="40">
        <f t="shared" si="5"/>
        <v>26094527.99986862</v>
      </c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>
        <f t="shared" si="2"/>
        <v>26975953.7528845</v>
      </c>
      <c r="M56" s="40"/>
      <c r="N56" s="40">
        <f t="shared" si="3"/>
        <v>26975953.7528845</v>
      </c>
      <c r="O56" s="40"/>
      <c r="P56" s="40">
        <f t="shared" si="4"/>
        <v>440712.87650794024</v>
      </c>
      <c r="Q56" s="40"/>
      <c r="R56" s="40">
        <f t="shared" si="5"/>
        <v>26535240.876376562</v>
      </c>
    </row>
    <row r="57" spans="1:18">
      <c r="A57" s="46">
        <f t="shared" si="6"/>
        <v>2052</v>
      </c>
      <c r="B57" s="40"/>
      <c r="C57" s="40"/>
      <c r="D57" s="40"/>
      <c r="E57" s="40"/>
      <c r="F57" s="40">
        <f>+L55</f>
        <v>26975953.7528845</v>
      </c>
      <c r="G57" s="40"/>
      <c r="H57" s="40"/>
      <c r="I57" s="40"/>
      <c r="J57" s="40"/>
      <c r="K57" s="40"/>
      <c r="L57" s="40">
        <f t="shared" si="2"/>
        <v>0</v>
      </c>
      <c r="M57" s="40"/>
      <c r="N57" s="40">
        <f>+L56</f>
        <v>26975953.7528845</v>
      </c>
      <c r="O57" s="40"/>
      <c r="P57" s="40">
        <f t="shared" si="4"/>
        <v>440712.87650794024</v>
      </c>
      <c r="Q57" s="40"/>
      <c r="R57" s="40">
        <f t="shared" si="5"/>
        <v>3.7252902984619141E-9</v>
      </c>
    </row>
    <row r="58" spans="1:18">
      <c r="A58" s="46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2" t="s">
        <v>38</v>
      </c>
      <c r="B61" s="38">
        <f>SUM(B22:B57)</f>
        <v>11625286.138326274</v>
      </c>
      <c r="C61" s="38" t="s">
        <v>39</v>
      </c>
      <c r="D61" s="38">
        <f>SUM(D22:D57)</f>
        <v>-3487585.8414978813</v>
      </c>
      <c r="E61" s="38">
        <v>0</v>
      </c>
      <c r="F61" s="38">
        <f>SUM(F22:F57)</f>
        <v>26975953.7528845</v>
      </c>
      <c r="G61" s="38" t="s">
        <v>39</v>
      </c>
      <c r="H61" s="38">
        <f>SUM(H22:H57)</f>
        <v>0</v>
      </c>
      <c r="I61" s="38">
        <v>0</v>
      </c>
      <c r="J61" s="38">
        <f>SUM(J22:J57)</f>
        <v>0</v>
      </c>
      <c r="K61" s="40"/>
      <c r="L61" s="40"/>
      <c r="M61" s="40"/>
      <c r="N61" s="38">
        <f>SUM(N22:N57)</f>
        <v>1151530601.3678486</v>
      </c>
      <c r="O61" s="40"/>
      <c r="P61" s="38">
        <f>SUM(P22:P57)</f>
        <v>18812842.295204386</v>
      </c>
      <c r="Q61" s="40"/>
      <c r="R61" s="40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13" workbookViewId="0">
      <selection activeCell="A58" sqref="A58:XFD58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1" style="63" customWidth="1"/>
    <col min="9" max="9" width="1.85546875" style="63" customWidth="1"/>
    <col min="10" max="10" width="12.140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6.85546875" style="63" customWidth="1"/>
    <col min="15" max="15" width="1.85546875" style="63" customWidth="1"/>
    <col min="16" max="16" width="13.85546875" style="63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146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(D61+H61)/(B61+F61)</f>
        <v>-1.6084943353698977E-2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'!$J$1086</f>
        <v>18.084309548059633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N61/(L21+J61)</f>
        <v>32.785976706580875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50.870286254640504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0.38169732551441937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5792692.2196043227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(L21+J61-D61-H61-R21)/N61</f>
        <v>1.9349358523516057E-2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3.161952593146981E-4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1.9033163264201361E-2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Unit(Fcst)'!D50</f>
        <v>16036614.420999998</v>
      </c>
      <c r="M21" s="40"/>
      <c r="N21" s="40"/>
      <c r="O21" s="40"/>
      <c r="P21" s="40"/>
      <c r="Q21" s="40"/>
      <c r="R21" s="40">
        <f>'2016 YE Reserve by Unit(Fcst)'!D48</f>
        <v>6121132.8348016683</v>
      </c>
    </row>
    <row r="22" spans="1:18">
      <c r="A22" s="46">
        <v>2017</v>
      </c>
      <c r="B22" s="40">
        <f>+L21*P$10</f>
        <v>84994.056431299992</v>
      </c>
      <c r="C22" s="40"/>
      <c r="D22" s="40">
        <f>+B22*P$2</f>
        <v>-8499.4056431299996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15951620.364568699</v>
      </c>
      <c r="M22" s="40"/>
      <c r="N22" s="40">
        <f>(L21+L22)/2</f>
        <v>15994117.39278435</v>
      </c>
      <c r="O22" s="40"/>
      <c r="P22" s="40">
        <f>N22*$P$12</f>
        <v>309475.9117001883</v>
      </c>
      <c r="Q22" s="40"/>
      <c r="R22" s="40">
        <f>R21+P22-B22-F22+D22</f>
        <v>6337115.2844274268</v>
      </c>
    </row>
    <row r="23" spans="1:18">
      <c r="A23" s="46">
        <f>A22+1</f>
        <v>2018</v>
      </c>
      <c r="B23" s="40">
        <f t="shared" ref="B23:B44" si="0">+L22*P$10</f>
        <v>84543.587932214112</v>
      </c>
      <c r="C23" s="40"/>
      <c r="D23" s="40">
        <f t="shared" ref="D23:D44" si="1">+B23*P$2</f>
        <v>-8454.3587932214123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4" si="2">L22+J23-B23-F23</f>
        <v>15867076.776636485</v>
      </c>
      <c r="M23" s="40"/>
      <c r="N23" s="40">
        <f t="shared" ref="N23:N44" si="3">(L22+L23)/2</f>
        <v>15909348.570602592</v>
      </c>
      <c r="O23" s="40"/>
      <c r="P23" s="40">
        <f t="shared" ref="P23:P44" si="4">N23*$P$12</f>
        <v>307835.68936817726</v>
      </c>
      <c r="Q23" s="40"/>
      <c r="R23" s="40">
        <f t="shared" ref="R23:R44" si="5">R22+P23-B23-F23+D23</f>
        <v>6551953.0270701684</v>
      </c>
    </row>
    <row r="24" spans="1:18">
      <c r="A24" s="46">
        <f t="shared" ref="A24:A57" si="6">A23+1</f>
        <v>2019</v>
      </c>
      <c r="B24" s="40">
        <f t="shared" si="0"/>
        <v>84095.50691617337</v>
      </c>
      <c r="C24" s="40"/>
      <c r="D24" s="40">
        <f t="shared" si="1"/>
        <v>-8409.5506916173381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15782981.269720312</v>
      </c>
      <c r="M24" s="40"/>
      <c r="N24" s="40">
        <f t="shared" si="3"/>
        <v>15825029.023178399</v>
      </c>
      <c r="O24" s="40"/>
      <c r="P24" s="40">
        <f t="shared" si="4"/>
        <v>306204.16021452594</v>
      </c>
      <c r="Q24" s="40"/>
      <c r="R24" s="40">
        <f t="shared" si="5"/>
        <v>6765652.1296769027</v>
      </c>
    </row>
    <row r="25" spans="1:18">
      <c r="A25" s="46">
        <f t="shared" si="6"/>
        <v>2020</v>
      </c>
      <c r="B25" s="40">
        <f t="shared" si="0"/>
        <v>83649.80072951765</v>
      </c>
      <c r="C25" s="40"/>
      <c r="D25" s="40">
        <f t="shared" si="1"/>
        <v>-8364.9800729517647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15699331.468990795</v>
      </c>
      <c r="M25" s="40"/>
      <c r="N25" s="40">
        <f t="shared" si="3"/>
        <v>15741156.369355554</v>
      </c>
      <c r="O25" s="40"/>
      <c r="P25" s="40">
        <f t="shared" si="4"/>
        <v>304581.27816538897</v>
      </c>
      <c r="Q25" s="40"/>
      <c r="R25" s="40">
        <f t="shared" si="5"/>
        <v>6978218.6270398218</v>
      </c>
    </row>
    <row r="26" spans="1:18">
      <c r="A26" s="46">
        <f t="shared" si="6"/>
        <v>2021</v>
      </c>
      <c r="B26" s="40">
        <f t="shared" si="0"/>
        <v>83206.456785651215</v>
      </c>
      <c r="C26" s="40"/>
      <c r="D26" s="40">
        <f t="shared" si="1"/>
        <v>-8320.6456785651226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15616125.012205144</v>
      </c>
      <c r="M26" s="40"/>
      <c r="N26" s="40">
        <f t="shared" si="3"/>
        <v>15657728.240597971</v>
      </c>
      <c r="O26" s="40"/>
      <c r="P26" s="40">
        <f t="shared" si="4"/>
        <v>302966.99739111244</v>
      </c>
      <c r="Q26" s="40"/>
      <c r="R26" s="40">
        <f t="shared" si="5"/>
        <v>7189658.5219667181</v>
      </c>
    </row>
    <row r="27" spans="1:18">
      <c r="A27" s="46">
        <f t="shared" si="6"/>
        <v>2022</v>
      </c>
      <c r="B27" s="40">
        <f t="shared" si="0"/>
        <v>82765.462564687259</v>
      </c>
      <c r="C27" s="40"/>
      <c r="D27" s="40">
        <f t="shared" si="1"/>
        <v>-8276.5462564687259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15533359.549640456</v>
      </c>
      <c r="M27" s="40"/>
      <c r="N27" s="40">
        <f t="shared" si="3"/>
        <v>15574742.2809228</v>
      </c>
      <c r="O27" s="40"/>
      <c r="P27" s="40">
        <f t="shared" si="4"/>
        <v>301361.27230493951</v>
      </c>
      <c r="Q27" s="40"/>
      <c r="R27" s="40">
        <f t="shared" si="5"/>
        <v>7399977.7854505014</v>
      </c>
    </row>
    <row r="28" spans="1:18">
      <c r="A28" s="46">
        <f t="shared" si="6"/>
        <v>2023</v>
      </c>
      <c r="B28" s="40">
        <f t="shared" si="0"/>
        <v>82326.805613094417</v>
      </c>
      <c r="C28" s="40"/>
      <c r="D28" s="40">
        <f t="shared" si="1"/>
        <v>-8232.6805613094421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15451032.744027361</v>
      </c>
      <c r="M28" s="40"/>
      <c r="N28" s="40">
        <f t="shared" si="3"/>
        <v>15492196.146833908</v>
      </c>
      <c r="O28" s="40"/>
      <c r="P28" s="40">
        <f t="shared" si="4"/>
        <v>299764.05756172328</v>
      </c>
      <c r="Q28" s="40"/>
      <c r="R28" s="40">
        <f t="shared" si="5"/>
        <v>7609182.3568378212</v>
      </c>
    </row>
    <row r="29" spans="1:18">
      <c r="A29" s="46">
        <f t="shared" si="6"/>
        <v>2024</v>
      </c>
      <c r="B29" s="40">
        <f t="shared" si="0"/>
        <v>81890.473543345011</v>
      </c>
      <c r="C29" s="40"/>
      <c r="D29" s="40">
        <f t="shared" si="1"/>
        <v>-8189.0473543345015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15369142.270484015</v>
      </c>
      <c r="M29" s="40"/>
      <c r="N29" s="40">
        <f t="shared" si="3"/>
        <v>15410087.507255688</v>
      </c>
      <c r="O29" s="40"/>
      <c r="P29" s="40">
        <f t="shared" si="4"/>
        <v>298175.30805664614</v>
      </c>
      <c r="Q29" s="40"/>
      <c r="R29" s="40">
        <f t="shared" si="5"/>
        <v>7817278.1439967873</v>
      </c>
    </row>
    <row r="30" spans="1:18">
      <c r="A30" s="46">
        <f t="shared" si="6"/>
        <v>2025</v>
      </c>
      <c r="B30" s="40">
        <f t="shared" si="0"/>
        <v>81456.454033565285</v>
      </c>
      <c r="C30" s="40"/>
      <c r="D30" s="40">
        <f t="shared" si="1"/>
        <v>-8145.6454033565287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15287685.816450451</v>
      </c>
      <c r="M30" s="40"/>
      <c r="N30" s="40">
        <f t="shared" si="3"/>
        <v>15328414.043467233</v>
      </c>
      <c r="O30" s="40"/>
      <c r="P30" s="40">
        <f t="shared" si="4"/>
        <v>296594.97892394592</v>
      </c>
      <c r="Q30" s="40"/>
      <c r="R30" s="40">
        <f t="shared" si="5"/>
        <v>8024271.0234838109</v>
      </c>
    </row>
    <row r="31" spans="1:18">
      <c r="A31" s="46">
        <f t="shared" si="6"/>
        <v>2026</v>
      </c>
      <c r="B31" s="40">
        <f t="shared" si="0"/>
        <v>81024.734827187393</v>
      </c>
      <c r="C31" s="40"/>
      <c r="D31" s="40">
        <f t="shared" si="1"/>
        <v>-8102.4734827187394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15206661.081623264</v>
      </c>
      <c r="M31" s="40"/>
      <c r="N31" s="40">
        <f t="shared" si="3"/>
        <v>15247173.449036857</v>
      </c>
      <c r="O31" s="40"/>
      <c r="P31" s="40">
        <f t="shared" si="4"/>
        <v>295023.02553564904</v>
      </c>
      <c r="Q31" s="40"/>
      <c r="R31" s="40">
        <f t="shared" si="5"/>
        <v>8230166.8407095531</v>
      </c>
    </row>
    <row r="32" spans="1:18">
      <c r="A32" s="46">
        <f t="shared" si="6"/>
        <v>2027</v>
      </c>
      <c r="B32" s="40">
        <f t="shared" si="0"/>
        <v>80595.303732603294</v>
      </c>
      <c r="C32" s="40"/>
      <c r="D32" s="40">
        <f t="shared" si="1"/>
        <v>-8059.5303732603297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15126065.77789066</v>
      </c>
      <c r="M32" s="40"/>
      <c r="N32" s="40">
        <f t="shared" si="3"/>
        <v>15166363.429756962</v>
      </c>
      <c r="O32" s="40"/>
      <c r="P32" s="40">
        <f t="shared" si="4"/>
        <v>293459.40350031009</v>
      </c>
      <c r="Q32" s="40"/>
      <c r="R32" s="40">
        <f t="shared" si="5"/>
        <v>8434971.4101039991</v>
      </c>
    </row>
    <row r="33" spans="1:18">
      <c r="A33" s="46">
        <f t="shared" si="6"/>
        <v>2028</v>
      </c>
      <c r="B33" s="40">
        <f t="shared" si="0"/>
        <v>80168.148622820503</v>
      </c>
      <c r="C33" s="40"/>
      <c r="D33" s="40">
        <f t="shared" si="1"/>
        <v>-8016.8148622820509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15045897.62926784</v>
      </c>
      <c r="M33" s="40"/>
      <c r="N33" s="40">
        <f t="shared" si="3"/>
        <v>15085981.703579251</v>
      </c>
      <c r="O33" s="40"/>
      <c r="P33" s="40">
        <f t="shared" si="4"/>
        <v>291904.06866175844</v>
      </c>
      <c r="Q33" s="40"/>
      <c r="R33" s="40">
        <f t="shared" si="5"/>
        <v>8638690.5152806547</v>
      </c>
    </row>
    <row r="34" spans="1:18">
      <c r="A34" s="46">
        <f t="shared" si="6"/>
        <v>2029</v>
      </c>
      <c r="B34" s="40">
        <f t="shared" si="0"/>
        <v>79743.257435119551</v>
      </c>
      <c r="C34" s="40"/>
      <c r="D34" s="40">
        <f t="shared" si="1"/>
        <v>-7974.3257435119558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14966154.371832721</v>
      </c>
      <c r="M34" s="40"/>
      <c r="N34" s="40">
        <f t="shared" si="3"/>
        <v>15006026.000550281</v>
      </c>
      <c r="O34" s="40"/>
      <c r="P34" s="40">
        <f t="shared" si="4"/>
        <v>290356.97709785117</v>
      </c>
      <c r="Q34" s="40"/>
      <c r="R34" s="40">
        <f t="shared" si="5"/>
        <v>8841329.9091998748</v>
      </c>
    </row>
    <row r="35" spans="1:18">
      <c r="A35" s="46">
        <f t="shared" si="6"/>
        <v>2030</v>
      </c>
      <c r="B35" s="40">
        <f t="shared" si="0"/>
        <v>79320.618170713424</v>
      </c>
      <c r="C35" s="40"/>
      <c r="D35" s="40">
        <f t="shared" si="1"/>
        <v>-7932.0618170713424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14886833.753662007</v>
      </c>
      <c r="M35" s="40"/>
      <c r="N35" s="40">
        <f t="shared" si="3"/>
        <v>14926494.062747363</v>
      </c>
      <c r="O35" s="40"/>
      <c r="P35" s="40">
        <f t="shared" si="4"/>
        <v>288818.08511923254</v>
      </c>
      <c r="Q35" s="40"/>
      <c r="R35" s="40">
        <f t="shared" si="5"/>
        <v>9042895.3143313229</v>
      </c>
    </row>
    <row r="36" spans="1:18">
      <c r="A36" s="46">
        <f t="shared" si="6"/>
        <v>2031</v>
      </c>
      <c r="B36" s="40">
        <f t="shared" si="0"/>
        <v>78900.218894408637</v>
      </c>
      <c r="C36" s="40"/>
      <c r="D36" s="40">
        <f t="shared" si="1"/>
        <v>-7890.0218894408645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14807933.534767598</v>
      </c>
      <c r="M36" s="40"/>
      <c r="N36" s="40">
        <f t="shared" si="3"/>
        <v>14847383.644214801</v>
      </c>
      <c r="O36" s="40"/>
      <c r="P36" s="40">
        <f t="shared" si="4"/>
        <v>287287.34926810057</v>
      </c>
      <c r="Q36" s="40"/>
      <c r="R36" s="40">
        <f t="shared" si="5"/>
        <v>9243392.4228155743</v>
      </c>
    </row>
    <row r="37" spans="1:18">
      <c r="A37" s="46">
        <f t="shared" si="6"/>
        <v>2032</v>
      </c>
      <c r="B37" s="40">
        <f t="shared" si="0"/>
        <v>78482.047734268272</v>
      </c>
      <c r="C37" s="40"/>
      <c r="D37" s="40">
        <f t="shared" si="1"/>
        <v>-7848.2047734268272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14729451.48703333</v>
      </c>
      <c r="M37" s="40"/>
      <c r="N37" s="40">
        <f t="shared" si="3"/>
        <v>14768692.510900464</v>
      </c>
      <c r="O37" s="40"/>
      <c r="P37" s="40">
        <f t="shared" si="4"/>
        <v>285764.72631697968</v>
      </c>
      <c r="Q37" s="40"/>
      <c r="R37" s="40">
        <f t="shared" si="5"/>
        <v>9442826.8966248594</v>
      </c>
    </row>
    <row r="38" spans="1:18">
      <c r="A38" s="46">
        <f t="shared" si="6"/>
        <v>2033</v>
      </c>
      <c r="B38" s="40">
        <f t="shared" si="0"/>
        <v>78066.092881276651</v>
      </c>
      <c r="C38" s="40"/>
      <c r="D38" s="40">
        <f t="shared" si="1"/>
        <v>-7806.6092881276654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14651385.394152053</v>
      </c>
      <c r="M38" s="40"/>
      <c r="N38" s="40">
        <f t="shared" si="3"/>
        <v>14690418.440592691</v>
      </c>
      <c r="O38" s="40"/>
      <c r="P38" s="40">
        <f t="shared" si="4"/>
        <v>284250.17326749966</v>
      </c>
      <c r="Q38" s="40"/>
      <c r="R38" s="40">
        <f t="shared" si="5"/>
        <v>9641204.3677229546</v>
      </c>
    </row>
    <row r="39" spans="1:18">
      <c r="A39" s="46">
        <f t="shared" si="6"/>
        <v>2034</v>
      </c>
      <c r="B39" s="40">
        <f t="shared" si="0"/>
        <v>77652.342589005886</v>
      </c>
      <c r="C39" s="40"/>
      <c r="D39" s="40">
        <f t="shared" si="1"/>
        <v>-7765.2342589005893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14573733.051563047</v>
      </c>
      <c r="M39" s="40"/>
      <c r="N39" s="40">
        <f t="shared" si="3"/>
        <v>14612559.22285755</v>
      </c>
      <c r="O39" s="40"/>
      <c r="P39" s="40">
        <f t="shared" si="4"/>
        <v>282743.64734918193</v>
      </c>
      <c r="Q39" s="40"/>
      <c r="R39" s="40">
        <f t="shared" si="5"/>
        <v>9838530.43822423</v>
      </c>
    </row>
    <row r="40" spans="1:18">
      <c r="A40" s="46">
        <f t="shared" si="6"/>
        <v>2035</v>
      </c>
      <c r="B40" s="40">
        <f t="shared" si="0"/>
        <v>77240.785173284152</v>
      </c>
      <c r="C40" s="40"/>
      <c r="D40" s="40">
        <f t="shared" si="1"/>
        <v>-7724.0785173284157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14496492.266389763</v>
      </c>
      <c r="M40" s="40"/>
      <c r="N40" s="40">
        <f t="shared" si="3"/>
        <v>14535112.658976406</v>
      </c>
      <c r="O40" s="40"/>
      <c r="P40" s="40">
        <f t="shared" si="4"/>
        <v>281245.10601823125</v>
      </c>
      <c r="Q40" s="40"/>
      <c r="R40" s="40">
        <f t="shared" si="5"/>
        <v>10034810.680551847</v>
      </c>
    </row>
    <row r="41" spans="1:18">
      <c r="A41" s="46">
        <f t="shared" si="6"/>
        <v>2036</v>
      </c>
      <c r="B41" s="40">
        <f t="shared" si="0"/>
        <v>76831.409011865748</v>
      </c>
      <c r="C41" s="40"/>
      <c r="D41" s="40">
        <f t="shared" si="1"/>
        <v>-7683.1409011865753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14419660.857377898</v>
      </c>
      <c r="M41" s="40"/>
      <c r="N41" s="40">
        <f t="shared" si="3"/>
        <v>14458076.56188383</v>
      </c>
      <c r="O41" s="40"/>
      <c r="P41" s="40">
        <f t="shared" si="4"/>
        <v>279754.50695633463</v>
      </c>
      <c r="Q41" s="40"/>
      <c r="R41" s="40">
        <f t="shared" si="5"/>
        <v>10230050.63759513</v>
      </c>
    </row>
    <row r="42" spans="1:18">
      <c r="A42" s="46">
        <f t="shared" si="6"/>
        <v>2037</v>
      </c>
      <c r="B42" s="40">
        <f t="shared" si="0"/>
        <v>76424.202544102853</v>
      </c>
      <c r="C42" s="40"/>
      <c r="D42" s="40">
        <f t="shared" si="1"/>
        <v>-7642.4202544102855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14343236.654833796</v>
      </c>
      <c r="M42" s="40"/>
      <c r="N42" s="40">
        <f t="shared" si="3"/>
        <v>14381448.756105848</v>
      </c>
      <c r="O42" s="40"/>
      <c r="P42" s="40">
        <f t="shared" si="4"/>
        <v>278271.80806946609</v>
      </c>
      <c r="Q42" s="40"/>
      <c r="R42" s="40">
        <f t="shared" si="5"/>
        <v>10424255.822866082</v>
      </c>
    </row>
    <row r="43" spans="1:18">
      <c r="A43" s="46">
        <f t="shared" si="6"/>
        <v>2038</v>
      </c>
      <c r="B43" s="40">
        <f t="shared" si="0"/>
        <v>76019.15427061911</v>
      </c>
      <c r="C43" s="40"/>
      <c r="D43" s="40">
        <f t="shared" si="1"/>
        <v>-7601.915427061911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14267217.500563176</v>
      </c>
      <c r="M43" s="40"/>
      <c r="N43" s="40">
        <f t="shared" si="3"/>
        <v>14305227.077698486</v>
      </c>
      <c r="O43" s="40"/>
      <c r="P43" s="40">
        <f t="shared" si="4"/>
        <v>276796.96748669789</v>
      </c>
      <c r="Q43" s="40"/>
      <c r="R43" s="40">
        <f t="shared" si="5"/>
        <v>10617431.720655099</v>
      </c>
    </row>
    <row r="44" spans="1:18">
      <c r="A44" s="46">
        <f t="shared" si="6"/>
        <v>2039</v>
      </c>
      <c r="B44" s="40">
        <f t="shared" si="0"/>
        <v>75616.25275298483</v>
      </c>
      <c r="C44" s="40"/>
      <c r="D44" s="40">
        <f t="shared" si="1"/>
        <v>-7561.6252752984838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14191601.247810192</v>
      </c>
      <c r="M44" s="40"/>
      <c r="N44" s="40">
        <f t="shared" si="3"/>
        <v>14229409.374186683</v>
      </c>
      <c r="O44" s="40"/>
      <c r="P44" s="40">
        <f t="shared" si="4"/>
        <v>275329.94355901837</v>
      </c>
      <c r="Q44" s="40"/>
      <c r="R44" s="40">
        <f t="shared" si="5"/>
        <v>10809583.786185835</v>
      </c>
    </row>
    <row r="45" spans="1:18">
      <c r="A45" s="46">
        <f t="shared" si="6"/>
        <v>2040</v>
      </c>
      <c r="B45" s="40">
        <f t="shared" ref="B45:B54" si="7">+L44*P$10</f>
        <v>75215.486613394023</v>
      </c>
      <c r="C45" s="40"/>
      <c r="D45" s="40">
        <f t="shared" ref="D45:D54" si="8">+B45*P$2</f>
        <v>-7521.5486613394023</v>
      </c>
      <c r="E45" s="40"/>
      <c r="F45" s="40"/>
      <c r="G45" s="40"/>
      <c r="H45" s="40"/>
      <c r="I45" s="40"/>
      <c r="J45" s="40">
        <v>0</v>
      </c>
      <c r="K45" s="40"/>
      <c r="L45" s="40">
        <f t="shared" ref="L45:L55" si="9">L44+J45-B45-F45</f>
        <v>14116385.761196798</v>
      </c>
      <c r="M45" s="40"/>
      <c r="N45" s="40">
        <f t="shared" ref="N45:N55" si="10">(L44+L45)/2</f>
        <v>14153993.504503496</v>
      </c>
      <c r="O45" s="40"/>
      <c r="P45" s="40">
        <f t="shared" ref="P45:P55" si="11">N45*$P$12</f>
        <v>273870.69485815562</v>
      </c>
      <c r="Q45" s="40"/>
      <c r="R45" s="40">
        <f t="shared" ref="R45:R55" si="12">R44+P45-B45-F45+D45</f>
        <v>11000717.445769256</v>
      </c>
    </row>
    <row r="46" spans="1:18">
      <c r="A46" s="46">
        <f t="shared" si="6"/>
        <v>2041</v>
      </c>
      <c r="B46" s="40">
        <f t="shared" si="7"/>
        <v>74816.844534343021</v>
      </c>
      <c r="C46" s="40"/>
      <c r="D46" s="40">
        <f t="shared" si="8"/>
        <v>-7481.6844534343027</v>
      </c>
      <c r="E46" s="40"/>
      <c r="F46" s="40"/>
      <c r="G46" s="40"/>
      <c r="H46" s="40"/>
      <c r="I46" s="40"/>
      <c r="J46" s="40">
        <v>0</v>
      </c>
      <c r="K46" s="40"/>
      <c r="L46" s="40">
        <f t="shared" si="9"/>
        <v>14041568.916662455</v>
      </c>
      <c r="M46" s="40"/>
      <c r="N46" s="40">
        <f t="shared" si="10"/>
        <v>14078977.338929627</v>
      </c>
      <c r="O46" s="40"/>
      <c r="P46" s="40">
        <f t="shared" si="11"/>
        <v>272419.18017540738</v>
      </c>
      <c r="Q46" s="40"/>
      <c r="R46" s="40">
        <f t="shared" si="12"/>
        <v>11190838.096956886</v>
      </c>
    </row>
    <row r="47" spans="1:18">
      <c r="A47" s="46">
        <f t="shared" si="6"/>
        <v>2042</v>
      </c>
      <c r="B47" s="40">
        <f t="shared" si="7"/>
        <v>74420.315258311006</v>
      </c>
      <c r="C47" s="40"/>
      <c r="D47" s="40">
        <f t="shared" si="8"/>
        <v>-7442.0315258311011</v>
      </c>
      <c r="E47" s="40"/>
      <c r="F47" s="40"/>
      <c r="G47" s="40"/>
      <c r="H47" s="40"/>
      <c r="I47" s="40"/>
      <c r="J47" s="40">
        <v>0</v>
      </c>
      <c r="K47" s="40"/>
      <c r="L47" s="40">
        <f t="shared" si="9"/>
        <v>13967148.601404143</v>
      </c>
      <c r="M47" s="40"/>
      <c r="N47" s="40">
        <f t="shared" si="10"/>
        <v>14004358.7590333</v>
      </c>
      <c r="O47" s="40"/>
      <c r="P47" s="40">
        <f t="shared" si="11"/>
        <v>270975.35852047772</v>
      </c>
      <c r="Q47" s="40"/>
      <c r="R47" s="40">
        <f t="shared" si="12"/>
        <v>11379951.108693222</v>
      </c>
    </row>
    <row r="48" spans="1:18">
      <c r="A48" s="46">
        <f t="shared" si="6"/>
        <v>2043</v>
      </c>
      <c r="B48" s="40">
        <f t="shared" si="7"/>
        <v>74025.887587441961</v>
      </c>
      <c r="C48" s="40"/>
      <c r="D48" s="40">
        <f t="shared" si="8"/>
        <v>-7402.5887587441966</v>
      </c>
      <c r="E48" s="40"/>
      <c r="F48" s="40"/>
      <c r="G48" s="40"/>
      <c r="H48" s="40"/>
      <c r="I48" s="40"/>
      <c r="J48" s="40">
        <v>0</v>
      </c>
      <c r="K48" s="40"/>
      <c r="L48" s="40">
        <f t="shared" si="9"/>
        <v>13893122.713816702</v>
      </c>
      <c r="M48" s="40"/>
      <c r="N48" s="40">
        <f t="shared" si="10"/>
        <v>13930135.657610424</v>
      </c>
      <c r="O48" s="40"/>
      <c r="P48" s="40">
        <f t="shared" si="11"/>
        <v>269539.18912031921</v>
      </c>
      <c r="Q48" s="40"/>
      <c r="R48" s="40">
        <f t="shared" si="12"/>
        <v>11568061.821467355</v>
      </c>
    </row>
    <row r="49" spans="1:18">
      <c r="A49" s="46">
        <f t="shared" si="6"/>
        <v>2044</v>
      </c>
      <c r="B49" s="40">
        <f t="shared" si="7"/>
        <v>73633.550383228518</v>
      </c>
      <c r="C49" s="40"/>
      <c r="D49" s="40">
        <f t="shared" si="8"/>
        <v>-7363.3550383228521</v>
      </c>
      <c r="E49" s="40"/>
      <c r="F49" s="40"/>
      <c r="G49" s="40"/>
      <c r="H49" s="40"/>
      <c r="I49" s="40"/>
      <c r="J49" s="40">
        <v>0</v>
      </c>
      <c r="K49" s="40"/>
      <c r="L49" s="40">
        <f t="shared" si="9"/>
        <v>13819489.163433474</v>
      </c>
      <c r="M49" s="40"/>
      <c r="N49" s="40">
        <f t="shared" si="10"/>
        <v>13856305.938625088</v>
      </c>
      <c r="O49" s="40"/>
      <c r="P49" s="40">
        <f t="shared" si="11"/>
        <v>268110.63141798152</v>
      </c>
      <c r="Q49" s="40"/>
      <c r="R49" s="40">
        <f t="shared" si="12"/>
        <v>11755175.547463786</v>
      </c>
    </row>
    <row r="50" spans="1:18">
      <c r="A50" s="46">
        <f t="shared" si="6"/>
        <v>2045</v>
      </c>
      <c r="B50" s="40">
        <f t="shared" si="7"/>
        <v>73243.292566197415</v>
      </c>
      <c r="C50" s="40"/>
      <c r="D50" s="40">
        <f t="shared" si="8"/>
        <v>-7324.3292566197415</v>
      </c>
      <c r="E50" s="40"/>
      <c r="F50" s="40"/>
      <c r="G50" s="40"/>
      <c r="H50" s="40"/>
      <c r="I50" s="40"/>
      <c r="J50" s="40">
        <v>0</v>
      </c>
      <c r="K50" s="40"/>
      <c r="L50" s="40">
        <f t="shared" si="9"/>
        <v>13746245.870867277</v>
      </c>
      <c r="M50" s="40"/>
      <c r="N50" s="40">
        <f t="shared" si="10"/>
        <v>13782867.517150376</v>
      </c>
      <c r="O50" s="40"/>
      <c r="P50" s="40">
        <f t="shared" si="11"/>
        <v>266689.64507146622</v>
      </c>
      <c r="Q50" s="40"/>
      <c r="R50" s="40">
        <f t="shared" si="12"/>
        <v>11941297.570712434</v>
      </c>
    </row>
    <row r="51" spans="1:18">
      <c r="A51" s="46">
        <f t="shared" si="6"/>
        <v>2046</v>
      </c>
      <c r="B51" s="40">
        <f t="shared" si="7"/>
        <v>72855.103115596561</v>
      </c>
      <c r="C51" s="40"/>
      <c r="D51" s="40">
        <f t="shared" si="8"/>
        <v>-7285.5103115596567</v>
      </c>
      <c r="E51" s="40"/>
      <c r="F51" s="40"/>
      <c r="G51" s="40"/>
      <c r="H51" s="40"/>
      <c r="I51" s="40"/>
      <c r="J51" s="40">
        <v>0</v>
      </c>
      <c r="K51" s="40"/>
      <c r="L51" s="40">
        <f t="shared" si="9"/>
        <v>13673390.767751681</v>
      </c>
      <c r="M51" s="40"/>
      <c r="N51" s="40">
        <f t="shared" si="10"/>
        <v>13709818.319309479</v>
      </c>
      <c r="O51" s="40"/>
      <c r="P51" s="40">
        <f t="shared" si="11"/>
        <v>265276.18995258748</v>
      </c>
      <c r="Q51" s="40"/>
      <c r="R51" s="40">
        <f t="shared" si="12"/>
        <v>12126433.147237867</v>
      </c>
    </row>
    <row r="52" spans="1:18">
      <c r="A52" s="46">
        <f t="shared" si="6"/>
        <v>2047</v>
      </c>
      <c r="B52" s="40">
        <f t="shared" si="7"/>
        <v>72468.971069083913</v>
      </c>
      <c r="C52" s="40"/>
      <c r="D52" s="40">
        <f t="shared" si="8"/>
        <v>-7246.8971069083918</v>
      </c>
      <c r="E52" s="40"/>
      <c r="F52" s="40"/>
      <c r="G52" s="40"/>
      <c r="H52" s="40"/>
      <c r="I52" s="40"/>
      <c r="J52" s="40">
        <v>0</v>
      </c>
      <c r="K52" s="40"/>
      <c r="L52" s="40">
        <f t="shared" si="9"/>
        <v>13600921.796682596</v>
      </c>
      <c r="M52" s="40"/>
      <c r="N52" s="40">
        <f t="shared" si="10"/>
        <v>13637156.282217138</v>
      </c>
      <c r="O52" s="40"/>
      <c r="P52" s="40">
        <f t="shared" si="11"/>
        <v>263870.22614583874</v>
      </c>
      <c r="Q52" s="40"/>
      <c r="R52" s="40">
        <f t="shared" si="12"/>
        <v>12310587.505207714</v>
      </c>
    </row>
    <row r="53" spans="1:18">
      <c r="A53" s="46">
        <f t="shared" si="6"/>
        <v>2048</v>
      </c>
      <c r="B53" s="40">
        <f t="shared" si="7"/>
        <v>72084.885522417753</v>
      </c>
      <c r="C53" s="40"/>
      <c r="D53" s="40">
        <f t="shared" si="8"/>
        <v>-7208.4885522417753</v>
      </c>
      <c r="E53" s="40"/>
      <c r="F53" s="40"/>
      <c r="G53" s="40"/>
      <c r="H53" s="40"/>
      <c r="I53" s="40"/>
      <c r="J53" s="40">
        <v>0</v>
      </c>
      <c r="K53" s="40"/>
      <c r="L53" s="40">
        <f t="shared" si="9"/>
        <v>13528836.911160178</v>
      </c>
      <c r="M53" s="40"/>
      <c r="N53" s="40">
        <f t="shared" si="10"/>
        <v>13564879.353921387</v>
      </c>
      <c r="O53" s="40"/>
      <c r="P53" s="40">
        <f t="shared" si="11"/>
        <v>262471.71394726576</v>
      </c>
      <c r="Q53" s="40"/>
      <c r="R53" s="40">
        <f t="shared" si="12"/>
        <v>12493765.84508032</v>
      </c>
    </row>
    <row r="54" spans="1:18">
      <c r="A54" s="46">
        <f t="shared" si="6"/>
        <v>2049</v>
      </c>
      <c r="B54" s="40">
        <f t="shared" si="7"/>
        <v>71702.835629148947</v>
      </c>
      <c r="C54" s="40"/>
      <c r="D54" s="40">
        <f t="shared" si="8"/>
        <v>-7170.2835629148949</v>
      </c>
      <c r="E54" s="40"/>
      <c r="F54" s="40"/>
      <c r="G54" s="40"/>
      <c r="H54" s="40"/>
      <c r="I54" s="40"/>
      <c r="J54" s="40">
        <v>0</v>
      </c>
      <c r="K54" s="40"/>
      <c r="L54" s="40">
        <f t="shared" si="9"/>
        <v>13457134.07553103</v>
      </c>
      <c r="M54" s="40"/>
      <c r="N54" s="40">
        <f t="shared" si="10"/>
        <v>13492985.493345603</v>
      </c>
      <c r="O54" s="40"/>
      <c r="P54" s="40">
        <f t="shared" si="11"/>
        <v>261080.61386334526</v>
      </c>
      <c r="Q54" s="40"/>
      <c r="R54" s="40">
        <f t="shared" si="12"/>
        <v>12675973.339751601</v>
      </c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>
        <v>0</v>
      </c>
      <c r="K55" s="40"/>
      <c r="L55" s="40">
        <f t="shared" si="9"/>
        <v>13457134.07553103</v>
      </c>
      <c r="M55" s="40"/>
      <c r="N55" s="40">
        <f t="shared" si="10"/>
        <v>13457134.07553103</v>
      </c>
      <c r="O55" s="40"/>
      <c r="P55" s="40">
        <f t="shared" si="11"/>
        <v>260386.91192647471</v>
      </c>
      <c r="Q55" s="40"/>
      <c r="R55" s="40">
        <f t="shared" si="12"/>
        <v>12936360.251678076</v>
      </c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>
        <f t="shared" ref="L56:L57" si="13">L55+J56-B56-F56</f>
        <v>13457134.07553103</v>
      </c>
      <c r="M56" s="40"/>
      <c r="N56" s="40">
        <f t="shared" ref="N56" si="14">(L55+L56)/2</f>
        <v>13457134.07553103</v>
      </c>
      <c r="O56" s="40"/>
      <c r="P56" s="40">
        <f t="shared" ref="P56:P57" si="15">N56*$P$12</f>
        <v>260386.91192647471</v>
      </c>
      <c r="Q56" s="40"/>
      <c r="R56" s="40">
        <f t="shared" ref="R56:R57" si="16">R55+P56-B56-F56+D56</f>
        <v>13196747.16360455</v>
      </c>
    </row>
    <row r="57" spans="1:18">
      <c r="A57" s="46">
        <f t="shared" si="6"/>
        <v>2052</v>
      </c>
      <c r="B57" s="40"/>
      <c r="C57" s="40"/>
      <c r="D57" s="40"/>
      <c r="E57" s="40"/>
      <c r="F57" s="40">
        <f>+L55</f>
        <v>13457134.07553103</v>
      </c>
      <c r="G57" s="40"/>
      <c r="H57" s="40"/>
      <c r="I57" s="40"/>
      <c r="J57" s="40"/>
      <c r="K57" s="40"/>
      <c r="L57" s="40">
        <f t="shared" si="13"/>
        <v>0</v>
      </c>
      <c r="M57" s="40"/>
      <c r="N57" s="40">
        <f>+L56</f>
        <v>13457134.07553103</v>
      </c>
      <c r="O57" s="40"/>
      <c r="P57" s="40">
        <f t="shared" si="15"/>
        <v>260386.91192647471</v>
      </c>
      <c r="Q57" s="40"/>
      <c r="R57" s="40">
        <f t="shared" si="16"/>
        <v>-5.5879354476928711E-9</v>
      </c>
    </row>
    <row r="58" spans="1:18">
      <c r="A58" s="46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2" t="s">
        <v>38</v>
      </c>
      <c r="B61" s="38">
        <f>SUM(B22:B57)</f>
        <v>2579480.3454689714</v>
      </c>
      <c r="C61" s="38" t="s">
        <v>39</v>
      </c>
      <c r="D61" s="38">
        <f>SUM(D22:D57)</f>
        <v>-257948.03454689714</v>
      </c>
      <c r="E61" s="38">
        <v>0</v>
      </c>
      <c r="F61" s="38">
        <f>SUM(F22:F57)</f>
        <v>13457134.07553103</v>
      </c>
      <c r="G61" s="38" t="s">
        <v>39</v>
      </c>
      <c r="H61" s="38">
        <f>SUM(H22:H57)</f>
        <v>0</v>
      </c>
      <c r="I61" s="38">
        <v>0</v>
      </c>
      <c r="J61" s="38">
        <f>SUM(J22:J57)</f>
        <v>0</v>
      </c>
      <c r="K61" s="40"/>
      <c r="L61" s="40"/>
      <c r="M61" s="40"/>
      <c r="N61" s="38">
        <f>SUM(N22:N57)</f>
        <v>525776066.85932493</v>
      </c>
      <c r="O61" s="40"/>
      <c r="P61" s="38">
        <f>SUM(P22:P57)</f>
        <v>10173429.620745227</v>
      </c>
      <c r="Q61" s="40"/>
      <c r="R61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P5" sqref="P5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138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(D33+H33)/(B33+F33)</f>
        <v>-3.1381615729348059E-3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'!$J$83</f>
        <v>21.681539394067073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N33/(L21+J33)</f>
        <v>7.8426055322517376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29.524144926318812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0.47954312420666978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2805297.8704223763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(L21+J33-D33-H33-R21)/N33</f>
        <v>6.6762893430384287E-2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1.0629136189266377E-4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6.6656602068491624E-2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Unit(Fcst)'!D14</f>
        <v>3808074.5712587554</v>
      </c>
      <c r="M21" s="40"/>
      <c r="N21" s="40"/>
      <c r="O21" s="40"/>
      <c r="P21" s="40"/>
      <c r="Q21" s="40"/>
      <c r="R21" s="40">
        <f>'2016 YE Reserve by Unit(Fcst)'!D13</f>
        <v>1826135.977113398</v>
      </c>
    </row>
    <row r="22" spans="1:18">
      <c r="A22" s="46">
        <v>2017</v>
      </c>
      <c r="B22" s="40">
        <f>+L21*P$10</f>
        <v>20182.795227671402</v>
      </c>
      <c r="C22" s="40"/>
      <c r="D22" s="40">
        <f>+B22*P$2</f>
        <v>-2018.2795227671404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3787891.7760310839</v>
      </c>
      <c r="M22" s="40"/>
      <c r="N22" s="40">
        <f>(L21+L22)/2</f>
        <v>3797983.1736449199</v>
      </c>
      <c r="O22" s="40"/>
      <c r="P22" s="40">
        <f>N22*$P$12</f>
        <v>253564.3458724485</v>
      </c>
      <c r="Q22" s="40"/>
      <c r="R22" s="40">
        <f>R21+P22-B22-F22+D22</f>
        <v>2057499.248235408</v>
      </c>
    </row>
    <row r="23" spans="1:18">
      <c r="A23" s="46">
        <f>A22+1</f>
        <v>2018</v>
      </c>
      <c r="B23" s="40">
        <f t="shared" ref="B23:B27" si="0">+L22*P$10</f>
        <v>20075.826412964743</v>
      </c>
      <c r="C23" s="40"/>
      <c r="D23" s="40">
        <f t="shared" ref="D23:D29" si="1">+B23*P$2</f>
        <v>-2007.5826412964743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29" si="2">L22+J23-B23-F23</f>
        <v>3767815.9496181193</v>
      </c>
      <c r="M23" s="40"/>
      <c r="N23" s="40">
        <f t="shared" ref="N23:N28" si="3">(L22+L23)/2</f>
        <v>3777853.8628246016</v>
      </c>
      <c r="O23" s="40"/>
      <c r="P23" s="40">
        <f t="shared" ref="P23:P29" si="4">N23*$P$12</f>
        <v>252220.45483932449</v>
      </c>
      <c r="Q23" s="40"/>
      <c r="R23" s="40">
        <f t="shared" ref="R23:R29" si="5">R22+P23-B23-F23+D23</f>
        <v>2287636.2940204712</v>
      </c>
    </row>
    <row r="24" spans="1:18">
      <c r="A24" s="46">
        <f t="shared" ref="A24:A29" si="6">A23+1</f>
        <v>2019</v>
      </c>
      <c r="B24" s="40">
        <f t="shared" si="0"/>
        <v>19969.424532976031</v>
      </c>
      <c r="C24" s="40"/>
      <c r="D24" s="40">
        <f t="shared" si="1"/>
        <v>-1996.9424532976032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3747846.5250851433</v>
      </c>
      <c r="M24" s="40"/>
      <c r="N24" s="40">
        <f t="shared" si="3"/>
        <v>3757831.2373516313</v>
      </c>
      <c r="O24" s="40"/>
      <c r="P24" s="40">
        <f t="shared" si="4"/>
        <v>250883.68642867607</v>
      </c>
      <c r="Q24" s="40"/>
      <c r="R24" s="40">
        <f t="shared" si="5"/>
        <v>2516553.6134628733</v>
      </c>
    </row>
    <row r="25" spans="1:18">
      <c r="A25" s="46">
        <f t="shared" si="6"/>
        <v>2020</v>
      </c>
      <c r="B25" s="40">
        <f t="shared" si="0"/>
        <v>19863.586582951259</v>
      </c>
      <c r="C25" s="40"/>
      <c r="D25" s="40">
        <f t="shared" si="1"/>
        <v>-1986.3586582951259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3727982.938502192</v>
      </c>
      <c r="M25" s="40"/>
      <c r="N25" s="40">
        <f t="shared" si="3"/>
        <v>3737914.7317936677</v>
      </c>
      <c r="O25" s="40"/>
      <c r="P25" s="40">
        <f t="shared" si="4"/>
        <v>249554.00289060411</v>
      </c>
      <c r="Q25" s="40"/>
      <c r="R25" s="40">
        <f t="shared" si="5"/>
        <v>2744257.671112231</v>
      </c>
    </row>
    <row r="26" spans="1:18">
      <c r="A26" s="46">
        <f t="shared" si="6"/>
        <v>2021</v>
      </c>
      <c r="B26" s="40">
        <f t="shared" si="0"/>
        <v>19758.309574061619</v>
      </c>
      <c r="C26" s="40"/>
      <c r="D26" s="40">
        <f t="shared" si="1"/>
        <v>-1975.830957406162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3708224.6289281305</v>
      </c>
      <c r="M26" s="40"/>
      <c r="N26" s="40">
        <f t="shared" si="3"/>
        <v>3718103.7837151615</v>
      </c>
      <c r="O26" s="40"/>
      <c r="P26" s="40">
        <f t="shared" si="4"/>
        <v>248231.36667528391</v>
      </c>
      <c r="Q26" s="40"/>
      <c r="R26" s="40">
        <f t="shared" si="5"/>
        <v>2970754.897256047</v>
      </c>
    </row>
    <row r="27" spans="1:18">
      <c r="A27" s="46">
        <f t="shared" si="6"/>
        <v>2022</v>
      </c>
      <c r="B27" s="40">
        <f t="shared" si="0"/>
        <v>19653.590533319093</v>
      </c>
      <c r="C27" s="40"/>
      <c r="D27" s="40">
        <f t="shared" si="1"/>
        <v>-1965.3590533319093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3688571.0383948116</v>
      </c>
      <c r="M27" s="40"/>
      <c r="N27" s="40">
        <f t="shared" si="3"/>
        <v>3698397.833661471</v>
      </c>
      <c r="O27" s="40"/>
      <c r="P27" s="40">
        <f t="shared" si="4"/>
        <v>246915.74043190491</v>
      </c>
      <c r="Q27" s="40"/>
      <c r="R27" s="40">
        <f t="shared" si="5"/>
        <v>3196051.688101301</v>
      </c>
    </row>
    <row r="28" spans="1:18">
      <c r="A28" s="46">
        <f t="shared" si="6"/>
        <v>2023</v>
      </c>
      <c r="B28" s="40">
        <v>0</v>
      </c>
      <c r="C28" s="40"/>
      <c r="D28" s="40">
        <f t="shared" si="1"/>
        <v>0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3688571.0383948116</v>
      </c>
      <c r="M28" s="40"/>
      <c r="N28" s="40">
        <f t="shared" si="3"/>
        <v>3688571.0383948116</v>
      </c>
      <c r="O28" s="40"/>
      <c r="P28" s="40">
        <f t="shared" si="4"/>
        <v>246259.67514675471</v>
      </c>
      <c r="Q28" s="40"/>
      <c r="R28" s="40">
        <f t="shared" si="5"/>
        <v>3442311.3632480558</v>
      </c>
    </row>
    <row r="29" spans="1:18">
      <c r="A29" s="46">
        <f t="shared" si="6"/>
        <v>2024</v>
      </c>
      <c r="B29" s="40">
        <v>0</v>
      </c>
      <c r="C29" s="40"/>
      <c r="D29" s="40">
        <f t="shared" si="1"/>
        <v>0</v>
      </c>
      <c r="E29" s="40"/>
      <c r="F29" s="40">
        <f>L28</f>
        <v>3688571.0383948116</v>
      </c>
      <c r="G29" s="40"/>
      <c r="H29" s="40"/>
      <c r="I29" s="40"/>
      <c r="J29" s="40">
        <v>0</v>
      </c>
      <c r="K29" s="40"/>
      <c r="L29" s="40">
        <f t="shared" si="2"/>
        <v>0</v>
      </c>
      <c r="M29" s="40"/>
      <c r="N29" s="40">
        <f>+L28</f>
        <v>3688571.0383948116</v>
      </c>
      <c r="O29" s="40"/>
      <c r="P29" s="40">
        <f t="shared" si="4"/>
        <v>246259.67514675471</v>
      </c>
      <c r="Q29" s="40"/>
      <c r="R29" s="40">
        <f t="shared" si="5"/>
        <v>-9.3132257461547852E-10</v>
      </c>
    </row>
    <row r="30" spans="1:18">
      <c r="A30" s="46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46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46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2" t="s">
        <v>38</v>
      </c>
      <c r="B33" s="38">
        <f>SUM(B22:B29)</f>
        <v>119503.53286394414</v>
      </c>
      <c r="C33" s="38" t="s">
        <v>39</v>
      </c>
      <c r="D33" s="38">
        <f>SUM(D22:D29)</f>
        <v>-11950.353286394415</v>
      </c>
      <c r="E33" s="38">
        <v>0</v>
      </c>
      <c r="F33" s="38">
        <f>SUM(F22:F29)</f>
        <v>3688571.0383948116</v>
      </c>
      <c r="G33" s="38" t="s">
        <v>39</v>
      </c>
      <c r="H33" s="38">
        <f>SUM(H22:H29)</f>
        <v>0</v>
      </c>
      <c r="I33" s="38">
        <v>0</v>
      </c>
      <c r="J33" s="38">
        <f>SUM(J22:J29)</f>
        <v>0</v>
      </c>
      <c r="K33" s="40"/>
      <c r="L33" s="40"/>
      <c r="M33" s="40"/>
      <c r="N33" s="38">
        <f>SUM(N22:N29)</f>
        <v>29865226.699781079</v>
      </c>
      <c r="O33" s="40"/>
      <c r="P33" s="38">
        <f>SUM(P22:P29)</f>
        <v>1993888.9474317515</v>
      </c>
      <c r="Q33" s="40"/>
      <c r="R33" s="40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activeCell="A58" sqref="A58:XFD58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1" style="63" customWidth="1"/>
    <col min="9" max="9" width="1.85546875" style="63" customWidth="1"/>
    <col min="10" max="10" width="12.140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6.85546875" style="63" customWidth="1"/>
    <col min="15" max="15" width="1.85546875" style="63" customWidth="1"/>
    <col min="16" max="16" width="13.85546875" style="63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104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'Scholz-316'!$P$2</f>
        <v>-0.05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146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(D61+H61)/(B61+F61)</f>
        <v>-8.4580555894627468E-3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'!$J$1124</f>
        <v>26.876736045765799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N61/(L21+J61)</f>
        <v>32.615277499675955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59.49201354544175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0.58994285507518862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2691870.0785696073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IRR!D7</f>
        <v>5.5999999999999999E-3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(L21+J61-D61-H61-R21)/N61</f>
        <v>1.2831876120582826E-2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1.4217127788089128E-4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1.2689704842701934E-2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Unit(Fcst)'!D52</f>
        <v>5908515.7510000058</v>
      </c>
      <c r="M21" s="40"/>
      <c r="N21" s="40"/>
      <c r="O21" s="40"/>
      <c r="P21" s="40"/>
      <c r="Q21" s="40"/>
      <c r="R21" s="40">
        <f>'2016 YE Reserve by Unit(Fcst)'!D50</f>
        <v>3485686.6514016655</v>
      </c>
    </row>
    <row r="22" spans="1:18">
      <c r="A22" s="46">
        <v>2017</v>
      </c>
      <c r="B22" s="40">
        <f>+L21*P$10</f>
        <v>33087.688205600032</v>
      </c>
      <c r="C22" s="40"/>
      <c r="D22" s="40">
        <f>+B22*P$2</f>
        <v>-1654.3844102800017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5875428.062794406</v>
      </c>
      <c r="M22" s="40"/>
      <c r="N22" s="40">
        <f>(L21+L22)/2</f>
        <v>5891971.9068972059</v>
      </c>
      <c r="O22" s="40"/>
      <c r="P22" s="40">
        <f>N22*$P$12</f>
        <v>75605.053615259108</v>
      </c>
      <c r="Q22" s="40"/>
      <c r="R22" s="40">
        <f>R21+P22-B22-F22+D22</f>
        <v>3526549.6324010445</v>
      </c>
    </row>
    <row r="23" spans="1:18">
      <c r="A23" s="46">
        <f>A22+1</f>
        <v>2018</v>
      </c>
      <c r="B23" s="40">
        <f t="shared" ref="B23:B54" si="0">+L22*P$10</f>
        <v>32902.397151648671</v>
      </c>
      <c r="C23" s="40"/>
      <c r="D23" s="40">
        <f t="shared" ref="D23:D54" si="1">+B23*P$2</f>
        <v>-1645.1198575824337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57" si="2">L22+J23-B23-F23</f>
        <v>5842525.665642757</v>
      </c>
      <c r="M23" s="40"/>
      <c r="N23" s="40">
        <f t="shared" ref="N23:N56" si="3">(L22+L23)/2</f>
        <v>5858976.8642185815</v>
      </c>
      <c r="O23" s="40"/>
      <c r="P23" s="40">
        <f t="shared" ref="P23:P57" si="4">N23*$P$12</f>
        <v>75181.665315013655</v>
      </c>
      <c r="Q23" s="40"/>
      <c r="R23" s="40">
        <f t="shared" ref="R23:R57" si="5">R22+P23-B23-F23+D23</f>
        <v>3567183.7807068275</v>
      </c>
    </row>
    <row r="24" spans="1:18">
      <c r="A24" s="46">
        <f t="shared" ref="A24:A57" si="6">A23+1</f>
        <v>2019</v>
      </c>
      <c r="B24" s="40">
        <f t="shared" si="0"/>
        <v>32718.143727599439</v>
      </c>
      <c r="C24" s="40"/>
      <c r="D24" s="40">
        <f t="shared" si="1"/>
        <v>-1635.907186379972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5809807.5219151573</v>
      </c>
      <c r="M24" s="40"/>
      <c r="N24" s="40">
        <f t="shared" si="3"/>
        <v>5826166.5937789567</v>
      </c>
      <c r="O24" s="40"/>
      <c r="P24" s="40">
        <f t="shared" si="4"/>
        <v>74760.64798924957</v>
      </c>
      <c r="Q24" s="40"/>
      <c r="R24" s="40">
        <f t="shared" si="5"/>
        <v>3607590.3777820976</v>
      </c>
    </row>
    <row r="25" spans="1:18">
      <c r="A25" s="46">
        <f t="shared" si="6"/>
        <v>2020</v>
      </c>
      <c r="B25" s="40">
        <f t="shared" si="0"/>
        <v>32534.922122724882</v>
      </c>
      <c r="C25" s="40"/>
      <c r="D25" s="40">
        <f t="shared" si="1"/>
        <v>-1626.7461061362442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5777272.599792432</v>
      </c>
      <c r="M25" s="40"/>
      <c r="N25" s="40">
        <f t="shared" si="3"/>
        <v>5793540.0608537942</v>
      </c>
      <c r="O25" s="40"/>
      <c r="P25" s="40">
        <f t="shared" si="4"/>
        <v>74341.988360509771</v>
      </c>
      <c r="Q25" s="40"/>
      <c r="R25" s="40">
        <f t="shared" si="5"/>
        <v>3647770.6979137463</v>
      </c>
    </row>
    <row r="26" spans="1:18">
      <c r="A26" s="46">
        <f t="shared" si="6"/>
        <v>2021</v>
      </c>
      <c r="B26" s="40">
        <f t="shared" si="0"/>
        <v>32352.726558837618</v>
      </c>
      <c r="C26" s="40"/>
      <c r="D26" s="40">
        <f t="shared" si="1"/>
        <v>-1617.6363279418811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5744919.873233594</v>
      </c>
      <c r="M26" s="40"/>
      <c r="N26" s="40">
        <f t="shared" si="3"/>
        <v>5761096.236513013</v>
      </c>
      <c r="O26" s="40"/>
      <c r="P26" s="40">
        <f t="shared" si="4"/>
        <v>73925.673225690916</v>
      </c>
      <c r="Q26" s="40"/>
      <c r="R26" s="40">
        <f t="shared" si="5"/>
        <v>3687726.0082526579</v>
      </c>
    </row>
    <row r="27" spans="1:18">
      <c r="A27" s="46">
        <f t="shared" si="6"/>
        <v>2022</v>
      </c>
      <c r="B27" s="40">
        <f t="shared" si="0"/>
        <v>32171.551290108127</v>
      </c>
      <c r="C27" s="40"/>
      <c r="D27" s="40">
        <f t="shared" si="1"/>
        <v>-1608.5775645054064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5712748.3219434861</v>
      </c>
      <c r="M27" s="40"/>
      <c r="N27" s="40">
        <f t="shared" si="3"/>
        <v>5728834.0975885401</v>
      </c>
      <c r="O27" s="40"/>
      <c r="P27" s="40">
        <f t="shared" si="4"/>
        <v>73511.689455627042</v>
      </c>
      <c r="Q27" s="40"/>
      <c r="R27" s="40">
        <f t="shared" si="5"/>
        <v>3727457.5688536712</v>
      </c>
    </row>
    <row r="28" spans="1:18">
      <c r="A28" s="46">
        <f t="shared" si="6"/>
        <v>2023</v>
      </c>
      <c r="B28" s="40">
        <f t="shared" si="0"/>
        <v>31991.390602883523</v>
      </c>
      <c r="C28" s="40"/>
      <c r="D28" s="40">
        <f t="shared" si="1"/>
        <v>-1599.5695301441763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5680756.9313406022</v>
      </c>
      <c r="M28" s="40"/>
      <c r="N28" s="40">
        <f t="shared" si="3"/>
        <v>5696752.6266420446</v>
      </c>
      <c r="O28" s="40"/>
      <c r="P28" s="40">
        <f t="shared" si="4"/>
        <v>73100.023994675546</v>
      </c>
      <c r="Q28" s="40"/>
      <c r="R28" s="40">
        <f t="shared" si="5"/>
        <v>3766966.6327153188</v>
      </c>
    </row>
    <row r="29" spans="1:18">
      <c r="A29" s="46">
        <f t="shared" si="6"/>
        <v>2024</v>
      </c>
      <c r="B29" s="40">
        <f t="shared" si="0"/>
        <v>31812.238815507371</v>
      </c>
      <c r="C29" s="40"/>
      <c r="D29" s="40">
        <f t="shared" si="1"/>
        <v>-1590.6119407753686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5648944.6925250953</v>
      </c>
      <c r="M29" s="40"/>
      <c r="N29" s="40">
        <f t="shared" si="3"/>
        <v>5664850.8119328488</v>
      </c>
      <c r="O29" s="40"/>
      <c r="P29" s="40">
        <f t="shared" si="4"/>
        <v>72690.663860305358</v>
      </c>
      <c r="Q29" s="40"/>
      <c r="R29" s="40">
        <f t="shared" si="5"/>
        <v>3806254.4458193411</v>
      </c>
    </row>
    <row r="30" spans="1:18">
      <c r="A30" s="46">
        <f t="shared" si="6"/>
        <v>2025</v>
      </c>
      <c r="B30" s="40">
        <f t="shared" si="0"/>
        <v>31634.090278140535</v>
      </c>
      <c r="C30" s="40"/>
      <c r="D30" s="40">
        <f t="shared" si="1"/>
        <v>-1581.7045139070269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5617310.602246955</v>
      </c>
      <c r="M30" s="40"/>
      <c r="N30" s="40">
        <f t="shared" si="3"/>
        <v>5633127.6473860256</v>
      </c>
      <c r="O30" s="40"/>
      <c r="P30" s="40">
        <f t="shared" si="4"/>
        <v>72283.59614268766</v>
      </c>
      <c r="Q30" s="40"/>
      <c r="R30" s="40">
        <f t="shared" si="5"/>
        <v>3845322.2471699812</v>
      </c>
    </row>
    <row r="31" spans="1:18">
      <c r="A31" s="46">
        <f t="shared" si="6"/>
        <v>2026</v>
      </c>
      <c r="B31" s="40">
        <f t="shared" si="0"/>
        <v>31456.939372582947</v>
      </c>
      <c r="C31" s="40"/>
      <c r="D31" s="40">
        <f t="shared" si="1"/>
        <v>-1572.8469686291473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5585853.6628743717</v>
      </c>
      <c r="M31" s="40"/>
      <c r="N31" s="40">
        <f t="shared" si="3"/>
        <v>5601582.1325606629</v>
      </c>
      <c r="O31" s="40"/>
      <c r="P31" s="40">
        <f t="shared" si="4"/>
        <v>71878.808004288585</v>
      </c>
      <c r="Q31" s="40"/>
      <c r="R31" s="40">
        <f t="shared" si="5"/>
        <v>3884171.268833058</v>
      </c>
    </row>
    <row r="32" spans="1:18">
      <c r="A32" s="46">
        <f t="shared" si="6"/>
        <v>2027</v>
      </c>
      <c r="B32" s="40">
        <f t="shared" si="0"/>
        <v>31280.78051209648</v>
      </c>
      <c r="C32" s="40"/>
      <c r="D32" s="40">
        <f t="shared" si="1"/>
        <v>-1564.039025604824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5554572.8823622754</v>
      </c>
      <c r="M32" s="40"/>
      <c r="N32" s="40">
        <f t="shared" si="3"/>
        <v>5570213.2726183236</v>
      </c>
      <c r="O32" s="40"/>
      <c r="P32" s="40">
        <f t="shared" si="4"/>
        <v>71476.286679464582</v>
      </c>
      <c r="Q32" s="40"/>
      <c r="R32" s="40">
        <f t="shared" si="5"/>
        <v>3922802.7359748213</v>
      </c>
    </row>
    <row r="33" spans="1:18">
      <c r="A33" s="46">
        <f t="shared" si="6"/>
        <v>2028</v>
      </c>
      <c r="B33" s="40">
        <f t="shared" si="0"/>
        <v>31105.608141228742</v>
      </c>
      <c r="C33" s="40"/>
      <c r="D33" s="40">
        <f t="shared" si="1"/>
        <v>-1555.2804070614372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5523467.2742210468</v>
      </c>
      <c r="M33" s="40"/>
      <c r="N33" s="40">
        <f t="shared" si="3"/>
        <v>5539020.0782916611</v>
      </c>
      <c r="O33" s="40"/>
      <c r="P33" s="40">
        <f t="shared" si="4"/>
        <v>71076.019474059576</v>
      </c>
      <c r="Q33" s="40"/>
      <c r="R33" s="40">
        <f t="shared" si="5"/>
        <v>3961217.8669005907</v>
      </c>
    </row>
    <row r="34" spans="1:18">
      <c r="A34" s="46">
        <f t="shared" si="6"/>
        <v>2029</v>
      </c>
      <c r="B34" s="40">
        <f t="shared" si="0"/>
        <v>30931.41673563786</v>
      </c>
      <c r="C34" s="40"/>
      <c r="D34" s="40">
        <f t="shared" si="1"/>
        <v>-1546.5708367818931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5492535.8574854089</v>
      </c>
      <c r="M34" s="40"/>
      <c r="N34" s="40">
        <f t="shared" si="3"/>
        <v>5508001.5658532279</v>
      </c>
      <c r="O34" s="40"/>
      <c r="P34" s="40">
        <f t="shared" si="4"/>
        <v>70677.993765004852</v>
      </c>
      <c r="Q34" s="40"/>
      <c r="R34" s="40">
        <f t="shared" si="5"/>
        <v>3999417.8730931757</v>
      </c>
    </row>
    <row r="35" spans="1:18">
      <c r="A35" s="46">
        <f t="shared" si="6"/>
        <v>2030</v>
      </c>
      <c r="B35" s="40">
        <f t="shared" si="0"/>
        <v>30758.20080191829</v>
      </c>
      <c r="C35" s="40"/>
      <c r="D35" s="40">
        <f t="shared" si="1"/>
        <v>-1537.9100400959146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5461777.6566834906</v>
      </c>
      <c r="M35" s="40"/>
      <c r="N35" s="40">
        <f t="shared" si="3"/>
        <v>5477156.7570844498</v>
      </c>
      <c r="O35" s="40"/>
      <c r="P35" s="40">
        <f t="shared" si="4"/>
        <v>70282.196999920823</v>
      </c>
      <c r="Q35" s="40"/>
      <c r="R35" s="40">
        <f t="shared" si="5"/>
        <v>4037403.9592510825</v>
      </c>
    </row>
    <row r="36" spans="1:18">
      <c r="A36" s="46">
        <f t="shared" si="6"/>
        <v>2031</v>
      </c>
      <c r="B36" s="40">
        <f t="shared" si="0"/>
        <v>30585.954877427546</v>
      </c>
      <c r="C36" s="40"/>
      <c r="D36" s="40">
        <f t="shared" si="1"/>
        <v>-1529.2977438713774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5431191.7018060628</v>
      </c>
      <c r="M36" s="40"/>
      <c r="N36" s="40">
        <f t="shared" si="3"/>
        <v>5446484.6792447772</v>
      </c>
      <c r="O36" s="40"/>
      <c r="P36" s="40">
        <f t="shared" si="4"/>
        <v>69888.616696721263</v>
      </c>
      <c r="Q36" s="40"/>
      <c r="R36" s="40">
        <f t="shared" si="5"/>
        <v>4075177.3233265053</v>
      </c>
    </row>
    <row r="37" spans="1:18">
      <c r="A37" s="46">
        <f t="shared" si="6"/>
        <v>2032</v>
      </c>
      <c r="B37" s="40">
        <f t="shared" si="0"/>
        <v>30414.673530113952</v>
      </c>
      <c r="C37" s="40"/>
      <c r="D37" s="40">
        <f t="shared" si="1"/>
        <v>-1520.7336765056978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5400777.0282759489</v>
      </c>
      <c r="M37" s="40"/>
      <c r="N37" s="40">
        <f t="shared" si="3"/>
        <v>5415984.3650410064</v>
      </c>
      <c r="O37" s="40"/>
      <c r="P37" s="40">
        <f t="shared" si="4"/>
        <v>69497.240443219634</v>
      </c>
      <c r="Q37" s="40"/>
      <c r="R37" s="40">
        <f t="shared" si="5"/>
        <v>4112739.1565631051</v>
      </c>
    </row>
    <row r="38" spans="1:18">
      <c r="A38" s="46">
        <f t="shared" si="6"/>
        <v>2033</v>
      </c>
      <c r="B38" s="40">
        <f t="shared" si="0"/>
        <v>30244.351358345313</v>
      </c>
      <c r="C38" s="40"/>
      <c r="D38" s="40">
        <f t="shared" si="1"/>
        <v>-1512.2175679172658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5370532.6769176032</v>
      </c>
      <c r="M38" s="40"/>
      <c r="N38" s="40">
        <f t="shared" si="3"/>
        <v>5385654.8525967766</v>
      </c>
      <c r="O38" s="40"/>
      <c r="P38" s="40">
        <f t="shared" si="4"/>
        <v>69108.055896737598</v>
      </c>
      <c r="Q38" s="40"/>
      <c r="R38" s="40">
        <f t="shared" si="5"/>
        <v>4150090.64353358</v>
      </c>
    </row>
    <row r="39" spans="1:18">
      <c r="A39" s="46">
        <f t="shared" si="6"/>
        <v>2034</v>
      </c>
      <c r="B39" s="40">
        <f t="shared" si="0"/>
        <v>30074.982990738579</v>
      </c>
      <c r="C39" s="40"/>
      <c r="D39" s="40">
        <f t="shared" si="1"/>
        <v>-1503.7491495369291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5340457.6939268643</v>
      </c>
      <c r="M39" s="40"/>
      <c r="N39" s="40">
        <f t="shared" si="3"/>
        <v>5355495.1854222342</v>
      </c>
      <c r="O39" s="40"/>
      <c r="P39" s="40">
        <f t="shared" si="4"/>
        <v>68721.050783715866</v>
      </c>
      <c r="Q39" s="40"/>
      <c r="R39" s="40">
        <f t="shared" si="5"/>
        <v>4187232.962177021</v>
      </c>
    </row>
    <row r="40" spans="1:18">
      <c r="A40" s="46">
        <f t="shared" si="6"/>
        <v>2035</v>
      </c>
      <c r="B40" s="40">
        <f t="shared" si="0"/>
        <v>29906.563085990441</v>
      </c>
      <c r="C40" s="40"/>
      <c r="D40" s="40">
        <f t="shared" si="1"/>
        <v>-1495.3281542995221</v>
      </c>
      <c r="E40" s="40"/>
      <c r="F40" s="40"/>
      <c r="G40" s="40"/>
      <c r="H40" s="40"/>
      <c r="I40" s="40"/>
      <c r="J40" s="40">
        <v>0</v>
      </c>
      <c r="K40" s="40"/>
      <c r="L40" s="40">
        <f t="shared" si="2"/>
        <v>5310551.1308408743</v>
      </c>
      <c r="M40" s="40"/>
      <c r="N40" s="40">
        <f t="shared" si="3"/>
        <v>5325504.4123838693</v>
      </c>
      <c r="O40" s="40"/>
      <c r="P40" s="40">
        <f t="shared" si="4"/>
        <v>68336.212899327045</v>
      </c>
      <c r="Q40" s="40"/>
      <c r="R40" s="40">
        <f t="shared" si="5"/>
        <v>4224167.2838360583</v>
      </c>
    </row>
    <row r="41" spans="1:18">
      <c r="A41" s="46">
        <f t="shared" si="6"/>
        <v>2036</v>
      </c>
      <c r="B41" s="40">
        <f t="shared" si="0"/>
        <v>29739.086332708895</v>
      </c>
      <c r="C41" s="40"/>
      <c r="D41" s="40">
        <f t="shared" si="1"/>
        <v>-1486.9543166354449</v>
      </c>
      <c r="E41" s="40"/>
      <c r="F41" s="40"/>
      <c r="G41" s="40"/>
      <c r="H41" s="40"/>
      <c r="I41" s="40"/>
      <c r="J41" s="40">
        <v>0</v>
      </c>
      <c r="K41" s="40"/>
      <c r="L41" s="40">
        <f t="shared" si="2"/>
        <v>5280812.0445081657</v>
      </c>
      <c r="M41" s="40"/>
      <c r="N41" s="40">
        <f t="shared" si="3"/>
        <v>5295681.58767452</v>
      </c>
      <c r="O41" s="40"/>
      <c r="P41" s="40">
        <f t="shared" si="4"/>
        <v>67953.530107090817</v>
      </c>
      <c r="Q41" s="40"/>
      <c r="R41" s="40">
        <f t="shared" si="5"/>
        <v>4260894.7732938053</v>
      </c>
    </row>
    <row r="42" spans="1:18">
      <c r="A42" s="46">
        <f t="shared" si="6"/>
        <v>2037</v>
      </c>
      <c r="B42" s="40">
        <f t="shared" si="0"/>
        <v>29572.547449245729</v>
      </c>
      <c r="C42" s="40"/>
      <c r="D42" s="40">
        <f t="shared" si="1"/>
        <v>-1478.6273724622865</v>
      </c>
      <c r="E42" s="40"/>
      <c r="F42" s="40"/>
      <c r="G42" s="40"/>
      <c r="H42" s="40"/>
      <c r="I42" s="40"/>
      <c r="J42" s="40">
        <v>0</v>
      </c>
      <c r="K42" s="40"/>
      <c r="L42" s="40">
        <f t="shared" si="2"/>
        <v>5251239.4970589196</v>
      </c>
      <c r="M42" s="40"/>
      <c r="N42" s="40">
        <f t="shared" si="3"/>
        <v>5266025.7707835427</v>
      </c>
      <c r="O42" s="40"/>
      <c r="P42" s="40">
        <f t="shared" si="4"/>
        <v>67572.990338491116</v>
      </c>
      <c r="Q42" s="40"/>
      <c r="R42" s="40">
        <f t="shared" si="5"/>
        <v>4297416.5888105882</v>
      </c>
    </row>
    <row r="43" spans="1:18">
      <c r="A43" s="46">
        <f t="shared" si="6"/>
        <v>2038</v>
      </c>
      <c r="B43" s="40">
        <f t="shared" si="0"/>
        <v>29406.941183529951</v>
      </c>
      <c r="C43" s="40"/>
      <c r="D43" s="40">
        <f t="shared" si="1"/>
        <v>-1470.3470591764976</v>
      </c>
      <c r="E43" s="40"/>
      <c r="F43" s="40"/>
      <c r="G43" s="40"/>
      <c r="H43" s="40"/>
      <c r="I43" s="40"/>
      <c r="J43" s="40">
        <v>0</v>
      </c>
      <c r="K43" s="40"/>
      <c r="L43" s="40">
        <f t="shared" si="2"/>
        <v>5221832.5558753898</v>
      </c>
      <c r="M43" s="40"/>
      <c r="N43" s="40">
        <f t="shared" si="3"/>
        <v>5236536.0264671547</v>
      </c>
      <c r="O43" s="40"/>
      <c r="P43" s="40">
        <f t="shared" si="4"/>
        <v>67194.581592595554</v>
      </c>
      <c r="Q43" s="40"/>
      <c r="R43" s="40">
        <f t="shared" si="5"/>
        <v>4333733.8821604773</v>
      </c>
    </row>
    <row r="44" spans="1:18">
      <c r="A44" s="46">
        <f t="shared" si="6"/>
        <v>2039</v>
      </c>
      <c r="B44" s="40">
        <f t="shared" si="0"/>
        <v>29242.262312902181</v>
      </c>
      <c r="C44" s="40"/>
      <c r="D44" s="40">
        <f t="shared" si="1"/>
        <v>-1462.1131156451092</v>
      </c>
      <c r="E44" s="40"/>
      <c r="F44" s="40"/>
      <c r="G44" s="40"/>
      <c r="H44" s="40"/>
      <c r="I44" s="40"/>
      <c r="J44" s="40">
        <v>0</v>
      </c>
      <c r="K44" s="40"/>
      <c r="L44" s="40">
        <f t="shared" si="2"/>
        <v>5192590.2935624877</v>
      </c>
      <c r="M44" s="40"/>
      <c r="N44" s="40">
        <f t="shared" si="3"/>
        <v>5207211.4247189388</v>
      </c>
      <c r="O44" s="40"/>
      <c r="P44" s="40">
        <f t="shared" si="4"/>
        <v>66818.291935677029</v>
      </c>
      <c r="Q44" s="40"/>
      <c r="R44" s="40">
        <f t="shared" si="5"/>
        <v>4369847.7986676069</v>
      </c>
    </row>
    <row r="45" spans="1:18">
      <c r="A45" s="46">
        <f t="shared" si="6"/>
        <v>2040</v>
      </c>
      <c r="B45" s="40">
        <f t="shared" si="0"/>
        <v>29078.505643949931</v>
      </c>
      <c r="C45" s="40"/>
      <c r="D45" s="40">
        <f t="shared" si="1"/>
        <v>-1453.9252821974967</v>
      </c>
      <c r="E45" s="40"/>
      <c r="F45" s="40"/>
      <c r="G45" s="40"/>
      <c r="H45" s="40"/>
      <c r="I45" s="40"/>
      <c r="J45" s="40">
        <v>0</v>
      </c>
      <c r="K45" s="40"/>
      <c r="L45" s="40">
        <f t="shared" si="2"/>
        <v>5163511.7879185379</v>
      </c>
      <c r="M45" s="40"/>
      <c r="N45" s="40">
        <f t="shared" si="3"/>
        <v>5178051.0407405123</v>
      </c>
      <c r="O45" s="40"/>
      <c r="P45" s="40">
        <f t="shared" si="4"/>
        <v>66444.109500837221</v>
      </c>
      <c r="Q45" s="40"/>
      <c r="R45" s="40">
        <f t="shared" si="5"/>
        <v>4405759.4772422975</v>
      </c>
    </row>
    <row r="46" spans="1:18">
      <c r="A46" s="46">
        <f t="shared" si="6"/>
        <v>2041</v>
      </c>
      <c r="B46" s="40">
        <f t="shared" si="0"/>
        <v>28915.666012343812</v>
      </c>
      <c r="C46" s="40"/>
      <c r="D46" s="40">
        <f t="shared" si="1"/>
        <v>-1445.7833006171907</v>
      </c>
      <c r="E46" s="40"/>
      <c r="F46" s="40"/>
      <c r="G46" s="40"/>
      <c r="H46" s="40"/>
      <c r="I46" s="40"/>
      <c r="J46" s="40">
        <v>0</v>
      </c>
      <c r="K46" s="40"/>
      <c r="L46" s="40">
        <f t="shared" si="2"/>
        <v>5134596.1219061939</v>
      </c>
      <c r="M46" s="40"/>
      <c r="N46" s="40">
        <f t="shared" si="3"/>
        <v>5149053.9549123663</v>
      </c>
      <c r="O46" s="40"/>
      <c r="P46" s="40">
        <f t="shared" si="4"/>
        <v>66072.022487632552</v>
      </c>
      <c r="Q46" s="40"/>
      <c r="R46" s="40">
        <f t="shared" si="5"/>
        <v>4441470.0504169697</v>
      </c>
    </row>
    <row r="47" spans="1:18">
      <c r="A47" s="46">
        <f t="shared" si="6"/>
        <v>2042</v>
      </c>
      <c r="B47" s="40">
        <f t="shared" si="0"/>
        <v>28753.738282674687</v>
      </c>
      <c r="C47" s="40"/>
      <c r="D47" s="40">
        <f t="shared" si="1"/>
        <v>-1437.6869141337345</v>
      </c>
      <c r="E47" s="40"/>
      <c r="F47" s="40"/>
      <c r="G47" s="40"/>
      <c r="H47" s="40"/>
      <c r="I47" s="40"/>
      <c r="J47" s="40">
        <v>0</v>
      </c>
      <c r="K47" s="40"/>
      <c r="L47" s="40">
        <f t="shared" si="2"/>
        <v>5105842.383623519</v>
      </c>
      <c r="M47" s="40"/>
      <c r="N47" s="40">
        <f t="shared" si="3"/>
        <v>5120219.2527648564</v>
      </c>
      <c r="O47" s="40"/>
      <c r="P47" s="40">
        <f t="shared" si="4"/>
        <v>65702.019161701799</v>
      </c>
      <c r="Q47" s="40"/>
      <c r="R47" s="40">
        <f t="shared" si="5"/>
        <v>4476980.6443818631</v>
      </c>
    </row>
    <row r="48" spans="1:18">
      <c r="A48" s="46">
        <f t="shared" si="6"/>
        <v>2043</v>
      </c>
      <c r="B48" s="40">
        <f t="shared" si="0"/>
        <v>28592.717348291706</v>
      </c>
      <c r="C48" s="40"/>
      <c r="D48" s="40">
        <f t="shared" si="1"/>
        <v>-1429.6358674145854</v>
      </c>
      <c r="E48" s="40"/>
      <c r="F48" s="40"/>
      <c r="G48" s="40"/>
      <c r="H48" s="40"/>
      <c r="I48" s="40"/>
      <c r="J48" s="40">
        <v>0</v>
      </c>
      <c r="K48" s="40"/>
      <c r="L48" s="40">
        <f t="shared" si="2"/>
        <v>5077249.6662752274</v>
      </c>
      <c r="M48" s="40"/>
      <c r="N48" s="40">
        <f t="shared" si="3"/>
        <v>5091546.0249493737</v>
      </c>
      <c r="O48" s="40"/>
      <c r="P48" s="40">
        <f t="shared" si="4"/>
        <v>65334.087854396275</v>
      </c>
      <c r="Q48" s="40"/>
      <c r="R48" s="40">
        <f t="shared" si="5"/>
        <v>4512292.3790205531</v>
      </c>
    </row>
    <row r="49" spans="1:18">
      <c r="A49" s="46">
        <f t="shared" si="6"/>
        <v>2044</v>
      </c>
      <c r="B49" s="40">
        <f t="shared" si="0"/>
        <v>28432.598131141272</v>
      </c>
      <c r="C49" s="40"/>
      <c r="D49" s="40">
        <f t="shared" si="1"/>
        <v>-1421.6299065570638</v>
      </c>
      <c r="E49" s="40"/>
      <c r="F49" s="40"/>
      <c r="G49" s="40"/>
      <c r="H49" s="40"/>
      <c r="I49" s="40"/>
      <c r="J49" s="40">
        <v>0</v>
      </c>
      <c r="K49" s="40"/>
      <c r="L49" s="40">
        <f t="shared" si="2"/>
        <v>5048817.0681440858</v>
      </c>
      <c r="M49" s="40"/>
      <c r="N49" s="40">
        <f t="shared" si="3"/>
        <v>5063033.3672096562</v>
      </c>
      <c r="O49" s="40"/>
      <c r="P49" s="40">
        <f t="shared" si="4"/>
        <v>64968.216962411643</v>
      </c>
      <c r="Q49" s="40"/>
      <c r="R49" s="40">
        <f t="shared" si="5"/>
        <v>4547406.367945266</v>
      </c>
    </row>
    <row r="50" spans="1:18">
      <c r="A50" s="46">
        <f t="shared" si="6"/>
        <v>2045</v>
      </c>
      <c r="B50" s="40">
        <f t="shared" si="0"/>
        <v>28273.375581606881</v>
      </c>
      <c r="C50" s="40"/>
      <c r="D50" s="40">
        <f t="shared" si="1"/>
        <v>-1413.6687790803442</v>
      </c>
      <c r="E50" s="40"/>
      <c r="F50" s="40"/>
      <c r="G50" s="40"/>
      <c r="H50" s="40"/>
      <c r="I50" s="40"/>
      <c r="J50" s="40">
        <v>0</v>
      </c>
      <c r="K50" s="40"/>
      <c r="L50" s="40">
        <f t="shared" si="2"/>
        <v>5020543.6925624786</v>
      </c>
      <c r="M50" s="40"/>
      <c r="N50" s="40">
        <f t="shared" si="3"/>
        <v>5034680.3803532822</v>
      </c>
      <c r="O50" s="40"/>
      <c r="P50" s="40">
        <f t="shared" si="4"/>
        <v>64604.394947422137</v>
      </c>
      <c r="Q50" s="40"/>
      <c r="R50" s="40">
        <f t="shared" si="5"/>
        <v>4582323.7185319997</v>
      </c>
    </row>
    <row r="51" spans="1:18">
      <c r="A51" s="46">
        <f t="shared" si="6"/>
        <v>2046</v>
      </c>
      <c r="B51" s="40">
        <f t="shared" si="0"/>
        <v>28115.044678349881</v>
      </c>
      <c r="C51" s="40"/>
      <c r="D51" s="40">
        <f t="shared" si="1"/>
        <v>-1405.7522339174941</v>
      </c>
      <c r="E51" s="40"/>
      <c r="F51" s="40"/>
      <c r="G51" s="40"/>
      <c r="H51" s="40"/>
      <c r="I51" s="40"/>
      <c r="J51" s="40">
        <v>0</v>
      </c>
      <c r="K51" s="40"/>
      <c r="L51" s="40">
        <f t="shared" si="2"/>
        <v>4992428.6478841286</v>
      </c>
      <c r="M51" s="40"/>
      <c r="N51" s="40">
        <f t="shared" si="3"/>
        <v>5006486.1702233031</v>
      </c>
      <c r="O51" s="40"/>
      <c r="P51" s="40">
        <f t="shared" si="4"/>
        <v>64242.61033571657</v>
      </c>
      <c r="Q51" s="40"/>
      <c r="R51" s="40">
        <f t="shared" si="5"/>
        <v>4617045.5319554489</v>
      </c>
    </row>
    <row r="52" spans="1:18">
      <c r="A52" s="46">
        <f t="shared" si="6"/>
        <v>2047</v>
      </c>
      <c r="B52" s="40">
        <f t="shared" si="0"/>
        <v>27957.60042815112</v>
      </c>
      <c r="C52" s="40"/>
      <c r="D52" s="40">
        <f t="shared" si="1"/>
        <v>-1397.8800214075561</v>
      </c>
      <c r="E52" s="40"/>
      <c r="F52" s="40"/>
      <c r="G52" s="40"/>
      <c r="H52" s="40"/>
      <c r="I52" s="40"/>
      <c r="J52" s="40">
        <v>0</v>
      </c>
      <c r="K52" s="40"/>
      <c r="L52" s="40">
        <f t="shared" si="2"/>
        <v>4964471.0474559776</v>
      </c>
      <c r="M52" s="40"/>
      <c r="N52" s="40">
        <f t="shared" si="3"/>
        <v>4978449.8476700531</v>
      </c>
      <c r="O52" s="40"/>
      <c r="P52" s="40">
        <f t="shared" si="4"/>
        <v>63882.851717836558</v>
      </c>
      <c r="Q52" s="40"/>
      <c r="R52" s="40">
        <f t="shared" si="5"/>
        <v>4651572.9032237269</v>
      </c>
    </row>
    <row r="53" spans="1:18">
      <c r="A53" s="46">
        <f t="shared" si="6"/>
        <v>2048</v>
      </c>
      <c r="B53" s="40">
        <f t="shared" si="0"/>
        <v>27801.037865753475</v>
      </c>
      <c r="C53" s="40"/>
      <c r="D53" s="40">
        <f t="shared" si="1"/>
        <v>-1390.0518932876739</v>
      </c>
      <c r="E53" s="40"/>
      <c r="F53" s="40"/>
      <c r="G53" s="40"/>
      <c r="H53" s="40"/>
      <c r="I53" s="40"/>
      <c r="J53" s="40">
        <v>0</v>
      </c>
      <c r="K53" s="40"/>
      <c r="L53" s="40">
        <f t="shared" si="2"/>
        <v>4936670.0095902244</v>
      </c>
      <c r="M53" s="40"/>
      <c r="N53" s="40">
        <f t="shared" si="3"/>
        <v>4950570.5285231005</v>
      </c>
      <c r="O53" s="40"/>
      <c r="P53" s="40">
        <f t="shared" si="4"/>
        <v>63525.107748216673</v>
      </c>
      <c r="Q53" s="40"/>
      <c r="R53" s="40">
        <f t="shared" si="5"/>
        <v>4685906.9212129032</v>
      </c>
    </row>
    <row r="54" spans="1:18">
      <c r="A54" s="46">
        <f t="shared" si="6"/>
        <v>2049</v>
      </c>
      <c r="B54" s="40">
        <f t="shared" si="0"/>
        <v>27645.352053705257</v>
      </c>
      <c r="C54" s="40"/>
      <c r="D54" s="40">
        <f t="shared" si="1"/>
        <v>-1382.267602685263</v>
      </c>
      <c r="E54" s="40"/>
      <c r="F54" s="40"/>
      <c r="G54" s="40"/>
      <c r="H54" s="40"/>
      <c r="I54" s="40"/>
      <c r="J54" s="40">
        <v>0</v>
      </c>
      <c r="K54" s="40"/>
      <c r="L54" s="40">
        <f t="shared" si="2"/>
        <v>4909024.6575365188</v>
      </c>
      <c r="M54" s="40"/>
      <c r="N54" s="40">
        <f t="shared" si="3"/>
        <v>4922847.3335633716</v>
      </c>
      <c r="O54" s="40"/>
      <c r="P54" s="40">
        <f t="shared" si="4"/>
        <v>63169.367144826661</v>
      </c>
      <c r="Q54" s="40"/>
      <c r="R54" s="40">
        <f t="shared" si="5"/>
        <v>4720048.6687013395</v>
      </c>
    </row>
    <row r="55" spans="1:18">
      <c r="A55" s="46">
        <f t="shared" si="6"/>
        <v>2050</v>
      </c>
      <c r="B55" s="40"/>
      <c r="C55" s="40"/>
      <c r="D55" s="40"/>
      <c r="E55" s="40"/>
      <c r="F55" s="40"/>
      <c r="G55" s="40"/>
      <c r="H55" s="40"/>
      <c r="I55" s="40"/>
      <c r="J55" s="40">
        <v>0</v>
      </c>
      <c r="K55" s="40"/>
      <c r="L55" s="40">
        <f t="shared" si="2"/>
        <v>4909024.6575365188</v>
      </c>
      <c r="M55" s="40"/>
      <c r="N55" s="40">
        <f t="shared" si="3"/>
        <v>4909024.6575365188</v>
      </c>
      <c r="O55" s="40"/>
      <c r="P55" s="40">
        <f t="shared" si="4"/>
        <v>62991.996278395141</v>
      </c>
      <c r="Q55" s="40"/>
      <c r="R55" s="40">
        <f t="shared" si="5"/>
        <v>4783040.6649797345</v>
      </c>
    </row>
    <row r="56" spans="1:18">
      <c r="A56" s="46">
        <f t="shared" si="6"/>
        <v>2051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>
        <f t="shared" si="2"/>
        <v>4909024.6575365188</v>
      </c>
      <c r="M56" s="40"/>
      <c r="N56" s="40">
        <f t="shared" si="3"/>
        <v>4909024.6575365188</v>
      </c>
      <c r="O56" s="40"/>
      <c r="P56" s="40">
        <f t="shared" si="4"/>
        <v>62991.996278395141</v>
      </c>
      <c r="Q56" s="40"/>
      <c r="R56" s="40">
        <f t="shared" si="5"/>
        <v>4846032.6612581294</v>
      </c>
    </row>
    <row r="57" spans="1:18">
      <c r="A57" s="46">
        <f t="shared" si="6"/>
        <v>2052</v>
      </c>
      <c r="B57" s="40"/>
      <c r="C57" s="40"/>
      <c r="D57" s="40"/>
      <c r="E57" s="40"/>
      <c r="F57" s="40">
        <f>+L55</f>
        <v>4909024.6575365188</v>
      </c>
      <c r="G57" s="40"/>
      <c r="H57" s="40"/>
      <c r="I57" s="40"/>
      <c r="J57" s="40"/>
      <c r="K57" s="40"/>
      <c r="L57" s="40">
        <f t="shared" si="2"/>
        <v>0</v>
      </c>
      <c r="M57" s="40"/>
      <c r="N57" s="40">
        <f>+L56</f>
        <v>4909024.6575365188</v>
      </c>
      <c r="O57" s="40"/>
      <c r="P57" s="40">
        <f t="shared" si="4"/>
        <v>62991.996278395141</v>
      </c>
      <c r="Q57" s="40"/>
      <c r="R57" s="40">
        <f t="shared" si="5"/>
        <v>5.5879354476928711E-9</v>
      </c>
    </row>
    <row r="58" spans="1:18">
      <c r="A58" s="46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>
      <c r="A59" s="46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>
      <c r="A60" s="46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>
      <c r="A61" s="42" t="s">
        <v>38</v>
      </c>
      <c r="B61" s="38">
        <f>SUM(B22:B57)</f>
        <v>999491.09346348513</v>
      </c>
      <c r="C61" s="38" t="s">
        <v>39</v>
      </c>
      <c r="D61" s="38">
        <f>SUM(D22:D57)</f>
        <v>-49974.554673174258</v>
      </c>
      <c r="E61" s="38">
        <v>0</v>
      </c>
      <c r="F61" s="38">
        <f>SUM(F22:F57)</f>
        <v>4909024.6575365188</v>
      </c>
      <c r="G61" s="38" t="s">
        <v>39</v>
      </c>
      <c r="H61" s="38">
        <f>SUM(H22:H57)</f>
        <v>0</v>
      </c>
      <c r="I61" s="38">
        <v>0</v>
      </c>
      <c r="J61" s="38">
        <f>SUM(J22:J57)</f>
        <v>0</v>
      </c>
      <c r="K61" s="40"/>
      <c r="L61" s="40"/>
      <c r="M61" s="40"/>
      <c r="N61" s="38">
        <f>SUM(N22:N57)</f>
        <v>192707880.83007145</v>
      </c>
      <c r="O61" s="40"/>
      <c r="P61" s="38">
        <f>SUM(P22:P57)</f>
        <v>2472803.6542715156</v>
      </c>
      <c r="Q61" s="40"/>
      <c r="R61" s="40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P12" sqref="P12:P15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12.7109375" style="35" customWidth="1"/>
    <col min="9" max="9" width="1.85546875" style="35" customWidth="1"/>
    <col min="10" max="10" width="12.28515625" style="35" customWidth="1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2.7109375" style="35" bestFit="1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100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IRC!$D$4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(D28+H28)/(B28+F28)</f>
        <v>-4.1955900000000001E-4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'!$J$1165</f>
        <v>36.104246448678118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N28/(L21+J28)</f>
        <v>3.9874110249999997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40.091657473678119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1.0924375461335567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3952183.5121041113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IRR!D3</f>
        <v>2.0999999999999999E-3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v>0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v>0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v>0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 t="s">
        <v>216</v>
      </c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Unit(Fcst)'!D55</f>
        <v>4386828.4800000004</v>
      </c>
      <c r="M21" s="40"/>
      <c r="N21" s="40"/>
      <c r="O21" s="40"/>
      <c r="P21" s="40"/>
      <c r="Q21" s="40"/>
      <c r="R21" s="40">
        <f>'2016 YE Reserve by Unit(Fcst)'!D52</f>
        <v>4792336.1400000006</v>
      </c>
    </row>
    <row r="22" spans="1:18">
      <c r="A22" s="46">
        <v>2017</v>
      </c>
      <c r="B22" s="40">
        <f>+L21*P$10</f>
        <v>9212.3398080000006</v>
      </c>
      <c r="C22" s="40"/>
      <c r="D22" s="40">
        <f>+B22*P$2</f>
        <v>-921.23398080000015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4377616.1401920002</v>
      </c>
      <c r="M22" s="40"/>
      <c r="N22" s="40">
        <f>(L21+L22)/2</f>
        <v>4382222.3100960003</v>
      </c>
      <c r="O22" s="40"/>
      <c r="P22" s="40">
        <f>N22*$P$12</f>
        <v>0</v>
      </c>
      <c r="Q22" s="40"/>
      <c r="R22" s="40">
        <f>R21+P22-B22-F22+D22</f>
        <v>4782202.5662112003</v>
      </c>
    </row>
    <row r="23" spans="1:18">
      <c r="A23" s="46">
        <f>A22+1</f>
        <v>2018</v>
      </c>
      <c r="B23" s="40">
        <f t="shared" ref="B23" si="0">+L22*P$10</f>
        <v>9192.9938944032001</v>
      </c>
      <c r="C23" s="40"/>
      <c r="D23" s="40">
        <f t="shared" ref="D23:D25" si="1">+B23*P$2</f>
        <v>-919.29938944032006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25" si="2">L22+J23-B23-F23</f>
        <v>4368423.1462975973</v>
      </c>
      <c r="M23" s="40"/>
      <c r="N23" s="40">
        <f t="shared" ref="N23:N24" si="3">(L22+L23)/2</f>
        <v>4373019.6432447992</v>
      </c>
      <c r="O23" s="40"/>
      <c r="P23" s="40">
        <f t="shared" ref="P23:P25" si="4">N23*$P$12</f>
        <v>0</v>
      </c>
      <c r="Q23" s="40"/>
      <c r="R23" s="40">
        <f t="shared" ref="R23:R25" si="5">R22+P23-B23-F23+D23</f>
        <v>4772090.2729273569</v>
      </c>
    </row>
    <row r="24" spans="1:18">
      <c r="A24" s="46">
        <f t="shared" ref="A24:A25" si="6">A23+1</f>
        <v>2019</v>
      </c>
      <c r="B24" s="40">
        <v>0</v>
      </c>
      <c r="C24" s="40"/>
      <c r="D24" s="40">
        <f t="shared" si="1"/>
        <v>0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4368423.1462975973</v>
      </c>
      <c r="M24" s="40"/>
      <c r="N24" s="40">
        <f t="shared" si="3"/>
        <v>4368423.1462975973</v>
      </c>
      <c r="O24" s="40"/>
      <c r="P24" s="40">
        <f t="shared" si="4"/>
        <v>0</v>
      </c>
      <c r="Q24" s="40"/>
      <c r="R24" s="40">
        <f t="shared" si="5"/>
        <v>4772090.2729273569</v>
      </c>
    </row>
    <row r="25" spans="1:18">
      <c r="A25" s="46">
        <f t="shared" si="6"/>
        <v>2020</v>
      </c>
      <c r="B25" s="40">
        <v>0</v>
      </c>
      <c r="C25" s="40"/>
      <c r="D25" s="40">
        <f t="shared" si="1"/>
        <v>0</v>
      </c>
      <c r="E25" s="40"/>
      <c r="F25" s="40">
        <f>L24</f>
        <v>4368423.1462975973</v>
      </c>
      <c r="G25" s="40"/>
      <c r="H25" s="40"/>
      <c r="I25" s="40"/>
      <c r="J25" s="40">
        <v>0</v>
      </c>
      <c r="K25" s="40"/>
      <c r="L25" s="40">
        <f t="shared" si="2"/>
        <v>0</v>
      </c>
      <c r="M25" s="40"/>
      <c r="N25" s="40">
        <f>+L24</f>
        <v>4368423.1462975973</v>
      </c>
      <c r="O25" s="40"/>
      <c r="P25" s="40">
        <f t="shared" si="4"/>
        <v>0</v>
      </c>
      <c r="Q25" s="40"/>
      <c r="R25" s="40">
        <f t="shared" si="5"/>
        <v>403667.12662975956</v>
      </c>
    </row>
    <row r="26" spans="1:18">
      <c r="A26" s="46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46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42" t="s">
        <v>38</v>
      </c>
      <c r="B28" s="38">
        <f>SUM(B22:B25)</f>
        <v>18405.333702403201</v>
      </c>
      <c r="C28" s="38" t="s">
        <v>39</v>
      </c>
      <c r="D28" s="38">
        <f>SUM(D22:D25)</f>
        <v>-1840.5333702403202</v>
      </c>
      <c r="E28" s="38">
        <v>0</v>
      </c>
      <c r="F28" s="38">
        <f>SUM(F22:F25)</f>
        <v>4368423.1462975973</v>
      </c>
      <c r="G28" s="38" t="s">
        <v>39</v>
      </c>
      <c r="H28" s="38">
        <f>SUM(H22:H25)</f>
        <v>0</v>
      </c>
      <c r="I28" s="38">
        <v>0</v>
      </c>
      <c r="J28" s="38">
        <f>SUM(J22:J25)</f>
        <v>0</v>
      </c>
      <c r="K28" s="40"/>
      <c r="L28" s="40"/>
      <c r="M28" s="40"/>
      <c r="N28" s="38">
        <f>SUM(N22:N25)</f>
        <v>17492088.245935991</v>
      </c>
      <c r="O28" s="40"/>
      <c r="P28" s="38">
        <f>SUM(P22:P25)</f>
        <v>0</v>
      </c>
      <c r="Q28" s="40"/>
      <c r="R28" s="40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workbookViewId="0">
      <selection activeCell="R49" sqref="R49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2.2851562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2.7109375" style="63" customWidth="1"/>
    <col min="9" max="9" width="1.85546875" style="63" customWidth="1"/>
    <col min="10" max="10" width="12.28515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5.7109375" style="63" bestFit="1" customWidth="1"/>
    <col min="15" max="15" width="1.85546875" style="63" customWidth="1"/>
    <col min="16" max="16" width="12.7109375" style="63" bestFit="1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(D29+H29)/(B29+F29)</f>
        <v>-2.2499999999999998E-3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'!$J$1178</f>
        <v>12.359953837268023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N29/(L21+J29)</f>
        <v>3.4775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15.837453837268022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1.3698659325667937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808144.27682471368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v>0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v>0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v>0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 t="s">
        <v>216</v>
      </c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Unit(Fcst)'!D57</f>
        <v>1033192.75</v>
      </c>
      <c r="M21" s="40"/>
      <c r="N21" s="40"/>
      <c r="O21" s="40"/>
      <c r="P21" s="40"/>
      <c r="Q21" s="40"/>
      <c r="R21" s="40">
        <f>'2016 YE Reserve by Unit(Fcst)'!D54</f>
        <v>1415335.55</v>
      </c>
    </row>
    <row r="22" spans="1:18">
      <c r="A22" s="46">
        <v>2017</v>
      </c>
      <c r="B22" s="40">
        <f>+L21*P$10</f>
        <v>7748.9456249999994</v>
      </c>
      <c r="C22" s="40"/>
      <c r="D22" s="40">
        <f>+B22*P$2</f>
        <v>-2324.6836874999999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1025443.8043749999</v>
      </c>
      <c r="M22" s="40"/>
      <c r="N22" s="40">
        <f>(L21+L22)/2</f>
        <v>1029318.2771874999</v>
      </c>
      <c r="O22" s="40"/>
      <c r="P22" s="40">
        <f>N22*$P$12</f>
        <v>0</v>
      </c>
      <c r="Q22" s="40"/>
      <c r="R22" s="40">
        <f>R21+P22-B22-F22+D22</f>
        <v>1405261.9206875002</v>
      </c>
    </row>
    <row r="23" spans="1:18">
      <c r="A23" s="46">
        <f>A22+1</f>
        <v>2018</v>
      </c>
      <c r="B23" s="40"/>
      <c r="C23" s="40"/>
      <c r="D23" s="40"/>
      <c r="E23" s="40"/>
      <c r="F23" s="40"/>
      <c r="G23" s="40"/>
      <c r="H23" s="40"/>
      <c r="I23" s="40"/>
      <c r="J23" s="40">
        <v>0</v>
      </c>
      <c r="K23" s="40"/>
      <c r="L23" s="40">
        <f t="shared" ref="L23:L25" si="0">L22+J23-B23-F23</f>
        <v>1025443.8043749999</v>
      </c>
      <c r="M23" s="40"/>
      <c r="N23" s="40">
        <f t="shared" ref="N23:N25" si="1">(L22+L23)/2</f>
        <v>1025443.8043749999</v>
      </c>
      <c r="O23" s="40"/>
      <c r="P23" s="40">
        <f t="shared" ref="P23:P25" si="2">N23*$P$12</f>
        <v>0</v>
      </c>
      <c r="Q23" s="40"/>
      <c r="R23" s="40">
        <f t="shared" ref="R23:R25" si="3">R22+P23-B23-F23+D23</f>
        <v>1405261.9206875002</v>
      </c>
    </row>
    <row r="24" spans="1:18">
      <c r="A24" s="46">
        <f t="shared" ref="A24:A25" si="4">A23+1</f>
        <v>2019</v>
      </c>
      <c r="B24" s="40"/>
      <c r="C24" s="40"/>
      <c r="D24" s="40"/>
      <c r="E24" s="40"/>
      <c r="F24" s="40"/>
      <c r="G24" s="40"/>
      <c r="H24" s="40"/>
      <c r="I24" s="40"/>
      <c r="J24" s="40">
        <v>0</v>
      </c>
      <c r="K24" s="40"/>
      <c r="L24" s="40">
        <f t="shared" si="0"/>
        <v>1025443.8043749999</v>
      </c>
      <c r="M24" s="40"/>
      <c r="N24" s="40">
        <f t="shared" si="1"/>
        <v>1025443.8043749999</v>
      </c>
      <c r="O24" s="40"/>
      <c r="P24" s="40">
        <f t="shared" si="2"/>
        <v>0</v>
      </c>
      <c r="Q24" s="40"/>
      <c r="R24" s="40">
        <f t="shared" si="3"/>
        <v>1405261.9206875002</v>
      </c>
    </row>
    <row r="25" spans="1:18" ht="14.25" customHeight="1">
      <c r="A25" s="46">
        <f t="shared" si="4"/>
        <v>2020</v>
      </c>
      <c r="B25" s="40"/>
      <c r="C25" s="40"/>
      <c r="D25" s="40"/>
      <c r="E25" s="40"/>
      <c r="F25" s="40">
        <f>+L24</f>
        <v>1025443.8043749999</v>
      </c>
      <c r="G25" s="40"/>
      <c r="H25" s="40"/>
      <c r="I25" s="40"/>
      <c r="J25" s="40">
        <v>0</v>
      </c>
      <c r="K25" s="40"/>
      <c r="L25" s="40">
        <f t="shared" si="0"/>
        <v>0</v>
      </c>
      <c r="M25" s="40"/>
      <c r="N25" s="40">
        <f t="shared" si="1"/>
        <v>512721.90218749997</v>
      </c>
      <c r="O25" s="40"/>
      <c r="P25" s="40">
        <f t="shared" si="2"/>
        <v>0</v>
      </c>
      <c r="Q25" s="40"/>
      <c r="R25" s="40">
        <f t="shared" si="3"/>
        <v>379818.11631250021</v>
      </c>
    </row>
    <row r="26" spans="1:18">
      <c r="A26" s="46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46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46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2" t="s">
        <v>38</v>
      </c>
      <c r="B29" s="38">
        <f>SUM(B22:B25)</f>
        <v>7748.9456249999994</v>
      </c>
      <c r="C29" s="38" t="s">
        <v>39</v>
      </c>
      <c r="D29" s="38">
        <f>SUM(D22:D25)</f>
        <v>-2324.6836874999999</v>
      </c>
      <c r="E29" s="38">
        <v>0</v>
      </c>
      <c r="F29" s="38">
        <f>SUM(F22:F25)</f>
        <v>1025443.8043749999</v>
      </c>
      <c r="G29" s="38" t="s">
        <v>39</v>
      </c>
      <c r="H29" s="38">
        <f>SUM(H22:H25)</f>
        <v>0</v>
      </c>
      <c r="I29" s="38">
        <v>0</v>
      </c>
      <c r="J29" s="38">
        <f>SUM(J22:J25)</f>
        <v>0</v>
      </c>
      <c r="K29" s="40"/>
      <c r="L29" s="40"/>
      <c r="M29" s="40"/>
      <c r="N29" s="38">
        <f>SUM(N22:N25)</f>
        <v>3592927.788125</v>
      </c>
      <c r="O29" s="40"/>
      <c r="P29" s="38">
        <f>SUM(P22:P25)</f>
        <v>0</v>
      </c>
      <c r="Q29" s="40"/>
      <c r="R29" s="40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P12" sqref="P12:P15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2.2851562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2.7109375" style="63" customWidth="1"/>
    <col min="9" max="9" width="1.85546875" style="63" customWidth="1"/>
    <col min="10" max="10" width="12.28515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5.7109375" style="63" bestFit="1" customWidth="1"/>
    <col min="15" max="15" width="1.85546875" style="63" customWidth="1"/>
    <col min="16" max="16" width="12.7109375" style="63" bestFit="1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(D29+H29)/(B29+F29)</f>
        <v>-6.4450079999999995E-3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'!$J$1197</f>
        <v>40.878793000181197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N29/(L21+J29)</f>
        <v>3.9354915999999998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44.814284600181196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1.5112432485424132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1264978.42505185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v>0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v>0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v>0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 t="s">
        <v>216</v>
      </c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Unit(Fcst)'!D58</f>
        <v>1377880.24</v>
      </c>
      <c r="M21" s="40"/>
      <c r="N21" s="40"/>
      <c r="O21" s="40"/>
      <c r="P21" s="40"/>
      <c r="Q21" s="40"/>
      <c r="R21" s="40">
        <f>'2016 YE Reserve by Unit(Fcst)'!D55</f>
        <v>2082312.21</v>
      </c>
    </row>
    <row r="22" spans="1:18">
      <c r="A22" s="46">
        <v>2017</v>
      </c>
      <c r="B22" s="40">
        <f>+L21*P$10</f>
        <v>14881.106592</v>
      </c>
      <c r="C22" s="40"/>
      <c r="D22" s="40">
        <f>+B22*P$2</f>
        <v>-4464.3319775999998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1362999.133408</v>
      </c>
      <c r="M22" s="40"/>
      <c r="N22" s="40">
        <f>(L21+L22)/2</f>
        <v>1370439.686704</v>
      </c>
      <c r="O22" s="40"/>
      <c r="P22" s="40">
        <f>N22*$P$12</f>
        <v>0</v>
      </c>
      <c r="Q22" s="40"/>
      <c r="R22" s="40">
        <f>R21+P22-B22-F22+D22</f>
        <v>2062966.7714304</v>
      </c>
    </row>
    <row r="23" spans="1:18">
      <c r="A23" s="46">
        <f>A22+1</f>
        <v>2018</v>
      </c>
      <c r="B23" s="40">
        <f t="shared" ref="B23" si="0">+L22*P$10</f>
        <v>14720.390640806401</v>
      </c>
      <c r="C23" s="40"/>
      <c r="D23" s="40">
        <f t="shared" ref="D23:D25" si="1">+B23*P$2</f>
        <v>-4416.1171922419198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25" si="2">L22+J23-B23-F23</f>
        <v>1348278.7427671936</v>
      </c>
      <c r="M23" s="40"/>
      <c r="N23" s="40">
        <f t="shared" ref="N23:N24" si="3">(L22+L23)/2</f>
        <v>1355638.9380875968</v>
      </c>
      <c r="O23" s="40"/>
      <c r="P23" s="40">
        <f t="shared" ref="P23:P25" si="4">N23*$P$12</f>
        <v>0</v>
      </c>
      <c r="Q23" s="40"/>
      <c r="R23" s="40">
        <f t="shared" ref="R23:R25" si="5">R22+P23-B23-F23+D23</f>
        <v>2043830.2635973517</v>
      </c>
    </row>
    <row r="24" spans="1:18">
      <c r="A24" s="46">
        <f t="shared" ref="A24:A25" si="6">A23+1</f>
        <v>2019</v>
      </c>
      <c r="B24" s="40">
        <v>0</v>
      </c>
      <c r="C24" s="40"/>
      <c r="D24" s="40">
        <f t="shared" si="1"/>
        <v>0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1348278.7427671936</v>
      </c>
      <c r="M24" s="40"/>
      <c r="N24" s="40">
        <f t="shared" si="3"/>
        <v>1348278.7427671936</v>
      </c>
      <c r="O24" s="40"/>
      <c r="P24" s="40">
        <f t="shared" si="4"/>
        <v>0</v>
      </c>
      <c r="Q24" s="40"/>
      <c r="R24" s="40">
        <f t="shared" si="5"/>
        <v>2043830.2635973517</v>
      </c>
    </row>
    <row r="25" spans="1:18">
      <c r="A25" s="46">
        <f t="shared" si="6"/>
        <v>2020</v>
      </c>
      <c r="B25" s="40">
        <v>0</v>
      </c>
      <c r="C25" s="40"/>
      <c r="D25" s="40">
        <f t="shared" si="1"/>
        <v>0</v>
      </c>
      <c r="E25" s="40"/>
      <c r="F25" s="40">
        <f>L24</f>
        <v>1348278.7427671936</v>
      </c>
      <c r="G25" s="40"/>
      <c r="H25" s="40"/>
      <c r="I25" s="40"/>
      <c r="J25" s="40">
        <v>0</v>
      </c>
      <c r="K25" s="40"/>
      <c r="L25" s="40">
        <f t="shared" si="2"/>
        <v>0</v>
      </c>
      <c r="M25" s="40"/>
      <c r="N25" s="40">
        <f>+L24</f>
        <v>1348278.7427671936</v>
      </c>
      <c r="O25" s="40"/>
      <c r="P25" s="40">
        <f t="shared" si="4"/>
        <v>0</v>
      </c>
      <c r="Q25" s="40"/>
      <c r="R25" s="40">
        <f t="shared" si="5"/>
        <v>695551.52083015814</v>
      </c>
    </row>
    <row r="26" spans="1:18">
      <c r="A26" s="46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46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46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2" t="s">
        <v>38</v>
      </c>
      <c r="B29" s="38">
        <f>SUM(B22:B25)</f>
        <v>29601.497232806403</v>
      </c>
      <c r="C29" s="38" t="s">
        <v>39</v>
      </c>
      <c r="D29" s="38">
        <f>SUM(D22:D25)</f>
        <v>-8880.4491698419188</v>
      </c>
      <c r="E29" s="38">
        <v>0</v>
      </c>
      <c r="F29" s="38">
        <f>SUM(F22:F25)</f>
        <v>1348278.7427671936</v>
      </c>
      <c r="G29" s="38" t="s">
        <v>39</v>
      </c>
      <c r="H29" s="38">
        <f>SUM(H22:H25)</f>
        <v>0</v>
      </c>
      <c r="I29" s="38">
        <v>0</v>
      </c>
      <c r="J29" s="38">
        <f>SUM(J22:J25)</f>
        <v>0</v>
      </c>
      <c r="K29" s="40"/>
      <c r="L29" s="40"/>
      <c r="M29" s="40"/>
      <c r="N29" s="38">
        <f>SUM(N22:N25)</f>
        <v>5422636.1103259837</v>
      </c>
      <c r="O29" s="40"/>
      <c r="P29" s="38">
        <f>SUM(P22:P25)</f>
        <v>0</v>
      </c>
      <c r="Q29" s="40"/>
      <c r="R29" s="40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P12" sqref="P12:P15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2.2851562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2.7109375" style="63" customWidth="1"/>
    <col min="9" max="9" width="1.85546875" style="63" customWidth="1"/>
    <col min="10" max="10" width="12.28515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5.7109375" style="63" bestFit="1" customWidth="1"/>
    <col min="15" max="15" width="1.85546875" style="63" customWidth="1"/>
    <col min="16" max="16" width="12.7109375" style="63" bestFit="1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(D29+H29)/(B29+F29)</f>
        <v>-1.0571909999999999E-3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'!$J$1229</f>
        <v>29.777647256633962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N29/(L21+J29)</f>
        <v>3.9682702250000004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33.74591748163396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1.257547198557837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1486568.6085561579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v>0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v>0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v>0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 t="s">
        <v>216</v>
      </c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Unit(Fcst)'!D59</f>
        <v>1682894.6400000001</v>
      </c>
      <c r="M21" s="40"/>
      <c r="N21" s="40"/>
      <c r="O21" s="40"/>
      <c r="P21" s="40"/>
      <c r="Q21" s="40"/>
      <c r="R21" s="40">
        <f>'2016 YE Reserve by Unit(Fcst)'!D56</f>
        <v>2116319.44</v>
      </c>
    </row>
    <row r="22" spans="1:18">
      <c r="A22" s="46">
        <v>2017</v>
      </c>
      <c r="B22" s="40">
        <f>+L21*P$10</f>
        <v>8919.3415920000007</v>
      </c>
      <c r="C22" s="40"/>
      <c r="D22" s="40">
        <f>+B22*P$2</f>
        <v>-891.93415920000007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1673975.298408</v>
      </c>
      <c r="M22" s="40"/>
      <c r="N22" s="40">
        <f>(L21+L22)/2</f>
        <v>1678434.9692040002</v>
      </c>
      <c r="O22" s="40"/>
      <c r="P22" s="40">
        <f>N22*$P$12</f>
        <v>0</v>
      </c>
      <c r="Q22" s="40"/>
      <c r="R22" s="40">
        <f>R21+P22-B22-F22+D22</f>
        <v>2106508.1642487999</v>
      </c>
    </row>
    <row r="23" spans="1:18">
      <c r="A23" s="46">
        <f>A22+1</f>
        <v>2018</v>
      </c>
      <c r="B23" s="40">
        <f t="shared" ref="B23" si="0">+L22*P$10</f>
        <v>8872.0690815624002</v>
      </c>
      <c r="C23" s="40"/>
      <c r="D23" s="40">
        <f t="shared" ref="D23:D25" si="1">+B23*P$2</f>
        <v>-887.20690815624005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25" si="2">L22+J23-B23-F23</f>
        <v>1665103.2293264377</v>
      </c>
      <c r="M23" s="40"/>
      <c r="N23" s="40">
        <f t="shared" ref="N23:N24" si="3">(L22+L23)/2</f>
        <v>1669539.263867219</v>
      </c>
      <c r="O23" s="40"/>
      <c r="P23" s="40">
        <f t="shared" ref="P23:P25" si="4">N23*$P$12</f>
        <v>0</v>
      </c>
      <c r="Q23" s="40"/>
      <c r="R23" s="40">
        <f t="shared" ref="R23:R25" si="5">R22+P23-B23-F23+D23</f>
        <v>2096748.8882590812</v>
      </c>
    </row>
    <row r="24" spans="1:18">
      <c r="A24" s="46">
        <f t="shared" ref="A24:A25" si="6">A23+1</f>
        <v>2019</v>
      </c>
      <c r="B24" s="40">
        <v>0</v>
      </c>
      <c r="C24" s="40"/>
      <c r="D24" s="40">
        <f t="shared" si="1"/>
        <v>0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1665103.2293264377</v>
      </c>
      <c r="M24" s="40"/>
      <c r="N24" s="40">
        <f t="shared" si="3"/>
        <v>1665103.2293264377</v>
      </c>
      <c r="O24" s="40"/>
      <c r="P24" s="40">
        <f t="shared" si="4"/>
        <v>0</v>
      </c>
      <c r="Q24" s="40"/>
      <c r="R24" s="40">
        <f t="shared" si="5"/>
        <v>2096748.8882590812</v>
      </c>
    </row>
    <row r="25" spans="1:18">
      <c r="A25" s="46">
        <f t="shared" si="6"/>
        <v>2020</v>
      </c>
      <c r="B25" s="40">
        <v>0</v>
      </c>
      <c r="C25" s="40"/>
      <c r="D25" s="40">
        <f t="shared" si="1"/>
        <v>0</v>
      </c>
      <c r="E25" s="40"/>
      <c r="F25" s="40">
        <f>L24</f>
        <v>1665103.2293264377</v>
      </c>
      <c r="G25" s="40"/>
      <c r="H25" s="40"/>
      <c r="I25" s="40"/>
      <c r="J25" s="40">
        <v>0</v>
      </c>
      <c r="K25" s="40"/>
      <c r="L25" s="40">
        <f t="shared" si="2"/>
        <v>0</v>
      </c>
      <c r="M25" s="40"/>
      <c r="N25" s="40">
        <f>+L24</f>
        <v>1665103.2293264377</v>
      </c>
      <c r="O25" s="40"/>
      <c r="P25" s="40">
        <f t="shared" si="4"/>
        <v>0</v>
      </c>
      <c r="Q25" s="40"/>
      <c r="R25" s="40">
        <f t="shared" si="5"/>
        <v>431645.65893264348</v>
      </c>
    </row>
    <row r="26" spans="1:18">
      <c r="A26" s="46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46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46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2" t="s">
        <v>38</v>
      </c>
      <c r="B29" s="38">
        <f>SUM(B22:B25)</f>
        <v>17791.410673562401</v>
      </c>
      <c r="C29" s="38" t="s">
        <v>39</v>
      </c>
      <c r="D29" s="38">
        <f>SUM(D22:D25)</f>
        <v>-1779.14106735624</v>
      </c>
      <c r="E29" s="38">
        <v>0</v>
      </c>
      <c r="F29" s="38">
        <f>SUM(F22:F25)</f>
        <v>1665103.2293264377</v>
      </c>
      <c r="G29" s="38" t="s">
        <v>39</v>
      </c>
      <c r="H29" s="38">
        <f>SUM(H22:H25)</f>
        <v>0</v>
      </c>
      <c r="I29" s="38">
        <v>0</v>
      </c>
      <c r="J29" s="38">
        <f>SUM(J22:J25)</f>
        <v>0</v>
      </c>
      <c r="K29" s="40"/>
      <c r="L29" s="40"/>
      <c r="M29" s="40"/>
      <c r="N29" s="38">
        <f>SUM(N22:N25)</f>
        <v>6678180.6917240955</v>
      </c>
      <c r="O29" s="40"/>
      <c r="P29" s="38">
        <f>SUM(P22:P25)</f>
        <v>0</v>
      </c>
      <c r="Q29" s="40"/>
      <c r="R29" s="40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P12" sqref="P12:P15"/>
    </sheetView>
  </sheetViews>
  <sheetFormatPr defaultRowHeight="15"/>
  <cols>
    <col min="1" max="1" width="11.28515625" style="63" bestFit="1" customWidth="1"/>
    <col min="2" max="2" width="15.28515625" style="63" customWidth="1"/>
    <col min="3" max="3" width="1.85546875" style="63" customWidth="1"/>
    <col min="4" max="4" width="12.28515625" style="63" customWidth="1"/>
    <col min="5" max="5" width="1.85546875" style="63" customWidth="1"/>
    <col min="6" max="6" width="14" style="63" bestFit="1" customWidth="1"/>
    <col min="7" max="7" width="1.85546875" style="63" customWidth="1"/>
    <col min="8" max="8" width="12.7109375" style="63" customWidth="1"/>
    <col min="9" max="9" width="1.85546875" style="63" customWidth="1"/>
    <col min="10" max="10" width="12.28515625" style="63" customWidth="1"/>
    <col min="11" max="11" width="1.85546875" style="63" customWidth="1"/>
    <col min="12" max="12" width="24.85546875" style="63" bestFit="1" customWidth="1"/>
    <col min="13" max="13" width="1.85546875" style="63" customWidth="1"/>
    <col min="14" max="14" width="15.7109375" style="63" bestFit="1" customWidth="1"/>
    <col min="15" max="15" width="1.85546875" style="63" customWidth="1"/>
    <col min="16" max="16" width="12.7109375" style="63" bestFit="1" customWidth="1"/>
    <col min="17" max="17" width="1.85546875" style="63" customWidth="1"/>
    <col min="18" max="18" width="14" style="63" bestFit="1" customWidth="1"/>
    <col min="19" max="16384" width="9.140625" style="63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104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IRC!$D$8</f>
        <v>-0.05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(D29+H29)/(B29+F29)</f>
        <v>-5.5843199999999998E-4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'!$J$1255</f>
        <v>17.181543301213139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N29/(L21+J29)</f>
        <v>3.9664783999999993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21.148021701213139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0.65059124579683558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336870.53905359883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IRR!D7</f>
        <v>5.5999999999999999E-3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v>0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v>0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v>0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 t="s">
        <v>216</v>
      </c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Unit(Fcst)'!D62</f>
        <v>414408.02</v>
      </c>
      <c r="M21" s="40"/>
      <c r="N21" s="40"/>
      <c r="O21" s="40"/>
      <c r="P21" s="40"/>
      <c r="Q21" s="40"/>
      <c r="R21" s="40">
        <f>'2016 YE Reserve by Unit(Fcst)'!D59</f>
        <v>269610.23</v>
      </c>
    </row>
    <row r="22" spans="1:18">
      <c r="A22" s="46">
        <v>2017</v>
      </c>
      <c r="B22" s="40">
        <f>+L21*P$10</f>
        <v>2320.6849120000002</v>
      </c>
      <c r="C22" s="40"/>
      <c r="D22" s="40">
        <f>+B22*P$2</f>
        <v>-116.03424560000002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412087.33508799999</v>
      </c>
      <c r="M22" s="40"/>
      <c r="N22" s="40">
        <f>(L21+L22)/2</f>
        <v>413247.67754399998</v>
      </c>
      <c r="O22" s="40"/>
      <c r="P22" s="40">
        <f>N22*$P$12</f>
        <v>0</v>
      </c>
      <c r="Q22" s="40"/>
      <c r="R22" s="40">
        <f>R21+P22-B22-F22+D22</f>
        <v>267173.51084239996</v>
      </c>
    </row>
    <row r="23" spans="1:18">
      <c r="A23" s="46">
        <f>A22+1</f>
        <v>2018</v>
      </c>
      <c r="B23" s="40">
        <f t="shared" ref="B23" si="0">+L22*P$10</f>
        <v>2307.6890764927998</v>
      </c>
      <c r="C23" s="40"/>
      <c r="D23" s="40">
        <f t="shared" ref="D23:D25" si="1">+B23*P$2</f>
        <v>-115.38445382463999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25" si="2">L22+J23-B23-F23</f>
        <v>409779.6460115072</v>
      </c>
      <c r="M23" s="40"/>
      <c r="N23" s="40">
        <f t="shared" ref="N23:N24" si="3">(L22+L23)/2</f>
        <v>410933.49054975359</v>
      </c>
      <c r="O23" s="40"/>
      <c r="P23" s="40">
        <f t="shared" ref="P23:P25" si="4">N23*$P$12</f>
        <v>0</v>
      </c>
      <c r="Q23" s="40"/>
      <c r="R23" s="40">
        <f t="shared" ref="R23:R25" si="5">R22+P23-B23-F23+D23</f>
        <v>264750.4373120825</v>
      </c>
    </row>
    <row r="24" spans="1:18">
      <c r="A24" s="46">
        <f t="shared" ref="A24:A25" si="6">A23+1</f>
        <v>2019</v>
      </c>
      <c r="B24" s="40">
        <v>0</v>
      </c>
      <c r="C24" s="40"/>
      <c r="D24" s="40">
        <f t="shared" si="1"/>
        <v>0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409779.6460115072</v>
      </c>
      <c r="M24" s="40"/>
      <c r="N24" s="40">
        <f t="shared" si="3"/>
        <v>409779.6460115072</v>
      </c>
      <c r="O24" s="40"/>
      <c r="P24" s="40">
        <f t="shared" si="4"/>
        <v>0</v>
      </c>
      <c r="Q24" s="40"/>
      <c r="R24" s="40">
        <f t="shared" si="5"/>
        <v>264750.4373120825</v>
      </c>
    </row>
    <row r="25" spans="1:18">
      <c r="A25" s="46">
        <f t="shared" si="6"/>
        <v>2020</v>
      </c>
      <c r="B25" s="40">
        <v>0</v>
      </c>
      <c r="C25" s="40"/>
      <c r="D25" s="40">
        <f t="shared" si="1"/>
        <v>0</v>
      </c>
      <c r="E25" s="40"/>
      <c r="F25" s="40">
        <f>L24</f>
        <v>409779.6460115072</v>
      </c>
      <c r="G25" s="40"/>
      <c r="H25" s="40"/>
      <c r="I25" s="40"/>
      <c r="J25" s="40">
        <v>0</v>
      </c>
      <c r="K25" s="40"/>
      <c r="L25" s="40">
        <f t="shared" si="2"/>
        <v>0</v>
      </c>
      <c r="M25" s="40"/>
      <c r="N25" s="40">
        <f>+L24</f>
        <v>409779.6460115072</v>
      </c>
      <c r="O25" s="40"/>
      <c r="P25" s="40">
        <f t="shared" si="4"/>
        <v>0</v>
      </c>
      <c r="Q25" s="40"/>
      <c r="R25" s="40">
        <f t="shared" si="5"/>
        <v>-145029.20869942469</v>
      </c>
    </row>
    <row r="26" spans="1:18">
      <c r="A26" s="46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46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46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2" t="s">
        <v>38</v>
      </c>
      <c r="B29" s="38">
        <f>SUM(B22:B25)</f>
        <v>4628.3739884928</v>
      </c>
      <c r="C29" s="38" t="s">
        <v>39</v>
      </c>
      <c r="D29" s="38">
        <f>SUM(D22:D25)</f>
        <v>-231.41869942464001</v>
      </c>
      <c r="E29" s="38">
        <v>0</v>
      </c>
      <c r="F29" s="38">
        <f>SUM(F22:F25)</f>
        <v>409779.6460115072</v>
      </c>
      <c r="G29" s="38" t="s">
        <v>39</v>
      </c>
      <c r="H29" s="38">
        <f>SUM(H22:H25)</f>
        <v>0</v>
      </c>
      <c r="I29" s="38">
        <v>0</v>
      </c>
      <c r="J29" s="38">
        <f>SUM(J22:J25)</f>
        <v>0</v>
      </c>
      <c r="K29" s="40"/>
      <c r="L29" s="40"/>
      <c r="M29" s="40"/>
      <c r="N29" s="38">
        <f>SUM(N22:N25)</f>
        <v>1643740.4601167678</v>
      </c>
      <c r="O29" s="40"/>
      <c r="P29" s="38">
        <f>SUM(P22:P25)</f>
        <v>0</v>
      </c>
      <c r="Q29" s="40"/>
      <c r="R29" s="40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3" sqref="F13"/>
    </sheetView>
  </sheetViews>
  <sheetFormatPr defaultRowHeight="15"/>
  <cols>
    <col min="2" max="2" width="11.140625" bestFit="1" customWidth="1"/>
    <col min="3" max="3" width="3.42578125" customWidth="1"/>
    <col min="4" max="4" width="12.7109375" bestFit="1" customWidth="1"/>
  </cols>
  <sheetData>
    <row r="1" spans="1:6">
      <c r="A1" s="29"/>
      <c r="B1" s="29" t="s">
        <v>59</v>
      </c>
      <c r="C1" s="29"/>
      <c r="D1" s="29" t="s">
        <v>61</v>
      </c>
      <c r="F1" s="63" t="s">
        <v>147</v>
      </c>
    </row>
    <row r="2" spans="1:6">
      <c r="A2" s="29" t="s">
        <v>60</v>
      </c>
      <c r="B2" s="29"/>
      <c r="C2" s="29"/>
      <c r="D2" s="29"/>
    </row>
    <row r="3" spans="1:6">
      <c r="A3" s="29">
        <v>311</v>
      </c>
      <c r="B3" s="30">
        <v>2.5000000000000001E-3</v>
      </c>
      <c r="C3" s="29"/>
      <c r="D3" s="30">
        <v>2.0999999999999999E-3</v>
      </c>
      <c r="F3" s="63">
        <v>-0.1</v>
      </c>
    </row>
    <row r="4" spans="1:6">
      <c r="A4" s="29">
        <v>312</v>
      </c>
      <c r="B4" s="30">
        <v>0.01</v>
      </c>
      <c r="C4" s="29"/>
      <c r="D4" s="30">
        <v>7.4999999999999997E-3</v>
      </c>
      <c r="F4" s="63">
        <v>-0.3</v>
      </c>
    </row>
    <row r="5" spans="1:6">
      <c r="A5" s="29">
        <v>314</v>
      </c>
      <c r="B5" s="30">
        <v>8.5000000000000006E-3</v>
      </c>
      <c r="C5" s="29"/>
      <c r="D5" s="30">
        <v>1.0800000000000001E-2</v>
      </c>
      <c r="F5" s="63">
        <v>-0.3</v>
      </c>
    </row>
    <row r="6" spans="1:6">
      <c r="A6" s="29">
        <v>315</v>
      </c>
      <c r="B6" s="30">
        <v>5.0000000000000001E-3</v>
      </c>
      <c r="C6" s="29"/>
      <c r="D6" s="30">
        <v>5.3E-3</v>
      </c>
      <c r="F6" s="63">
        <v>-0.1</v>
      </c>
    </row>
    <row r="7" spans="1:6">
      <c r="A7" s="29">
        <v>316</v>
      </c>
      <c r="B7" s="30">
        <v>1.2500000000000001E-2</v>
      </c>
      <c r="C7" s="29"/>
      <c r="D7" s="30">
        <v>5.5999999999999999E-3</v>
      </c>
      <c r="F7" s="63">
        <v>-0.05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9" sqref="E9"/>
    </sheetView>
  </sheetViews>
  <sheetFormatPr defaultRowHeight="15"/>
  <sheetData>
    <row r="1" spans="1:5">
      <c r="A1" s="63"/>
      <c r="B1" s="63" t="s">
        <v>209</v>
      </c>
      <c r="C1" s="63"/>
      <c r="D1" s="63" t="s">
        <v>208</v>
      </c>
      <c r="E1" s="63"/>
    </row>
    <row r="2" spans="1:5">
      <c r="A2" s="63" t="s">
        <v>60</v>
      </c>
      <c r="B2" s="63"/>
      <c r="C2" s="63"/>
      <c r="D2" s="63"/>
      <c r="E2" s="63"/>
    </row>
    <row r="3" spans="1:5" s="63" customFormat="1">
      <c r="A3" s="63" t="s">
        <v>210</v>
      </c>
    </row>
    <row r="4" spans="1:5">
      <c r="A4" s="63">
        <v>311</v>
      </c>
      <c r="B4" s="30">
        <v>-0.25</v>
      </c>
      <c r="C4" s="63"/>
      <c r="D4" s="30">
        <v>-0.1</v>
      </c>
      <c r="E4" s="63"/>
    </row>
    <row r="5" spans="1:5">
      <c r="A5" s="63">
        <v>312</v>
      </c>
      <c r="B5" s="30">
        <v>-0.25</v>
      </c>
      <c r="C5" s="63"/>
      <c r="D5" s="30">
        <v>-0.3</v>
      </c>
      <c r="E5" s="63"/>
    </row>
    <row r="6" spans="1:5">
      <c r="A6" s="63">
        <v>314</v>
      </c>
      <c r="B6" s="30">
        <v>-0.25</v>
      </c>
      <c r="C6" s="63"/>
      <c r="D6" s="30">
        <v>-0.3</v>
      </c>
      <c r="E6" s="63"/>
    </row>
    <row r="7" spans="1:5">
      <c r="A7" s="63">
        <v>315</v>
      </c>
      <c r="B7" s="30">
        <v>-0.25</v>
      </c>
      <c r="C7" s="63"/>
      <c r="D7" s="30">
        <v>-0.1</v>
      </c>
      <c r="E7" s="63"/>
    </row>
    <row r="8" spans="1:5">
      <c r="A8" s="63">
        <v>316</v>
      </c>
      <c r="B8" s="30">
        <v>-0.25</v>
      </c>
      <c r="C8" s="63"/>
      <c r="D8" s="30">
        <v>-0.05</v>
      </c>
      <c r="E8" s="63"/>
    </row>
    <row r="9" spans="1:5">
      <c r="A9" s="63"/>
      <c r="B9" s="63"/>
      <c r="C9" s="63"/>
      <c r="D9" s="63"/>
      <c r="E9" s="63"/>
    </row>
    <row r="10" spans="1:5">
      <c r="A10" s="63"/>
      <c r="B10" s="63"/>
      <c r="C10" s="63"/>
      <c r="D10" s="63"/>
      <c r="E10" s="63"/>
    </row>
    <row r="11" spans="1:5">
      <c r="A11" s="63" t="s">
        <v>96</v>
      </c>
      <c r="B11" s="63"/>
      <c r="C11" s="63"/>
      <c r="D11" s="63"/>
      <c r="E11" s="63"/>
    </row>
    <row r="12" spans="1:5">
      <c r="A12" s="63">
        <v>311</v>
      </c>
      <c r="B12" s="30">
        <v>-5.5E-2</v>
      </c>
      <c r="C12" s="30"/>
      <c r="D12" s="30">
        <v>-0.1</v>
      </c>
    </row>
    <row r="13" spans="1:5">
      <c r="A13" s="63">
        <v>312</v>
      </c>
      <c r="B13" s="30">
        <v>-5.5E-2</v>
      </c>
      <c r="C13" s="30"/>
      <c r="D13" s="30">
        <v>-0.3</v>
      </c>
    </row>
    <row r="14" spans="1:5">
      <c r="A14" s="63">
        <v>314</v>
      </c>
      <c r="B14" s="30">
        <v>-5.5E-2</v>
      </c>
      <c r="C14" s="30"/>
      <c r="D14" s="30">
        <v>-0.3</v>
      </c>
    </row>
    <row r="15" spans="1:5">
      <c r="A15" s="63">
        <v>315</v>
      </c>
      <c r="B15" s="30">
        <v>-5.5E-2</v>
      </c>
      <c r="C15" s="30"/>
      <c r="D15" s="30">
        <v>-0.1</v>
      </c>
    </row>
    <row r="16" spans="1:5">
      <c r="A16" s="63">
        <v>316</v>
      </c>
      <c r="B16" s="30">
        <v>-5.5E-2</v>
      </c>
      <c r="C16" s="30"/>
      <c r="D16" s="30">
        <v>-0.05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7"/>
  <sheetViews>
    <sheetView workbookViewId="0">
      <selection activeCell="B1229" sqref="B1229"/>
    </sheetView>
  </sheetViews>
  <sheetFormatPr defaultRowHeight="15" outlineLevelRow="2"/>
  <cols>
    <col min="1" max="1" width="19.140625" customWidth="1"/>
    <col min="2" max="2" width="19.140625" style="63" customWidth="1"/>
    <col min="3" max="3" width="32.42578125" customWidth="1"/>
    <col min="4" max="4" width="19.140625" customWidth="1"/>
    <col min="5" max="5" width="25.42578125" customWidth="1"/>
    <col min="6" max="6" width="17.140625" customWidth="1"/>
    <col min="7" max="7" width="23.85546875" customWidth="1"/>
    <col min="8" max="8" width="20.85546875" customWidth="1"/>
    <col min="9" max="9" width="27.140625" customWidth="1"/>
    <col min="11" max="11" width="13.42578125" customWidth="1"/>
    <col min="12" max="12" width="11.5703125" bestFit="1" customWidth="1"/>
  </cols>
  <sheetData>
    <row r="1" spans="1:10">
      <c r="A1" s="31" t="s">
        <v>89</v>
      </c>
      <c r="B1" s="31" t="s">
        <v>192</v>
      </c>
      <c r="C1" s="31" t="s">
        <v>97</v>
      </c>
      <c r="D1" s="31" t="s">
        <v>62</v>
      </c>
      <c r="E1" s="31" t="s">
        <v>63</v>
      </c>
      <c r="F1" s="33" t="s">
        <v>64</v>
      </c>
      <c r="G1" s="33" t="s">
        <v>90</v>
      </c>
      <c r="H1" s="32" t="s">
        <v>65</v>
      </c>
      <c r="I1" s="63" t="s">
        <v>91</v>
      </c>
      <c r="J1" s="63" t="s">
        <v>92</v>
      </c>
    </row>
    <row r="2" spans="1:10" ht="45" hidden="1" outlineLevel="2">
      <c r="A2" s="93" t="s">
        <v>93</v>
      </c>
      <c r="B2" s="93" t="s">
        <v>66</v>
      </c>
      <c r="D2" t="s">
        <v>193</v>
      </c>
      <c r="E2" s="93" t="s">
        <v>67</v>
      </c>
      <c r="F2" s="96">
        <v>1959</v>
      </c>
      <c r="G2">
        <f t="shared" ref="G2:G45" si="0">2016.5-F2</f>
        <v>57.5</v>
      </c>
      <c r="H2" s="95">
        <v>2810325.79</v>
      </c>
      <c r="I2" s="97">
        <f t="shared" ref="I2:I45" si="1">+G2*H2</f>
        <v>161593732.92500001</v>
      </c>
    </row>
    <row r="3" spans="1:10" ht="45" hidden="1" outlineLevel="2">
      <c r="A3" s="93" t="s">
        <v>93</v>
      </c>
      <c r="B3" s="93" t="s">
        <v>66</v>
      </c>
      <c r="D3" s="63" t="s">
        <v>193</v>
      </c>
      <c r="E3" s="93" t="s">
        <v>67</v>
      </c>
      <c r="F3" s="96">
        <v>1960</v>
      </c>
      <c r="G3" s="63">
        <f t="shared" si="0"/>
        <v>56.5</v>
      </c>
      <c r="H3" s="95">
        <v>3627.44</v>
      </c>
      <c r="I3" s="97">
        <f t="shared" si="1"/>
        <v>204950.36000000002</v>
      </c>
    </row>
    <row r="4" spans="1:10" ht="45" hidden="1" outlineLevel="2">
      <c r="A4" s="93" t="s">
        <v>93</v>
      </c>
      <c r="B4" s="93" t="s">
        <v>66</v>
      </c>
      <c r="D4" s="63" t="s">
        <v>193</v>
      </c>
      <c r="E4" s="93" t="s">
        <v>67</v>
      </c>
      <c r="F4" s="96">
        <v>1961</v>
      </c>
      <c r="G4" s="63">
        <f t="shared" si="0"/>
        <v>55.5</v>
      </c>
      <c r="H4" s="95">
        <v>9212.33</v>
      </c>
      <c r="I4" s="97">
        <f t="shared" si="1"/>
        <v>511284.315</v>
      </c>
    </row>
    <row r="5" spans="1:10" ht="45" hidden="1" outlineLevel="2">
      <c r="A5" s="93" t="s">
        <v>93</v>
      </c>
      <c r="B5" s="93" t="s">
        <v>66</v>
      </c>
      <c r="D5" s="63" t="s">
        <v>193</v>
      </c>
      <c r="E5" s="93" t="s">
        <v>67</v>
      </c>
      <c r="F5" s="96">
        <v>1962</v>
      </c>
      <c r="G5" s="63">
        <f t="shared" si="0"/>
        <v>54.5</v>
      </c>
      <c r="H5" s="95">
        <v>1093.52</v>
      </c>
      <c r="I5" s="97">
        <f t="shared" si="1"/>
        <v>59596.84</v>
      </c>
    </row>
    <row r="6" spans="1:10" ht="45" hidden="1" outlineLevel="2">
      <c r="A6" s="93" t="s">
        <v>93</v>
      </c>
      <c r="B6" s="93" t="s">
        <v>66</v>
      </c>
      <c r="D6" s="63" t="s">
        <v>193</v>
      </c>
      <c r="E6" s="93" t="s">
        <v>67</v>
      </c>
      <c r="F6" s="96">
        <v>1963</v>
      </c>
      <c r="G6" s="63">
        <f t="shared" si="0"/>
        <v>53.5</v>
      </c>
      <c r="H6" s="95">
        <v>430.89</v>
      </c>
      <c r="I6" s="97">
        <f t="shared" si="1"/>
        <v>23052.614999999998</v>
      </c>
    </row>
    <row r="7" spans="1:10" ht="45" hidden="1" outlineLevel="2">
      <c r="A7" s="93" t="s">
        <v>93</v>
      </c>
      <c r="B7" s="93" t="s">
        <v>66</v>
      </c>
      <c r="D7" s="63" t="s">
        <v>193</v>
      </c>
      <c r="E7" s="93" t="s">
        <v>67</v>
      </c>
      <c r="F7" s="96">
        <v>1964</v>
      </c>
      <c r="G7" s="63">
        <f t="shared" si="0"/>
        <v>52.5</v>
      </c>
      <c r="H7" s="95">
        <v>3329.78</v>
      </c>
      <c r="I7" s="97">
        <f t="shared" si="1"/>
        <v>174813.45</v>
      </c>
    </row>
    <row r="8" spans="1:10" ht="45" hidden="1" outlineLevel="2">
      <c r="A8" s="93" t="s">
        <v>93</v>
      </c>
      <c r="B8" s="93" t="s">
        <v>66</v>
      </c>
      <c r="D8" s="63" t="s">
        <v>193</v>
      </c>
      <c r="E8" s="93" t="s">
        <v>67</v>
      </c>
      <c r="F8" s="96">
        <v>1965</v>
      </c>
      <c r="G8" s="63">
        <f t="shared" si="0"/>
        <v>51.5</v>
      </c>
      <c r="H8" s="95">
        <v>214.41</v>
      </c>
      <c r="I8" s="97">
        <f t="shared" si="1"/>
        <v>11042.115</v>
      </c>
    </row>
    <row r="9" spans="1:10" ht="45" hidden="1" outlineLevel="2">
      <c r="A9" s="93" t="s">
        <v>93</v>
      </c>
      <c r="B9" s="93" t="s">
        <v>66</v>
      </c>
      <c r="D9" s="63" t="s">
        <v>193</v>
      </c>
      <c r="E9" s="93" t="s">
        <v>67</v>
      </c>
      <c r="F9" s="96">
        <v>1968</v>
      </c>
      <c r="G9" s="63">
        <f t="shared" si="0"/>
        <v>48.5</v>
      </c>
      <c r="H9" s="95">
        <v>3637.82</v>
      </c>
      <c r="I9" s="97">
        <f t="shared" si="1"/>
        <v>176434.27000000002</v>
      </c>
    </row>
    <row r="10" spans="1:10" ht="45" hidden="1" outlineLevel="2">
      <c r="A10" s="93" t="s">
        <v>93</v>
      </c>
      <c r="B10" s="93" t="s">
        <v>66</v>
      </c>
      <c r="D10" s="63" t="s">
        <v>193</v>
      </c>
      <c r="E10" s="93" t="s">
        <v>67</v>
      </c>
      <c r="F10" s="96">
        <v>1969</v>
      </c>
      <c r="G10" s="63">
        <f t="shared" si="0"/>
        <v>47.5</v>
      </c>
      <c r="H10" s="95">
        <v>3627.23</v>
      </c>
      <c r="I10" s="97">
        <f t="shared" si="1"/>
        <v>172293.42499999999</v>
      </c>
    </row>
    <row r="11" spans="1:10" ht="45" hidden="1" outlineLevel="2">
      <c r="A11" s="93" t="s">
        <v>93</v>
      </c>
      <c r="B11" s="93" t="s">
        <v>66</v>
      </c>
      <c r="D11" s="63" t="s">
        <v>193</v>
      </c>
      <c r="E11" s="93" t="s">
        <v>67</v>
      </c>
      <c r="F11" s="96">
        <v>1971</v>
      </c>
      <c r="G11" s="63">
        <f t="shared" si="0"/>
        <v>45.5</v>
      </c>
      <c r="H11" s="95">
        <v>661.05</v>
      </c>
      <c r="I11" s="97">
        <f t="shared" si="1"/>
        <v>30077.774999999998</v>
      </c>
    </row>
    <row r="12" spans="1:10" ht="45" hidden="1" outlineLevel="2">
      <c r="A12" s="93" t="s">
        <v>93</v>
      </c>
      <c r="B12" s="93" t="s">
        <v>66</v>
      </c>
      <c r="D12" s="63" t="s">
        <v>193</v>
      </c>
      <c r="E12" s="93" t="s">
        <v>67</v>
      </c>
      <c r="F12" s="96">
        <v>1972</v>
      </c>
      <c r="G12" s="63">
        <f t="shared" si="0"/>
        <v>44.5</v>
      </c>
      <c r="H12" s="95">
        <v>14893.67</v>
      </c>
      <c r="I12" s="97">
        <f t="shared" si="1"/>
        <v>662768.31500000006</v>
      </c>
    </row>
    <row r="13" spans="1:10" ht="45" hidden="1" outlineLevel="2">
      <c r="A13" s="93" t="s">
        <v>93</v>
      </c>
      <c r="B13" s="93" t="s">
        <v>66</v>
      </c>
      <c r="D13" s="63" t="s">
        <v>193</v>
      </c>
      <c r="E13" s="93" t="s">
        <v>67</v>
      </c>
      <c r="F13" s="96">
        <v>1973</v>
      </c>
      <c r="G13" s="63">
        <f t="shared" si="0"/>
        <v>43.5</v>
      </c>
      <c r="H13" s="95">
        <v>32580.799999999999</v>
      </c>
      <c r="I13" s="97">
        <f t="shared" si="1"/>
        <v>1417264.8</v>
      </c>
    </row>
    <row r="14" spans="1:10" ht="45" hidden="1" outlineLevel="2">
      <c r="A14" s="93" t="s">
        <v>93</v>
      </c>
      <c r="B14" s="93" t="s">
        <v>66</v>
      </c>
      <c r="D14" s="63" t="s">
        <v>193</v>
      </c>
      <c r="E14" s="93" t="s">
        <v>67</v>
      </c>
      <c r="F14" s="96">
        <v>1976</v>
      </c>
      <c r="G14" s="63">
        <f t="shared" si="0"/>
        <v>40.5</v>
      </c>
      <c r="H14" s="95">
        <v>4773556.99</v>
      </c>
      <c r="I14" s="97">
        <f t="shared" si="1"/>
        <v>193329058.095</v>
      </c>
    </row>
    <row r="15" spans="1:10" ht="45" hidden="1" outlineLevel="2">
      <c r="A15" s="93" t="s">
        <v>93</v>
      </c>
      <c r="B15" s="93" t="s">
        <v>66</v>
      </c>
      <c r="D15" s="63" t="s">
        <v>193</v>
      </c>
      <c r="E15" s="93" t="s">
        <v>67</v>
      </c>
      <c r="F15" s="96">
        <v>1977</v>
      </c>
      <c r="G15" s="63">
        <f t="shared" si="0"/>
        <v>39.5</v>
      </c>
      <c r="H15" s="95">
        <v>1910812.12</v>
      </c>
      <c r="I15" s="97">
        <f t="shared" si="1"/>
        <v>75477078.74000001</v>
      </c>
    </row>
    <row r="16" spans="1:10" ht="45" hidden="1" outlineLevel="2">
      <c r="A16" s="93" t="s">
        <v>93</v>
      </c>
      <c r="B16" s="93" t="s">
        <v>66</v>
      </c>
      <c r="D16" s="63" t="s">
        <v>193</v>
      </c>
      <c r="E16" s="93" t="s">
        <v>67</v>
      </c>
      <c r="F16" s="96">
        <v>1978</v>
      </c>
      <c r="G16" s="63">
        <f t="shared" si="0"/>
        <v>38.5</v>
      </c>
      <c r="H16" s="95">
        <v>339828.44</v>
      </c>
      <c r="I16" s="97">
        <f t="shared" si="1"/>
        <v>13083394.939999999</v>
      </c>
    </row>
    <row r="17" spans="1:9" ht="45" hidden="1" outlineLevel="2">
      <c r="A17" s="93" t="s">
        <v>93</v>
      </c>
      <c r="B17" s="93" t="s">
        <v>66</v>
      </c>
      <c r="D17" s="63" t="s">
        <v>193</v>
      </c>
      <c r="E17" s="93" t="s">
        <v>67</v>
      </c>
      <c r="F17" s="96">
        <v>1979</v>
      </c>
      <c r="G17" s="63">
        <f t="shared" si="0"/>
        <v>37.5</v>
      </c>
      <c r="H17" s="95">
        <v>27411.38</v>
      </c>
      <c r="I17" s="97">
        <f t="shared" si="1"/>
        <v>1027926.75</v>
      </c>
    </row>
    <row r="18" spans="1:9" ht="45" hidden="1" outlineLevel="2">
      <c r="A18" s="93" t="s">
        <v>93</v>
      </c>
      <c r="B18" s="93" t="s">
        <v>66</v>
      </c>
      <c r="D18" s="63" t="s">
        <v>193</v>
      </c>
      <c r="E18" s="93" t="s">
        <v>67</v>
      </c>
      <c r="F18" s="96">
        <v>1980</v>
      </c>
      <c r="G18" s="63">
        <f t="shared" si="0"/>
        <v>36.5</v>
      </c>
      <c r="H18" s="95">
        <v>16734.400000000001</v>
      </c>
      <c r="I18" s="97">
        <f t="shared" si="1"/>
        <v>610805.60000000009</v>
      </c>
    </row>
    <row r="19" spans="1:9" ht="45" hidden="1" outlineLevel="2">
      <c r="A19" s="93" t="s">
        <v>93</v>
      </c>
      <c r="B19" s="93" t="s">
        <v>66</v>
      </c>
      <c r="D19" s="63" t="s">
        <v>193</v>
      </c>
      <c r="E19" s="93" t="s">
        <v>67</v>
      </c>
      <c r="F19" s="96">
        <v>1981</v>
      </c>
      <c r="G19" s="63">
        <f t="shared" si="0"/>
        <v>35.5</v>
      </c>
      <c r="H19" s="95">
        <v>17627.97</v>
      </c>
      <c r="I19" s="97">
        <f t="shared" si="1"/>
        <v>625792.93500000006</v>
      </c>
    </row>
    <row r="20" spans="1:9" ht="45" hidden="1" outlineLevel="2">
      <c r="A20" s="93" t="s">
        <v>93</v>
      </c>
      <c r="B20" s="93" t="s">
        <v>66</v>
      </c>
      <c r="D20" s="63" t="s">
        <v>193</v>
      </c>
      <c r="E20" s="93" t="s">
        <v>67</v>
      </c>
      <c r="F20" s="96">
        <v>1982</v>
      </c>
      <c r="G20" s="63">
        <f t="shared" si="0"/>
        <v>34.5</v>
      </c>
      <c r="H20" s="95">
        <v>40934.92</v>
      </c>
      <c r="I20" s="97">
        <f t="shared" si="1"/>
        <v>1412254.74</v>
      </c>
    </row>
    <row r="21" spans="1:9" ht="45" hidden="1" outlineLevel="2">
      <c r="A21" s="93" t="s">
        <v>93</v>
      </c>
      <c r="B21" s="93" t="s">
        <v>66</v>
      </c>
      <c r="D21" s="63" t="s">
        <v>193</v>
      </c>
      <c r="E21" s="93" t="s">
        <v>67</v>
      </c>
      <c r="F21" s="96">
        <v>1984</v>
      </c>
      <c r="G21" s="63">
        <f t="shared" si="0"/>
        <v>32.5</v>
      </c>
      <c r="H21" s="95">
        <v>294529.86</v>
      </c>
      <c r="I21" s="97">
        <f t="shared" si="1"/>
        <v>9572220.4499999993</v>
      </c>
    </row>
    <row r="22" spans="1:9" ht="45" hidden="1" outlineLevel="2">
      <c r="A22" s="93" t="s">
        <v>93</v>
      </c>
      <c r="B22" s="93" t="s">
        <v>66</v>
      </c>
      <c r="D22" s="63" t="s">
        <v>193</v>
      </c>
      <c r="E22" s="93" t="s">
        <v>67</v>
      </c>
      <c r="F22" s="96">
        <v>1985</v>
      </c>
      <c r="G22" s="63">
        <f t="shared" si="0"/>
        <v>31.5</v>
      </c>
      <c r="H22" s="95">
        <v>52045.23</v>
      </c>
      <c r="I22" s="97">
        <f t="shared" si="1"/>
        <v>1639424.7450000001</v>
      </c>
    </row>
    <row r="23" spans="1:9" ht="45" hidden="1" outlineLevel="2">
      <c r="A23" s="93" t="s">
        <v>93</v>
      </c>
      <c r="B23" s="93" t="s">
        <v>66</v>
      </c>
      <c r="D23" s="63" t="s">
        <v>193</v>
      </c>
      <c r="E23" s="93" t="s">
        <v>67</v>
      </c>
      <c r="F23" s="96">
        <v>1986</v>
      </c>
      <c r="G23" s="63">
        <f t="shared" si="0"/>
        <v>30.5</v>
      </c>
      <c r="H23" s="95">
        <v>637918.04</v>
      </c>
      <c r="I23" s="97">
        <f t="shared" si="1"/>
        <v>19456500.220000003</v>
      </c>
    </row>
    <row r="24" spans="1:9" ht="45" hidden="1" outlineLevel="2">
      <c r="A24" s="93" t="s">
        <v>93</v>
      </c>
      <c r="B24" s="93" t="s">
        <v>66</v>
      </c>
      <c r="D24" s="63" t="s">
        <v>193</v>
      </c>
      <c r="E24" s="93" t="s">
        <v>67</v>
      </c>
      <c r="F24" s="96">
        <v>1987</v>
      </c>
      <c r="G24" s="63">
        <f t="shared" si="0"/>
        <v>29.5</v>
      </c>
      <c r="H24" s="95">
        <v>82945.89</v>
      </c>
      <c r="I24" s="97">
        <f t="shared" si="1"/>
        <v>2446903.7549999999</v>
      </c>
    </row>
    <row r="25" spans="1:9" ht="45" hidden="1" outlineLevel="2">
      <c r="A25" s="93" t="s">
        <v>93</v>
      </c>
      <c r="B25" s="93" t="s">
        <v>66</v>
      </c>
      <c r="D25" s="63" t="s">
        <v>193</v>
      </c>
      <c r="E25" s="93" t="s">
        <v>67</v>
      </c>
      <c r="F25" s="96">
        <v>1988</v>
      </c>
      <c r="G25" s="63">
        <f t="shared" si="0"/>
        <v>28.5</v>
      </c>
      <c r="H25" s="95">
        <v>84153.46</v>
      </c>
      <c r="I25" s="97">
        <f t="shared" si="1"/>
        <v>2398373.6100000003</v>
      </c>
    </row>
    <row r="26" spans="1:9" ht="45" hidden="1" outlineLevel="2">
      <c r="A26" s="93" t="s">
        <v>93</v>
      </c>
      <c r="B26" s="93" t="s">
        <v>66</v>
      </c>
      <c r="D26" s="63" t="s">
        <v>193</v>
      </c>
      <c r="E26" s="93" t="s">
        <v>67</v>
      </c>
      <c r="F26" s="96">
        <v>1989</v>
      </c>
      <c r="G26" s="63">
        <f t="shared" si="0"/>
        <v>27.5</v>
      </c>
      <c r="H26" s="95">
        <v>199320.59</v>
      </c>
      <c r="I26" s="97">
        <f t="shared" si="1"/>
        <v>5481316.2249999996</v>
      </c>
    </row>
    <row r="27" spans="1:9" ht="45" hidden="1" outlineLevel="2">
      <c r="A27" s="93" t="s">
        <v>93</v>
      </c>
      <c r="B27" s="93" t="s">
        <v>66</v>
      </c>
      <c r="D27" s="63" t="s">
        <v>193</v>
      </c>
      <c r="E27" s="93" t="s">
        <v>67</v>
      </c>
      <c r="F27" s="96">
        <v>1990</v>
      </c>
      <c r="G27" s="63">
        <f t="shared" si="0"/>
        <v>26.5</v>
      </c>
      <c r="H27" s="95">
        <v>208429.67</v>
      </c>
      <c r="I27" s="97">
        <f t="shared" si="1"/>
        <v>5523386.2549999999</v>
      </c>
    </row>
    <row r="28" spans="1:9" ht="45" hidden="1" outlineLevel="2">
      <c r="A28" s="93" t="s">
        <v>93</v>
      </c>
      <c r="B28" s="93" t="s">
        <v>66</v>
      </c>
      <c r="D28" s="63" t="s">
        <v>193</v>
      </c>
      <c r="E28" s="93" t="s">
        <v>67</v>
      </c>
      <c r="F28" s="96">
        <v>1992</v>
      </c>
      <c r="G28" s="63">
        <f t="shared" si="0"/>
        <v>24.5</v>
      </c>
      <c r="H28" s="95">
        <v>46190.61</v>
      </c>
      <c r="I28" s="97">
        <f t="shared" si="1"/>
        <v>1131669.9450000001</v>
      </c>
    </row>
    <row r="29" spans="1:9" ht="45" hidden="1" outlineLevel="2">
      <c r="A29" s="93" t="s">
        <v>93</v>
      </c>
      <c r="B29" s="93" t="s">
        <v>66</v>
      </c>
      <c r="D29" s="63" t="s">
        <v>193</v>
      </c>
      <c r="E29" s="93" t="s">
        <v>67</v>
      </c>
      <c r="F29" s="96">
        <v>1993</v>
      </c>
      <c r="G29" s="63">
        <f t="shared" si="0"/>
        <v>23.5</v>
      </c>
      <c r="H29" s="95">
        <v>52073.97</v>
      </c>
      <c r="I29" s="97">
        <f t="shared" si="1"/>
        <v>1223738.2949999999</v>
      </c>
    </row>
    <row r="30" spans="1:9" ht="45" hidden="1" outlineLevel="2">
      <c r="A30" s="93" t="s">
        <v>93</v>
      </c>
      <c r="B30" s="93" t="s">
        <v>66</v>
      </c>
      <c r="D30" s="63" t="s">
        <v>193</v>
      </c>
      <c r="E30" s="93" t="s">
        <v>67</v>
      </c>
      <c r="F30" s="96">
        <v>1994</v>
      </c>
      <c r="G30" s="63">
        <f t="shared" si="0"/>
        <v>22.5</v>
      </c>
      <c r="H30" s="95">
        <v>2393620.1800000002</v>
      </c>
      <c r="I30" s="97">
        <f t="shared" si="1"/>
        <v>53856454.050000004</v>
      </c>
    </row>
    <row r="31" spans="1:9" ht="45" hidden="1" outlineLevel="2">
      <c r="A31" s="93" t="s">
        <v>93</v>
      </c>
      <c r="B31" s="93" t="s">
        <v>66</v>
      </c>
      <c r="D31" s="63" t="s">
        <v>193</v>
      </c>
      <c r="E31" s="93" t="s">
        <v>67</v>
      </c>
      <c r="F31" s="96">
        <v>1998</v>
      </c>
      <c r="G31" s="63">
        <f t="shared" si="0"/>
        <v>18.5</v>
      </c>
      <c r="H31" s="95">
        <v>612582.72</v>
      </c>
      <c r="I31" s="97">
        <f t="shared" si="1"/>
        <v>11332780.32</v>
      </c>
    </row>
    <row r="32" spans="1:9" ht="45" hidden="1" outlineLevel="2">
      <c r="A32" s="93" t="s">
        <v>93</v>
      </c>
      <c r="B32" s="93" t="s">
        <v>66</v>
      </c>
      <c r="D32" s="63" t="s">
        <v>193</v>
      </c>
      <c r="E32" s="93" t="s">
        <v>67</v>
      </c>
      <c r="F32" s="96">
        <v>1999</v>
      </c>
      <c r="G32" s="63">
        <f t="shared" si="0"/>
        <v>17.5</v>
      </c>
      <c r="H32" s="95">
        <v>100346.95</v>
      </c>
      <c r="I32" s="97">
        <f t="shared" si="1"/>
        <v>1756071.625</v>
      </c>
    </row>
    <row r="33" spans="1:10" ht="45" hidden="1" outlineLevel="2">
      <c r="A33" s="93" t="s">
        <v>93</v>
      </c>
      <c r="B33" s="93" t="s">
        <v>66</v>
      </c>
      <c r="D33" s="63" t="s">
        <v>193</v>
      </c>
      <c r="E33" s="93" t="s">
        <v>67</v>
      </c>
      <c r="F33" s="96">
        <v>2000</v>
      </c>
      <c r="G33" s="63">
        <f t="shared" si="0"/>
        <v>16.5</v>
      </c>
      <c r="H33" s="95">
        <v>1414453.83</v>
      </c>
      <c r="I33" s="97">
        <f t="shared" si="1"/>
        <v>23338488.195</v>
      </c>
    </row>
    <row r="34" spans="1:10" ht="45" hidden="1" outlineLevel="2">
      <c r="A34" s="93" t="s">
        <v>93</v>
      </c>
      <c r="B34" s="93" t="s">
        <v>66</v>
      </c>
      <c r="D34" s="63" t="s">
        <v>193</v>
      </c>
      <c r="E34" s="93" t="s">
        <v>67</v>
      </c>
      <c r="F34" s="96">
        <v>2001</v>
      </c>
      <c r="G34" s="63">
        <f t="shared" si="0"/>
        <v>15.5</v>
      </c>
      <c r="H34" s="95">
        <v>789948.71</v>
      </c>
      <c r="I34" s="97">
        <f t="shared" si="1"/>
        <v>12244205.004999999</v>
      </c>
    </row>
    <row r="35" spans="1:10" ht="45" hidden="1" outlineLevel="2">
      <c r="A35" s="93" t="s">
        <v>93</v>
      </c>
      <c r="B35" s="93" t="s">
        <v>66</v>
      </c>
      <c r="D35" s="63" t="s">
        <v>193</v>
      </c>
      <c r="E35" s="93" t="s">
        <v>67</v>
      </c>
      <c r="F35" s="96">
        <v>2002</v>
      </c>
      <c r="G35" s="63">
        <f t="shared" si="0"/>
        <v>14.5</v>
      </c>
      <c r="H35" s="95">
        <v>1042415.77</v>
      </c>
      <c r="I35" s="97">
        <f t="shared" si="1"/>
        <v>15115028.665000001</v>
      </c>
    </row>
    <row r="36" spans="1:10" ht="45" hidden="1" outlineLevel="2">
      <c r="A36" s="93" t="s">
        <v>93</v>
      </c>
      <c r="B36" s="93" t="s">
        <v>66</v>
      </c>
      <c r="D36" s="63" t="s">
        <v>193</v>
      </c>
      <c r="E36" s="93" t="s">
        <v>67</v>
      </c>
      <c r="F36" s="96">
        <v>2005</v>
      </c>
      <c r="G36" s="63">
        <f t="shared" si="0"/>
        <v>11.5</v>
      </c>
      <c r="H36" s="95">
        <v>31371</v>
      </c>
      <c r="I36" s="97">
        <f t="shared" si="1"/>
        <v>360766.5</v>
      </c>
    </row>
    <row r="37" spans="1:10" ht="45" hidden="1" outlineLevel="2">
      <c r="A37" s="93" t="s">
        <v>93</v>
      </c>
      <c r="B37" s="93" t="s">
        <v>66</v>
      </c>
      <c r="D37" s="63" t="s">
        <v>193</v>
      </c>
      <c r="E37" s="93" t="s">
        <v>67</v>
      </c>
      <c r="F37" s="96">
        <v>2006</v>
      </c>
      <c r="G37" s="63">
        <f t="shared" si="0"/>
        <v>10.5</v>
      </c>
      <c r="H37" s="95">
        <v>1522370.79</v>
      </c>
      <c r="I37" s="97">
        <f t="shared" si="1"/>
        <v>15984893.295</v>
      </c>
    </row>
    <row r="38" spans="1:10" ht="45" hidden="1" outlineLevel="2">
      <c r="A38" s="93" t="s">
        <v>93</v>
      </c>
      <c r="B38" s="93" t="s">
        <v>66</v>
      </c>
      <c r="D38" s="63" t="s">
        <v>193</v>
      </c>
      <c r="E38" s="93" t="s">
        <v>67</v>
      </c>
      <c r="F38" s="96">
        <v>2008</v>
      </c>
      <c r="G38" s="63">
        <f t="shared" si="0"/>
        <v>8.5</v>
      </c>
      <c r="H38" s="95">
        <v>12039874.73</v>
      </c>
      <c r="I38" s="97">
        <f t="shared" si="1"/>
        <v>102338935.205</v>
      </c>
    </row>
    <row r="39" spans="1:10" ht="45" hidden="1" outlineLevel="2">
      <c r="A39" s="93" t="s">
        <v>93</v>
      </c>
      <c r="B39" s="93" t="s">
        <v>66</v>
      </c>
      <c r="D39" s="63" t="s">
        <v>193</v>
      </c>
      <c r="E39" s="93" t="s">
        <v>67</v>
      </c>
      <c r="F39" s="96">
        <v>2009</v>
      </c>
      <c r="G39" s="63">
        <f t="shared" si="0"/>
        <v>7.5</v>
      </c>
      <c r="H39" s="95">
        <v>56779.61</v>
      </c>
      <c r="I39" s="97">
        <f t="shared" si="1"/>
        <v>425847.07500000001</v>
      </c>
    </row>
    <row r="40" spans="1:10" ht="45" hidden="1" outlineLevel="2">
      <c r="A40" s="93" t="s">
        <v>93</v>
      </c>
      <c r="B40" s="93" t="s">
        <v>66</v>
      </c>
      <c r="D40" s="63" t="s">
        <v>193</v>
      </c>
      <c r="E40" s="93" t="s">
        <v>67</v>
      </c>
      <c r="F40" s="96">
        <v>2010</v>
      </c>
      <c r="G40" s="63">
        <f t="shared" si="0"/>
        <v>6.5</v>
      </c>
      <c r="H40" s="95">
        <v>244266.26</v>
      </c>
      <c r="I40" s="97">
        <f t="shared" si="1"/>
        <v>1587730.69</v>
      </c>
    </row>
    <row r="41" spans="1:10" ht="45" hidden="1" outlineLevel="2">
      <c r="A41" s="93" t="s">
        <v>93</v>
      </c>
      <c r="B41" s="93" t="s">
        <v>66</v>
      </c>
      <c r="D41" s="63" t="s">
        <v>193</v>
      </c>
      <c r="E41" s="93" t="s">
        <v>67</v>
      </c>
      <c r="F41" s="96">
        <v>2011</v>
      </c>
      <c r="G41" s="63">
        <f t="shared" si="0"/>
        <v>5.5</v>
      </c>
      <c r="H41" s="95">
        <v>50291.28</v>
      </c>
      <c r="I41" s="97">
        <f t="shared" si="1"/>
        <v>276602.03999999998</v>
      </c>
    </row>
    <row r="42" spans="1:10" ht="45" hidden="1" outlineLevel="2">
      <c r="A42" s="93" t="s">
        <v>93</v>
      </c>
      <c r="B42" s="93" t="s">
        <v>66</v>
      </c>
      <c r="D42" s="63" t="s">
        <v>193</v>
      </c>
      <c r="E42" s="93" t="s">
        <v>67</v>
      </c>
      <c r="F42" s="96">
        <v>2012</v>
      </c>
      <c r="G42" s="63">
        <f t="shared" si="0"/>
        <v>4.5</v>
      </c>
      <c r="H42" s="95">
        <v>5175.29</v>
      </c>
      <c r="I42" s="97">
        <f t="shared" si="1"/>
        <v>23288.805</v>
      </c>
    </row>
    <row r="43" spans="1:10" ht="45" hidden="1" outlineLevel="2">
      <c r="A43" s="93" t="s">
        <v>93</v>
      </c>
      <c r="B43" s="93" t="s">
        <v>66</v>
      </c>
      <c r="D43" s="63" t="s">
        <v>193</v>
      </c>
      <c r="E43" s="93" t="s">
        <v>67</v>
      </c>
      <c r="F43" s="96">
        <v>2014</v>
      </c>
      <c r="G43" s="63">
        <f t="shared" si="0"/>
        <v>2.5</v>
      </c>
      <c r="H43" s="95">
        <v>2189802.63</v>
      </c>
      <c r="I43" s="97">
        <f t="shared" si="1"/>
        <v>5474506.5749999993</v>
      </c>
    </row>
    <row r="44" spans="1:10" ht="45" hidden="1" outlineLevel="2">
      <c r="A44" s="93" t="s">
        <v>93</v>
      </c>
      <c r="B44" s="93" t="s">
        <v>66</v>
      </c>
      <c r="D44" s="63" t="s">
        <v>193</v>
      </c>
      <c r="E44" s="93" t="s">
        <v>67</v>
      </c>
      <c r="F44" s="96">
        <v>2015</v>
      </c>
      <c r="G44" s="63">
        <f t="shared" si="0"/>
        <v>1.5</v>
      </c>
      <c r="H44" s="95">
        <v>28104.23</v>
      </c>
      <c r="I44" s="97">
        <f t="shared" si="1"/>
        <v>42156.345000000001</v>
      </c>
    </row>
    <row r="45" spans="1:10" ht="45" hidden="1" outlineLevel="2">
      <c r="A45" s="93" t="s">
        <v>93</v>
      </c>
      <c r="B45" s="93" t="s">
        <v>66</v>
      </c>
      <c r="D45" s="63" t="s">
        <v>193</v>
      </c>
      <c r="E45" s="93" t="s">
        <v>67</v>
      </c>
      <c r="F45" s="96">
        <v>2016</v>
      </c>
      <c r="G45" s="63">
        <f t="shared" si="0"/>
        <v>0.5</v>
      </c>
      <c r="H45" s="95">
        <v>575703.35</v>
      </c>
      <c r="I45" s="97">
        <f t="shared" si="1"/>
        <v>287851.67499999999</v>
      </c>
    </row>
    <row r="46" spans="1:10" s="63" customFormat="1" ht="30" outlineLevel="1" collapsed="1">
      <c r="A46" s="26" t="str">
        <f>+A45</f>
        <v>Crist</v>
      </c>
      <c r="B46" s="94"/>
      <c r="C46" s="26"/>
      <c r="D46" s="26" t="str">
        <f>+D45</f>
        <v>Crist 4</v>
      </c>
      <c r="E46" s="94" t="s">
        <v>202</v>
      </c>
      <c r="F46" s="96"/>
      <c r="H46" s="95">
        <f>SUBTOTAL(9,H2:H45)</f>
        <v>34765255.600000001</v>
      </c>
      <c r="I46" s="97">
        <f>SUBTOTAL(9,I2:I45)</f>
        <v>743922762.57000029</v>
      </c>
      <c r="J46" s="64">
        <f>+I46/H46</f>
        <v>21.398455145257159</v>
      </c>
    </row>
    <row r="47" spans="1:10" ht="45" hidden="1" outlineLevel="2">
      <c r="A47" s="93" t="s">
        <v>93</v>
      </c>
      <c r="B47" s="93" t="s">
        <v>66</v>
      </c>
      <c r="D47" s="63" t="s">
        <v>193</v>
      </c>
      <c r="E47" s="93" t="s">
        <v>68</v>
      </c>
      <c r="F47" s="96">
        <v>1959</v>
      </c>
      <c r="G47" s="63">
        <f t="shared" ref="G47:G63" si="2">2016.5-F47</f>
        <v>57.5</v>
      </c>
      <c r="H47" s="95">
        <v>1614676.41</v>
      </c>
      <c r="I47" s="97">
        <f t="shared" ref="I47:I63" si="3">+G47*H47</f>
        <v>92843893.574999988</v>
      </c>
    </row>
    <row r="48" spans="1:10" ht="45" hidden="1" outlineLevel="2">
      <c r="A48" s="93" t="s">
        <v>93</v>
      </c>
      <c r="B48" s="93" t="s">
        <v>66</v>
      </c>
      <c r="D48" s="63" t="s">
        <v>193</v>
      </c>
      <c r="E48" s="93" t="s">
        <v>68</v>
      </c>
      <c r="F48" s="96">
        <v>1961</v>
      </c>
      <c r="G48" s="63">
        <f t="shared" si="2"/>
        <v>55.5</v>
      </c>
      <c r="H48" s="95">
        <v>6715.22</v>
      </c>
      <c r="I48" s="97">
        <f t="shared" si="3"/>
        <v>372694.71</v>
      </c>
    </row>
    <row r="49" spans="1:10" ht="45" hidden="1" outlineLevel="2">
      <c r="A49" s="93" t="s">
        <v>93</v>
      </c>
      <c r="B49" s="93" t="s">
        <v>66</v>
      </c>
      <c r="D49" s="63" t="s">
        <v>193</v>
      </c>
      <c r="E49" s="93" t="s">
        <v>68</v>
      </c>
      <c r="F49" s="96">
        <v>1976</v>
      </c>
      <c r="G49" s="63">
        <f t="shared" si="2"/>
        <v>40.5</v>
      </c>
      <c r="H49" s="95">
        <v>151500</v>
      </c>
      <c r="I49" s="97">
        <f t="shared" si="3"/>
        <v>6135750</v>
      </c>
    </row>
    <row r="50" spans="1:10" ht="45" hidden="1" outlineLevel="2">
      <c r="A50" s="93" t="s">
        <v>93</v>
      </c>
      <c r="B50" s="93" t="s">
        <v>66</v>
      </c>
      <c r="D50" s="63" t="s">
        <v>193</v>
      </c>
      <c r="E50" s="93" t="s">
        <v>68</v>
      </c>
      <c r="F50" s="96">
        <v>1977</v>
      </c>
      <c r="G50" s="63">
        <f t="shared" si="2"/>
        <v>39.5</v>
      </c>
      <c r="H50" s="95">
        <v>25382.99</v>
      </c>
      <c r="I50" s="97">
        <f t="shared" si="3"/>
        <v>1002628.1050000001</v>
      </c>
    </row>
    <row r="51" spans="1:10" ht="45" hidden="1" outlineLevel="2">
      <c r="A51" s="93" t="s">
        <v>93</v>
      </c>
      <c r="B51" s="93" t="s">
        <v>66</v>
      </c>
      <c r="D51" s="63" t="s">
        <v>193</v>
      </c>
      <c r="E51" s="93" t="s">
        <v>68</v>
      </c>
      <c r="F51" s="96">
        <v>1988</v>
      </c>
      <c r="G51" s="63">
        <f t="shared" si="2"/>
        <v>28.5</v>
      </c>
      <c r="H51" s="95">
        <v>18196.2</v>
      </c>
      <c r="I51" s="97">
        <f t="shared" si="3"/>
        <v>518591.7</v>
      </c>
    </row>
    <row r="52" spans="1:10" ht="45" hidden="1" outlineLevel="2">
      <c r="A52" s="93" t="s">
        <v>93</v>
      </c>
      <c r="B52" s="93" t="s">
        <v>66</v>
      </c>
      <c r="D52" s="63" t="s">
        <v>193</v>
      </c>
      <c r="E52" s="93" t="s">
        <v>68</v>
      </c>
      <c r="F52" s="96">
        <v>1989</v>
      </c>
      <c r="G52" s="63">
        <f t="shared" si="2"/>
        <v>27.5</v>
      </c>
      <c r="H52" s="95">
        <v>930313.64</v>
      </c>
      <c r="I52" s="97">
        <f t="shared" si="3"/>
        <v>25583625.100000001</v>
      </c>
    </row>
    <row r="53" spans="1:10" ht="45" hidden="1" outlineLevel="2">
      <c r="A53" s="93" t="s">
        <v>93</v>
      </c>
      <c r="B53" s="93" t="s">
        <v>66</v>
      </c>
      <c r="D53" s="63" t="s">
        <v>193</v>
      </c>
      <c r="E53" s="93" t="s">
        <v>68</v>
      </c>
      <c r="F53" s="96">
        <v>1993</v>
      </c>
      <c r="G53" s="63">
        <f t="shared" si="2"/>
        <v>23.5</v>
      </c>
      <c r="H53" s="95">
        <v>10967.21</v>
      </c>
      <c r="I53" s="97">
        <f t="shared" si="3"/>
        <v>257729.43499999997</v>
      </c>
    </row>
    <row r="54" spans="1:10" ht="45" hidden="1" outlineLevel="2">
      <c r="A54" s="93" t="s">
        <v>93</v>
      </c>
      <c r="B54" s="93" t="s">
        <v>66</v>
      </c>
      <c r="D54" s="63" t="s">
        <v>193</v>
      </c>
      <c r="E54" s="93" t="s">
        <v>68</v>
      </c>
      <c r="F54" s="96">
        <v>1998</v>
      </c>
      <c r="G54" s="63">
        <f t="shared" si="2"/>
        <v>18.5</v>
      </c>
      <c r="H54" s="95">
        <v>1378583.85</v>
      </c>
      <c r="I54" s="97">
        <f t="shared" si="3"/>
        <v>25503801.225000001</v>
      </c>
    </row>
    <row r="55" spans="1:10" ht="45" hidden="1" outlineLevel="2">
      <c r="A55" s="93" t="s">
        <v>93</v>
      </c>
      <c r="B55" s="93" t="s">
        <v>66</v>
      </c>
      <c r="D55" s="63" t="s">
        <v>193</v>
      </c>
      <c r="E55" s="93" t="s">
        <v>68</v>
      </c>
      <c r="F55" s="96">
        <v>2000</v>
      </c>
      <c r="G55" s="63">
        <f t="shared" si="2"/>
        <v>16.5</v>
      </c>
      <c r="H55" s="95">
        <v>361055.66</v>
      </c>
      <c r="I55" s="97">
        <f t="shared" si="3"/>
        <v>5957418.3899999997</v>
      </c>
    </row>
    <row r="56" spans="1:10" ht="45" hidden="1" outlineLevel="2">
      <c r="A56" s="93" t="s">
        <v>93</v>
      </c>
      <c r="B56" s="93" t="s">
        <v>66</v>
      </c>
      <c r="D56" s="63" t="s">
        <v>193</v>
      </c>
      <c r="E56" s="93" t="s">
        <v>68</v>
      </c>
      <c r="F56" s="96">
        <v>2002</v>
      </c>
      <c r="G56" s="63">
        <f t="shared" si="2"/>
        <v>14.5</v>
      </c>
      <c r="H56" s="95">
        <v>3616.43</v>
      </c>
      <c r="I56" s="97">
        <f t="shared" si="3"/>
        <v>52438.235000000001</v>
      </c>
    </row>
    <row r="57" spans="1:10" ht="45" hidden="1" outlineLevel="2">
      <c r="A57" s="93" t="s">
        <v>93</v>
      </c>
      <c r="B57" s="93" t="s">
        <v>66</v>
      </c>
      <c r="D57" s="63" t="s">
        <v>193</v>
      </c>
      <c r="E57" s="93" t="s">
        <v>68</v>
      </c>
      <c r="F57" s="96">
        <v>2006</v>
      </c>
      <c r="G57" s="63">
        <f t="shared" si="2"/>
        <v>10.5</v>
      </c>
      <c r="H57" s="95">
        <v>3829.55</v>
      </c>
      <c r="I57" s="97">
        <f t="shared" si="3"/>
        <v>40210.275000000001</v>
      </c>
    </row>
    <row r="58" spans="1:10" ht="45" hidden="1" outlineLevel="2">
      <c r="A58" s="93" t="s">
        <v>93</v>
      </c>
      <c r="B58" s="93" t="s">
        <v>66</v>
      </c>
      <c r="D58" s="63" t="s">
        <v>193</v>
      </c>
      <c r="E58" s="93" t="s">
        <v>68</v>
      </c>
      <c r="F58" s="96">
        <v>2008</v>
      </c>
      <c r="G58" s="63">
        <f t="shared" si="2"/>
        <v>8.5</v>
      </c>
      <c r="H58" s="95">
        <v>5216524.43</v>
      </c>
      <c r="I58" s="97">
        <f t="shared" si="3"/>
        <v>44340457.655000001</v>
      </c>
    </row>
    <row r="59" spans="1:10" ht="45" hidden="1" outlineLevel="2">
      <c r="A59" s="93" t="s">
        <v>93</v>
      </c>
      <c r="B59" s="93" t="s">
        <v>66</v>
      </c>
      <c r="D59" s="63" t="s">
        <v>193</v>
      </c>
      <c r="E59" s="93" t="s">
        <v>68</v>
      </c>
      <c r="F59" s="96">
        <v>2010</v>
      </c>
      <c r="G59" s="63">
        <f t="shared" si="2"/>
        <v>6.5</v>
      </c>
      <c r="H59" s="95">
        <v>64365.56</v>
      </c>
      <c r="I59" s="97">
        <f t="shared" si="3"/>
        <v>418376.14</v>
      </c>
    </row>
    <row r="60" spans="1:10" ht="45" hidden="1" outlineLevel="2">
      <c r="A60" s="93" t="s">
        <v>93</v>
      </c>
      <c r="B60" s="93" t="s">
        <v>66</v>
      </c>
      <c r="D60" s="63" t="s">
        <v>193</v>
      </c>
      <c r="E60" s="93" t="s">
        <v>68</v>
      </c>
      <c r="F60" s="96">
        <v>2011</v>
      </c>
      <c r="G60" s="63">
        <f t="shared" si="2"/>
        <v>5.5</v>
      </c>
      <c r="H60" s="95">
        <v>11371.33</v>
      </c>
      <c r="I60" s="97">
        <f t="shared" si="3"/>
        <v>62542.315000000002</v>
      </c>
    </row>
    <row r="61" spans="1:10" ht="45" hidden="1" outlineLevel="2">
      <c r="A61" s="93" t="s">
        <v>93</v>
      </c>
      <c r="B61" s="93" t="s">
        <v>66</v>
      </c>
      <c r="D61" s="63" t="s">
        <v>193</v>
      </c>
      <c r="E61" s="93" t="s">
        <v>68</v>
      </c>
      <c r="F61" s="96">
        <v>2013</v>
      </c>
      <c r="G61" s="63">
        <f t="shared" si="2"/>
        <v>3.5</v>
      </c>
      <c r="H61" s="95">
        <v>64333.07</v>
      </c>
      <c r="I61" s="97">
        <f t="shared" si="3"/>
        <v>225165.745</v>
      </c>
    </row>
    <row r="62" spans="1:10" ht="45" hidden="1" outlineLevel="2">
      <c r="A62" s="93" t="s">
        <v>93</v>
      </c>
      <c r="B62" s="93" t="s">
        <v>66</v>
      </c>
      <c r="D62" s="63" t="s">
        <v>193</v>
      </c>
      <c r="E62" s="93" t="s">
        <v>68</v>
      </c>
      <c r="F62" s="96">
        <v>2014</v>
      </c>
      <c r="G62" s="63">
        <f t="shared" si="2"/>
        <v>2.5</v>
      </c>
      <c r="H62" s="95">
        <v>190332.49</v>
      </c>
      <c r="I62" s="97">
        <f t="shared" si="3"/>
        <v>475831.22499999998</v>
      </c>
    </row>
    <row r="63" spans="1:10" ht="45" hidden="1" outlineLevel="2">
      <c r="A63" s="93" t="s">
        <v>93</v>
      </c>
      <c r="B63" s="93" t="s">
        <v>66</v>
      </c>
      <c r="D63" s="63" t="s">
        <v>193</v>
      </c>
      <c r="E63" s="93" t="s">
        <v>68</v>
      </c>
      <c r="F63" s="96">
        <v>2016</v>
      </c>
      <c r="G63" s="63">
        <f t="shared" si="2"/>
        <v>0.5</v>
      </c>
      <c r="H63" s="95">
        <v>842505.73</v>
      </c>
      <c r="I63" s="97">
        <f t="shared" si="3"/>
        <v>421252.86499999999</v>
      </c>
    </row>
    <row r="64" spans="1:10" s="63" customFormat="1" ht="30" outlineLevel="1" collapsed="1">
      <c r="A64" s="26" t="str">
        <f>+A63</f>
        <v>Crist</v>
      </c>
      <c r="B64" s="94"/>
      <c r="C64" s="26"/>
      <c r="D64" s="26" t="str">
        <f>+D63</f>
        <v>Crist 4</v>
      </c>
      <c r="E64" s="94" t="s">
        <v>203</v>
      </c>
      <c r="F64" s="96"/>
      <c r="H64" s="95">
        <f>SUBTOTAL(9,H47:H63)</f>
        <v>10894269.770000001</v>
      </c>
      <c r="I64" s="97">
        <f>SUBTOTAL(9,I47:I63)</f>
        <v>204212406.69499999</v>
      </c>
      <c r="J64" s="64">
        <f>+I64/H64</f>
        <v>18.74493756867928</v>
      </c>
    </row>
    <row r="65" spans="1:9" ht="45" hidden="1" outlineLevel="2">
      <c r="A65" s="93" t="s">
        <v>93</v>
      </c>
      <c r="B65" s="93" t="s">
        <v>66</v>
      </c>
      <c r="D65" s="63" t="s">
        <v>193</v>
      </c>
      <c r="E65" s="93" t="s">
        <v>69</v>
      </c>
      <c r="F65" s="96">
        <v>1959</v>
      </c>
      <c r="G65" s="63">
        <f t="shared" ref="G65:G82" si="4">2016.5-F65</f>
        <v>57.5</v>
      </c>
      <c r="H65" s="95">
        <v>973906.43</v>
      </c>
      <c r="I65" s="97">
        <f t="shared" ref="I65:I82" si="5">+G65*H65</f>
        <v>55999619.725000001</v>
      </c>
    </row>
    <row r="66" spans="1:9" ht="45" hidden="1" outlineLevel="2">
      <c r="A66" s="93" t="s">
        <v>93</v>
      </c>
      <c r="B66" s="93" t="s">
        <v>66</v>
      </c>
      <c r="D66" s="63" t="s">
        <v>193</v>
      </c>
      <c r="E66" s="93" t="s">
        <v>69</v>
      </c>
      <c r="F66" s="96">
        <v>1960</v>
      </c>
      <c r="G66" s="63">
        <f t="shared" si="4"/>
        <v>56.5</v>
      </c>
      <c r="H66" s="95">
        <v>1329.86</v>
      </c>
      <c r="I66" s="97">
        <f t="shared" si="5"/>
        <v>75137.09</v>
      </c>
    </row>
    <row r="67" spans="1:9" ht="45" hidden="1" outlineLevel="2">
      <c r="A67" s="93" t="s">
        <v>93</v>
      </c>
      <c r="B67" s="93" t="s">
        <v>66</v>
      </c>
      <c r="D67" s="63" t="s">
        <v>193</v>
      </c>
      <c r="E67" s="93" t="s">
        <v>69</v>
      </c>
      <c r="F67" s="96">
        <v>1971</v>
      </c>
      <c r="G67" s="63">
        <f t="shared" si="4"/>
        <v>45.5</v>
      </c>
      <c r="H67" s="95">
        <v>774.07</v>
      </c>
      <c r="I67" s="97">
        <f t="shared" si="5"/>
        <v>35220.185000000005</v>
      </c>
    </row>
    <row r="68" spans="1:9" ht="45" hidden="1" outlineLevel="2">
      <c r="A68" s="93" t="s">
        <v>93</v>
      </c>
      <c r="B68" s="93" t="s">
        <v>66</v>
      </c>
      <c r="D68" s="63" t="s">
        <v>193</v>
      </c>
      <c r="E68" s="93" t="s">
        <v>69</v>
      </c>
      <c r="F68" s="96">
        <v>1978</v>
      </c>
      <c r="G68" s="63">
        <f t="shared" si="4"/>
        <v>38.5</v>
      </c>
      <c r="H68" s="95">
        <v>23388.62</v>
      </c>
      <c r="I68" s="97">
        <f t="shared" si="5"/>
        <v>900461.87</v>
      </c>
    </row>
    <row r="69" spans="1:9" ht="45" hidden="1" outlineLevel="2">
      <c r="A69" s="93" t="s">
        <v>93</v>
      </c>
      <c r="B69" s="93" t="s">
        <v>66</v>
      </c>
      <c r="D69" s="63" t="s">
        <v>193</v>
      </c>
      <c r="E69" s="93" t="s">
        <v>69</v>
      </c>
      <c r="F69" s="96">
        <v>1979</v>
      </c>
      <c r="G69" s="63">
        <f t="shared" si="4"/>
        <v>37.5</v>
      </c>
      <c r="H69" s="95">
        <v>8660.7999999999993</v>
      </c>
      <c r="I69" s="97">
        <f t="shared" si="5"/>
        <v>324780</v>
      </c>
    </row>
    <row r="70" spans="1:9" ht="45" hidden="1" outlineLevel="2">
      <c r="A70" s="93" t="s">
        <v>93</v>
      </c>
      <c r="B70" s="93" t="s">
        <v>66</v>
      </c>
      <c r="D70" s="63" t="s">
        <v>193</v>
      </c>
      <c r="E70" s="93" t="s">
        <v>69</v>
      </c>
      <c r="F70" s="96">
        <v>1980</v>
      </c>
      <c r="G70" s="63">
        <f t="shared" si="4"/>
        <v>36.5</v>
      </c>
      <c r="H70" s="95">
        <v>6504.61</v>
      </c>
      <c r="I70" s="97">
        <f t="shared" si="5"/>
        <v>237418.26499999998</v>
      </c>
    </row>
    <row r="71" spans="1:9" ht="45" hidden="1" outlineLevel="2">
      <c r="A71" s="93" t="s">
        <v>93</v>
      </c>
      <c r="B71" s="93" t="s">
        <v>66</v>
      </c>
      <c r="D71" s="63" t="s">
        <v>193</v>
      </c>
      <c r="E71" s="93" t="s">
        <v>69</v>
      </c>
      <c r="F71" s="96">
        <v>1981</v>
      </c>
      <c r="G71" s="63">
        <f t="shared" si="4"/>
        <v>35.5</v>
      </c>
      <c r="H71" s="95">
        <v>4016.55</v>
      </c>
      <c r="I71" s="97">
        <f t="shared" si="5"/>
        <v>142587.52499999999</v>
      </c>
    </row>
    <row r="72" spans="1:9" ht="45" hidden="1" outlineLevel="2">
      <c r="A72" s="93" t="s">
        <v>93</v>
      </c>
      <c r="B72" s="93" t="s">
        <v>66</v>
      </c>
      <c r="D72" s="63" t="s">
        <v>193</v>
      </c>
      <c r="E72" s="93" t="s">
        <v>69</v>
      </c>
      <c r="F72" s="96">
        <v>1982</v>
      </c>
      <c r="G72" s="63">
        <f t="shared" si="4"/>
        <v>34.5</v>
      </c>
      <c r="H72" s="95">
        <v>1207.07</v>
      </c>
      <c r="I72" s="97">
        <f t="shared" si="5"/>
        <v>41643.915000000001</v>
      </c>
    </row>
    <row r="73" spans="1:9" ht="45" hidden="1" outlineLevel="2">
      <c r="A73" s="93" t="s">
        <v>93</v>
      </c>
      <c r="B73" s="93" t="s">
        <v>66</v>
      </c>
      <c r="D73" s="63" t="s">
        <v>193</v>
      </c>
      <c r="E73" s="93" t="s">
        <v>69</v>
      </c>
      <c r="F73" s="96">
        <v>1984</v>
      </c>
      <c r="G73" s="63">
        <f t="shared" si="4"/>
        <v>32.5</v>
      </c>
      <c r="H73" s="95">
        <v>14411.1</v>
      </c>
      <c r="I73" s="97">
        <f t="shared" si="5"/>
        <v>468360.75</v>
      </c>
    </row>
    <row r="74" spans="1:9" ht="45" hidden="1" outlineLevel="2">
      <c r="A74" s="93" t="s">
        <v>93</v>
      </c>
      <c r="B74" s="93" t="s">
        <v>66</v>
      </c>
      <c r="D74" s="63" t="s">
        <v>193</v>
      </c>
      <c r="E74" s="93" t="s">
        <v>69</v>
      </c>
      <c r="F74" s="96">
        <v>1986</v>
      </c>
      <c r="G74" s="63">
        <f t="shared" si="4"/>
        <v>30.5</v>
      </c>
      <c r="H74" s="95">
        <v>9498.68</v>
      </c>
      <c r="I74" s="97">
        <f t="shared" si="5"/>
        <v>289709.74</v>
      </c>
    </row>
    <row r="75" spans="1:9" ht="45" hidden="1" outlineLevel="2">
      <c r="A75" s="93" t="s">
        <v>93</v>
      </c>
      <c r="B75" s="93" t="s">
        <v>66</v>
      </c>
      <c r="D75" s="63" t="s">
        <v>193</v>
      </c>
      <c r="E75" s="93" t="s">
        <v>69</v>
      </c>
      <c r="F75" s="96">
        <v>1989</v>
      </c>
      <c r="G75" s="63">
        <f t="shared" si="4"/>
        <v>27.5</v>
      </c>
      <c r="H75" s="95">
        <v>47346.09</v>
      </c>
      <c r="I75" s="97">
        <f t="shared" si="5"/>
        <v>1302017.4749999999</v>
      </c>
    </row>
    <row r="76" spans="1:9" ht="45" hidden="1" outlineLevel="2">
      <c r="A76" s="93" t="s">
        <v>93</v>
      </c>
      <c r="B76" s="93" t="s">
        <v>66</v>
      </c>
      <c r="D76" s="63" t="s">
        <v>193</v>
      </c>
      <c r="E76" s="93" t="s">
        <v>69</v>
      </c>
      <c r="F76" s="96">
        <v>1992</v>
      </c>
      <c r="G76" s="63">
        <f t="shared" si="4"/>
        <v>24.5</v>
      </c>
      <c r="H76" s="95">
        <v>3737.74</v>
      </c>
      <c r="I76" s="97">
        <f t="shared" si="5"/>
        <v>91574.62999999999</v>
      </c>
    </row>
    <row r="77" spans="1:9" ht="45" hidden="1" outlineLevel="2">
      <c r="A77" s="93" t="s">
        <v>93</v>
      </c>
      <c r="B77" s="93" t="s">
        <v>66</v>
      </c>
      <c r="D77" s="63" t="s">
        <v>193</v>
      </c>
      <c r="E77" s="93" t="s">
        <v>69</v>
      </c>
      <c r="F77" s="96">
        <v>1998</v>
      </c>
      <c r="G77" s="63">
        <f t="shared" si="4"/>
        <v>18.5</v>
      </c>
      <c r="H77" s="95">
        <v>247447.26</v>
      </c>
      <c r="I77" s="97">
        <f t="shared" si="5"/>
        <v>4577774.3100000005</v>
      </c>
    </row>
    <row r="78" spans="1:9" ht="45" hidden="1" outlineLevel="2">
      <c r="A78" s="93" t="s">
        <v>93</v>
      </c>
      <c r="B78" s="93" t="s">
        <v>66</v>
      </c>
      <c r="D78" s="63" t="s">
        <v>193</v>
      </c>
      <c r="E78" s="93" t="s">
        <v>69</v>
      </c>
      <c r="F78" s="96">
        <v>2006</v>
      </c>
      <c r="G78" s="63">
        <f t="shared" si="4"/>
        <v>10.5</v>
      </c>
      <c r="H78" s="95">
        <v>13758.68</v>
      </c>
      <c r="I78" s="97">
        <f t="shared" si="5"/>
        <v>144466.14000000001</v>
      </c>
    </row>
    <row r="79" spans="1:9" ht="45" hidden="1" outlineLevel="2">
      <c r="A79" s="93" t="s">
        <v>93</v>
      </c>
      <c r="B79" s="93" t="s">
        <v>66</v>
      </c>
      <c r="D79" s="63" t="s">
        <v>193</v>
      </c>
      <c r="E79" s="93" t="s">
        <v>69</v>
      </c>
      <c r="F79" s="96">
        <v>2008</v>
      </c>
      <c r="G79" s="63">
        <f t="shared" si="4"/>
        <v>8.5</v>
      </c>
      <c r="H79" s="95">
        <v>2015231.36</v>
      </c>
      <c r="I79" s="97">
        <f t="shared" si="5"/>
        <v>17129466.560000002</v>
      </c>
    </row>
    <row r="80" spans="1:9" ht="45" hidden="1" outlineLevel="2">
      <c r="A80" s="93" t="s">
        <v>93</v>
      </c>
      <c r="B80" s="93" t="s">
        <v>66</v>
      </c>
      <c r="D80" s="63" t="s">
        <v>193</v>
      </c>
      <c r="E80" s="93" t="s">
        <v>69</v>
      </c>
      <c r="F80" s="96">
        <v>2014</v>
      </c>
      <c r="G80" s="63">
        <f t="shared" si="4"/>
        <v>2.5</v>
      </c>
      <c r="H80" s="95">
        <v>247822.48</v>
      </c>
      <c r="I80" s="97">
        <f t="shared" si="5"/>
        <v>619556.20000000007</v>
      </c>
    </row>
    <row r="81" spans="1:10" ht="45" hidden="1" outlineLevel="2">
      <c r="A81" s="93" t="s">
        <v>93</v>
      </c>
      <c r="B81" s="93" t="s">
        <v>66</v>
      </c>
      <c r="D81" s="63" t="s">
        <v>193</v>
      </c>
      <c r="E81" s="93" t="s">
        <v>69</v>
      </c>
      <c r="F81" s="96">
        <v>2015</v>
      </c>
      <c r="G81" s="63">
        <f t="shared" si="4"/>
        <v>1.5</v>
      </c>
      <c r="H81" s="95">
        <v>90607.84</v>
      </c>
      <c r="I81" s="97">
        <f t="shared" si="5"/>
        <v>135911.76</v>
      </c>
    </row>
    <row r="82" spans="1:10" ht="45" hidden="1" outlineLevel="2">
      <c r="A82" s="93" t="s">
        <v>93</v>
      </c>
      <c r="B82" s="93" t="s">
        <v>66</v>
      </c>
      <c r="D82" s="63" t="s">
        <v>193</v>
      </c>
      <c r="E82" s="93" t="s">
        <v>69</v>
      </c>
      <c r="F82" s="96">
        <v>2016</v>
      </c>
      <c r="G82" s="63">
        <f t="shared" si="4"/>
        <v>0.5</v>
      </c>
      <c r="H82" s="95">
        <v>98425.33</v>
      </c>
      <c r="I82" s="97">
        <f t="shared" si="5"/>
        <v>49212.665000000001</v>
      </c>
    </row>
    <row r="83" spans="1:10" s="63" customFormat="1" ht="30" outlineLevel="1" collapsed="1">
      <c r="A83" s="26" t="str">
        <f>+A82</f>
        <v>Crist</v>
      </c>
      <c r="B83" s="94"/>
      <c r="C83" s="26"/>
      <c r="D83" s="26" t="str">
        <f>+D82</f>
        <v>Crist 4</v>
      </c>
      <c r="E83" s="94" t="s">
        <v>204</v>
      </c>
      <c r="F83" s="96"/>
      <c r="H83" s="95">
        <f>SUBTOTAL(9,H65:H82)</f>
        <v>3808074.57</v>
      </c>
      <c r="I83" s="97">
        <f>SUBTOTAL(9,I65:I82)</f>
        <v>82564918.805000022</v>
      </c>
      <c r="J83" s="64">
        <f>+I83/H83</f>
        <v>21.681539394067073</v>
      </c>
    </row>
    <row r="84" spans="1:10" ht="45" hidden="1" outlineLevel="2">
      <c r="A84" s="93" t="s">
        <v>93</v>
      </c>
      <c r="B84" s="93" t="s">
        <v>70</v>
      </c>
      <c r="D84" s="63" t="s">
        <v>194</v>
      </c>
      <c r="E84" s="93" t="s">
        <v>67</v>
      </c>
      <c r="F84" s="96">
        <v>1961</v>
      </c>
      <c r="G84" s="63">
        <f t="shared" ref="G84:G122" si="6">2016.5-F84</f>
        <v>55.5</v>
      </c>
      <c r="H84" s="95">
        <v>2200881.25</v>
      </c>
      <c r="I84" s="97">
        <f t="shared" ref="I84:I122" si="7">+G84*H84</f>
        <v>122148909.375</v>
      </c>
    </row>
    <row r="85" spans="1:10" ht="45" hidden="1" outlineLevel="2">
      <c r="A85" s="93" t="s">
        <v>93</v>
      </c>
      <c r="B85" s="93" t="s">
        <v>70</v>
      </c>
      <c r="D85" s="63" t="s">
        <v>194</v>
      </c>
      <c r="E85" s="93" t="s">
        <v>67</v>
      </c>
      <c r="F85" s="96">
        <v>1962</v>
      </c>
      <c r="G85" s="63">
        <f t="shared" si="6"/>
        <v>54.5</v>
      </c>
      <c r="H85" s="95">
        <v>32648.12</v>
      </c>
      <c r="I85" s="97">
        <f t="shared" si="7"/>
        <v>1779322.54</v>
      </c>
    </row>
    <row r="86" spans="1:10" ht="45" hidden="1" outlineLevel="2">
      <c r="A86" s="93" t="s">
        <v>93</v>
      </c>
      <c r="B86" s="93" t="s">
        <v>70</v>
      </c>
      <c r="D86" s="63" t="s">
        <v>194</v>
      </c>
      <c r="E86" s="93" t="s">
        <v>67</v>
      </c>
      <c r="F86" s="96">
        <v>1963</v>
      </c>
      <c r="G86" s="63">
        <f t="shared" si="6"/>
        <v>53.5</v>
      </c>
      <c r="H86" s="95">
        <v>776.37</v>
      </c>
      <c r="I86" s="97">
        <f t="shared" si="7"/>
        <v>41535.794999999998</v>
      </c>
    </row>
    <row r="87" spans="1:10" ht="45" hidden="1" outlineLevel="2">
      <c r="A87" s="93" t="s">
        <v>93</v>
      </c>
      <c r="B87" s="93" t="s">
        <v>70</v>
      </c>
      <c r="D87" s="63" t="s">
        <v>194</v>
      </c>
      <c r="E87" s="93" t="s">
        <v>67</v>
      </c>
      <c r="F87" s="96">
        <v>1964</v>
      </c>
      <c r="G87" s="63">
        <f t="shared" si="6"/>
        <v>52.5</v>
      </c>
      <c r="H87" s="95">
        <v>3329.78</v>
      </c>
      <c r="I87" s="97">
        <f t="shared" si="7"/>
        <v>174813.45</v>
      </c>
    </row>
    <row r="88" spans="1:10" ht="45" hidden="1" outlineLevel="2">
      <c r="A88" s="93" t="s">
        <v>93</v>
      </c>
      <c r="B88" s="93" t="s">
        <v>70</v>
      </c>
      <c r="D88" s="63" t="s">
        <v>194</v>
      </c>
      <c r="E88" s="93" t="s">
        <v>67</v>
      </c>
      <c r="F88" s="96">
        <v>1965</v>
      </c>
      <c r="G88" s="63">
        <f t="shared" si="6"/>
        <v>51.5</v>
      </c>
      <c r="H88" s="95">
        <v>214.41</v>
      </c>
      <c r="I88" s="97">
        <f t="shared" si="7"/>
        <v>11042.115</v>
      </c>
    </row>
    <row r="89" spans="1:10" ht="45" hidden="1" outlineLevel="2">
      <c r="A89" s="93" t="s">
        <v>93</v>
      </c>
      <c r="B89" s="93" t="s">
        <v>70</v>
      </c>
      <c r="D89" s="63" t="s">
        <v>194</v>
      </c>
      <c r="E89" s="93" t="s">
        <v>67</v>
      </c>
      <c r="F89" s="96">
        <v>1968</v>
      </c>
      <c r="G89" s="63">
        <f t="shared" si="6"/>
        <v>48.5</v>
      </c>
      <c r="H89" s="95">
        <v>146952.9</v>
      </c>
      <c r="I89" s="97">
        <f t="shared" si="7"/>
        <v>7127215.6499999994</v>
      </c>
    </row>
    <row r="90" spans="1:10" ht="45" hidden="1" outlineLevel="2">
      <c r="A90" s="93" t="s">
        <v>93</v>
      </c>
      <c r="B90" s="93" t="s">
        <v>70</v>
      </c>
      <c r="D90" s="63" t="s">
        <v>194</v>
      </c>
      <c r="E90" s="93" t="s">
        <v>67</v>
      </c>
      <c r="F90" s="96">
        <v>1969</v>
      </c>
      <c r="G90" s="63">
        <f t="shared" si="6"/>
        <v>47.5</v>
      </c>
      <c r="H90" s="95">
        <v>76621.47</v>
      </c>
      <c r="I90" s="97">
        <f t="shared" si="7"/>
        <v>3639519.8250000002</v>
      </c>
    </row>
    <row r="91" spans="1:10" ht="45" hidden="1" outlineLevel="2">
      <c r="A91" s="93" t="s">
        <v>93</v>
      </c>
      <c r="B91" s="93" t="s">
        <v>70</v>
      </c>
      <c r="D91" s="63" t="s">
        <v>194</v>
      </c>
      <c r="E91" s="93" t="s">
        <v>67</v>
      </c>
      <c r="F91" s="96">
        <v>1972</v>
      </c>
      <c r="G91" s="63">
        <f t="shared" si="6"/>
        <v>44.5</v>
      </c>
      <c r="H91" s="95">
        <v>22281.23</v>
      </c>
      <c r="I91" s="97">
        <f t="shared" si="7"/>
        <v>991514.73499999999</v>
      </c>
    </row>
    <row r="92" spans="1:10" ht="45" hidden="1" outlineLevel="2">
      <c r="A92" s="93" t="s">
        <v>93</v>
      </c>
      <c r="B92" s="93" t="s">
        <v>70</v>
      </c>
      <c r="D92" s="63" t="s">
        <v>194</v>
      </c>
      <c r="E92" s="93" t="s">
        <v>67</v>
      </c>
      <c r="F92" s="96">
        <v>1973</v>
      </c>
      <c r="G92" s="63">
        <f t="shared" si="6"/>
        <v>43.5</v>
      </c>
      <c r="H92" s="95">
        <v>6329</v>
      </c>
      <c r="I92" s="97">
        <f t="shared" si="7"/>
        <v>275311.5</v>
      </c>
    </row>
    <row r="93" spans="1:10" ht="45" hidden="1" outlineLevel="2">
      <c r="A93" s="93" t="s">
        <v>93</v>
      </c>
      <c r="B93" s="93" t="s">
        <v>70</v>
      </c>
      <c r="D93" s="63" t="s">
        <v>194</v>
      </c>
      <c r="E93" s="93" t="s">
        <v>67</v>
      </c>
      <c r="F93" s="96">
        <v>1974</v>
      </c>
      <c r="G93" s="63">
        <f t="shared" si="6"/>
        <v>42.5</v>
      </c>
      <c r="H93" s="95">
        <v>2148.09</v>
      </c>
      <c r="I93" s="97">
        <f t="shared" si="7"/>
        <v>91293.825000000012</v>
      </c>
    </row>
    <row r="94" spans="1:10" ht="45" hidden="1" outlineLevel="2">
      <c r="A94" s="93" t="s">
        <v>93</v>
      </c>
      <c r="B94" s="93" t="s">
        <v>70</v>
      </c>
      <c r="D94" s="63" t="s">
        <v>194</v>
      </c>
      <c r="E94" s="93" t="s">
        <v>67</v>
      </c>
      <c r="F94" s="96">
        <v>1976</v>
      </c>
      <c r="G94" s="63">
        <f t="shared" si="6"/>
        <v>40.5</v>
      </c>
      <c r="H94" s="95">
        <v>4538923.42</v>
      </c>
      <c r="I94" s="97">
        <f t="shared" si="7"/>
        <v>183826398.50999999</v>
      </c>
    </row>
    <row r="95" spans="1:10" ht="45" hidden="1" outlineLevel="2">
      <c r="A95" s="93" t="s">
        <v>93</v>
      </c>
      <c r="B95" s="93" t="s">
        <v>70</v>
      </c>
      <c r="D95" s="63" t="s">
        <v>194</v>
      </c>
      <c r="E95" s="93" t="s">
        <v>67</v>
      </c>
      <c r="F95" s="96">
        <v>1977</v>
      </c>
      <c r="G95" s="63">
        <f t="shared" si="6"/>
        <v>39.5</v>
      </c>
      <c r="H95" s="95">
        <v>1910812.11</v>
      </c>
      <c r="I95" s="97">
        <f t="shared" si="7"/>
        <v>75477078.344999999</v>
      </c>
    </row>
    <row r="96" spans="1:10" ht="45" hidden="1" outlineLevel="2">
      <c r="A96" s="93" t="s">
        <v>93</v>
      </c>
      <c r="B96" s="93" t="s">
        <v>70</v>
      </c>
      <c r="D96" s="63" t="s">
        <v>194</v>
      </c>
      <c r="E96" s="93" t="s">
        <v>67</v>
      </c>
      <c r="F96" s="96">
        <v>1978</v>
      </c>
      <c r="G96" s="63">
        <f t="shared" si="6"/>
        <v>38.5</v>
      </c>
      <c r="H96" s="95">
        <v>344848.18</v>
      </c>
      <c r="I96" s="97">
        <f t="shared" si="7"/>
        <v>13276654.93</v>
      </c>
    </row>
    <row r="97" spans="1:9" ht="45" hidden="1" outlineLevel="2">
      <c r="A97" s="93" t="s">
        <v>93</v>
      </c>
      <c r="B97" s="93" t="s">
        <v>70</v>
      </c>
      <c r="D97" s="63" t="s">
        <v>194</v>
      </c>
      <c r="E97" s="93" t="s">
        <v>67</v>
      </c>
      <c r="F97" s="96">
        <v>1979</v>
      </c>
      <c r="G97" s="63">
        <f t="shared" si="6"/>
        <v>37.5</v>
      </c>
      <c r="H97" s="95">
        <v>24908.31</v>
      </c>
      <c r="I97" s="97">
        <f t="shared" si="7"/>
        <v>934061.625</v>
      </c>
    </row>
    <row r="98" spans="1:9" ht="45" hidden="1" outlineLevel="2">
      <c r="A98" s="93" t="s">
        <v>93</v>
      </c>
      <c r="B98" s="93" t="s">
        <v>70</v>
      </c>
      <c r="D98" s="63" t="s">
        <v>194</v>
      </c>
      <c r="E98" s="93" t="s">
        <v>67</v>
      </c>
      <c r="F98" s="96">
        <v>1980</v>
      </c>
      <c r="G98" s="63">
        <f t="shared" si="6"/>
        <v>36.5</v>
      </c>
      <c r="H98" s="95">
        <v>10401.700000000001</v>
      </c>
      <c r="I98" s="97">
        <f t="shared" si="7"/>
        <v>379662.05000000005</v>
      </c>
    </row>
    <row r="99" spans="1:9" ht="45" hidden="1" outlineLevel="2">
      <c r="A99" s="93" t="s">
        <v>93</v>
      </c>
      <c r="B99" s="93" t="s">
        <v>70</v>
      </c>
      <c r="D99" s="63" t="s">
        <v>194</v>
      </c>
      <c r="E99" s="93" t="s">
        <v>67</v>
      </c>
      <c r="F99" s="96">
        <v>1981</v>
      </c>
      <c r="G99" s="63">
        <f t="shared" si="6"/>
        <v>35.5</v>
      </c>
      <c r="H99" s="95">
        <v>22240.83</v>
      </c>
      <c r="I99" s="97">
        <f t="shared" si="7"/>
        <v>789549.46500000008</v>
      </c>
    </row>
    <row r="100" spans="1:9" ht="45" hidden="1" outlineLevel="2">
      <c r="A100" s="93" t="s">
        <v>93</v>
      </c>
      <c r="B100" s="93" t="s">
        <v>70</v>
      </c>
      <c r="D100" s="63" t="s">
        <v>194</v>
      </c>
      <c r="E100" s="93" t="s">
        <v>67</v>
      </c>
      <c r="F100" s="96">
        <v>1982</v>
      </c>
      <c r="G100" s="63">
        <f t="shared" si="6"/>
        <v>34.5</v>
      </c>
      <c r="H100" s="95">
        <v>41229.480000000003</v>
      </c>
      <c r="I100" s="97">
        <f t="shared" si="7"/>
        <v>1422417.06</v>
      </c>
    </row>
    <row r="101" spans="1:9" ht="45" hidden="1" outlineLevel="2">
      <c r="A101" s="93" t="s">
        <v>93</v>
      </c>
      <c r="B101" s="93" t="s">
        <v>70</v>
      </c>
      <c r="D101" s="63" t="s">
        <v>194</v>
      </c>
      <c r="E101" s="93" t="s">
        <v>67</v>
      </c>
      <c r="F101" s="96">
        <v>1984</v>
      </c>
      <c r="G101" s="63">
        <f t="shared" si="6"/>
        <v>32.5</v>
      </c>
      <c r="H101" s="95">
        <v>966006.21</v>
      </c>
      <c r="I101" s="97">
        <f t="shared" si="7"/>
        <v>31395201.824999999</v>
      </c>
    </row>
    <row r="102" spans="1:9" ht="45" hidden="1" outlineLevel="2">
      <c r="A102" s="93" t="s">
        <v>93</v>
      </c>
      <c r="B102" s="93" t="s">
        <v>70</v>
      </c>
      <c r="D102" s="63" t="s">
        <v>194</v>
      </c>
      <c r="E102" s="93" t="s">
        <v>67</v>
      </c>
      <c r="F102" s="96">
        <v>1986</v>
      </c>
      <c r="G102" s="63">
        <f t="shared" si="6"/>
        <v>30.5</v>
      </c>
      <c r="H102" s="95">
        <v>588939.78</v>
      </c>
      <c r="I102" s="97">
        <f t="shared" si="7"/>
        <v>17962663.289999999</v>
      </c>
    </row>
    <row r="103" spans="1:9" ht="45" hidden="1" outlineLevel="2">
      <c r="A103" s="93" t="s">
        <v>93</v>
      </c>
      <c r="B103" s="93" t="s">
        <v>70</v>
      </c>
      <c r="D103" s="63" t="s">
        <v>194</v>
      </c>
      <c r="E103" s="93" t="s">
        <v>67</v>
      </c>
      <c r="F103" s="96">
        <v>1988</v>
      </c>
      <c r="G103" s="63">
        <f t="shared" si="6"/>
        <v>28.5</v>
      </c>
      <c r="H103" s="95">
        <v>66739.16</v>
      </c>
      <c r="I103" s="97">
        <f t="shared" si="7"/>
        <v>1902066.06</v>
      </c>
    </row>
    <row r="104" spans="1:9" ht="45" hidden="1" outlineLevel="2">
      <c r="A104" s="93" t="s">
        <v>93</v>
      </c>
      <c r="B104" s="93" t="s">
        <v>70</v>
      </c>
      <c r="D104" s="63" t="s">
        <v>194</v>
      </c>
      <c r="E104" s="93" t="s">
        <v>67</v>
      </c>
      <c r="F104" s="96">
        <v>1989</v>
      </c>
      <c r="G104" s="63">
        <f t="shared" si="6"/>
        <v>27.5</v>
      </c>
      <c r="H104" s="95">
        <v>237678.82</v>
      </c>
      <c r="I104" s="97">
        <f t="shared" si="7"/>
        <v>6536167.5499999998</v>
      </c>
    </row>
    <row r="105" spans="1:9" ht="45" hidden="1" outlineLevel="2">
      <c r="A105" s="93" t="s">
        <v>93</v>
      </c>
      <c r="B105" s="93" t="s">
        <v>70</v>
      </c>
      <c r="D105" s="63" t="s">
        <v>194</v>
      </c>
      <c r="E105" s="93" t="s">
        <v>67</v>
      </c>
      <c r="F105" s="96">
        <v>1990</v>
      </c>
      <c r="G105" s="63">
        <f t="shared" si="6"/>
        <v>26.5</v>
      </c>
      <c r="H105" s="95">
        <v>17076.63</v>
      </c>
      <c r="I105" s="97">
        <f t="shared" si="7"/>
        <v>452530.69500000001</v>
      </c>
    </row>
    <row r="106" spans="1:9" ht="45" hidden="1" outlineLevel="2">
      <c r="A106" s="93" t="s">
        <v>93</v>
      </c>
      <c r="B106" s="93" t="s">
        <v>70</v>
      </c>
      <c r="D106" s="63" t="s">
        <v>194</v>
      </c>
      <c r="E106" s="93" t="s">
        <v>67</v>
      </c>
      <c r="F106" s="96">
        <v>1993</v>
      </c>
      <c r="G106" s="63">
        <f t="shared" si="6"/>
        <v>23.5</v>
      </c>
      <c r="H106" s="95">
        <v>472082.88</v>
      </c>
      <c r="I106" s="97">
        <f t="shared" si="7"/>
        <v>11093947.68</v>
      </c>
    </row>
    <row r="107" spans="1:9" ht="45" hidden="1" outlineLevel="2">
      <c r="A107" s="93" t="s">
        <v>93</v>
      </c>
      <c r="B107" s="93" t="s">
        <v>70</v>
      </c>
      <c r="D107" s="63" t="s">
        <v>194</v>
      </c>
      <c r="E107" s="93" t="s">
        <v>67</v>
      </c>
      <c r="F107" s="96">
        <v>1994</v>
      </c>
      <c r="G107" s="63">
        <f t="shared" si="6"/>
        <v>22.5</v>
      </c>
      <c r="H107" s="95">
        <v>10784.53</v>
      </c>
      <c r="I107" s="97">
        <f t="shared" si="7"/>
        <v>242651.92500000002</v>
      </c>
    </row>
    <row r="108" spans="1:9" ht="45" hidden="1" outlineLevel="2">
      <c r="A108" s="93" t="s">
        <v>93</v>
      </c>
      <c r="B108" s="93" t="s">
        <v>70</v>
      </c>
      <c r="D108" s="63" t="s">
        <v>194</v>
      </c>
      <c r="E108" s="93" t="s">
        <v>67</v>
      </c>
      <c r="F108" s="96">
        <v>1995</v>
      </c>
      <c r="G108" s="63">
        <f t="shared" si="6"/>
        <v>21.5</v>
      </c>
      <c r="H108" s="95">
        <v>3029676.66</v>
      </c>
      <c r="I108" s="97">
        <f t="shared" si="7"/>
        <v>65138048.190000005</v>
      </c>
    </row>
    <row r="109" spans="1:9" ht="45" hidden="1" outlineLevel="2">
      <c r="A109" s="93" t="s">
        <v>93</v>
      </c>
      <c r="B109" s="93" t="s">
        <v>70</v>
      </c>
      <c r="D109" s="63" t="s">
        <v>194</v>
      </c>
      <c r="E109" s="93" t="s">
        <v>67</v>
      </c>
      <c r="F109" s="96">
        <v>1999</v>
      </c>
      <c r="G109" s="63">
        <f t="shared" si="6"/>
        <v>17.5</v>
      </c>
      <c r="H109" s="95">
        <v>100346.95</v>
      </c>
      <c r="I109" s="97">
        <f t="shared" si="7"/>
        <v>1756071.625</v>
      </c>
    </row>
    <row r="110" spans="1:9" ht="45" hidden="1" outlineLevel="2">
      <c r="A110" s="93" t="s">
        <v>93</v>
      </c>
      <c r="B110" s="93" t="s">
        <v>70</v>
      </c>
      <c r="D110" s="63" t="s">
        <v>194</v>
      </c>
      <c r="E110" s="93" t="s">
        <v>67</v>
      </c>
      <c r="F110" s="96">
        <v>2000</v>
      </c>
      <c r="G110" s="63">
        <f t="shared" si="6"/>
        <v>16.5</v>
      </c>
      <c r="H110" s="95">
        <v>1526066.54</v>
      </c>
      <c r="I110" s="97">
        <f t="shared" si="7"/>
        <v>25180097.91</v>
      </c>
    </row>
    <row r="111" spans="1:9" ht="45" hidden="1" outlineLevel="2">
      <c r="A111" s="93" t="s">
        <v>93</v>
      </c>
      <c r="B111" s="93" t="s">
        <v>70</v>
      </c>
      <c r="D111" s="63" t="s">
        <v>194</v>
      </c>
      <c r="E111" s="93" t="s">
        <v>67</v>
      </c>
      <c r="F111" s="96">
        <v>2001</v>
      </c>
      <c r="G111" s="63">
        <f t="shared" si="6"/>
        <v>15.5</v>
      </c>
      <c r="H111" s="95">
        <v>14887.28</v>
      </c>
      <c r="I111" s="97">
        <f t="shared" si="7"/>
        <v>230752.84</v>
      </c>
    </row>
    <row r="112" spans="1:9" ht="45" hidden="1" outlineLevel="2">
      <c r="A112" s="93" t="s">
        <v>93</v>
      </c>
      <c r="B112" s="93" t="s">
        <v>70</v>
      </c>
      <c r="D112" s="63" t="s">
        <v>194</v>
      </c>
      <c r="E112" s="93" t="s">
        <v>67</v>
      </c>
      <c r="F112" s="96">
        <v>2002</v>
      </c>
      <c r="G112" s="63">
        <f t="shared" si="6"/>
        <v>14.5</v>
      </c>
      <c r="H112" s="95">
        <v>1841579.87</v>
      </c>
      <c r="I112" s="97">
        <f t="shared" si="7"/>
        <v>26702908.115000002</v>
      </c>
    </row>
    <row r="113" spans="1:10" ht="45" hidden="1" outlineLevel="2">
      <c r="A113" s="93" t="s">
        <v>93</v>
      </c>
      <c r="B113" s="93" t="s">
        <v>70</v>
      </c>
      <c r="D113" s="63" t="s">
        <v>194</v>
      </c>
      <c r="E113" s="93" t="s">
        <v>67</v>
      </c>
      <c r="F113" s="96">
        <v>2005</v>
      </c>
      <c r="G113" s="63">
        <f t="shared" si="6"/>
        <v>11.5</v>
      </c>
      <c r="H113" s="95">
        <v>38200.86</v>
      </c>
      <c r="I113" s="97">
        <f t="shared" si="7"/>
        <v>439309.89</v>
      </c>
    </row>
    <row r="114" spans="1:10" ht="45" hidden="1" outlineLevel="2">
      <c r="A114" s="93" t="s">
        <v>93</v>
      </c>
      <c r="B114" s="93" t="s">
        <v>70</v>
      </c>
      <c r="D114" s="63" t="s">
        <v>194</v>
      </c>
      <c r="E114" s="93" t="s">
        <v>67</v>
      </c>
      <c r="F114" s="96">
        <v>2006</v>
      </c>
      <c r="G114" s="63">
        <f t="shared" si="6"/>
        <v>10.5</v>
      </c>
      <c r="H114" s="95">
        <v>1615074.91</v>
      </c>
      <c r="I114" s="97">
        <f t="shared" si="7"/>
        <v>16958286.555</v>
      </c>
    </row>
    <row r="115" spans="1:10" ht="45" hidden="1" outlineLevel="2">
      <c r="A115" s="93" t="s">
        <v>93</v>
      </c>
      <c r="B115" s="93" t="s">
        <v>70</v>
      </c>
      <c r="D115" s="63" t="s">
        <v>194</v>
      </c>
      <c r="E115" s="93" t="s">
        <v>67</v>
      </c>
      <c r="F115" s="96">
        <v>2008</v>
      </c>
      <c r="G115" s="63">
        <f t="shared" si="6"/>
        <v>8.5</v>
      </c>
      <c r="H115" s="95">
        <v>12894130.08</v>
      </c>
      <c r="I115" s="97">
        <f t="shared" si="7"/>
        <v>109600105.68000001</v>
      </c>
    </row>
    <row r="116" spans="1:10" ht="45" hidden="1" outlineLevel="2">
      <c r="A116" s="93" t="s">
        <v>93</v>
      </c>
      <c r="B116" s="93" t="s">
        <v>70</v>
      </c>
      <c r="D116" s="63" t="s">
        <v>194</v>
      </c>
      <c r="E116" s="93" t="s">
        <v>67</v>
      </c>
      <c r="F116" s="96">
        <v>2009</v>
      </c>
      <c r="G116" s="63">
        <f t="shared" si="6"/>
        <v>7.5</v>
      </c>
      <c r="H116" s="95">
        <v>83360.58</v>
      </c>
      <c r="I116" s="97">
        <f t="shared" si="7"/>
        <v>625204.35</v>
      </c>
    </row>
    <row r="117" spans="1:10" ht="45" hidden="1" outlineLevel="2">
      <c r="A117" s="93" t="s">
        <v>93</v>
      </c>
      <c r="B117" s="93" t="s">
        <v>70</v>
      </c>
      <c r="D117" s="63" t="s">
        <v>194</v>
      </c>
      <c r="E117" s="93" t="s">
        <v>67</v>
      </c>
      <c r="F117" s="96">
        <v>2010</v>
      </c>
      <c r="G117" s="63">
        <f t="shared" si="6"/>
        <v>6.5</v>
      </c>
      <c r="H117" s="95">
        <v>179579.83</v>
      </c>
      <c r="I117" s="97">
        <f t="shared" si="7"/>
        <v>1167268.895</v>
      </c>
    </row>
    <row r="118" spans="1:10" ht="45" hidden="1" outlineLevel="2">
      <c r="A118" s="93" t="s">
        <v>93</v>
      </c>
      <c r="B118" s="93" t="s">
        <v>70</v>
      </c>
      <c r="D118" s="63" t="s">
        <v>194</v>
      </c>
      <c r="E118" s="93" t="s">
        <v>67</v>
      </c>
      <c r="F118" s="96">
        <v>2011</v>
      </c>
      <c r="G118" s="63">
        <f t="shared" si="6"/>
        <v>5.5</v>
      </c>
      <c r="H118" s="95">
        <v>1245695.8799999999</v>
      </c>
      <c r="I118" s="97">
        <f t="shared" si="7"/>
        <v>6851327.3399999999</v>
      </c>
    </row>
    <row r="119" spans="1:10" ht="45" hidden="1" outlineLevel="2">
      <c r="A119" s="93" t="s">
        <v>93</v>
      </c>
      <c r="B119" s="93" t="s">
        <v>70</v>
      </c>
      <c r="D119" s="63" t="s">
        <v>194</v>
      </c>
      <c r="E119" s="93" t="s">
        <v>67</v>
      </c>
      <c r="F119" s="96">
        <v>2012</v>
      </c>
      <c r="G119" s="63">
        <f t="shared" si="6"/>
        <v>4.5</v>
      </c>
      <c r="H119" s="95">
        <v>174790.39</v>
      </c>
      <c r="I119" s="97">
        <f t="shared" si="7"/>
        <v>786556.75500000012</v>
      </c>
    </row>
    <row r="120" spans="1:10" ht="45" hidden="1" outlineLevel="2">
      <c r="A120" s="93" t="s">
        <v>93</v>
      </c>
      <c r="B120" s="93" t="s">
        <v>70</v>
      </c>
      <c r="D120" s="63" t="s">
        <v>194</v>
      </c>
      <c r="E120" s="93" t="s">
        <v>67</v>
      </c>
      <c r="F120" s="96">
        <v>2014</v>
      </c>
      <c r="G120" s="63">
        <f t="shared" si="6"/>
        <v>2.5</v>
      </c>
      <c r="H120" s="95">
        <v>436955.56</v>
      </c>
      <c r="I120" s="97">
        <f t="shared" si="7"/>
        <v>1092388.8999999999</v>
      </c>
    </row>
    <row r="121" spans="1:10" ht="45" hidden="1" outlineLevel="2">
      <c r="A121" s="93" t="s">
        <v>93</v>
      </c>
      <c r="B121" s="93" t="s">
        <v>70</v>
      </c>
      <c r="D121" s="63" t="s">
        <v>194</v>
      </c>
      <c r="E121" s="93" t="s">
        <v>67</v>
      </c>
      <c r="F121" s="96">
        <v>2015</v>
      </c>
      <c r="G121" s="63">
        <f t="shared" si="6"/>
        <v>1.5</v>
      </c>
      <c r="H121" s="95">
        <v>48608.04</v>
      </c>
      <c r="I121" s="97">
        <f t="shared" si="7"/>
        <v>72912.06</v>
      </c>
    </row>
    <row r="122" spans="1:10" ht="45" hidden="1" outlineLevel="2">
      <c r="A122" s="93" t="s">
        <v>93</v>
      </c>
      <c r="B122" s="93" t="s">
        <v>70</v>
      </c>
      <c r="D122" s="63" t="s">
        <v>194</v>
      </c>
      <c r="E122" s="93" t="s">
        <v>67</v>
      </c>
      <c r="F122" s="96">
        <v>2016</v>
      </c>
      <c r="G122" s="63">
        <f t="shared" si="6"/>
        <v>0.5</v>
      </c>
      <c r="H122" s="95">
        <v>598731.71</v>
      </c>
      <c r="I122" s="97">
        <f t="shared" si="7"/>
        <v>299365.85499999998</v>
      </c>
    </row>
    <row r="123" spans="1:10" s="63" customFormat="1" ht="30" outlineLevel="1" collapsed="1">
      <c r="A123" s="26" t="str">
        <f>+A122</f>
        <v>Crist</v>
      </c>
      <c r="B123" s="94"/>
      <c r="C123" s="26"/>
      <c r="D123" s="26" t="str">
        <f>+D122</f>
        <v>Crist 5</v>
      </c>
      <c r="E123" s="94" t="s">
        <v>202</v>
      </c>
      <c r="F123" s="96"/>
      <c r="H123" s="95">
        <f>SUBTOTAL(9,H84:H122)</f>
        <v>35572539.799999997</v>
      </c>
      <c r="I123" s="97">
        <f>SUBTOTAL(9,I84:I122)</f>
        <v>738872134.77999997</v>
      </c>
      <c r="J123" s="64">
        <f>+I123/H123</f>
        <v>20.770856928804392</v>
      </c>
    </row>
    <row r="124" spans="1:10" ht="45" hidden="1" outlineLevel="2">
      <c r="A124" s="93" t="s">
        <v>93</v>
      </c>
      <c r="B124" s="93" t="s">
        <v>70</v>
      </c>
      <c r="D124" s="63" t="s">
        <v>194</v>
      </c>
      <c r="E124" s="93" t="s">
        <v>68</v>
      </c>
      <c r="F124" s="96">
        <v>1961</v>
      </c>
      <c r="G124" s="63">
        <f t="shared" ref="G124:G138" si="8">2016.5-F124</f>
        <v>55.5</v>
      </c>
      <c r="H124" s="95">
        <v>802846.87</v>
      </c>
      <c r="I124" s="97">
        <f t="shared" ref="I124:I138" si="9">+G124*H124</f>
        <v>44558001.284999996</v>
      </c>
    </row>
    <row r="125" spans="1:10" ht="45" hidden="1" outlineLevel="2">
      <c r="A125" s="93" t="s">
        <v>93</v>
      </c>
      <c r="B125" s="93" t="s">
        <v>70</v>
      </c>
      <c r="D125" s="63" t="s">
        <v>194</v>
      </c>
      <c r="E125" s="93" t="s">
        <v>68</v>
      </c>
      <c r="F125" s="96">
        <v>1962</v>
      </c>
      <c r="G125" s="63">
        <f t="shared" si="8"/>
        <v>54.5</v>
      </c>
      <c r="H125" s="95">
        <v>16004.48</v>
      </c>
      <c r="I125" s="97">
        <f t="shared" si="9"/>
        <v>872244.16</v>
      </c>
    </row>
    <row r="126" spans="1:10" ht="45" hidden="1" outlineLevel="2">
      <c r="A126" s="93" t="s">
        <v>93</v>
      </c>
      <c r="B126" s="93" t="s">
        <v>70</v>
      </c>
      <c r="D126" s="63" t="s">
        <v>194</v>
      </c>
      <c r="E126" s="93" t="s">
        <v>68</v>
      </c>
      <c r="F126" s="96">
        <v>1978</v>
      </c>
      <c r="G126" s="63">
        <f t="shared" si="8"/>
        <v>38.5</v>
      </c>
      <c r="H126" s="95">
        <v>140398.07</v>
      </c>
      <c r="I126" s="97">
        <f t="shared" si="9"/>
        <v>5405325.6950000003</v>
      </c>
    </row>
    <row r="127" spans="1:10" ht="45" hidden="1" outlineLevel="2">
      <c r="A127" s="93" t="s">
        <v>93</v>
      </c>
      <c r="B127" s="93" t="s">
        <v>70</v>
      </c>
      <c r="D127" s="63" t="s">
        <v>194</v>
      </c>
      <c r="E127" s="93" t="s">
        <v>68</v>
      </c>
      <c r="F127" s="96">
        <v>1990</v>
      </c>
      <c r="G127" s="63">
        <f t="shared" si="8"/>
        <v>26.5</v>
      </c>
      <c r="H127" s="95">
        <v>356853.06</v>
      </c>
      <c r="I127" s="97">
        <f t="shared" si="9"/>
        <v>9456606.0899999999</v>
      </c>
    </row>
    <row r="128" spans="1:10" ht="45" hidden="1" outlineLevel="2">
      <c r="A128" s="93" t="s">
        <v>93</v>
      </c>
      <c r="B128" s="93" t="s">
        <v>70</v>
      </c>
      <c r="D128" s="63" t="s">
        <v>194</v>
      </c>
      <c r="E128" s="93" t="s">
        <v>68</v>
      </c>
      <c r="F128" s="96">
        <v>1993</v>
      </c>
      <c r="G128" s="63">
        <f t="shared" si="8"/>
        <v>23.5</v>
      </c>
      <c r="H128" s="95">
        <v>9095.57</v>
      </c>
      <c r="I128" s="97">
        <f t="shared" si="9"/>
        <v>213745.89499999999</v>
      </c>
    </row>
    <row r="129" spans="1:10" ht="45" hidden="1" outlineLevel="2">
      <c r="A129" s="93" t="s">
        <v>93</v>
      </c>
      <c r="B129" s="93" t="s">
        <v>70</v>
      </c>
      <c r="D129" s="63" t="s">
        <v>194</v>
      </c>
      <c r="E129" s="93" t="s">
        <v>68</v>
      </c>
      <c r="F129" s="96">
        <v>1995</v>
      </c>
      <c r="G129" s="63">
        <f t="shared" si="8"/>
        <v>21.5</v>
      </c>
      <c r="H129" s="95">
        <v>781148.61</v>
      </c>
      <c r="I129" s="97">
        <f t="shared" si="9"/>
        <v>16794695.114999998</v>
      </c>
    </row>
    <row r="130" spans="1:10" ht="45" hidden="1" outlineLevel="2">
      <c r="A130" s="93" t="s">
        <v>93</v>
      </c>
      <c r="B130" s="93" t="s">
        <v>70</v>
      </c>
      <c r="D130" s="63" t="s">
        <v>194</v>
      </c>
      <c r="E130" s="93" t="s">
        <v>68</v>
      </c>
      <c r="F130" s="96">
        <v>1999</v>
      </c>
      <c r="G130" s="63">
        <f t="shared" si="8"/>
        <v>17.5</v>
      </c>
      <c r="H130" s="95">
        <v>44161.41</v>
      </c>
      <c r="I130" s="97">
        <f t="shared" si="9"/>
        <v>772824.67500000005</v>
      </c>
    </row>
    <row r="131" spans="1:10" ht="45" hidden="1" outlineLevel="2">
      <c r="A131" s="93" t="s">
        <v>93</v>
      </c>
      <c r="B131" s="93" t="s">
        <v>70</v>
      </c>
      <c r="D131" s="63" t="s">
        <v>194</v>
      </c>
      <c r="E131" s="93" t="s">
        <v>68</v>
      </c>
      <c r="F131" s="96">
        <v>2000</v>
      </c>
      <c r="G131" s="63">
        <f t="shared" si="8"/>
        <v>16.5</v>
      </c>
      <c r="H131" s="95">
        <v>367913.88</v>
      </c>
      <c r="I131" s="97">
        <f t="shared" si="9"/>
        <v>6070579.0200000005</v>
      </c>
    </row>
    <row r="132" spans="1:10" ht="45" hidden="1" outlineLevel="2">
      <c r="A132" s="93" t="s">
        <v>93</v>
      </c>
      <c r="B132" s="93" t="s">
        <v>70</v>
      </c>
      <c r="D132" s="63" t="s">
        <v>194</v>
      </c>
      <c r="E132" s="93" t="s">
        <v>68</v>
      </c>
      <c r="F132" s="96">
        <v>2002</v>
      </c>
      <c r="G132" s="63">
        <f t="shared" si="8"/>
        <v>14.5</v>
      </c>
      <c r="H132" s="95">
        <v>3851.14</v>
      </c>
      <c r="I132" s="97">
        <f t="shared" si="9"/>
        <v>55841.53</v>
      </c>
    </row>
    <row r="133" spans="1:10" ht="45" hidden="1" outlineLevel="2">
      <c r="A133" s="93" t="s">
        <v>93</v>
      </c>
      <c r="B133" s="93" t="s">
        <v>70</v>
      </c>
      <c r="D133" s="63" t="s">
        <v>194</v>
      </c>
      <c r="E133" s="93" t="s">
        <v>68</v>
      </c>
      <c r="F133" s="96">
        <v>2008</v>
      </c>
      <c r="G133" s="63">
        <f t="shared" si="8"/>
        <v>8.5</v>
      </c>
      <c r="H133" s="95">
        <v>937458.5</v>
      </c>
      <c r="I133" s="97">
        <f t="shared" si="9"/>
        <v>7968397.25</v>
      </c>
    </row>
    <row r="134" spans="1:10" ht="45" hidden="1" outlineLevel="2">
      <c r="A134" s="93" t="s">
        <v>93</v>
      </c>
      <c r="B134" s="93" t="s">
        <v>70</v>
      </c>
      <c r="D134" s="63" t="s">
        <v>194</v>
      </c>
      <c r="E134" s="93" t="s">
        <v>68</v>
      </c>
      <c r="F134" s="96">
        <v>2011</v>
      </c>
      <c r="G134" s="63">
        <f t="shared" si="8"/>
        <v>5.5</v>
      </c>
      <c r="H134" s="95">
        <v>6485.59</v>
      </c>
      <c r="I134" s="97">
        <f t="shared" si="9"/>
        <v>35670.745000000003</v>
      </c>
    </row>
    <row r="135" spans="1:10" ht="45" hidden="1" outlineLevel="2">
      <c r="A135" s="93" t="s">
        <v>93</v>
      </c>
      <c r="B135" s="93" t="s">
        <v>70</v>
      </c>
      <c r="D135" s="63" t="s">
        <v>194</v>
      </c>
      <c r="E135" s="93" t="s">
        <v>68</v>
      </c>
      <c r="F135" s="96">
        <v>2012</v>
      </c>
      <c r="G135" s="63">
        <f t="shared" si="8"/>
        <v>4.5</v>
      </c>
      <c r="H135" s="95">
        <v>7632573.1900000004</v>
      </c>
      <c r="I135" s="97">
        <f t="shared" si="9"/>
        <v>34346579.355000004</v>
      </c>
    </row>
    <row r="136" spans="1:10" ht="45" hidden="1" outlineLevel="2">
      <c r="A136" s="93" t="s">
        <v>93</v>
      </c>
      <c r="B136" s="93" t="s">
        <v>70</v>
      </c>
      <c r="D136" s="63" t="s">
        <v>194</v>
      </c>
      <c r="E136" s="93" t="s">
        <v>68</v>
      </c>
      <c r="F136" s="96">
        <v>2014</v>
      </c>
      <c r="G136" s="63">
        <f t="shared" si="8"/>
        <v>2.5</v>
      </c>
      <c r="H136" s="95">
        <v>187505.08</v>
      </c>
      <c r="I136" s="97">
        <f t="shared" si="9"/>
        <v>468762.69999999995</v>
      </c>
    </row>
    <row r="137" spans="1:10" ht="45" hidden="1" outlineLevel="2">
      <c r="A137" s="93" t="s">
        <v>93</v>
      </c>
      <c r="B137" s="93" t="s">
        <v>70</v>
      </c>
      <c r="D137" s="63" t="s">
        <v>194</v>
      </c>
      <c r="E137" s="93" t="s">
        <v>68</v>
      </c>
      <c r="F137" s="96">
        <v>2015</v>
      </c>
      <c r="G137" s="63">
        <f t="shared" si="8"/>
        <v>1.5</v>
      </c>
      <c r="H137" s="95">
        <v>1478341.75</v>
      </c>
      <c r="I137" s="97">
        <f t="shared" si="9"/>
        <v>2217512.625</v>
      </c>
    </row>
    <row r="138" spans="1:10" ht="45" hidden="1" outlineLevel="2">
      <c r="A138" s="93" t="s">
        <v>93</v>
      </c>
      <c r="B138" s="93" t="s">
        <v>70</v>
      </c>
      <c r="D138" s="63" t="s">
        <v>194</v>
      </c>
      <c r="E138" s="93" t="s">
        <v>68</v>
      </c>
      <c r="F138" s="96">
        <v>2016</v>
      </c>
      <c r="G138" s="63">
        <f t="shared" si="8"/>
        <v>0.5</v>
      </c>
      <c r="H138" s="95">
        <v>532735.32999999996</v>
      </c>
      <c r="I138" s="97">
        <f t="shared" si="9"/>
        <v>266367.66499999998</v>
      </c>
    </row>
    <row r="139" spans="1:10" s="63" customFormat="1" ht="30" outlineLevel="1" collapsed="1">
      <c r="A139" s="26" t="str">
        <f>+A138</f>
        <v>Crist</v>
      </c>
      <c r="B139" s="94"/>
      <c r="C139" s="26"/>
      <c r="D139" s="26" t="str">
        <f>+D138</f>
        <v>Crist 5</v>
      </c>
      <c r="E139" s="94" t="s">
        <v>203</v>
      </c>
      <c r="F139" s="96"/>
      <c r="H139" s="95">
        <f>SUBTOTAL(9,H124:H138)</f>
        <v>13297372.530000001</v>
      </c>
      <c r="I139" s="97">
        <f>SUBTOTAL(9,I124:I138)</f>
        <v>129503153.80500001</v>
      </c>
      <c r="J139" s="64">
        <f>+I139/H139</f>
        <v>9.7390032138176093</v>
      </c>
    </row>
    <row r="140" spans="1:10" ht="45" hidden="1" outlineLevel="2">
      <c r="A140" s="93" t="s">
        <v>93</v>
      </c>
      <c r="B140" s="93" t="s">
        <v>70</v>
      </c>
      <c r="D140" s="63" t="s">
        <v>194</v>
      </c>
      <c r="E140" s="93" t="s">
        <v>69</v>
      </c>
      <c r="F140" s="96">
        <v>1961</v>
      </c>
      <c r="G140" s="63">
        <f t="shared" ref="G140:G160" si="10">2016.5-F140</f>
        <v>55.5</v>
      </c>
      <c r="H140" s="95">
        <v>599322.23</v>
      </c>
      <c r="I140" s="97">
        <f t="shared" ref="I140:I160" si="11">+G140*H140</f>
        <v>33262383.765000001</v>
      </c>
    </row>
    <row r="141" spans="1:10" ht="45" hidden="1" outlineLevel="2">
      <c r="A141" s="93" t="s">
        <v>93</v>
      </c>
      <c r="B141" s="93" t="s">
        <v>70</v>
      </c>
      <c r="D141" s="63" t="s">
        <v>194</v>
      </c>
      <c r="E141" s="93" t="s">
        <v>69</v>
      </c>
      <c r="F141" s="96">
        <v>1962</v>
      </c>
      <c r="G141" s="63">
        <f t="shared" si="10"/>
        <v>54.5</v>
      </c>
      <c r="H141" s="95">
        <v>203.66</v>
      </c>
      <c r="I141" s="97">
        <f t="shared" si="11"/>
        <v>11099.47</v>
      </c>
    </row>
    <row r="142" spans="1:10" ht="45" hidden="1" outlineLevel="2">
      <c r="A142" s="93" t="s">
        <v>93</v>
      </c>
      <c r="B142" s="93" t="s">
        <v>70</v>
      </c>
      <c r="D142" s="63" t="s">
        <v>194</v>
      </c>
      <c r="E142" s="93" t="s">
        <v>69</v>
      </c>
      <c r="F142" s="96">
        <v>1963</v>
      </c>
      <c r="G142" s="63">
        <f t="shared" si="10"/>
        <v>53.5</v>
      </c>
      <c r="H142" s="95">
        <v>24796.15</v>
      </c>
      <c r="I142" s="97">
        <f t="shared" si="11"/>
        <v>1326594.0250000001</v>
      </c>
    </row>
    <row r="143" spans="1:10" ht="45" hidden="1" outlineLevel="2">
      <c r="A143" s="93" t="s">
        <v>93</v>
      </c>
      <c r="B143" s="93" t="s">
        <v>70</v>
      </c>
      <c r="D143" s="63" t="s">
        <v>194</v>
      </c>
      <c r="E143" s="93" t="s">
        <v>69</v>
      </c>
      <c r="F143" s="96">
        <v>1965</v>
      </c>
      <c r="G143" s="63">
        <f t="shared" si="10"/>
        <v>51.5</v>
      </c>
      <c r="H143" s="95">
        <v>2308.65</v>
      </c>
      <c r="I143" s="97">
        <f t="shared" si="11"/>
        <v>118895.47500000001</v>
      </c>
    </row>
    <row r="144" spans="1:10" ht="45" hidden="1" outlineLevel="2">
      <c r="A144" s="93" t="s">
        <v>93</v>
      </c>
      <c r="B144" s="93" t="s">
        <v>70</v>
      </c>
      <c r="D144" s="63" t="s">
        <v>194</v>
      </c>
      <c r="E144" s="93" t="s">
        <v>69</v>
      </c>
      <c r="F144" s="96">
        <v>1966</v>
      </c>
      <c r="G144" s="63">
        <f t="shared" si="10"/>
        <v>50.5</v>
      </c>
      <c r="H144" s="95">
        <v>11014.61</v>
      </c>
      <c r="I144" s="97">
        <f t="shared" si="11"/>
        <v>556237.80500000005</v>
      </c>
    </row>
    <row r="145" spans="1:9" ht="45" hidden="1" outlineLevel="2">
      <c r="A145" s="93" t="s">
        <v>93</v>
      </c>
      <c r="B145" s="93" t="s">
        <v>70</v>
      </c>
      <c r="D145" s="63" t="s">
        <v>194</v>
      </c>
      <c r="E145" s="93" t="s">
        <v>69</v>
      </c>
      <c r="F145" s="96">
        <v>1968</v>
      </c>
      <c r="G145" s="63">
        <f t="shared" si="10"/>
        <v>48.5</v>
      </c>
      <c r="H145" s="95">
        <v>111229.35</v>
      </c>
      <c r="I145" s="97">
        <f t="shared" si="11"/>
        <v>5394623.4750000006</v>
      </c>
    </row>
    <row r="146" spans="1:9" ht="45" hidden="1" outlineLevel="2">
      <c r="A146" s="93" t="s">
        <v>93</v>
      </c>
      <c r="B146" s="93" t="s">
        <v>70</v>
      </c>
      <c r="D146" s="63" t="s">
        <v>194</v>
      </c>
      <c r="E146" s="93" t="s">
        <v>69</v>
      </c>
      <c r="F146" s="96">
        <v>1969</v>
      </c>
      <c r="G146" s="63">
        <f t="shared" si="10"/>
        <v>47.5</v>
      </c>
      <c r="H146" s="95">
        <v>15554.89</v>
      </c>
      <c r="I146" s="97">
        <f t="shared" si="11"/>
        <v>738857.27500000002</v>
      </c>
    </row>
    <row r="147" spans="1:9" ht="45" hidden="1" outlineLevel="2">
      <c r="A147" s="93" t="s">
        <v>93</v>
      </c>
      <c r="B147" s="93" t="s">
        <v>70</v>
      </c>
      <c r="D147" s="63" t="s">
        <v>194</v>
      </c>
      <c r="E147" s="93" t="s">
        <v>69</v>
      </c>
      <c r="F147" s="96">
        <v>1970</v>
      </c>
      <c r="G147" s="63">
        <f t="shared" si="10"/>
        <v>46.5</v>
      </c>
      <c r="H147" s="95">
        <v>123.93</v>
      </c>
      <c r="I147" s="97">
        <f t="shared" si="11"/>
        <v>5762.7449999999999</v>
      </c>
    </row>
    <row r="148" spans="1:9" ht="45" hidden="1" outlineLevel="2">
      <c r="A148" s="93" t="s">
        <v>93</v>
      </c>
      <c r="B148" s="93" t="s">
        <v>70</v>
      </c>
      <c r="D148" s="63" t="s">
        <v>194</v>
      </c>
      <c r="E148" s="93" t="s">
        <v>69</v>
      </c>
      <c r="F148" s="96">
        <v>1972</v>
      </c>
      <c r="G148" s="63">
        <f t="shared" si="10"/>
        <v>44.5</v>
      </c>
      <c r="H148" s="95">
        <v>8088.91</v>
      </c>
      <c r="I148" s="97">
        <f t="shared" si="11"/>
        <v>359956.495</v>
      </c>
    </row>
    <row r="149" spans="1:9" ht="45" hidden="1" outlineLevel="2">
      <c r="A149" s="93" t="s">
        <v>93</v>
      </c>
      <c r="B149" s="93" t="s">
        <v>70</v>
      </c>
      <c r="D149" s="63" t="s">
        <v>194</v>
      </c>
      <c r="E149" s="93" t="s">
        <v>69</v>
      </c>
      <c r="F149" s="96">
        <v>1978</v>
      </c>
      <c r="G149" s="63">
        <f t="shared" si="10"/>
        <v>38.5</v>
      </c>
      <c r="H149" s="95">
        <v>36383.1</v>
      </c>
      <c r="I149" s="97">
        <f t="shared" si="11"/>
        <v>1400749.3499999999</v>
      </c>
    </row>
    <row r="150" spans="1:9" ht="45" hidden="1" outlineLevel="2">
      <c r="A150" s="93" t="s">
        <v>93</v>
      </c>
      <c r="B150" s="93" t="s">
        <v>70</v>
      </c>
      <c r="D150" s="63" t="s">
        <v>194</v>
      </c>
      <c r="E150" s="93" t="s">
        <v>69</v>
      </c>
      <c r="F150" s="96">
        <v>1979</v>
      </c>
      <c r="G150" s="63">
        <f t="shared" si="10"/>
        <v>37.5</v>
      </c>
      <c r="H150" s="95">
        <v>884.94</v>
      </c>
      <c r="I150" s="97">
        <f t="shared" si="11"/>
        <v>33185.25</v>
      </c>
    </row>
    <row r="151" spans="1:9" ht="45" hidden="1" outlineLevel="2">
      <c r="A151" s="93" t="s">
        <v>93</v>
      </c>
      <c r="B151" s="93" t="s">
        <v>70</v>
      </c>
      <c r="D151" s="63" t="s">
        <v>194</v>
      </c>
      <c r="E151" s="93" t="s">
        <v>69</v>
      </c>
      <c r="F151" s="96">
        <v>1981</v>
      </c>
      <c r="G151" s="63">
        <f t="shared" si="10"/>
        <v>35.5</v>
      </c>
      <c r="H151" s="95">
        <v>648.95000000000005</v>
      </c>
      <c r="I151" s="97">
        <f t="shared" si="11"/>
        <v>23037.725000000002</v>
      </c>
    </row>
    <row r="152" spans="1:9" ht="45" hidden="1" outlineLevel="2">
      <c r="A152" s="93" t="s">
        <v>93</v>
      </c>
      <c r="B152" s="93" t="s">
        <v>70</v>
      </c>
      <c r="D152" s="63" t="s">
        <v>194</v>
      </c>
      <c r="E152" s="93" t="s">
        <v>69</v>
      </c>
      <c r="F152" s="96">
        <v>1984</v>
      </c>
      <c r="G152" s="63">
        <f t="shared" si="10"/>
        <v>32.5</v>
      </c>
      <c r="H152" s="95">
        <v>13373.87</v>
      </c>
      <c r="I152" s="97">
        <f t="shared" si="11"/>
        <v>434650.77500000002</v>
      </c>
    </row>
    <row r="153" spans="1:9" ht="45" hidden="1" outlineLevel="2">
      <c r="A153" s="93" t="s">
        <v>93</v>
      </c>
      <c r="B153" s="93" t="s">
        <v>70</v>
      </c>
      <c r="D153" s="63" t="s">
        <v>194</v>
      </c>
      <c r="E153" s="93" t="s">
        <v>69</v>
      </c>
      <c r="F153" s="96">
        <v>1986</v>
      </c>
      <c r="G153" s="63">
        <f t="shared" si="10"/>
        <v>30.5</v>
      </c>
      <c r="H153" s="95">
        <v>6189.58</v>
      </c>
      <c r="I153" s="97">
        <f t="shared" si="11"/>
        <v>188782.19</v>
      </c>
    </row>
    <row r="154" spans="1:9" ht="45" hidden="1" outlineLevel="2">
      <c r="A154" s="93" t="s">
        <v>93</v>
      </c>
      <c r="B154" s="93" t="s">
        <v>70</v>
      </c>
      <c r="D154" s="63" t="s">
        <v>194</v>
      </c>
      <c r="E154" s="93" t="s">
        <v>69</v>
      </c>
      <c r="F154" s="96">
        <v>1989</v>
      </c>
      <c r="G154" s="63">
        <f t="shared" si="10"/>
        <v>27.5</v>
      </c>
      <c r="H154" s="95">
        <v>47638.58</v>
      </c>
      <c r="I154" s="97">
        <f t="shared" si="11"/>
        <v>1310060.95</v>
      </c>
    </row>
    <row r="155" spans="1:9" ht="45" hidden="1" outlineLevel="2">
      <c r="A155" s="93" t="s">
        <v>93</v>
      </c>
      <c r="B155" s="93" t="s">
        <v>70</v>
      </c>
      <c r="D155" s="63" t="s">
        <v>194</v>
      </c>
      <c r="E155" s="93" t="s">
        <v>69</v>
      </c>
      <c r="F155" s="96">
        <v>1992</v>
      </c>
      <c r="G155" s="63">
        <f t="shared" si="10"/>
        <v>24.5</v>
      </c>
      <c r="H155" s="95">
        <v>5335.68</v>
      </c>
      <c r="I155" s="97">
        <f t="shared" si="11"/>
        <v>130724.16</v>
      </c>
    </row>
    <row r="156" spans="1:9" ht="45" hidden="1" outlineLevel="2">
      <c r="A156" s="93" t="s">
        <v>93</v>
      </c>
      <c r="B156" s="93" t="s">
        <v>70</v>
      </c>
      <c r="D156" s="63" t="s">
        <v>194</v>
      </c>
      <c r="E156" s="93" t="s">
        <v>69</v>
      </c>
      <c r="F156" s="96">
        <v>2003</v>
      </c>
      <c r="G156" s="63">
        <f t="shared" si="10"/>
        <v>13.5</v>
      </c>
      <c r="H156" s="95">
        <v>7740.65</v>
      </c>
      <c r="I156" s="97">
        <f t="shared" si="11"/>
        <v>104498.77499999999</v>
      </c>
    </row>
    <row r="157" spans="1:9" ht="45" hidden="1" outlineLevel="2">
      <c r="A157" s="93" t="s">
        <v>93</v>
      </c>
      <c r="B157" s="93" t="s">
        <v>70</v>
      </c>
      <c r="D157" s="63" t="s">
        <v>194</v>
      </c>
      <c r="E157" s="93" t="s">
        <v>69</v>
      </c>
      <c r="F157" s="96">
        <v>2008</v>
      </c>
      <c r="G157" s="63">
        <f t="shared" si="10"/>
        <v>8.5</v>
      </c>
      <c r="H157" s="95">
        <v>2230365.0499999998</v>
      </c>
      <c r="I157" s="97">
        <f t="shared" si="11"/>
        <v>18958102.924999997</v>
      </c>
    </row>
    <row r="158" spans="1:9" ht="45" hidden="1" outlineLevel="2">
      <c r="A158" s="93" t="s">
        <v>93</v>
      </c>
      <c r="B158" s="93" t="s">
        <v>70</v>
      </c>
      <c r="D158" s="63" t="s">
        <v>194</v>
      </c>
      <c r="E158" s="93" t="s">
        <v>69</v>
      </c>
      <c r="F158" s="96">
        <v>2014</v>
      </c>
      <c r="G158" s="63">
        <f t="shared" si="10"/>
        <v>2.5</v>
      </c>
      <c r="H158" s="95">
        <v>931827.99</v>
      </c>
      <c r="I158" s="97">
        <f t="shared" si="11"/>
        <v>2329569.9750000001</v>
      </c>
    </row>
    <row r="159" spans="1:9" ht="45" hidden="1" outlineLevel="2">
      <c r="A159" s="93" t="s">
        <v>93</v>
      </c>
      <c r="B159" s="93" t="s">
        <v>70</v>
      </c>
      <c r="D159" s="63" t="s">
        <v>194</v>
      </c>
      <c r="E159" s="93" t="s">
        <v>69</v>
      </c>
      <c r="F159" s="96">
        <v>2015</v>
      </c>
      <c r="G159" s="63">
        <f t="shared" si="10"/>
        <v>1.5</v>
      </c>
      <c r="H159" s="95">
        <v>4588.41</v>
      </c>
      <c r="I159" s="97">
        <f t="shared" si="11"/>
        <v>6882.6149999999998</v>
      </c>
    </row>
    <row r="160" spans="1:9" ht="45" hidden="1" outlineLevel="2">
      <c r="A160" s="93" t="s">
        <v>93</v>
      </c>
      <c r="B160" s="93" t="s">
        <v>70</v>
      </c>
      <c r="D160" s="63" t="s">
        <v>194</v>
      </c>
      <c r="E160" s="93" t="s">
        <v>69</v>
      </c>
      <c r="F160" s="96">
        <v>2016</v>
      </c>
      <c r="G160" s="63">
        <f t="shared" si="10"/>
        <v>0.5</v>
      </c>
      <c r="H160" s="95">
        <v>89471.55</v>
      </c>
      <c r="I160" s="97">
        <f t="shared" si="11"/>
        <v>44735.775000000001</v>
      </c>
    </row>
    <row r="161" spans="1:10" s="63" customFormat="1" ht="30" outlineLevel="1" collapsed="1">
      <c r="A161" s="26" t="str">
        <f>+A160</f>
        <v>Crist</v>
      </c>
      <c r="B161" s="94"/>
      <c r="C161" s="26"/>
      <c r="D161" s="26" t="str">
        <f>+D160</f>
        <v>Crist 5</v>
      </c>
      <c r="E161" s="94" t="s">
        <v>204</v>
      </c>
      <c r="F161" s="96"/>
      <c r="H161" s="95">
        <f>SUBTOTAL(9,H140:H160)</f>
        <v>4147090.7299999995</v>
      </c>
      <c r="I161" s="97">
        <f>SUBTOTAL(9,I140:I160)</f>
        <v>66739390.99499999</v>
      </c>
      <c r="J161" s="64">
        <f>+I161/H161</f>
        <v>16.093062664920282</v>
      </c>
    </row>
    <row r="162" spans="1:10" ht="45" hidden="1" outlineLevel="2">
      <c r="A162" s="93" t="s">
        <v>93</v>
      </c>
      <c r="B162" s="93" t="s">
        <v>71</v>
      </c>
      <c r="D162" s="63" t="s">
        <v>196</v>
      </c>
      <c r="E162" s="93" t="s">
        <v>67</v>
      </c>
      <c r="F162" s="96">
        <v>1970</v>
      </c>
      <c r="G162" s="63">
        <f t="shared" ref="G162:G199" si="12">2016.5-F162</f>
        <v>46.5</v>
      </c>
      <c r="H162" s="95">
        <v>2962962.71</v>
      </c>
      <c r="I162" s="97">
        <f t="shared" ref="I162:I199" si="13">+G162*H162</f>
        <v>137777766.01499999</v>
      </c>
    </row>
    <row r="163" spans="1:10" ht="45" hidden="1" outlineLevel="2">
      <c r="A163" s="93" t="s">
        <v>93</v>
      </c>
      <c r="B163" s="93" t="s">
        <v>71</v>
      </c>
      <c r="D163" s="63" t="s">
        <v>196</v>
      </c>
      <c r="E163" s="93" t="s">
        <v>67</v>
      </c>
      <c r="F163" s="96">
        <v>1971</v>
      </c>
      <c r="G163" s="63">
        <f t="shared" si="12"/>
        <v>45.5</v>
      </c>
      <c r="H163" s="95">
        <v>63135.75</v>
      </c>
      <c r="I163" s="97">
        <f t="shared" si="13"/>
        <v>2872676.625</v>
      </c>
    </row>
    <row r="164" spans="1:10" ht="45" hidden="1" outlineLevel="2">
      <c r="A164" s="93" t="s">
        <v>93</v>
      </c>
      <c r="B164" s="93" t="s">
        <v>71</v>
      </c>
      <c r="D164" s="63" t="s">
        <v>196</v>
      </c>
      <c r="E164" s="93" t="s">
        <v>67</v>
      </c>
      <c r="F164" s="96">
        <v>1972</v>
      </c>
      <c r="G164" s="63">
        <f t="shared" si="12"/>
        <v>44.5</v>
      </c>
      <c r="H164" s="95">
        <v>9221.84</v>
      </c>
      <c r="I164" s="97">
        <f t="shared" si="13"/>
        <v>410371.88</v>
      </c>
    </row>
    <row r="165" spans="1:10" ht="45" hidden="1" outlineLevel="2">
      <c r="A165" s="93" t="s">
        <v>93</v>
      </c>
      <c r="B165" s="93" t="s">
        <v>71</v>
      </c>
      <c r="D165" s="63" t="s">
        <v>196</v>
      </c>
      <c r="E165" s="93" t="s">
        <v>67</v>
      </c>
      <c r="F165" s="96">
        <v>1973</v>
      </c>
      <c r="G165" s="63">
        <f t="shared" si="12"/>
        <v>43.5</v>
      </c>
      <c r="H165" s="95">
        <v>87674.05</v>
      </c>
      <c r="I165" s="97">
        <f t="shared" si="13"/>
        <v>3813821.1750000003</v>
      </c>
    </row>
    <row r="166" spans="1:10" ht="45" hidden="1" outlineLevel="2">
      <c r="A166" s="93" t="s">
        <v>93</v>
      </c>
      <c r="B166" s="93" t="s">
        <v>71</v>
      </c>
      <c r="D166" s="63" t="s">
        <v>196</v>
      </c>
      <c r="E166" s="93" t="s">
        <v>67</v>
      </c>
      <c r="F166" s="96">
        <v>1974</v>
      </c>
      <c r="G166" s="63">
        <f t="shared" si="12"/>
        <v>42.5</v>
      </c>
      <c r="H166" s="95">
        <v>9755.86</v>
      </c>
      <c r="I166" s="97">
        <f t="shared" si="13"/>
        <v>414624.05000000005</v>
      </c>
    </row>
    <row r="167" spans="1:10" ht="45" hidden="1" outlineLevel="2">
      <c r="A167" s="93" t="s">
        <v>93</v>
      </c>
      <c r="B167" s="93" t="s">
        <v>71</v>
      </c>
      <c r="D167" s="63" t="s">
        <v>196</v>
      </c>
      <c r="E167" s="93" t="s">
        <v>67</v>
      </c>
      <c r="F167" s="96">
        <v>1977</v>
      </c>
      <c r="G167" s="63">
        <f t="shared" si="12"/>
        <v>39.5</v>
      </c>
      <c r="H167" s="95">
        <v>856121.52</v>
      </c>
      <c r="I167" s="97">
        <f t="shared" si="13"/>
        <v>33816800.039999999</v>
      </c>
    </row>
    <row r="168" spans="1:10" ht="45" hidden="1" outlineLevel="2">
      <c r="A168" s="93" t="s">
        <v>93</v>
      </c>
      <c r="B168" s="93" t="s">
        <v>71</v>
      </c>
      <c r="D168" s="63" t="s">
        <v>196</v>
      </c>
      <c r="E168" s="93" t="s">
        <v>67</v>
      </c>
      <c r="F168" s="96">
        <v>1978</v>
      </c>
      <c r="G168" s="63">
        <f t="shared" si="12"/>
        <v>38.5</v>
      </c>
      <c r="H168" s="95">
        <v>80120.31</v>
      </c>
      <c r="I168" s="97">
        <f t="shared" si="13"/>
        <v>3084631.9350000001</v>
      </c>
    </row>
    <row r="169" spans="1:10" ht="45" hidden="1" outlineLevel="2">
      <c r="A169" s="93" t="s">
        <v>93</v>
      </c>
      <c r="B169" s="93" t="s">
        <v>71</v>
      </c>
      <c r="D169" s="63" t="s">
        <v>196</v>
      </c>
      <c r="E169" s="93" t="s">
        <v>67</v>
      </c>
      <c r="F169" s="96">
        <v>1979</v>
      </c>
      <c r="G169" s="63">
        <f t="shared" si="12"/>
        <v>37.5</v>
      </c>
      <c r="H169" s="95">
        <v>4021.44</v>
      </c>
      <c r="I169" s="97">
        <f t="shared" si="13"/>
        <v>150804</v>
      </c>
    </row>
    <row r="170" spans="1:10" ht="45" hidden="1" outlineLevel="2">
      <c r="A170" s="93" t="s">
        <v>93</v>
      </c>
      <c r="B170" s="93" t="s">
        <v>71</v>
      </c>
      <c r="D170" s="63" t="s">
        <v>196</v>
      </c>
      <c r="E170" s="93" t="s">
        <v>67</v>
      </c>
      <c r="F170" s="96">
        <v>1980</v>
      </c>
      <c r="G170" s="63">
        <f t="shared" si="12"/>
        <v>36.5</v>
      </c>
      <c r="H170" s="95">
        <v>88836.44</v>
      </c>
      <c r="I170" s="97">
        <f t="shared" si="13"/>
        <v>3242530.06</v>
      </c>
    </row>
    <row r="171" spans="1:10" ht="45" hidden="1" outlineLevel="2">
      <c r="A171" s="93" t="s">
        <v>93</v>
      </c>
      <c r="B171" s="93" t="s">
        <v>71</v>
      </c>
      <c r="D171" s="63" t="s">
        <v>196</v>
      </c>
      <c r="E171" s="93" t="s">
        <v>67</v>
      </c>
      <c r="F171" s="96">
        <v>1981</v>
      </c>
      <c r="G171" s="63">
        <f t="shared" si="12"/>
        <v>35.5</v>
      </c>
      <c r="H171" s="95">
        <v>68380.210000000006</v>
      </c>
      <c r="I171" s="97">
        <f t="shared" si="13"/>
        <v>2427497.4550000001</v>
      </c>
    </row>
    <row r="172" spans="1:10" ht="45" hidden="1" outlineLevel="2">
      <c r="A172" s="93" t="s">
        <v>93</v>
      </c>
      <c r="B172" s="93" t="s">
        <v>71</v>
      </c>
      <c r="D172" s="63" t="s">
        <v>196</v>
      </c>
      <c r="E172" s="93" t="s">
        <v>67</v>
      </c>
      <c r="F172" s="96">
        <v>1983</v>
      </c>
      <c r="G172" s="63">
        <f t="shared" si="12"/>
        <v>33.5</v>
      </c>
      <c r="H172" s="95">
        <v>546896.43999999994</v>
      </c>
      <c r="I172" s="97">
        <f t="shared" si="13"/>
        <v>18321030.739999998</v>
      </c>
    </row>
    <row r="173" spans="1:10" ht="45" hidden="1" outlineLevel="2">
      <c r="A173" s="93" t="s">
        <v>93</v>
      </c>
      <c r="B173" s="93" t="s">
        <v>71</v>
      </c>
      <c r="D173" s="63" t="s">
        <v>196</v>
      </c>
      <c r="E173" s="93" t="s">
        <v>67</v>
      </c>
      <c r="F173" s="96">
        <v>1984</v>
      </c>
      <c r="G173" s="63">
        <f t="shared" si="12"/>
        <v>32.5</v>
      </c>
      <c r="H173" s="95">
        <v>40997.14</v>
      </c>
      <c r="I173" s="97">
        <f t="shared" si="13"/>
        <v>1332407.05</v>
      </c>
    </row>
    <row r="174" spans="1:10" ht="45" hidden="1" outlineLevel="2">
      <c r="A174" s="93" t="s">
        <v>93</v>
      </c>
      <c r="B174" s="93" t="s">
        <v>71</v>
      </c>
      <c r="D174" s="63" t="s">
        <v>196</v>
      </c>
      <c r="E174" s="93" t="s">
        <v>67</v>
      </c>
      <c r="F174" s="96">
        <v>1985</v>
      </c>
      <c r="G174" s="63">
        <f t="shared" si="12"/>
        <v>31.5</v>
      </c>
      <c r="H174" s="95">
        <v>321788.02</v>
      </c>
      <c r="I174" s="97">
        <f t="shared" si="13"/>
        <v>10136322.630000001</v>
      </c>
    </row>
    <row r="175" spans="1:10" ht="45" hidden="1" outlineLevel="2">
      <c r="A175" s="93" t="s">
        <v>93</v>
      </c>
      <c r="B175" s="93" t="s">
        <v>71</v>
      </c>
      <c r="D175" s="63" t="s">
        <v>196</v>
      </c>
      <c r="E175" s="93" t="s">
        <v>67</v>
      </c>
      <c r="F175" s="96">
        <v>1987</v>
      </c>
      <c r="G175" s="63">
        <f t="shared" si="12"/>
        <v>29.5</v>
      </c>
      <c r="H175" s="95">
        <v>346719.02</v>
      </c>
      <c r="I175" s="97">
        <f t="shared" si="13"/>
        <v>10228211.09</v>
      </c>
    </row>
    <row r="176" spans="1:10" ht="45" hidden="1" outlineLevel="2">
      <c r="A176" s="93" t="s">
        <v>93</v>
      </c>
      <c r="B176" s="93" t="s">
        <v>71</v>
      </c>
      <c r="D176" s="63" t="s">
        <v>196</v>
      </c>
      <c r="E176" s="93" t="s">
        <v>67</v>
      </c>
      <c r="F176" s="96">
        <v>1988</v>
      </c>
      <c r="G176" s="63">
        <f t="shared" si="12"/>
        <v>28.5</v>
      </c>
      <c r="H176" s="95">
        <v>386661.23</v>
      </c>
      <c r="I176" s="97">
        <f t="shared" si="13"/>
        <v>11019845.055</v>
      </c>
    </row>
    <row r="177" spans="1:9" ht="45" hidden="1" outlineLevel="2">
      <c r="A177" s="93" t="s">
        <v>93</v>
      </c>
      <c r="B177" s="93" t="s">
        <v>71</v>
      </c>
      <c r="D177" s="63" t="s">
        <v>196</v>
      </c>
      <c r="E177" s="93" t="s">
        <v>67</v>
      </c>
      <c r="F177" s="96">
        <v>1989</v>
      </c>
      <c r="G177" s="63">
        <f t="shared" si="12"/>
        <v>27.5</v>
      </c>
      <c r="H177" s="95">
        <v>2560811.83</v>
      </c>
      <c r="I177" s="97">
        <f t="shared" si="13"/>
        <v>70422325.325000003</v>
      </c>
    </row>
    <row r="178" spans="1:9" ht="45" hidden="1" outlineLevel="2">
      <c r="A178" s="93" t="s">
        <v>93</v>
      </c>
      <c r="B178" s="93" t="s">
        <v>71</v>
      </c>
      <c r="D178" s="63" t="s">
        <v>196</v>
      </c>
      <c r="E178" s="93" t="s">
        <v>67</v>
      </c>
      <c r="F178" s="96">
        <v>1990</v>
      </c>
      <c r="G178" s="63">
        <f t="shared" si="12"/>
        <v>26.5</v>
      </c>
      <c r="H178" s="95">
        <v>4646656.76</v>
      </c>
      <c r="I178" s="97">
        <f t="shared" si="13"/>
        <v>123136404.14</v>
      </c>
    </row>
    <row r="179" spans="1:9" ht="45" hidden="1" outlineLevel="2">
      <c r="A179" s="93" t="s">
        <v>93</v>
      </c>
      <c r="B179" s="93" t="s">
        <v>71</v>
      </c>
      <c r="D179" s="63" t="s">
        <v>196</v>
      </c>
      <c r="E179" s="93" t="s">
        <v>67</v>
      </c>
      <c r="F179" s="96">
        <v>1992</v>
      </c>
      <c r="G179" s="63">
        <f t="shared" si="12"/>
        <v>24.5</v>
      </c>
      <c r="H179" s="95">
        <v>1499963.95</v>
      </c>
      <c r="I179" s="97">
        <f t="shared" si="13"/>
        <v>36749116.774999999</v>
      </c>
    </row>
    <row r="180" spans="1:9" ht="45" hidden="1" outlineLevel="2">
      <c r="A180" s="93" t="s">
        <v>93</v>
      </c>
      <c r="B180" s="93" t="s">
        <v>71</v>
      </c>
      <c r="D180" s="63" t="s">
        <v>196</v>
      </c>
      <c r="E180" s="93" t="s">
        <v>67</v>
      </c>
      <c r="F180" s="96">
        <v>1993</v>
      </c>
      <c r="G180" s="63">
        <f t="shared" si="12"/>
        <v>23.5</v>
      </c>
      <c r="H180" s="95">
        <v>630663.94999999995</v>
      </c>
      <c r="I180" s="97">
        <f t="shared" si="13"/>
        <v>14820602.824999999</v>
      </c>
    </row>
    <row r="181" spans="1:9" ht="45" hidden="1" outlineLevel="2">
      <c r="A181" s="93" t="s">
        <v>93</v>
      </c>
      <c r="B181" s="93" t="s">
        <v>71</v>
      </c>
      <c r="D181" s="63" t="s">
        <v>196</v>
      </c>
      <c r="E181" s="93" t="s">
        <v>67</v>
      </c>
      <c r="F181" s="96">
        <v>1994</v>
      </c>
      <c r="G181" s="63">
        <f t="shared" si="12"/>
        <v>22.5</v>
      </c>
      <c r="H181" s="95">
        <v>10147737.130000001</v>
      </c>
      <c r="I181" s="97">
        <f t="shared" si="13"/>
        <v>228324085.42500001</v>
      </c>
    </row>
    <row r="182" spans="1:9" ht="45" hidden="1" outlineLevel="2">
      <c r="A182" s="93" t="s">
        <v>93</v>
      </c>
      <c r="B182" s="93" t="s">
        <v>71</v>
      </c>
      <c r="D182" s="63" t="s">
        <v>196</v>
      </c>
      <c r="E182" s="93" t="s">
        <v>67</v>
      </c>
      <c r="F182" s="96">
        <v>1995</v>
      </c>
      <c r="G182" s="63">
        <f t="shared" si="12"/>
        <v>21.5</v>
      </c>
      <c r="H182" s="95">
        <v>132802.09</v>
      </c>
      <c r="I182" s="97">
        <f t="shared" si="13"/>
        <v>2855244.9350000001</v>
      </c>
    </row>
    <row r="183" spans="1:9" ht="45" hidden="1" outlineLevel="2">
      <c r="A183" s="93" t="s">
        <v>93</v>
      </c>
      <c r="B183" s="93" t="s">
        <v>71</v>
      </c>
      <c r="D183" s="63" t="s">
        <v>196</v>
      </c>
      <c r="E183" s="93" t="s">
        <v>67</v>
      </c>
      <c r="F183" s="96">
        <v>1996</v>
      </c>
      <c r="G183" s="63">
        <f t="shared" si="12"/>
        <v>20.5</v>
      </c>
      <c r="H183" s="95">
        <v>643318.37</v>
      </c>
      <c r="I183" s="97">
        <f t="shared" si="13"/>
        <v>13188026.584999999</v>
      </c>
    </row>
    <row r="184" spans="1:9" ht="45" hidden="1" outlineLevel="2">
      <c r="A184" s="93" t="s">
        <v>93</v>
      </c>
      <c r="B184" s="93" t="s">
        <v>71</v>
      </c>
      <c r="D184" s="63" t="s">
        <v>196</v>
      </c>
      <c r="E184" s="93" t="s">
        <v>67</v>
      </c>
      <c r="F184" s="96">
        <v>1999</v>
      </c>
      <c r="G184" s="63">
        <f t="shared" si="12"/>
        <v>17.5</v>
      </c>
      <c r="H184" s="95">
        <v>788849.68</v>
      </c>
      <c r="I184" s="97">
        <f t="shared" si="13"/>
        <v>13804869.4</v>
      </c>
    </row>
    <row r="185" spans="1:9" ht="45" hidden="1" outlineLevel="2">
      <c r="A185" s="93" t="s">
        <v>93</v>
      </c>
      <c r="B185" s="93" t="s">
        <v>71</v>
      </c>
      <c r="D185" s="63" t="s">
        <v>196</v>
      </c>
      <c r="E185" s="93" t="s">
        <v>67</v>
      </c>
      <c r="F185" s="96">
        <v>2000</v>
      </c>
      <c r="G185" s="63">
        <f t="shared" si="12"/>
        <v>16.5</v>
      </c>
      <c r="H185" s="95">
        <v>354834.76</v>
      </c>
      <c r="I185" s="97">
        <f t="shared" si="13"/>
        <v>5854773.54</v>
      </c>
    </row>
    <row r="186" spans="1:9" ht="45" hidden="1" outlineLevel="2">
      <c r="A186" s="93" t="s">
        <v>93</v>
      </c>
      <c r="B186" s="93" t="s">
        <v>71</v>
      </c>
      <c r="D186" s="63" t="s">
        <v>196</v>
      </c>
      <c r="E186" s="93" t="s">
        <v>67</v>
      </c>
      <c r="F186" s="96">
        <v>2002</v>
      </c>
      <c r="G186" s="63">
        <f t="shared" si="12"/>
        <v>14.5</v>
      </c>
      <c r="H186" s="95">
        <v>5987219.0999999996</v>
      </c>
      <c r="I186" s="97">
        <f t="shared" si="13"/>
        <v>86814676.949999988</v>
      </c>
    </row>
    <row r="187" spans="1:9" ht="45" hidden="1" outlineLevel="2">
      <c r="A187" s="93" t="s">
        <v>93</v>
      </c>
      <c r="B187" s="93" t="s">
        <v>71</v>
      </c>
      <c r="D187" s="63" t="s">
        <v>196</v>
      </c>
      <c r="E187" s="93" t="s">
        <v>67</v>
      </c>
      <c r="F187" s="96">
        <v>2003</v>
      </c>
      <c r="G187" s="63">
        <f t="shared" si="12"/>
        <v>13.5</v>
      </c>
      <c r="H187" s="95">
        <v>44493.46</v>
      </c>
      <c r="I187" s="97">
        <f t="shared" si="13"/>
        <v>600661.71</v>
      </c>
    </row>
    <row r="188" spans="1:9" ht="45" hidden="1" outlineLevel="2">
      <c r="A188" s="93" t="s">
        <v>93</v>
      </c>
      <c r="B188" s="93" t="s">
        <v>71</v>
      </c>
      <c r="D188" s="63" t="s">
        <v>196</v>
      </c>
      <c r="E188" s="93" t="s">
        <v>67</v>
      </c>
      <c r="F188" s="96">
        <v>2005</v>
      </c>
      <c r="G188" s="63">
        <f t="shared" si="12"/>
        <v>11.5</v>
      </c>
      <c r="H188" s="95">
        <v>9171107.1999999993</v>
      </c>
      <c r="I188" s="97">
        <f t="shared" si="13"/>
        <v>105467732.8</v>
      </c>
    </row>
    <row r="189" spans="1:9" ht="45" hidden="1" outlineLevel="2">
      <c r="A189" s="93" t="s">
        <v>93</v>
      </c>
      <c r="B189" s="93" t="s">
        <v>71</v>
      </c>
      <c r="D189" s="63" t="s">
        <v>196</v>
      </c>
      <c r="E189" s="93" t="s">
        <v>67</v>
      </c>
      <c r="F189" s="96">
        <v>2006</v>
      </c>
      <c r="G189" s="63">
        <f t="shared" si="12"/>
        <v>10.5</v>
      </c>
      <c r="H189" s="95">
        <v>71997.56</v>
      </c>
      <c r="I189" s="97">
        <f t="shared" si="13"/>
        <v>755974.38</v>
      </c>
    </row>
    <row r="190" spans="1:9" ht="45" hidden="1" outlineLevel="2">
      <c r="A190" s="93" t="s">
        <v>93</v>
      </c>
      <c r="B190" s="93" t="s">
        <v>71</v>
      </c>
      <c r="D190" s="63" t="s">
        <v>196</v>
      </c>
      <c r="E190" s="93" t="s">
        <v>67</v>
      </c>
      <c r="F190" s="96">
        <v>2007</v>
      </c>
      <c r="G190" s="63">
        <f t="shared" si="12"/>
        <v>9.5</v>
      </c>
      <c r="H190" s="95">
        <v>52532.27</v>
      </c>
      <c r="I190" s="97">
        <f t="shared" si="13"/>
        <v>499056.56499999994</v>
      </c>
    </row>
    <row r="191" spans="1:9" ht="45" hidden="1" outlineLevel="2">
      <c r="A191" s="93" t="s">
        <v>93</v>
      </c>
      <c r="B191" s="93" t="s">
        <v>71</v>
      </c>
      <c r="D191" s="63" t="s">
        <v>196</v>
      </c>
      <c r="E191" s="93" t="s">
        <v>67</v>
      </c>
      <c r="F191" s="96">
        <v>2008</v>
      </c>
      <c r="G191" s="63">
        <f t="shared" si="12"/>
        <v>8.5</v>
      </c>
      <c r="H191" s="95">
        <v>735803.64</v>
      </c>
      <c r="I191" s="97">
        <f t="shared" si="13"/>
        <v>6254330.9400000004</v>
      </c>
    </row>
    <row r="192" spans="1:9" ht="45" hidden="1" outlineLevel="2">
      <c r="A192" s="93" t="s">
        <v>93</v>
      </c>
      <c r="B192" s="93" t="s">
        <v>71</v>
      </c>
      <c r="D192" s="63" t="s">
        <v>196</v>
      </c>
      <c r="E192" s="93" t="s">
        <v>67</v>
      </c>
      <c r="F192" s="96">
        <v>2009</v>
      </c>
      <c r="G192" s="63">
        <f t="shared" si="12"/>
        <v>7.5</v>
      </c>
      <c r="H192" s="95">
        <v>7812506.3499999996</v>
      </c>
      <c r="I192" s="97">
        <f t="shared" si="13"/>
        <v>58593797.625</v>
      </c>
    </row>
    <row r="193" spans="1:10" ht="45" hidden="1" outlineLevel="2">
      <c r="A193" s="93" t="s">
        <v>93</v>
      </c>
      <c r="B193" s="93" t="s">
        <v>71</v>
      </c>
      <c r="D193" s="63" t="s">
        <v>196</v>
      </c>
      <c r="E193" s="93" t="s">
        <v>67</v>
      </c>
      <c r="F193" s="96">
        <v>2010</v>
      </c>
      <c r="G193" s="63">
        <f t="shared" si="12"/>
        <v>6.5</v>
      </c>
      <c r="H193" s="95">
        <v>272783.65000000002</v>
      </c>
      <c r="I193" s="97">
        <f t="shared" si="13"/>
        <v>1773093.7250000001</v>
      </c>
    </row>
    <row r="194" spans="1:10" ht="45" hidden="1" outlineLevel="2">
      <c r="A194" s="93" t="s">
        <v>93</v>
      </c>
      <c r="B194" s="93" t="s">
        <v>71</v>
      </c>
      <c r="D194" s="63" t="s">
        <v>196</v>
      </c>
      <c r="E194" s="93" t="s">
        <v>67</v>
      </c>
      <c r="F194" s="96">
        <v>2011</v>
      </c>
      <c r="G194" s="63">
        <f t="shared" si="12"/>
        <v>5.5</v>
      </c>
      <c r="H194" s="95">
        <v>23708173.5</v>
      </c>
      <c r="I194" s="97">
        <f t="shared" si="13"/>
        <v>130394954.25</v>
      </c>
    </row>
    <row r="195" spans="1:10" ht="45" hidden="1" outlineLevel="2">
      <c r="A195" s="93" t="s">
        <v>93</v>
      </c>
      <c r="B195" s="93" t="s">
        <v>71</v>
      </c>
      <c r="D195" s="63" t="s">
        <v>196</v>
      </c>
      <c r="E195" s="93" t="s">
        <v>67</v>
      </c>
      <c r="F195" s="96">
        <v>2012</v>
      </c>
      <c r="G195" s="63">
        <f t="shared" si="12"/>
        <v>4.5</v>
      </c>
      <c r="H195" s="95">
        <v>175993327.19999999</v>
      </c>
      <c r="I195" s="97">
        <f t="shared" si="13"/>
        <v>791969972.39999998</v>
      </c>
    </row>
    <row r="196" spans="1:10" ht="45" hidden="1" outlineLevel="2">
      <c r="A196" s="93" t="s">
        <v>93</v>
      </c>
      <c r="B196" s="93" t="s">
        <v>71</v>
      </c>
      <c r="D196" s="63" t="s">
        <v>196</v>
      </c>
      <c r="E196" s="93" t="s">
        <v>67</v>
      </c>
      <c r="F196" s="96">
        <v>2013</v>
      </c>
      <c r="G196" s="63">
        <f t="shared" si="12"/>
        <v>3.5</v>
      </c>
      <c r="H196" s="95">
        <v>429304.66</v>
      </c>
      <c r="I196" s="97">
        <f t="shared" si="13"/>
        <v>1502566.3099999998</v>
      </c>
    </row>
    <row r="197" spans="1:10" ht="45" hidden="1" outlineLevel="2">
      <c r="A197" s="93" t="s">
        <v>93</v>
      </c>
      <c r="B197" s="93" t="s">
        <v>71</v>
      </c>
      <c r="D197" s="63" t="s">
        <v>196</v>
      </c>
      <c r="E197" s="93" t="s">
        <v>67</v>
      </c>
      <c r="F197" s="96">
        <v>2014</v>
      </c>
      <c r="G197" s="63">
        <f t="shared" si="12"/>
        <v>2.5</v>
      </c>
      <c r="H197" s="95">
        <v>104154.88</v>
      </c>
      <c r="I197" s="97">
        <f t="shared" si="13"/>
        <v>260387.20000000001</v>
      </c>
    </row>
    <row r="198" spans="1:10" ht="45" hidden="1" outlineLevel="2">
      <c r="A198" s="93" t="s">
        <v>93</v>
      </c>
      <c r="B198" s="93" t="s">
        <v>71</v>
      </c>
      <c r="D198" s="63" t="s">
        <v>196</v>
      </c>
      <c r="E198" s="93" t="s">
        <v>67</v>
      </c>
      <c r="F198" s="96">
        <v>2015</v>
      </c>
      <c r="G198" s="63">
        <f t="shared" si="12"/>
        <v>1.5</v>
      </c>
      <c r="H198" s="95">
        <v>12362784.15</v>
      </c>
      <c r="I198" s="97">
        <f t="shared" si="13"/>
        <v>18544176.225000001</v>
      </c>
    </row>
    <row r="199" spans="1:10" ht="45" hidden="1" outlineLevel="2">
      <c r="A199" s="93" t="s">
        <v>93</v>
      </c>
      <c r="B199" s="93" t="s">
        <v>71</v>
      </c>
      <c r="D199" s="63" t="s">
        <v>196</v>
      </c>
      <c r="E199" s="93" t="s">
        <v>67</v>
      </c>
      <c r="F199" s="96">
        <v>2016</v>
      </c>
      <c r="G199" s="63">
        <f t="shared" si="12"/>
        <v>0.5</v>
      </c>
      <c r="H199" s="95">
        <v>1317861.8600000001</v>
      </c>
      <c r="I199" s="97">
        <f t="shared" si="13"/>
        <v>658930.93000000005</v>
      </c>
    </row>
    <row r="200" spans="1:10" s="63" customFormat="1" ht="30" outlineLevel="1" collapsed="1">
      <c r="A200" s="26" t="str">
        <f>+A199</f>
        <v>Crist</v>
      </c>
      <c r="B200" s="94"/>
      <c r="C200" s="26"/>
      <c r="D200" s="26" t="str">
        <f>+D199</f>
        <v>Crist 6</v>
      </c>
      <c r="E200" s="94" t="s">
        <v>202</v>
      </c>
      <c r="F200" s="96"/>
      <c r="H200" s="95">
        <f>SUBTOTAL(9,H162:H199)</f>
        <v>265342979.98000002</v>
      </c>
      <c r="I200" s="97">
        <f>SUBTOTAL(9,I162:I199)</f>
        <v>1952295100.7599998</v>
      </c>
      <c r="J200" s="64">
        <f>+I200/H200</f>
        <v>7.3576286092330472</v>
      </c>
    </row>
    <row r="201" spans="1:10" ht="45" hidden="1" outlineLevel="2">
      <c r="A201" s="93" t="s">
        <v>93</v>
      </c>
      <c r="B201" s="93" t="s">
        <v>71</v>
      </c>
      <c r="D201" s="63" t="s">
        <v>196</v>
      </c>
      <c r="E201" s="93" t="s">
        <v>68</v>
      </c>
      <c r="F201" s="96">
        <v>1970</v>
      </c>
      <c r="G201" s="63">
        <f t="shared" ref="G201:G226" si="14">2016.5-F201</f>
        <v>46.5</v>
      </c>
      <c r="H201" s="95">
        <v>4618100.75</v>
      </c>
      <c r="I201" s="97">
        <f t="shared" ref="I201:I226" si="15">+G201*H201</f>
        <v>214741684.875</v>
      </c>
    </row>
    <row r="202" spans="1:10" ht="45" hidden="1" outlineLevel="2">
      <c r="A202" s="93" t="s">
        <v>93</v>
      </c>
      <c r="B202" s="93" t="s">
        <v>71</v>
      </c>
      <c r="D202" s="63" t="s">
        <v>196</v>
      </c>
      <c r="E202" s="93" t="s">
        <v>68</v>
      </c>
      <c r="F202" s="96">
        <v>1971</v>
      </c>
      <c r="G202" s="63">
        <f t="shared" si="14"/>
        <v>45.5</v>
      </c>
      <c r="H202" s="95">
        <v>30506.03</v>
      </c>
      <c r="I202" s="97">
        <f t="shared" si="15"/>
        <v>1388024.365</v>
      </c>
    </row>
    <row r="203" spans="1:10" ht="45" hidden="1" outlineLevel="2">
      <c r="A203" s="93" t="s">
        <v>93</v>
      </c>
      <c r="B203" s="93" t="s">
        <v>71</v>
      </c>
      <c r="D203" s="63" t="s">
        <v>196</v>
      </c>
      <c r="E203" s="93" t="s">
        <v>68</v>
      </c>
      <c r="F203" s="96">
        <v>1972</v>
      </c>
      <c r="G203" s="63">
        <f t="shared" si="14"/>
        <v>44.5</v>
      </c>
      <c r="H203" s="95">
        <v>17073.53</v>
      </c>
      <c r="I203" s="97">
        <f t="shared" si="15"/>
        <v>759772.08499999996</v>
      </c>
    </row>
    <row r="204" spans="1:10" ht="45" hidden="1" outlineLevel="2">
      <c r="A204" s="93" t="s">
        <v>93</v>
      </c>
      <c r="B204" s="93" t="s">
        <v>71</v>
      </c>
      <c r="D204" s="63" t="s">
        <v>196</v>
      </c>
      <c r="E204" s="93" t="s">
        <v>68</v>
      </c>
      <c r="F204" s="96">
        <v>1979</v>
      </c>
      <c r="G204" s="63">
        <f t="shared" si="14"/>
        <v>37.5</v>
      </c>
      <c r="H204" s="95">
        <v>6752.04</v>
      </c>
      <c r="I204" s="97">
        <f t="shared" si="15"/>
        <v>253201.5</v>
      </c>
    </row>
    <row r="205" spans="1:10" ht="45" hidden="1" outlineLevel="2">
      <c r="A205" s="93" t="s">
        <v>93</v>
      </c>
      <c r="B205" s="93" t="s">
        <v>71</v>
      </c>
      <c r="D205" s="63" t="s">
        <v>196</v>
      </c>
      <c r="E205" s="93" t="s">
        <v>68</v>
      </c>
      <c r="F205" s="96">
        <v>1980</v>
      </c>
      <c r="G205" s="63">
        <f t="shared" si="14"/>
        <v>36.5</v>
      </c>
      <c r="H205" s="95">
        <v>2993.75</v>
      </c>
      <c r="I205" s="97">
        <f t="shared" si="15"/>
        <v>109271.875</v>
      </c>
    </row>
    <row r="206" spans="1:10" ht="45" hidden="1" outlineLevel="2">
      <c r="A206" s="93" t="s">
        <v>93</v>
      </c>
      <c r="B206" s="93" t="s">
        <v>71</v>
      </c>
      <c r="D206" s="63" t="s">
        <v>196</v>
      </c>
      <c r="E206" s="93" t="s">
        <v>68</v>
      </c>
      <c r="F206" s="96">
        <v>1985</v>
      </c>
      <c r="G206" s="63">
        <f t="shared" si="14"/>
        <v>31.5</v>
      </c>
      <c r="H206" s="95">
        <v>367409.23</v>
      </c>
      <c r="I206" s="97">
        <f t="shared" si="15"/>
        <v>11573390.744999999</v>
      </c>
    </row>
    <row r="207" spans="1:10" ht="45" hidden="1" outlineLevel="2">
      <c r="A207" s="93" t="s">
        <v>93</v>
      </c>
      <c r="B207" s="93" t="s">
        <v>71</v>
      </c>
      <c r="D207" s="63" t="s">
        <v>196</v>
      </c>
      <c r="E207" s="93" t="s">
        <v>68</v>
      </c>
      <c r="F207" s="96">
        <v>1986</v>
      </c>
      <c r="G207" s="63">
        <f t="shared" si="14"/>
        <v>30.5</v>
      </c>
      <c r="H207" s="95">
        <v>1591550.75</v>
      </c>
      <c r="I207" s="97">
        <f t="shared" si="15"/>
        <v>48542297.875</v>
      </c>
    </row>
    <row r="208" spans="1:10" ht="45" hidden="1" outlineLevel="2">
      <c r="A208" s="93" t="s">
        <v>93</v>
      </c>
      <c r="B208" s="93" t="s">
        <v>71</v>
      </c>
      <c r="D208" s="63" t="s">
        <v>196</v>
      </c>
      <c r="E208" s="93" t="s">
        <v>68</v>
      </c>
      <c r="F208" s="96">
        <v>1987</v>
      </c>
      <c r="G208" s="63">
        <f t="shared" si="14"/>
        <v>29.5</v>
      </c>
      <c r="H208" s="95">
        <v>43878.53</v>
      </c>
      <c r="I208" s="97">
        <f t="shared" si="15"/>
        <v>1294416.635</v>
      </c>
    </row>
    <row r="209" spans="1:9" ht="45" hidden="1" outlineLevel="2">
      <c r="A209" s="93" t="s">
        <v>93</v>
      </c>
      <c r="B209" s="93" t="s">
        <v>71</v>
      </c>
      <c r="D209" s="63" t="s">
        <v>196</v>
      </c>
      <c r="E209" s="93" t="s">
        <v>68</v>
      </c>
      <c r="F209" s="96">
        <v>1991</v>
      </c>
      <c r="G209" s="63">
        <f t="shared" si="14"/>
        <v>25.5</v>
      </c>
      <c r="H209" s="95">
        <v>61110.25</v>
      </c>
      <c r="I209" s="97">
        <f t="shared" si="15"/>
        <v>1558311.375</v>
      </c>
    </row>
    <row r="210" spans="1:9" ht="45" hidden="1" outlineLevel="2">
      <c r="A210" s="93" t="s">
        <v>93</v>
      </c>
      <c r="B210" s="93" t="s">
        <v>71</v>
      </c>
      <c r="D210" s="63" t="s">
        <v>196</v>
      </c>
      <c r="E210" s="93" t="s">
        <v>68</v>
      </c>
      <c r="F210" s="96">
        <v>1993</v>
      </c>
      <c r="G210" s="63">
        <f t="shared" si="14"/>
        <v>23.5</v>
      </c>
      <c r="H210" s="95">
        <v>300530.81</v>
      </c>
      <c r="I210" s="97">
        <f t="shared" si="15"/>
        <v>7062474.0350000001</v>
      </c>
    </row>
    <row r="211" spans="1:9" ht="45" hidden="1" outlineLevel="2">
      <c r="A211" s="93" t="s">
        <v>93</v>
      </c>
      <c r="B211" s="93" t="s">
        <v>71</v>
      </c>
      <c r="D211" s="63" t="s">
        <v>196</v>
      </c>
      <c r="E211" s="93" t="s">
        <v>68</v>
      </c>
      <c r="F211" s="96">
        <v>1995</v>
      </c>
      <c r="G211" s="63">
        <f t="shared" si="14"/>
        <v>21.5</v>
      </c>
      <c r="H211" s="95">
        <v>9083.83</v>
      </c>
      <c r="I211" s="97">
        <f t="shared" si="15"/>
        <v>195302.345</v>
      </c>
    </row>
    <row r="212" spans="1:9" ht="45" hidden="1" outlineLevel="2">
      <c r="A212" s="93" t="s">
        <v>93</v>
      </c>
      <c r="B212" s="93" t="s">
        <v>71</v>
      </c>
      <c r="D212" s="63" t="s">
        <v>196</v>
      </c>
      <c r="E212" s="93" t="s">
        <v>68</v>
      </c>
      <c r="F212" s="96">
        <v>2000</v>
      </c>
      <c r="G212" s="63">
        <f t="shared" si="14"/>
        <v>16.5</v>
      </c>
      <c r="H212" s="95">
        <v>32584.31</v>
      </c>
      <c r="I212" s="97">
        <f t="shared" si="15"/>
        <v>537641.11499999999</v>
      </c>
    </row>
    <row r="213" spans="1:9" ht="45" hidden="1" outlineLevel="2">
      <c r="A213" s="93" t="s">
        <v>93</v>
      </c>
      <c r="B213" s="93" t="s">
        <v>71</v>
      </c>
      <c r="D213" s="63" t="s">
        <v>196</v>
      </c>
      <c r="E213" s="93" t="s">
        <v>68</v>
      </c>
      <c r="F213" s="96">
        <v>2001</v>
      </c>
      <c r="G213" s="63">
        <f t="shared" si="14"/>
        <v>15.5</v>
      </c>
      <c r="H213" s="95">
        <v>29329.040000000001</v>
      </c>
      <c r="I213" s="97">
        <f t="shared" si="15"/>
        <v>454600.12</v>
      </c>
    </row>
    <row r="214" spans="1:9" ht="45" hidden="1" outlineLevel="2">
      <c r="A214" s="93" t="s">
        <v>93</v>
      </c>
      <c r="B214" s="93" t="s">
        <v>71</v>
      </c>
      <c r="D214" s="63" t="s">
        <v>196</v>
      </c>
      <c r="E214" s="93" t="s">
        <v>68</v>
      </c>
      <c r="F214" s="96">
        <v>2002</v>
      </c>
      <c r="G214" s="63">
        <f t="shared" si="14"/>
        <v>14.5</v>
      </c>
      <c r="H214" s="95">
        <v>524486.73</v>
      </c>
      <c r="I214" s="97">
        <f t="shared" si="15"/>
        <v>7605057.585</v>
      </c>
    </row>
    <row r="215" spans="1:9" ht="45" hidden="1" outlineLevel="2">
      <c r="A215" s="93" t="s">
        <v>93</v>
      </c>
      <c r="B215" s="93" t="s">
        <v>71</v>
      </c>
      <c r="D215" s="63" t="s">
        <v>196</v>
      </c>
      <c r="E215" s="93" t="s">
        <v>68</v>
      </c>
      <c r="F215" s="96">
        <v>2003</v>
      </c>
      <c r="G215" s="63">
        <f t="shared" si="14"/>
        <v>13.5</v>
      </c>
      <c r="H215" s="95">
        <v>94034.16</v>
      </c>
      <c r="I215" s="97">
        <f t="shared" si="15"/>
        <v>1269461.1600000001</v>
      </c>
    </row>
    <row r="216" spans="1:9" ht="45" hidden="1" outlineLevel="2">
      <c r="A216" s="93" t="s">
        <v>93</v>
      </c>
      <c r="B216" s="93" t="s">
        <v>71</v>
      </c>
      <c r="D216" s="63" t="s">
        <v>196</v>
      </c>
      <c r="E216" s="93" t="s">
        <v>68</v>
      </c>
      <c r="F216" s="96">
        <v>2004</v>
      </c>
      <c r="G216" s="63">
        <f t="shared" si="14"/>
        <v>12.5</v>
      </c>
      <c r="H216" s="95">
        <v>2132642.19</v>
      </c>
      <c r="I216" s="97">
        <f t="shared" si="15"/>
        <v>26658027.375</v>
      </c>
    </row>
    <row r="217" spans="1:9" ht="45" hidden="1" outlineLevel="2">
      <c r="A217" s="93" t="s">
        <v>93</v>
      </c>
      <c r="B217" s="93" t="s">
        <v>71</v>
      </c>
      <c r="D217" s="63" t="s">
        <v>196</v>
      </c>
      <c r="E217" s="93" t="s">
        <v>68</v>
      </c>
      <c r="F217" s="96">
        <v>2005</v>
      </c>
      <c r="G217" s="63">
        <f t="shared" si="14"/>
        <v>11.5</v>
      </c>
      <c r="H217" s="95">
        <v>203793.68</v>
      </c>
      <c r="I217" s="97">
        <f t="shared" si="15"/>
        <v>2343627.3199999998</v>
      </c>
    </row>
    <row r="218" spans="1:9" ht="45" hidden="1" outlineLevel="2">
      <c r="A218" s="93" t="s">
        <v>93</v>
      </c>
      <c r="B218" s="93" t="s">
        <v>71</v>
      </c>
      <c r="D218" s="63" t="s">
        <v>196</v>
      </c>
      <c r="E218" s="93" t="s">
        <v>68</v>
      </c>
      <c r="F218" s="96">
        <v>2006</v>
      </c>
      <c r="G218" s="63">
        <f t="shared" si="14"/>
        <v>10.5</v>
      </c>
      <c r="H218" s="95">
        <v>6033927.7400000002</v>
      </c>
      <c r="I218" s="97">
        <f t="shared" si="15"/>
        <v>63356241.270000003</v>
      </c>
    </row>
    <row r="219" spans="1:9" ht="45" hidden="1" outlineLevel="2">
      <c r="A219" s="93" t="s">
        <v>93</v>
      </c>
      <c r="B219" s="93" t="s">
        <v>71</v>
      </c>
      <c r="D219" s="63" t="s">
        <v>196</v>
      </c>
      <c r="E219" s="93" t="s">
        <v>68</v>
      </c>
      <c r="F219" s="96">
        <v>2008</v>
      </c>
      <c r="G219" s="63">
        <f t="shared" si="14"/>
        <v>8.5</v>
      </c>
      <c r="H219" s="95">
        <v>431029.31</v>
      </c>
      <c r="I219" s="97">
        <f t="shared" si="15"/>
        <v>3663749.1349999998</v>
      </c>
    </row>
    <row r="220" spans="1:9" ht="45" hidden="1" outlineLevel="2">
      <c r="A220" s="93" t="s">
        <v>93</v>
      </c>
      <c r="B220" s="93" t="s">
        <v>71</v>
      </c>
      <c r="D220" s="63" t="s">
        <v>196</v>
      </c>
      <c r="E220" s="93" t="s">
        <v>68</v>
      </c>
      <c r="F220" s="96">
        <v>2010</v>
      </c>
      <c r="G220" s="63">
        <f t="shared" si="14"/>
        <v>6.5</v>
      </c>
      <c r="H220" s="95">
        <v>897713.71</v>
      </c>
      <c r="I220" s="97">
        <f t="shared" si="15"/>
        <v>5835139.1150000002</v>
      </c>
    </row>
    <row r="221" spans="1:9" ht="45" hidden="1" outlineLevel="2">
      <c r="A221" s="93" t="s">
        <v>93</v>
      </c>
      <c r="B221" s="93" t="s">
        <v>71</v>
      </c>
      <c r="D221" s="63" t="s">
        <v>196</v>
      </c>
      <c r="E221" s="93" t="s">
        <v>68</v>
      </c>
      <c r="F221" s="96">
        <v>2011</v>
      </c>
      <c r="G221" s="63">
        <f t="shared" si="14"/>
        <v>5.5</v>
      </c>
      <c r="H221" s="95">
        <v>134801.71</v>
      </c>
      <c r="I221" s="97">
        <f t="shared" si="15"/>
        <v>741409.40499999991</v>
      </c>
    </row>
    <row r="222" spans="1:9" ht="45" hidden="1" outlineLevel="2">
      <c r="A222" s="93" t="s">
        <v>93</v>
      </c>
      <c r="B222" s="93" t="s">
        <v>71</v>
      </c>
      <c r="D222" s="63" t="s">
        <v>196</v>
      </c>
      <c r="E222" s="93" t="s">
        <v>68</v>
      </c>
      <c r="F222" s="96">
        <v>2012</v>
      </c>
      <c r="G222" s="63">
        <f t="shared" si="14"/>
        <v>4.5</v>
      </c>
      <c r="H222" s="95">
        <v>28047503.530000001</v>
      </c>
      <c r="I222" s="97">
        <f t="shared" si="15"/>
        <v>126213765.88500001</v>
      </c>
    </row>
    <row r="223" spans="1:9" ht="45" hidden="1" outlineLevel="2">
      <c r="A223" s="93" t="s">
        <v>93</v>
      </c>
      <c r="B223" s="93" t="s">
        <v>71</v>
      </c>
      <c r="D223" s="63" t="s">
        <v>196</v>
      </c>
      <c r="E223" s="93" t="s">
        <v>68</v>
      </c>
      <c r="F223" s="96">
        <v>2013</v>
      </c>
      <c r="G223" s="63">
        <f t="shared" si="14"/>
        <v>3.5</v>
      </c>
      <c r="H223" s="95">
        <v>283719.69</v>
      </c>
      <c r="I223" s="97">
        <f t="shared" si="15"/>
        <v>993018.91500000004</v>
      </c>
    </row>
    <row r="224" spans="1:9" ht="45" hidden="1" outlineLevel="2">
      <c r="A224" s="93" t="s">
        <v>93</v>
      </c>
      <c r="B224" s="93" t="s">
        <v>71</v>
      </c>
      <c r="D224" s="63" t="s">
        <v>196</v>
      </c>
      <c r="E224" s="93" t="s">
        <v>68</v>
      </c>
      <c r="F224" s="96">
        <v>2014</v>
      </c>
      <c r="G224" s="63">
        <f t="shared" si="14"/>
        <v>2.5</v>
      </c>
      <c r="H224" s="95">
        <v>68834.759999999995</v>
      </c>
      <c r="I224" s="97">
        <f t="shared" si="15"/>
        <v>172086.9</v>
      </c>
    </row>
    <row r="225" spans="1:10" ht="45" hidden="1" outlineLevel="2">
      <c r="A225" s="93" t="s">
        <v>93</v>
      </c>
      <c r="B225" s="93" t="s">
        <v>71</v>
      </c>
      <c r="D225" s="63" t="s">
        <v>196</v>
      </c>
      <c r="E225" s="93" t="s">
        <v>68</v>
      </c>
      <c r="F225" s="96">
        <v>2015</v>
      </c>
      <c r="G225" s="63">
        <f t="shared" si="14"/>
        <v>1.5</v>
      </c>
      <c r="H225" s="95">
        <v>21380.19</v>
      </c>
      <c r="I225" s="97">
        <f t="shared" si="15"/>
        <v>32070.284999999996</v>
      </c>
    </row>
    <row r="226" spans="1:10" ht="45" hidden="1" outlineLevel="2">
      <c r="A226" s="93" t="s">
        <v>93</v>
      </c>
      <c r="B226" s="93" t="s">
        <v>71</v>
      </c>
      <c r="D226" s="63" t="s">
        <v>196</v>
      </c>
      <c r="E226" s="93" t="s">
        <v>68</v>
      </c>
      <c r="F226" s="96">
        <v>2016</v>
      </c>
      <c r="G226" s="63">
        <f t="shared" si="14"/>
        <v>0.5</v>
      </c>
      <c r="H226" s="95">
        <v>1759724.97</v>
      </c>
      <c r="I226" s="97">
        <f t="shared" si="15"/>
        <v>879862.48499999999</v>
      </c>
    </row>
    <row r="227" spans="1:10" s="63" customFormat="1" ht="30" outlineLevel="1" collapsed="1">
      <c r="A227" s="26" t="str">
        <f>+A226</f>
        <v>Crist</v>
      </c>
      <c r="B227" s="94"/>
      <c r="C227" s="26"/>
      <c r="D227" s="26" t="str">
        <f>+D226</f>
        <v>Crist 6</v>
      </c>
      <c r="E227" s="94" t="s">
        <v>203</v>
      </c>
      <c r="F227" s="96"/>
      <c r="H227" s="95">
        <f>SUBTOTAL(9,H201:H226)</f>
        <v>47744495.219999991</v>
      </c>
      <c r="I227" s="97">
        <f>SUBTOTAL(9,I201:I226)</f>
        <v>528233905.78000009</v>
      </c>
      <c r="J227" s="64">
        <f>+I227/H227</f>
        <v>11.063765641378588</v>
      </c>
    </row>
    <row r="228" spans="1:10" ht="45" hidden="1" outlineLevel="2">
      <c r="A228" s="93" t="s">
        <v>93</v>
      </c>
      <c r="B228" s="93" t="s">
        <v>71</v>
      </c>
      <c r="D228" s="63" t="s">
        <v>196</v>
      </c>
      <c r="E228" s="93" t="s">
        <v>69</v>
      </c>
      <c r="F228" s="96">
        <v>1971</v>
      </c>
      <c r="G228" s="63">
        <f t="shared" ref="G228:G255" si="16">2016.5-F228</f>
        <v>45.5</v>
      </c>
      <c r="H228" s="95">
        <v>130572.55</v>
      </c>
      <c r="I228" s="97">
        <f t="shared" ref="I228:I255" si="17">+G228*H228</f>
        <v>5941051.0250000004</v>
      </c>
    </row>
    <row r="229" spans="1:10" ht="45" hidden="1" outlineLevel="2">
      <c r="A229" s="93" t="s">
        <v>93</v>
      </c>
      <c r="B229" s="93" t="s">
        <v>71</v>
      </c>
      <c r="D229" s="63" t="s">
        <v>196</v>
      </c>
      <c r="E229" s="93" t="s">
        <v>69</v>
      </c>
      <c r="F229" s="96">
        <v>1972</v>
      </c>
      <c r="G229" s="63">
        <f t="shared" si="16"/>
        <v>44.5</v>
      </c>
      <c r="H229" s="95">
        <v>22736.98</v>
      </c>
      <c r="I229" s="97">
        <f t="shared" si="17"/>
        <v>1011795.61</v>
      </c>
    </row>
    <row r="230" spans="1:10" ht="45" hidden="1" outlineLevel="2">
      <c r="A230" s="93" t="s">
        <v>93</v>
      </c>
      <c r="B230" s="93" t="s">
        <v>71</v>
      </c>
      <c r="D230" s="63" t="s">
        <v>196</v>
      </c>
      <c r="E230" s="93" t="s">
        <v>69</v>
      </c>
      <c r="F230" s="96">
        <v>1974</v>
      </c>
      <c r="G230" s="63">
        <f t="shared" si="16"/>
        <v>42.5</v>
      </c>
      <c r="H230" s="95">
        <v>819.8</v>
      </c>
      <c r="I230" s="97">
        <f t="shared" si="17"/>
        <v>34841.5</v>
      </c>
    </row>
    <row r="231" spans="1:10" ht="45" hidden="1" outlineLevel="2">
      <c r="A231" s="93" t="s">
        <v>93</v>
      </c>
      <c r="B231" s="93" t="s">
        <v>71</v>
      </c>
      <c r="D231" s="63" t="s">
        <v>196</v>
      </c>
      <c r="E231" s="93" t="s">
        <v>69</v>
      </c>
      <c r="F231" s="96">
        <v>1975</v>
      </c>
      <c r="G231" s="63">
        <f t="shared" si="16"/>
        <v>41.5</v>
      </c>
      <c r="H231" s="95">
        <v>796.19</v>
      </c>
      <c r="I231" s="97">
        <f t="shared" si="17"/>
        <v>33041.885000000002</v>
      </c>
    </row>
    <row r="232" spans="1:10" ht="45" hidden="1" outlineLevel="2">
      <c r="A232" s="93" t="s">
        <v>93</v>
      </c>
      <c r="B232" s="93" t="s">
        <v>71</v>
      </c>
      <c r="D232" s="63" t="s">
        <v>196</v>
      </c>
      <c r="E232" s="93" t="s">
        <v>69</v>
      </c>
      <c r="F232" s="96">
        <v>1977</v>
      </c>
      <c r="G232" s="63">
        <f t="shared" si="16"/>
        <v>39.5</v>
      </c>
      <c r="H232" s="95">
        <v>170588.11</v>
      </c>
      <c r="I232" s="97">
        <f t="shared" si="17"/>
        <v>6738230.3449999997</v>
      </c>
    </row>
    <row r="233" spans="1:10" ht="45" hidden="1" outlineLevel="2">
      <c r="A233" s="93" t="s">
        <v>93</v>
      </c>
      <c r="B233" s="93" t="s">
        <v>71</v>
      </c>
      <c r="D233" s="63" t="s">
        <v>196</v>
      </c>
      <c r="E233" s="93" t="s">
        <v>69</v>
      </c>
      <c r="F233" s="96">
        <v>1979</v>
      </c>
      <c r="G233" s="63">
        <f t="shared" si="16"/>
        <v>37.5</v>
      </c>
      <c r="H233" s="95">
        <v>136.81</v>
      </c>
      <c r="I233" s="97">
        <f t="shared" si="17"/>
        <v>5130.375</v>
      </c>
    </row>
    <row r="234" spans="1:10" ht="45" hidden="1" outlineLevel="2">
      <c r="A234" s="93" t="s">
        <v>93</v>
      </c>
      <c r="B234" s="93" t="s">
        <v>71</v>
      </c>
      <c r="D234" s="63" t="s">
        <v>196</v>
      </c>
      <c r="E234" s="93" t="s">
        <v>69</v>
      </c>
      <c r="F234" s="96">
        <v>1980</v>
      </c>
      <c r="G234" s="63">
        <f t="shared" si="16"/>
        <v>36.5</v>
      </c>
      <c r="H234" s="95">
        <v>161135.15</v>
      </c>
      <c r="I234" s="97">
        <f t="shared" si="17"/>
        <v>5881432.9749999996</v>
      </c>
    </row>
    <row r="235" spans="1:10" ht="45" hidden="1" outlineLevel="2">
      <c r="A235" s="93" t="s">
        <v>93</v>
      </c>
      <c r="B235" s="93" t="s">
        <v>71</v>
      </c>
      <c r="D235" s="63" t="s">
        <v>196</v>
      </c>
      <c r="E235" s="93" t="s">
        <v>69</v>
      </c>
      <c r="F235" s="96">
        <v>1981</v>
      </c>
      <c r="G235" s="63">
        <f t="shared" si="16"/>
        <v>35.5</v>
      </c>
      <c r="H235" s="95">
        <v>1592.54</v>
      </c>
      <c r="I235" s="97">
        <f t="shared" si="17"/>
        <v>56535.17</v>
      </c>
    </row>
    <row r="236" spans="1:10" ht="45" hidden="1" outlineLevel="2">
      <c r="A236" s="93" t="s">
        <v>93</v>
      </c>
      <c r="B236" s="93" t="s">
        <v>71</v>
      </c>
      <c r="D236" s="63" t="s">
        <v>196</v>
      </c>
      <c r="E236" s="93" t="s">
        <v>69</v>
      </c>
      <c r="F236" s="96">
        <v>1982</v>
      </c>
      <c r="G236" s="63">
        <f t="shared" si="16"/>
        <v>34.5</v>
      </c>
      <c r="H236" s="95">
        <v>33932.199999999997</v>
      </c>
      <c r="I236" s="97">
        <f t="shared" si="17"/>
        <v>1170660.8999999999</v>
      </c>
    </row>
    <row r="237" spans="1:10" ht="45" hidden="1" outlineLevel="2">
      <c r="A237" s="93" t="s">
        <v>93</v>
      </c>
      <c r="B237" s="93" t="s">
        <v>71</v>
      </c>
      <c r="D237" s="63" t="s">
        <v>196</v>
      </c>
      <c r="E237" s="93" t="s">
        <v>69</v>
      </c>
      <c r="F237" s="96">
        <v>1983</v>
      </c>
      <c r="G237" s="63">
        <f t="shared" si="16"/>
        <v>33.5</v>
      </c>
      <c r="H237" s="95">
        <v>78253.039999999994</v>
      </c>
      <c r="I237" s="97">
        <f t="shared" si="17"/>
        <v>2621476.84</v>
      </c>
    </row>
    <row r="238" spans="1:10" ht="45" hidden="1" outlineLevel="2">
      <c r="A238" s="93" t="s">
        <v>93</v>
      </c>
      <c r="B238" s="93" t="s">
        <v>71</v>
      </c>
      <c r="D238" s="63" t="s">
        <v>196</v>
      </c>
      <c r="E238" s="93" t="s">
        <v>69</v>
      </c>
      <c r="F238" s="96">
        <v>1984</v>
      </c>
      <c r="G238" s="63">
        <f t="shared" si="16"/>
        <v>32.5</v>
      </c>
      <c r="H238" s="95">
        <v>67171.320000000007</v>
      </c>
      <c r="I238" s="97">
        <f t="shared" si="17"/>
        <v>2183067.9000000004</v>
      </c>
    </row>
    <row r="239" spans="1:10" ht="45" hidden="1" outlineLevel="2">
      <c r="A239" s="93" t="s">
        <v>93</v>
      </c>
      <c r="B239" s="93" t="s">
        <v>71</v>
      </c>
      <c r="D239" s="63" t="s">
        <v>196</v>
      </c>
      <c r="E239" s="93" t="s">
        <v>69</v>
      </c>
      <c r="F239" s="96">
        <v>1986</v>
      </c>
      <c r="G239" s="63">
        <f t="shared" si="16"/>
        <v>30.5</v>
      </c>
      <c r="H239" s="95">
        <v>9393.92</v>
      </c>
      <c r="I239" s="97">
        <f t="shared" si="17"/>
        <v>286514.56</v>
      </c>
    </row>
    <row r="240" spans="1:10" ht="45" hidden="1" outlineLevel="2">
      <c r="A240" s="93" t="s">
        <v>93</v>
      </c>
      <c r="B240" s="93" t="s">
        <v>71</v>
      </c>
      <c r="D240" s="63" t="s">
        <v>196</v>
      </c>
      <c r="E240" s="93" t="s">
        <v>69</v>
      </c>
      <c r="F240" s="96">
        <v>1988</v>
      </c>
      <c r="G240" s="63">
        <f t="shared" si="16"/>
        <v>28.5</v>
      </c>
      <c r="H240" s="95">
        <v>8608.7800000000007</v>
      </c>
      <c r="I240" s="97">
        <f t="shared" si="17"/>
        <v>245350.23</v>
      </c>
    </row>
    <row r="241" spans="1:10" ht="45" hidden="1" outlineLevel="2">
      <c r="A241" s="93" t="s">
        <v>93</v>
      </c>
      <c r="B241" s="93" t="s">
        <v>71</v>
      </c>
      <c r="D241" s="63" t="s">
        <v>196</v>
      </c>
      <c r="E241" s="93" t="s">
        <v>69</v>
      </c>
      <c r="F241" s="96">
        <v>1989</v>
      </c>
      <c r="G241" s="63">
        <f t="shared" si="16"/>
        <v>27.5</v>
      </c>
      <c r="H241" s="95">
        <v>259745.54</v>
      </c>
      <c r="I241" s="97">
        <f t="shared" si="17"/>
        <v>7143002.3500000006</v>
      </c>
    </row>
    <row r="242" spans="1:10" ht="45" hidden="1" outlineLevel="2">
      <c r="A242" s="93" t="s">
        <v>93</v>
      </c>
      <c r="B242" s="93" t="s">
        <v>71</v>
      </c>
      <c r="D242" s="63" t="s">
        <v>196</v>
      </c>
      <c r="E242" s="93" t="s">
        <v>69</v>
      </c>
      <c r="F242" s="96">
        <v>1990</v>
      </c>
      <c r="G242" s="63">
        <f t="shared" si="16"/>
        <v>26.5</v>
      </c>
      <c r="H242" s="95">
        <v>44948.12</v>
      </c>
      <c r="I242" s="97">
        <f t="shared" si="17"/>
        <v>1191125.1800000002</v>
      </c>
    </row>
    <row r="243" spans="1:10" ht="45" hidden="1" outlineLevel="2">
      <c r="A243" s="93" t="s">
        <v>93</v>
      </c>
      <c r="B243" s="93" t="s">
        <v>71</v>
      </c>
      <c r="D243" s="63" t="s">
        <v>196</v>
      </c>
      <c r="E243" s="93" t="s">
        <v>69</v>
      </c>
      <c r="F243" s="96">
        <v>1992</v>
      </c>
      <c r="G243" s="63">
        <f t="shared" si="16"/>
        <v>24.5</v>
      </c>
      <c r="H243" s="95">
        <v>25154</v>
      </c>
      <c r="I243" s="97">
        <f t="shared" si="17"/>
        <v>616273</v>
      </c>
    </row>
    <row r="244" spans="1:10" ht="45" hidden="1" outlineLevel="2">
      <c r="A244" s="93" t="s">
        <v>93</v>
      </c>
      <c r="B244" s="93" t="s">
        <v>71</v>
      </c>
      <c r="D244" s="63" t="s">
        <v>196</v>
      </c>
      <c r="E244" s="93" t="s">
        <v>69</v>
      </c>
      <c r="F244" s="96">
        <v>1994</v>
      </c>
      <c r="G244" s="63">
        <f t="shared" si="16"/>
        <v>22.5</v>
      </c>
      <c r="H244" s="95">
        <v>79568.56</v>
      </c>
      <c r="I244" s="97">
        <f t="shared" si="17"/>
        <v>1790292.5999999999</v>
      </c>
    </row>
    <row r="245" spans="1:10" ht="45" hidden="1" outlineLevel="2">
      <c r="A245" s="93" t="s">
        <v>93</v>
      </c>
      <c r="B245" s="93" t="s">
        <v>71</v>
      </c>
      <c r="D245" s="63" t="s">
        <v>196</v>
      </c>
      <c r="E245" s="93" t="s">
        <v>69</v>
      </c>
      <c r="F245" s="96">
        <v>1995</v>
      </c>
      <c r="G245" s="63">
        <f t="shared" si="16"/>
        <v>21.5</v>
      </c>
      <c r="H245" s="95">
        <v>5096.76</v>
      </c>
      <c r="I245" s="97">
        <f t="shared" si="17"/>
        <v>109580.34000000001</v>
      </c>
    </row>
    <row r="246" spans="1:10" ht="45" hidden="1" outlineLevel="2">
      <c r="A246" s="93" t="s">
        <v>93</v>
      </c>
      <c r="B246" s="93" t="s">
        <v>71</v>
      </c>
      <c r="D246" s="63" t="s">
        <v>196</v>
      </c>
      <c r="E246" s="93" t="s">
        <v>69</v>
      </c>
      <c r="F246" s="96">
        <v>2003</v>
      </c>
      <c r="G246" s="63">
        <f t="shared" si="16"/>
        <v>13.5</v>
      </c>
      <c r="H246" s="95">
        <v>7878.34</v>
      </c>
      <c r="I246" s="97">
        <f t="shared" si="17"/>
        <v>106357.59</v>
      </c>
    </row>
    <row r="247" spans="1:10" ht="45" hidden="1" outlineLevel="2">
      <c r="A247" s="93" t="s">
        <v>93</v>
      </c>
      <c r="B247" s="93" t="s">
        <v>71</v>
      </c>
      <c r="D247" s="63" t="s">
        <v>196</v>
      </c>
      <c r="E247" s="93" t="s">
        <v>69</v>
      </c>
      <c r="F247" s="96">
        <v>2004</v>
      </c>
      <c r="G247" s="63">
        <f t="shared" si="16"/>
        <v>12.5</v>
      </c>
      <c r="H247" s="95">
        <v>21924.25</v>
      </c>
      <c r="I247" s="97">
        <f t="shared" si="17"/>
        <v>274053.125</v>
      </c>
    </row>
    <row r="248" spans="1:10" ht="45" hidden="1" outlineLevel="2">
      <c r="A248" s="93" t="s">
        <v>93</v>
      </c>
      <c r="B248" s="93" t="s">
        <v>71</v>
      </c>
      <c r="D248" s="63" t="s">
        <v>196</v>
      </c>
      <c r="E248" s="93" t="s">
        <v>69</v>
      </c>
      <c r="F248" s="96">
        <v>2005</v>
      </c>
      <c r="G248" s="63">
        <f t="shared" si="16"/>
        <v>11.5</v>
      </c>
      <c r="H248" s="95">
        <v>331863.73</v>
      </c>
      <c r="I248" s="97">
        <f t="shared" si="17"/>
        <v>3816432.8949999996</v>
      </c>
    </row>
    <row r="249" spans="1:10" ht="45" hidden="1" outlineLevel="2">
      <c r="A249" s="93" t="s">
        <v>93</v>
      </c>
      <c r="B249" s="93" t="s">
        <v>71</v>
      </c>
      <c r="D249" s="63" t="s">
        <v>196</v>
      </c>
      <c r="E249" s="93" t="s">
        <v>69</v>
      </c>
      <c r="F249" s="96">
        <v>2009</v>
      </c>
      <c r="G249" s="63">
        <f t="shared" si="16"/>
        <v>7.5</v>
      </c>
      <c r="H249" s="95">
        <v>86214.69</v>
      </c>
      <c r="I249" s="97">
        <f t="shared" si="17"/>
        <v>646610.17500000005</v>
      </c>
    </row>
    <row r="250" spans="1:10" ht="45" hidden="1" outlineLevel="2">
      <c r="A250" s="93" t="s">
        <v>93</v>
      </c>
      <c r="B250" s="93" t="s">
        <v>71</v>
      </c>
      <c r="D250" s="63" t="s">
        <v>196</v>
      </c>
      <c r="E250" s="93" t="s">
        <v>69</v>
      </c>
      <c r="F250" s="96">
        <v>2010</v>
      </c>
      <c r="G250" s="63">
        <f t="shared" si="16"/>
        <v>6.5</v>
      </c>
      <c r="H250" s="95">
        <v>39518.83</v>
      </c>
      <c r="I250" s="97">
        <f t="shared" si="17"/>
        <v>256872.39500000002</v>
      </c>
    </row>
    <row r="251" spans="1:10" ht="45" hidden="1" outlineLevel="2">
      <c r="A251" s="93" t="s">
        <v>93</v>
      </c>
      <c r="B251" s="93" t="s">
        <v>71</v>
      </c>
      <c r="D251" s="63" t="s">
        <v>196</v>
      </c>
      <c r="E251" s="93" t="s">
        <v>69</v>
      </c>
      <c r="F251" s="96">
        <v>2011</v>
      </c>
      <c r="G251" s="63">
        <f t="shared" si="16"/>
        <v>5.5</v>
      </c>
      <c r="H251" s="95">
        <v>6657502.3899999997</v>
      </c>
      <c r="I251" s="97">
        <f t="shared" si="17"/>
        <v>36616263.144999996</v>
      </c>
    </row>
    <row r="252" spans="1:10" ht="45" hidden="1" outlineLevel="2">
      <c r="A252" s="93" t="s">
        <v>93</v>
      </c>
      <c r="B252" s="93" t="s">
        <v>71</v>
      </c>
      <c r="D252" s="63" t="s">
        <v>196</v>
      </c>
      <c r="E252" s="93" t="s">
        <v>69</v>
      </c>
      <c r="F252" s="96">
        <v>2012</v>
      </c>
      <c r="G252" s="63">
        <f t="shared" si="16"/>
        <v>4.5</v>
      </c>
      <c r="H252" s="95">
        <v>20431970.399999999</v>
      </c>
      <c r="I252" s="97">
        <f t="shared" si="17"/>
        <v>91943866.799999997</v>
      </c>
    </row>
    <row r="253" spans="1:10" ht="45" hidden="1" outlineLevel="2">
      <c r="A253" s="93" t="s">
        <v>93</v>
      </c>
      <c r="B253" s="93" t="s">
        <v>71</v>
      </c>
      <c r="D253" s="63" t="s">
        <v>196</v>
      </c>
      <c r="E253" s="93" t="s">
        <v>69</v>
      </c>
      <c r="F253" s="96">
        <v>2014</v>
      </c>
      <c r="G253" s="63">
        <f t="shared" si="16"/>
        <v>2.5</v>
      </c>
      <c r="H253" s="95">
        <v>295852.28000000003</v>
      </c>
      <c r="I253" s="97">
        <f t="shared" si="17"/>
        <v>739630.70000000007</v>
      </c>
    </row>
    <row r="254" spans="1:10" ht="45" hidden="1" outlineLevel="2">
      <c r="A254" s="93" t="s">
        <v>93</v>
      </c>
      <c r="B254" s="93" t="s">
        <v>71</v>
      </c>
      <c r="D254" s="63" t="s">
        <v>196</v>
      </c>
      <c r="E254" s="93" t="s">
        <v>69</v>
      </c>
      <c r="F254" s="96">
        <v>2015</v>
      </c>
      <c r="G254" s="63">
        <f t="shared" si="16"/>
        <v>1.5</v>
      </c>
      <c r="H254" s="95">
        <v>5074669.17</v>
      </c>
      <c r="I254" s="97">
        <f t="shared" si="17"/>
        <v>7612003.7549999999</v>
      </c>
    </row>
    <row r="255" spans="1:10" ht="45" hidden="1" outlineLevel="2">
      <c r="A255" s="93" t="s">
        <v>93</v>
      </c>
      <c r="B255" s="93" t="s">
        <v>71</v>
      </c>
      <c r="D255" s="63" t="s">
        <v>196</v>
      </c>
      <c r="E255" s="93" t="s">
        <v>69</v>
      </c>
      <c r="F255" s="96">
        <v>2016</v>
      </c>
      <c r="G255" s="63">
        <f t="shared" si="16"/>
        <v>0.5</v>
      </c>
      <c r="H255" s="95">
        <v>120801.21</v>
      </c>
      <c r="I255" s="97">
        <f t="shared" si="17"/>
        <v>60400.605000000003</v>
      </c>
    </row>
    <row r="256" spans="1:10" s="63" customFormat="1" ht="30" outlineLevel="1" collapsed="1">
      <c r="A256" s="26" t="str">
        <f>+A255</f>
        <v>Crist</v>
      </c>
      <c r="B256" s="94"/>
      <c r="C256" s="26"/>
      <c r="D256" s="26" t="str">
        <f>+D255</f>
        <v>Crist 6</v>
      </c>
      <c r="E256" s="94" t="s">
        <v>204</v>
      </c>
      <c r="F256" s="96"/>
      <c r="H256" s="95">
        <f>SUBTOTAL(9,H228:H255)</f>
        <v>34168445.660000004</v>
      </c>
      <c r="I256" s="97">
        <f>SUBTOTAL(9,I228:I255)</f>
        <v>179131893.97</v>
      </c>
      <c r="J256" s="64">
        <f>+I256/H256</f>
        <v>5.2426117287420082</v>
      </c>
    </row>
    <row r="257" spans="1:9" ht="45" hidden="1" outlineLevel="2">
      <c r="A257" s="93" t="s">
        <v>93</v>
      </c>
      <c r="B257" s="93" t="s">
        <v>73</v>
      </c>
      <c r="D257" t="s">
        <v>195</v>
      </c>
      <c r="E257" s="93" t="s">
        <v>67</v>
      </c>
      <c r="F257" s="96">
        <v>1973</v>
      </c>
      <c r="G257" s="63">
        <f t="shared" ref="G257:G297" si="18">2016.5-F257</f>
        <v>43.5</v>
      </c>
      <c r="H257" s="95">
        <v>10696232.73</v>
      </c>
      <c r="I257" s="97">
        <f t="shared" ref="I257:I297" si="19">+G257*H257</f>
        <v>465286123.755</v>
      </c>
    </row>
    <row r="258" spans="1:9" ht="45" hidden="1" outlineLevel="2">
      <c r="A258" s="93" t="s">
        <v>93</v>
      </c>
      <c r="B258" s="93" t="s">
        <v>73</v>
      </c>
      <c r="D258" s="63" t="s">
        <v>195</v>
      </c>
      <c r="E258" s="93" t="s">
        <v>67</v>
      </c>
      <c r="F258" s="96">
        <v>1974</v>
      </c>
      <c r="G258" s="63">
        <f t="shared" si="18"/>
        <v>42.5</v>
      </c>
      <c r="H258" s="95">
        <v>650183.61</v>
      </c>
      <c r="I258" s="97">
        <f t="shared" si="19"/>
        <v>27632803.425000001</v>
      </c>
    </row>
    <row r="259" spans="1:9" ht="45" hidden="1" outlineLevel="2">
      <c r="A259" s="93" t="s">
        <v>93</v>
      </c>
      <c r="B259" s="93" t="s">
        <v>73</v>
      </c>
      <c r="D259" s="63" t="s">
        <v>195</v>
      </c>
      <c r="E259" s="93" t="s">
        <v>67</v>
      </c>
      <c r="F259" s="96">
        <v>1975</v>
      </c>
      <c r="G259" s="63">
        <f t="shared" si="18"/>
        <v>41.5</v>
      </c>
      <c r="H259" s="95">
        <v>10666.53</v>
      </c>
      <c r="I259" s="97">
        <f t="shared" si="19"/>
        <v>442660.99500000005</v>
      </c>
    </row>
    <row r="260" spans="1:9" ht="45" hidden="1" outlineLevel="2">
      <c r="A260" s="93" t="s">
        <v>93</v>
      </c>
      <c r="B260" s="93" t="s">
        <v>73</v>
      </c>
      <c r="D260" s="63" t="s">
        <v>195</v>
      </c>
      <c r="E260" s="93" t="s">
        <v>67</v>
      </c>
      <c r="F260" s="96">
        <v>1976</v>
      </c>
      <c r="G260" s="63">
        <f t="shared" si="18"/>
        <v>40.5</v>
      </c>
      <c r="H260" s="95">
        <v>18601.150000000001</v>
      </c>
      <c r="I260" s="97">
        <f t="shared" si="19"/>
        <v>753346.57500000007</v>
      </c>
    </row>
    <row r="261" spans="1:9" ht="45" hidden="1" outlineLevel="2">
      <c r="A261" s="93" t="s">
        <v>93</v>
      </c>
      <c r="B261" s="93" t="s">
        <v>73</v>
      </c>
      <c r="D261" s="63" t="s">
        <v>195</v>
      </c>
      <c r="E261" s="93" t="s">
        <v>67</v>
      </c>
      <c r="F261" s="96">
        <v>1977</v>
      </c>
      <c r="G261" s="63">
        <f t="shared" si="18"/>
        <v>39.5</v>
      </c>
      <c r="H261" s="95">
        <v>346153.29</v>
      </c>
      <c r="I261" s="97">
        <f t="shared" si="19"/>
        <v>13673054.955</v>
      </c>
    </row>
    <row r="262" spans="1:9" ht="45" hidden="1" outlineLevel="2">
      <c r="A262" s="93" t="s">
        <v>93</v>
      </c>
      <c r="B262" s="93" t="s">
        <v>73</v>
      </c>
      <c r="D262" s="63" t="s">
        <v>195</v>
      </c>
      <c r="E262" s="93" t="s">
        <v>67</v>
      </c>
      <c r="F262" s="96">
        <v>1978</v>
      </c>
      <c r="G262" s="63">
        <f t="shared" si="18"/>
        <v>38.5</v>
      </c>
      <c r="H262" s="95">
        <v>0.01</v>
      </c>
      <c r="I262" s="97">
        <f t="shared" si="19"/>
        <v>0.38500000000000001</v>
      </c>
    </row>
    <row r="263" spans="1:9" ht="45" hidden="1" outlineLevel="2">
      <c r="A263" s="93" t="s">
        <v>93</v>
      </c>
      <c r="B263" s="93" t="s">
        <v>73</v>
      </c>
      <c r="D263" s="63" t="s">
        <v>195</v>
      </c>
      <c r="E263" s="93" t="s">
        <v>67</v>
      </c>
      <c r="F263" s="96">
        <v>1979</v>
      </c>
      <c r="G263" s="63">
        <f t="shared" si="18"/>
        <v>37.5</v>
      </c>
      <c r="H263" s="95">
        <v>4021.44</v>
      </c>
      <c r="I263" s="97">
        <f t="shared" si="19"/>
        <v>150804</v>
      </c>
    </row>
    <row r="264" spans="1:9" ht="45" hidden="1" outlineLevel="2">
      <c r="A264" s="93" t="s">
        <v>93</v>
      </c>
      <c r="B264" s="93" t="s">
        <v>73</v>
      </c>
      <c r="D264" s="63" t="s">
        <v>195</v>
      </c>
      <c r="E264" s="93" t="s">
        <v>67</v>
      </c>
      <c r="F264" s="96">
        <v>1980</v>
      </c>
      <c r="G264" s="63">
        <f t="shared" si="18"/>
        <v>36.5</v>
      </c>
      <c r="H264" s="95">
        <v>4934.03</v>
      </c>
      <c r="I264" s="97">
        <f t="shared" si="19"/>
        <v>180092.095</v>
      </c>
    </row>
    <row r="265" spans="1:9" ht="45" hidden="1" outlineLevel="2">
      <c r="A265" s="93" t="s">
        <v>93</v>
      </c>
      <c r="B265" s="93" t="s">
        <v>73</v>
      </c>
      <c r="D265" s="63" t="s">
        <v>195</v>
      </c>
      <c r="E265" s="93" t="s">
        <v>67</v>
      </c>
      <c r="F265" s="96">
        <v>1981</v>
      </c>
      <c r="G265" s="63">
        <f t="shared" si="18"/>
        <v>35.5</v>
      </c>
      <c r="H265" s="95">
        <v>1745775</v>
      </c>
      <c r="I265" s="97">
        <f t="shared" si="19"/>
        <v>61975012.5</v>
      </c>
    </row>
    <row r="266" spans="1:9" ht="45" hidden="1" outlineLevel="2">
      <c r="A266" s="93" t="s">
        <v>93</v>
      </c>
      <c r="B266" s="93" t="s">
        <v>73</v>
      </c>
      <c r="D266" s="63" t="s">
        <v>195</v>
      </c>
      <c r="E266" s="93" t="s">
        <v>67</v>
      </c>
      <c r="F266" s="96">
        <v>1982</v>
      </c>
      <c r="G266" s="63">
        <f t="shared" si="18"/>
        <v>34.5</v>
      </c>
      <c r="H266" s="95">
        <v>19620.12</v>
      </c>
      <c r="I266" s="97">
        <f t="shared" si="19"/>
        <v>676894.14</v>
      </c>
    </row>
    <row r="267" spans="1:9" ht="45" hidden="1" outlineLevel="2">
      <c r="A267" s="93" t="s">
        <v>93</v>
      </c>
      <c r="B267" s="93" t="s">
        <v>73</v>
      </c>
      <c r="D267" s="63" t="s">
        <v>195</v>
      </c>
      <c r="E267" s="93" t="s">
        <v>67</v>
      </c>
      <c r="F267" s="96">
        <v>1983</v>
      </c>
      <c r="G267" s="63">
        <f t="shared" si="18"/>
        <v>33.5</v>
      </c>
      <c r="H267" s="95">
        <v>129428.78</v>
      </c>
      <c r="I267" s="97">
        <f t="shared" si="19"/>
        <v>4335864.13</v>
      </c>
    </row>
    <row r="268" spans="1:9" ht="45" hidden="1" outlineLevel="2">
      <c r="A268" s="93" t="s">
        <v>93</v>
      </c>
      <c r="B268" s="93" t="s">
        <v>73</v>
      </c>
      <c r="D268" s="63" t="s">
        <v>195</v>
      </c>
      <c r="E268" s="93" t="s">
        <v>67</v>
      </c>
      <c r="F268" s="96">
        <v>1984</v>
      </c>
      <c r="G268" s="63">
        <f t="shared" si="18"/>
        <v>32.5</v>
      </c>
      <c r="H268" s="95">
        <v>884744.35</v>
      </c>
      <c r="I268" s="97">
        <f t="shared" si="19"/>
        <v>28754191.375</v>
      </c>
    </row>
    <row r="269" spans="1:9" ht="45" hidden="1" outlineLevel="2">
      <c r="A269" s="93" t="s">
        <v>93</v>
      </c>
      <c r="B269" s="93" t="s">
        <v>73</v>
      </c>
      <c r="D269" s="63" t="s">
        <v>195</v>
      </c>
      <c r="E269" s="93" t="s">
        <v>67</v>
      </c>
      <c r="F269" s="96">
        <v>1985</v>
      </c>
      <c r="G269" s="63">
        <f t="shared" si="18"/>
        <v>31.5</v>
      </c>
      <c r="H269" s="95">
        <v>1599764.41</v>
      </c>
      <c r="I269" s="97">
        <f t="shared" si="19"/>
        <v>50392578.914999999</v>
      </c>
    </row>
    <row r="270" spans="1:9" ht="45" hidden="1" outlineLevel="2">
      <c r="A270" s="93" t="s">
        <v>93</v>
      </c>
      <c r="B270" s="93" t="s">
        <v>73</v>
      </c>
      <c r="D270" s="63" t="s">
        <v>195</v>
      </c>
      <c r="E270" s="93" t="s">
        <v>67</v>
      </c>
      <c r="F270" s="96">
        <v>1986</v>
      </c>
      <c r="G270" s="63">
        <f t="shared" si="18"/>
        <v>30.5</v>
      </c>
      <c r="H270" s="95">
        <v>74787.320000000007</v>
      </c>
      <c r="I270" s="97">
        <f t="shared" si="19"/>
        <v>2281013.2600000002</v>
      </c>
    </row>
    <row r="271" spans="1:9" ht="45" hidden="1" outlineLevel="2">
      <c r="A271" s="93" t="s">
        <v>93</v>
      </c>
      <c r="B271" s="93" t="s">
        <v>73</v>
      </c>
      <c r="D271" s="63" t="s">
        <v>195</v>
      </c>
      <c r="E271" s="93" t="s">
        <v>67</v>
      </c>
      <c r="F271" s="96">
        <v>1987</v>
      </c>
      <c r="G271" s="63">
        <f t="shared" si="18"/>
        <v>29.5</v>
      </c>
      <c r="H271" s="95">
        <v>3048.63</v>
      </c>
      <c r="I271" s="97">
        <f t="shared" si="19"/>
        <v>89934.585000000006</v>
      </c>
    </row>
    <row r="272" spans="1:9" ht="45" hidden="1" outlineLevel="2">
      <c r="A272" s="93" t="s">
        <v>93</v>
      </c>
      <c r="B272" s="93" t="s">
        <v>73</v>
      </c>
      <c r="D272" s="63" t="s">
        <v>195</v>
      </c>
      <c r="E272" s="93" t="s">
        <v>67</v>
      </c>
      <c r="F272" s="96">
        <v>1989</v>
      </c>
      <c r="G272" s="63">
        <f t="shared" si="18"/>
        <v>27.5</v>
      </c>
      <c r="H272" s="95">
        <v>2729755.46</v>
      </c>
      <c r="I272" s="97">
        <f t="shared" si="19"/>
        <v>75068275.150000006</v>
      </c>
    </row>
    <row r="273" spans="1:9" ht="45" hidden="1" outlineLevel="2">
      <c r="A273" s="93" t="s">
        <v>93</v>
      </c>
      <c r="B273" s="93" t="s">
        <v>73</v>
      </c>
      <c r="D273" s="63" t="s">
        <v>195</v>
      </c>
      <c r="E273" s="93" t="s">
        <v>67</v>
      </c>
      <c r="F273" s="96">
        <v>1990</v>
      </c>
      <c r="G273" s="63">
        <f t="shared" si="18"/>
        <v>26.5</v>
      </c>
      <c r="H273" s="95">
        <v>4735145.55</v>
      </c>
      <c r="I273" s="97">
        <f t="shared" si="19"/>
        <v>125481357.07499999</v>
      </c>
    </row>
    <row r="274" spans="1:9" ht="45" hidden="1" outlineLevel="2">
      <c r="A274" s="93" t="s">
        <v>93</v>
      </c>
      <c r="B274" s="93" t="s">
        <v>73</v>
      </c>
      <c r="D274" s="63" t="s">
        <v>195</v>
      </c>
      <c r="E274" s="93" t="s">
        <v>67</v>
      </c>
      <c r="F274" s="96">
        <v>1991</v>
      </c>
      <c r="G274" s="63">
        <f t="shared" si="18"/>
        <v>25.5</v>
      </c>
      <c r="H274" s="95">
        <v>9016661.9600000009</v>
      </c>
      <c r="I274" s="97">
        <f t="shared" si="19"/>
        <v>229924879.98000002</v>
      </c>
    </row>
    <row r="275" spans="1:9" ht="45" hidden="1" outlineLevel="2">
      <c r="A275" s="93" t="s">
        <v>93</v>
      </c>
      <c r="B275" s="93" t="s">
        <v>73</v>
      </c>
      <c r="D275" s="63" t="s">
        <v>195</v>
      </c>
      <c r="E275" s="93" t="s">
        <v>67</v>
      </c>
      <c r="F275" s="96">
        <v>1992</v>
      </c>
      <c r="G275" s="63">
        <f t="shared" si="18"/>
        <v>24.5</v>
      </c>
      <c r="H275" s="95">
        <v>115663.18</v>
      </c>
      <c r="I275" s="97">
        <f t="shared" si="19"/>
        <v>2833747.9099999997</v>
      </c>
    </row>
    <row r="276" spans="1:9" ht="45" hidden="1" outlineLevel="2">
      <c r="A276" s="93" t="s">
        <v>93</v>
      </c>
      <c r="B276" s="93" t="s">
        <v>73</v>
      </c>
      <c r="D276" s="63" t="s">
        <v>195</v>
      </c>
      <c r="E276" s="93" t="s">
        <v>67</v>
      </c>
      <c r="F276" s="96">
        <v>1993</v>
      </c>
      <c r="G276" s="63">
        <f t="shared" si="18"/>
        <v>23.5</v>
      </c>
      <c r="H276" s="95">
        <v>1254396.92</v>
      </c>
      <c r="I276" s="97">
        <f t="shared" si="19"/>
        <v>29478327.619999997</v>
      </c>
    </row>
    <row r="277" spans="1:9" ht="45" hidden="1" outlineLevel="2">
      <c r="A277" s="93" t="s">
        <v>93</v>
      </c>
      <c r="B277" s="93" t="s">
        <v>73</v>
      </c>
      <c r="D277" s="63" t="s">
        <v>195</v>
      </c>
      <c r="E277" s="93" t="s">
        <v>67</v>
      </c>
      <c r="F277" s="96">
        <v>1994</v>
      </c>
      <c r="G277" s="63">
        <f t="shared" si="18"/>
        <v>22.5</v>
      </c>
      <c r="H277" s="95">
        <v>2949.48</v>
      </c>
      <c r="I277" s="97">
        <f t="shared" si="19"/>
        <v>66363.3</v>
      </c>
    </row>
    <row r="278" spans="1:9" ht="45" hidden="1" outlineLevel="2">
      <c r="A278" s="93" t="s">
        <v>93</v>
      </c>
      <c r="B278" s="93" t="s">
        <v>73</v>
      </c>
      <c r="D278" s="63" t="s">
        <v>195</v>
      </c>
      <c r="E278" s="93" t="s">
        <v>67</v>
      </c>
      <c r="F278" s="96">
        <v>1995</v>
      </c>
      <c r="G278" s="63">
        <f t="shared" si="18"/>
        <v>21.5</v>
      </c>
      <c r="H278" s="95">
        <v>134434.95000000001</v>
      </c>
      <c r="I278" s="97">
        <f t="shared" si="19"/>
        <v>2890351.4250000003</v>
      </c>
    </row>
    <row r="279" spans="1:9" ht="45" hidden="1" outlineLevel="2">
      <c r="A279" s="93" t="s">
        <v>93</v>
      </c>
      <c r="B279" s="93" t="s">
        <v>73</v>
      </c>
      <c r="D279" s="63" t="s">
        <v>195</v>
      </c>
      <c r="E279" s="93" t="s">
        <v>67</v>
      </c>
      <c r="F279" s="96">
        <v>1996</v>
      </c>
      <c r="G279" s="63">
        <f t="shared" si="18"/>
        <v>20.5</v>
      </c>
      <c r="H279" s="95">
        <v>6133172.29</v>
      </c>
      <c r="I279" s="97">
        <f t="shared" si="19"/>
        <v>125730031.94500001</v>
      </c>
    </row>
    <row r="280" spans="1:9" ht="45" hidden="1" outlineLevel="2">
      <c r="A280" s="93" t="s">
        <v>93</v>
      </c>
      <c r="B280" s="93" t="s">
        <v>73</v>
      </c>
      <c r="D280" s="63" t="s">
        <v>195</v>
      </c>
      <c r="E280" s="93" t="s">
        <v>67</v>
      </c>
      <c r="F280" s="96">
        <v>1999</v>
      </c>
      <c r="G280" s="63">
        <f t="shared" si="18"/>
        <v>17.5</v>
      </c>
      <c r="H280" s="95">
        <v>259860.12</v>
      </c>
      <c r="I280" s="97">
        <f t="shared" si="19"/>
        <v>4547552.0999999996</v>
      </c>
    </row>
    <row r="281" spans="1:9" ht="45" hidden="1" outlineLevel="2">
      <c r="A281" s="93" t="s">
        <v>93</v>
      </c>
      <c r="B281" s="93" t="s">
        <v>73</v>
      </c>
      <c r="D281" s="63" t="s">
        <v>195</v>
      </c>
      <c r="E281" s="93" t="s">
        <v>67</v>
      </c>
      <c r="F281" s="96">
        <v>2000</v>
      </c>
      <c r="G281" s="63">
        <f t="shared" si="18"/>
        <v>16.5</v>
      </c>
      <c r="H281" s="95">
        <v>2635136.71</v>
      </c>
      <c r="I281" s="97">
        <f t="shared" si="19"/>
        <v>43479755.714999996</v>
      </c>
    </row>
    <row r="282" spans="1:9" ht="45" hidden="1" outlineLevel="2">
      <c r="A282" s="93" t="s">
        <v>93</v>
      </c>
      <c r="B282" s="93" t="s">
        <v>73</v>
      </c>
      <c r="D282" s="63" t="s">
        <v>195</v>
      </c>
      <c r="E282" s="93" t="s">
        <v>67</v>
      </c>
      <c r="F282" s="96">
        <v>2001</v>
      </c>
      <c r="G282" s="63">
        <f t="shared" si="18"/>
        <v>15.5</v>
      </c>
      <c r="H282" s="95">
        <v>8002.94</v>
      </c>
      <c r="I282" s="97">
        <f t="shared" si="19"/>
        <v>124045.56999999999</v>
      </c>
    </row>
    <row r="283" spans="1:9" ht="45" hidden="1" outlineLevel="2">
      <c r="A283" s="93" t="s">
        <v>93</v>
      </c>
      <c r="B283" s="93" t="s">
        <v>73</v>
      </c>
      <c r="D283" s="63" t="s">
        <v>195</v>
      </c>
      <c r="E283" s="93" t="s">
        <v>67</v>
      </c>
      <c r="F283" s="96">
        <v>2002</v>
      </c>
      <c r="G283" s="63">
        <f t="shared" si="18"/>
        <v>14.5</v>
      </c>
      <c r="H283" s="95">
        <v>4885881.0199999996</v>
      </c>
      <c r="I283" s="97">
        <f t="shared" si="19"/>
        <v>70845274.789999992</v>
      </c>
    </row>
    <row r="284" spans="1:9" ht="45" hidden="1" outlineLevel="2">
      <c r="A284" s="93" t="s">
        <v>93</v>
      </c>
      <c r="B284" s="93" t="s">
        <v>73</v>
      </c>
      <c r="D284" s="63" t="s">
        <v>195</v>
      </c>
      <c r="E284" s="93" t="s">
        <v>67</v>
      </c>
      <c r="F284" s="96">
        <v>2003</v>
      </c>
      <c r="G284" s="63">
        <f t="shared" si="18"/>
        <v>13.5</v>
      </c>
      <c r="H284" s="95">
        <v>288235.57</v>
      </c>
      <c r="I284" s="97">
        <f t="shared" si="19"/>
        <v>3891180.1950000003</v>
      </c>
    </row>
    <row r="285" spans="1:9" ht="45" hidden="1" outlineLevel="2">
      <c r="A285" s="93" t="s">
        <v>93</v>
      </c>
      <c r="B285" s="93" t="s">
        <v>73</v>
      </c>
      <c r="D285" s="63" t="s">
        <v>195</v>
      </c>
      <c r="E285" s="93" t="s">
        <v>67</v>
      </c>
      <c r="F285" s="96">
        <v>2004</v>
      </c>
      <c r="G285" s="63">
        <f t="shared" si="18"/>
        <v>12.5</v>
      </c>
      <c r="H285" s="95">
        <v>33760223.810000002</v>
      </c>
      <c r="I285" s="97">
        <f t="shared" si="19"/>
        <v>422002797.625</v>
      </c>
    </row>
    <row r="286" spans="1:9" ht="45" hidden="1" outlineLevel="2">
      <c r="A286" s="93" t="s">
        <v>93</v>
      </c>
      <c r="B286" s="93" t="s">
        <v>73</v>
      </c>
      <c r="D286" s="63" t="s">
        <v>195</v>
      </c>
      <c r="E286" s="93" t="s">
        <v>67</v>
      </c>
      <c r="F286" s="96">
        <v>2005</v>
      </c>
      <c r="G286" s="63">
        <f t="shared" si="18"/>
        <v>11.5</v>
      </c>
      <c r="H286" s="95">
        <v>66256078.689999998</v>
      </c>
      <c r="I286" s="97">
        <f t="shared" si="19"/>
        <v>761944904.93499994</v>
      </c>
    </row>
    <row r="287" spans="1:9" ht="45" hidden="1" outlineLevel="2">
      <c r="A287" s="93" t="s">
        <v>93</v>
      </c>
      <c r="B287" s="93" t="s">
        <v>73</v>
      </c>
      <c r="D287" s="63" t="s">
        <v>195</v>
      </c>
      <c r="E287" s="93" t="s">
        <v>67</v>
      </c>
      <c r="F287" s="96">
        <v>2006</v>
      </c>
      <c r="G287" s="63">
        <f t="shared" si="18"/>
        <v>10.5</v>
      </c>
      <c r="H287" s="95">
        <v>1007183.04</v>
      </c>
      <c r="I287" s="97">
        <f t="shared" si="19"/>
        <v>10575421.92</v>
      </c>
    </row>
    <row r="288" spans="1:9" ht="45" hidden="1" outlineLevel="2">
      <c r="A288" s="93" t="s">
        <v>93</v>
      </c>
      <c r="B288" s="93" t="s">
        <v>73</v>
      </c>
      <c r="D288" s="63" t="s">
        <v>195</v>
      </c>
      <c r="E288" s="93" t="s">
        <v>67</v>
      </c>
      <c r="F288" s="96">
        <v>2007</v>
      </c>
      <c r="G288" s="63">
        <f t="shared" si="18"/>
        <v>9.5</v>
      </c>
      <c r="H288" s="95">
        <v>518425.99</v>
      </c>
      <c r="I288" s="97">
        <f t="shared" si="19"/>
        <v>4925046.9050000003</v>
      </c>
    </row>
    <row r="289" spans="1:10" ht="45" hidden="1" outlineLevel="2">
      <c r="A289" s="93" t="s">
        <v>93</v>
      </c>
      <c r="B289" s="93" t="s">
        <v>73</v>
      </c>
      <c r="D289" s="63" t="s">
        <v>195</v>
      </c>
      <c r="E289" s="93" t="s">
        <v>67</v>
      </c>
      <c r="F289" s="96">
        <v>2008</v>
      </c>
      <c r="G289" s="63">
        <f t="shared" si="18"/>
        <v>8.5</v>
      </c>
      <c r="H289" s="95">
        <v>133174.84</v>
      </c>
      <c r="I289" s="97">
        <f t="shared" si="19"/>
        <v>1131986.1399999999</v>
      </c>
    </row>
    <row r="290" spans="1:10" ht="45" hidden="1" outlineLevel="2">
      <c r="A290" s="93" t="s">
        <v>93</v>
      </c>
      <c r="B290" s="93" t="s">
        <v>73</v>
      </c>
      <c r="D290" s="63" t="s">
        <v>195</v>
      </c>
      <c r="E290" s="93" t="s">
        <v>67</v>
      </c>
      <c r="F290" s="96">
        <v>2009</v>
      </c>
      <c r="G290" s="63">
        <f t="shared" si="18"/>
        <v>7.5</v>
      </c>
      <c r="H290" s="95">
        <v>19133598.920000002</v>
      </c>
      <c r="I290" s="97">
        <f t="shared" si="19"/>
        <v>143501991.90000001</v>
      </c>
    </row>
    <row r="291" spans="1:10" ht="45" hidden="1" outlineLevel="2">
      <c r="A291" s="93" t="s">
        <v>93</v>
      </c>
      <c r="B291" s="93" t="s">
        <v>73</v>
      </c>
      <c r="D291" s="63" t="s">
        <v>195</v>
      </c>
      <c r="E291" s="93" t="s">
        <v>67</v>
      </c>
      <c r="F291" s="96">
        <v>2010</v>
      </c>
      <c r="G291" s="63">
        <f t="shared" si="18"/>
        <v>6.5</v>
      </c>
      <c r="H291" s="95">
        <v>739390.58</v>
      </c>
      <c r="I291" s="97">
        <f t="shared" si="19"/>
        <v>4806038.7699999996</v>
      </c>
    </row>
    <row r="292" spans="1:10" ht="45" hidden="1" outlineLevel="2">
      <c r="A292" s="93" t="s">
        <v>93</v>
      </c>
      <c r="B292" s="93" t="s">
        <v>73</v>
      </c>
      <c r="D292" s="63" t="s">
        <v>195</v>
      </c>
      <c r="E292" s="93" t="s">
        <v>67</v>
      </c>
      <c r="F292" s="96">
        <v>2011</v>
      </c>
      <c r="G292" s="63">
        <f t="shared" si="18"/>
        <v>5.5</v>
      </c>
      <c r="H292" s="95">
        <v>1397446.19</v>
      </c>
      <c r="I292" s="97">
        <f t="shared" si="19"/>
        <v>7685954.0449999999</v>
      </c>
    </row>
    <row r="293" spans="1:10" ht="45" hidden="1" outlineLevel="2">
      <c r="A293" s="93" t="s">
        <v>93</v>
      </c>
      <c r="B293" s="93" t="s">
        <v>73</v>
      </c>
      <c r="D293" s="63" t="s">
        <v>195</v>
      </c>
      <c r="E293" s="93" t="s">
        <v>67</v>
      </c>
      <c r="F293" s="96">
        <v>2012</v>
      </c>
      <c r="G293" s="63">
        <f t="shared" si="18"/>
        <v>4.5</v>
      </c>
      <c r="H293" s="95">
        <v>26620345.859999999</v>
      </c>
      <c r="I293" s="97">
        <f t="shared" si="19"/>
        <v>119791556.37</v>
      </c>
    </row>
    <row r="294" spans="1:10" ht="45" hidden="1" outlineLevel="2">
      <c r="A294" s="93" t="s">
        <v>93</v>
      </c>
      <c r="B294" s="93" t="s">
        <v>73</v>
      </c>
      <c r="D294" s="63" t="s">
        <v>195</v>
      </c>
      <c r="E294" s="93" t="s">
        <v>67</v>
      </c>
      <c r="F294" s="96">
        <v>2013</v>
      </c>
      <c r="G294" s="63">
        <f t="shared" si="18"/>
        <v>3.5</v>
      </c>
      <c r="H294" s="95">
        <v>528423.72</v>
      </c>
      <c r="I294" s="97">
        <f t="shared" si="19"/>
        <v>1849483.02</v>
      </c>
    </row>
    <row r="295" spans="1:10" ht="45" hidden="1" outlineLevel="2">
      <c r="A295" s="93" t="s">
        <v>93</v>
      </c>
      <c r="B295" s="93" t="s">
        <v>73</v>
      </c>
      <c r="D295" s="63" t="s">
        <v>195</v>
      </c>
      <c r="E295" s="93" t="s">
        <v>67</v>
      </c>
      <c r="F295" s="96">
        <v>2014</v>
      </c>
      <c r="G295" s="63">
        <f t="shared" si="18"/>
        <v>2.5</v>
      </c>
      <c r="H295" s="95">
        <v>13362863.800000001</v>
      </c>
      <c r="I295" s="97">
        <f t="shared" si="19"/>
        <v>33407159.5</v>
      </c>
    </row>
    <row r="296" spans="1:10" ht="45" hidden="1" outlineLevel="2">
      <c r="A296" s="93" t="s">
        <v>93</v>
      </c>
      <c r="B296" s="93" t="s">
        <v>73</v>
      </c>
      <c r="D296" s="63" t="s">
        <v>195</v>
      </c>
      <c r="E296" s="93" t="s">
        <v>67</v>
      </c>
      <c r="F296" s="96">
        <v>2015</v>
      </c>
      <c r="G296" s="63">
        <f t="shared" si="18"/>
        <v>1.5</v>
      </c>
      <c r="H296" s="95">
        <v>2926096.2</v>
      </c>
      <c r="I296" s="97">
        <f t="shared" si="19"/>
        <v>4389144.3000000007</v>
      </c>
    </row>
    <row r="297" spans="1:10" ht="45" hidden="1" outlineLevel="2">
      <c r="A297" s="93" t="s">
        <v>93</v>
      </c>
      <c r="B297" s="93" t="s">
        <v>73</v>
      </c>
      <c r="D297" s="63" t="s">
        <v>195</v>
      </c>
      <c r="E297" s="93" t="s">
        <v>67</v>
      </c>
      <c r="F297" s="96">
        <v>2016</v>
      </c>
      <c r="G297" s="63">
        <f t="shared" si="18"/>
        <v>0.5</v>
      </c>
      <c r="H297" s="95">
        <v>3416668.61</v>
      </c>
      <c r="I297" s="97">
        <f t="shared" si="19"/>
        <v>1708334.3049999999</v>
      </c>
    </row>
    <row r="298" spans="1:10" s="63" customFormat="1" ht="30" outlineLevel="1" collapsed="1">
      <c r="A298" s="26" t="str">
        <f>+A297</f>
        <v>Crist</v>
      </c>
      <c r="B298" s="94"/>
      <c r="C298" s="26"/>
      <c r="D298" s="26" t="str">
        <f>+D297</f>
        <v>Crist 7</v>
      </c>
      <c r="E298" s="94" t="s">
        <v>202</v>
      </c>
      <c r="F298" s="96"/>
      <c r="H298" s="95">
        <f>SUBTOTAL(9,H257:H297)</f>
        <v>218187177.79999998</v>
      </c>
      <c r="I298" s="97">
        <f>SUBTOTAL(9,I257:I297)</f>
        <v>2888705337.5999994</v>
      </c>
      <c r="J298" s="64">
        <f>+I298/H298</f>
        <v>13.239574234962214</v>
      </c>
    </row>
    <row r="299" spans="1:10" ht="45" hidden="1" outlineLevel="2">
      <c r="A299" s="93" t="s">
        <v>93</v>
      </c>
      <c r="B299" s="93" t="s">
        <v>74</v>
      </c>
      <c r="D299" s="63" t="s">
        <v>197</v>
      </c>
      <c r="E299" s="93" t="s">
        <v>72</v>
      </c>
      <c r="F299" s="96">
        <v>1959</v>
      </c>
      <c r="G299" s="63">
        <f t="shared" ref="G299:G330" si="20">2016.5-F299</f>
        <v>57.5</v>
      </c>
      <c r="H299" s="95">
        <v>1390816.54</v>
      </c>
      <c r="I299" s="97">
        <f t="shared" ref="I299:I330" si="21">+G299*H299</f>
        <v>79971951.049999997</v>
      </c>
    </row>
    <row r="300" spans="1:10" ht="45" hidden="1" outlineLevel="2">
      <c r="A300" s="93" t="s">
        <v>93</v>
      </c>
      <c r="B300" s="93" t="s">
        <v>74</v>
      </c>
      <c r="D300" s="63" t="s">
        <v>197</v>
      </c>
      <c r="E300" s="93" t="s">
        <v>72</v>
      </c>
      <c r="F300" s="96">
        <v>1960</v>
      </c>
      <c r="G300" s="63">
        <f t="shared" si="20"/>
        <v>56.5</v>
      </c>
      <c r="H300" s="95">
        <v>34859.97</v>
      </c>
      <c r="I300" s="97">
        <f t="shared" si="21"/>
        <v>1969588.3050000002</v>
      </c>
    </row>
    <row r="301" spans="1:10" ht="45" hidden="1" outlineLevel="2">
      <c r="A301" s="93" t="s">
        <v>93</v>
      </c>
      <c r="B301" s="93" t="s">
        <v>74</v>
      </c>
      <c r="D301" s="63" t="s">
        <v>197</v>
      </c>
      <c r="E301" s="93" t="s">
        <v>72</v>
      </c>
      <c r="F301" s="96">
        <v>1961</v>
      </c>
      <c r="G301" s="63">
        <f t="shared" si="20"/>
        <v>55.5</v>
      </c>
      <c r="H301" s="95">
        <v>1548102.6</v>
      </c>
      <c r="I301" s="97">
        <f t="shared" si="21"/>
        <v>85919694.300000012</v>
      </c>
    </row>
    <row r="302" spans="1:10" ht="45" hidden="1" outlineLevel="2">
      <c r="A302" s="93" t="s">
        <v>93</v>
      </c>
      <c r="B302" s="93" t="s">
        <v>74</v>
      </c>
      <c r="D302" s="63" t="s">
        <v>197</v>
      </c>
      <c r="E302" s="93" t="s">
        <v>72</v>
      </c>
      <c r="F302" s="96">
        <v>1962</v>
      </c>
      <c r="G302" s="63">
        <f t="shared" si="20"/>
        <v>54.5</v>
      </c>
      <c r="H302" s="95">
        <v>13307.57</v>
      </c>
      <c r="I302" s="97">
        <f t="shared" si="21"/>
        <v>725262.56499999994</v>
      </c>
    </row>
    <row r="303" spans="1:10" ht="45" hidden="1" outlineLevel="2">
      <c r="A303" s="93" t="s">
        <v>93</v>
      </c>
      <c r="B303" s="93" t="s">
        <v>74</v>
      </c>
      <c r="D303" s="63" t="s">
        <v>197</v>
      </c>
      <c r="E303" s="93" t="s">
        <v>72</v>
      </c>
      <c r="F303" s="96">
        <v>1965</v>
      </c>
      <c r="G303" s="63">
        <f t="shared" si="20"/>
        <v>51.5</v>
      </c>
      <c r="H303" s="95">
        <v>3807.39</v>
      </c>
      <c r="I303" s="97">
        <f t="shared" si="21"/>
        <v>196080.58499999999</v>
      </c>
    </row>
    <row r="304" spans="1:10" ht="45" hidden="1" outlineLevel="2">
      <c r="A304" s="93" t="s">
        <v>93</v>
      </c>
      <c r="B304" s="93" t="s">
        <v>74</v>
      </c>
      <c r="D304" s="63" t="s">
        <v>197</v>
      </c>
      <c r="E304" s="93" t="s">
        <v>72</v>
      </c>
      <c r="F304" s="96">
        <v>1966</v>
      </c>
      <c r="G304" s="63">
        <f t="shared" si="20"/>
        <v>50.5</v>
      </c>
      <c r="H304" s="95">
        <v>17959.150000000001</v>
      </c>
      <c r="I304" s="97">
        <f t="shared" si="21"/>
        <v>906937.07500000007</v>
      </c>
    </row>
    <row r="305" spans="1:9" ht="45" hidden="1" outlineLevel="2">
      <c r="A305" s="93" t="s">
        <v>93</v>
      </c>
      <c r="B305" s="93" t="s">
        <v>74</v>
      </c>
      <c r="D305" s="63" t="s">
        <v>197</v>
      </c>
      <c r="E305" s="93" t="s">
        <v>72</v>
      </c>
      <c r="F305" s="96">
        <v>1968</v>
      </c>
      <c r="G305" s="63">
        <f t="shared" si="20"/>
        <v>48.5</v>
      </c>
      <c r="H305" s="95">
        <v>7436.77</v>
      </c>
      <c r="I305" s="97">
        <f t="shared" si="21"/>
        <v>360683.34500000003</v>
      </c>
    </row>
    <row r="306" spans="1:9" ht="45" hidden="1" outlineLevel="2">
      <c r="A306" s="93" t="s">
        <v>93</v>
      </c>
      <c r="B306" s="93" t="s">
        <v>74</v>
      </c>
      <c r="D306" s="63" t="s">
        <v>197</v>
      </c>
      <c r="E306" s="93" t="s">
        <v>72</v>
      </c>
      <c r="F306" s="96">
        <v>1969</v>
      </c>
      <c r="G306" s="63">
        <f t="shared" si="20"/>
        <v>47.5</v>
      </c>
      <c r="H306" s="95">
        <v>6203.65</v>
      </c>
      <c r="I306" s="97">
        <f t="shared" si="21"/>
        <v>294673.375</v>
      </c>
    </row>
    <row r="307" spans="1:9" ht="45" hidden="1" outlineLevel="2">
      <c r="A307" s="93" t="s">
        <v>93</v>
      </c>
      <c r="B307" s="93" t="s">
        <v>74</v>
      </c>
      <c r="D307" s="63" t="s">
        <v>197</v>
      </c>
      <c r="E307" s="93" t="s">
        <v>72</v>
      </c>
      <c r="F307" s="96">
        <v>1970</v>
      </c>
      <c r="G307" s="63">
        <f t="shared" si="20"/>
        <v>46.5</v>
      </c>
      <c r="H307" s="95">
        <v>6463491.3700000001</v>
      </c>
      <c r="I307" s="97">
        <f t="shared" si="21"/>
        <v>300552348.70499998</v>
      </c>
    </row>
    <row r="308" spans="1:9" ht="45" hidden="1" outlineLevel="2">
      <c r="A308" s="93" t="s">
        <v>93</v>
      </c>
      <c r="B308" s="93" t="s">
        <v>74</v>
      </c>
      <c r="D308" s="63" t="s">
        <v>197</v>
      </c>
      <c r="E308" s="93" t="s">
        <v>72</v>
      </c>
      <c r="F308" s="96">
        <v>1971</v>
      </c>
      <c r="G308" s="63">
        <f t="shared" si="20"/>
        <v>45.5</v>
      </c>
      <c r="H308" s="95">
        <v>234120.23</v>
      </c>
      <c r="I308" s="97">
        <f t="shared" si="21"/>
        <v>10652470.465</v>
      </c>
    </row>
    <row r="309" spans="1:9" ht="45" hidden="1" outlineLevel="2">
      <c r="A309" s="93" t="s">
        <v>93</v>
      </c>
      <c r="B309" s="93" t="s">
        <v>74</v>
      </c>
      <c r="D309" s="63" t="s">
        <v>197</v>
      </c>
      <c r="E309" s="93" t="s">
        <v>72</v>
      </c>
      <c r="F309" s="96">
        <v>1972</v>
      </c>
      <c r="G309" s="63">
        <f t="shared" si="20"/>
        <v>44.5</v>
      </c>
      <c r="H309" s="95">
        <v>96367.94</v>
      </c>
      <c r="I309" s="97">
        <f t="shared" si="21"/>
        <v>4288373.33</v>
      </c>
    </row>
    <row r="310" spans="1:9" ht="45" hidden="1" outlineLevel="2">
      <c r="A310" s="93" t="s">
        <v>93</v>
      </c>
      <c r="B310" s="93" t="s">
        <v>74</v>
      </c>
      <c r="D310" s="63" t="s">
        <v>197</v>
      </c>
      <c r="E310" s="93" t="s">
        <v>72</v>
      </c>
      <c r="F310" s="96">
        <v>1973</v>
      </c>
      <c r="G310" s="63">
        <f t="shared" si="20"/>
        <v>43.5</v>
      </c>
      <c r="H310" s="95">
        <v>10328408.25</v>
      </c>
      <c r="I310" s="97">
        <f t="shared" si="21"/>
        <v>449285758.875</v>
      </c>
    </row>
    <row r="311" spans="1:9" ht="45" hidden="1" outlineLevel="2">
      <c r="A311" s="93" t="s">
        <v>93</v>
      </c>
      <c r="B311" s="93" t="s">
        <v>74</v>
      </c>
      <c r="D311" s="63" t="s">
        <v>197</v>
      </c>
      <c r="E311" s="93" t="s">
        <v>72</v>
      </c>
      <c r="F311" s="96">
        <v>1974</v>
      </c>
      <c r="G311" s="63">
        <f t="shared" si="20"/>
        <v>42.5</v>
      </c>
      <c r="H311" s="95">
        <v>727709.7</v>
      </c>
      <c r="I311" s="97">
        <f t="shared" si="21"/>
        <v>30927662.249999996</v>
      </c>
    </row>
    <row r="312" spans="1:9" ht="45" hidden="1" outlineLevel="2">
      <c r="A312" s="93" t="s">
        <v>93</v>
      </c>
      <c r="B312" s="93" t="s">
        <v>74</v>
      </c>
      <c r="D312" s="63" t="s">
        <v>197</v>
      </c>
      <c r="E312" s="93" t="s">
        <v>72</v>
      </c>
      <c r="F312" s="96">
        <v>1975</v>
      </c>
      <c r="G312" s="63">
        <f t="shared" si="20"/>
        <v>41.5</v>
      </c>
      <c r="H312" s="95">
        <v>145685.97</v>
      </c>
      <c r="I312" s="97">
        <f t="shared" si="21"/>
        <v>6045967.7549999999</v>
      </c>
    </row>
    <row r="313" spans="1:9" ht="45" hidden="1" outlineLevel="2">
      <c r="A313" s="93" t="s">
        <v>93</v>
      </c>
      <c r="B313" s="93" t="s">
        <v>74</v>
      </c>
      <c r="D313" s="63" t="s">
        <v>197</v>
      </c>
      <c r="E313" s="93" t="s">
        <v>72</v>
      </c>
      <c r="F313" s="96">
        <v>1976</v>
      </c>
      <c r="G313" s="63">
        <f t="shared" si="20"/>
        <v>40.5</v>
      </c>
      <c r="H313" s="95">
        <v>832351.8</v>
      </c>
      <c r="I313" s="97">
        <f t="shared" si="21"/>
        <v>33710247.899999999</v>
      </c>
    </row>
    <row r="314" spans="1:9" ht="45" hidden="1" outlineLevel="2">
      <c r="A314" s="93" t="s">
        <v>93</v>
      </c>
      <c r="B314" s="93" t="s">
        <v>74</v>
      </c>
      <c r="D314" s="63" t="s">
        <v>197</v>
      </c>
      <c r="E314" s="93" t="s">
        <v>72</v>
      </c>
      <c r="F314" s="96">
        <v>1977</v>
      </c>
      <c r="G314" s="63">
        <f t="shared" si="20"/>
        <v>39.5</v>
      </c>
      <c r="H314" s="95">
        <v>90437.62</v>
      </c>
      <c r="I314" s="97">
        <f t="shared" si="21"/>
        <v>3572285.9899999998</v>
      </c>
    </row>
    <row r="315" spans="1:9" ht="45" hidden="1" outlineLevel="2">
      <c r="A315" s="93" t="s">
        <v>93</v>
      </c>
      <c r="B315" s="93" t="s">
        <v>74</v>
      </c>
      <c r="D315" s="63" t="s">
        <v>197</v>
      </c>
      <c r="E315" s="93" t="s">
        <v>72</v>
      </c>
      <c r="F315" s="96">
        <v>1978</v>
      </c>
      <c r="G315" s="63">
        <f t="shared" si="20"/>
        <v>38.5</v>
      </c>
      <c r="H315" s="95">
        <v>21922.04</v>
      </c>
      <c r="I315" s="97">
        <f t="shared" si="21"/>
        <v>843998.54</v>
      </c>
    </row>
    <row r="316" spans="1:9" ht="45" hidden="1" outlineLevel="2">
      <c r="A316" s="93" t="s">
        <v>93</v>
      </c>
      <c r="B316" s="93" t="s">
        <v>74</v>
      </c>
      <c r="D316" s="63" t="s">
        <v>197</v>
      </c>
      <c r="E316" s="93" t="s">
        <v>72</v>
      </c>
      <c r="F316" s="96">
        <v>1979</v>
      </c>
      <c r="G316" s="63">
        <f t="shared" si="20"/>
        <v>37.5</v>
      </c>
      <c r="H316" s="95">
        <v>1453320.1</v>
      </c>
      <c r="I316" s="97">
        <f t="shared" si="21"/>
        <v>54499503.75</v>
      </c>
    </row>
    <row r="317" spans="1:9" ht="45" hidden="1" outlineLevel="2">
      <c r="A317" s="93" t="s">
        <v>93</v>
      </c>
      <c r="B317" s="93" t="s">
        <v>74</v>
      </c>
      <c r="D317" s="63" t="s">
        <v>197</v>
      </c>
      <c r="E317" s="93" t="s">
        <v>72</v>
      </c>
      <c r="F317" s="96">
        <v>1980</v>
      </c>
      <c r="G317" s="63">
        <f t="shared" si="20"/>
        <v>36.5</v>
      </c>
      <c r="H317" s="95">
        <v>492466.43</v>
      </c>
      <c r="I317" s="97">
        <f t="shared" si="21"/>
        <v>17975024.695</v>
      </c>
    </row>
    <row r="318" spans="1:9" ht="45" hidden="1" outlineLevel="2">
      <c r="A318" s="93" t="s">
        <v>93</v>
      </c>
      <c r="B318" s="93" t="s">
        <v>74</v>
      </c>
      <c r="D318" s="63" t="s">
        <v>197</v>
      </c>
      <c r="E318" s="93" t="s">
        <v>72</v>
      </c>
      <c r="F318" s="96">
        <v>1981</v>
      </c>
      <c r="G318" s="63">
        <f t="shared" si="20"/>
        <v>35.5</v>
      </c>
      <c r="H318" s="95">
        <v>3100069.06</v>
      </c>
      <c r="I318" s="97">
        <f t="shared" si="21"/>
        <v>110052451.63</v>
      </c>
    </row>
    <row r="319" spans="1:9" ht="45" hidden="1" outlineLevel="2">
      <c r="A319" s="93" t="s">
        <v>93</v>
      </c>
      <c r="B319" s="93" t="s">
        <v>74</v>
      </c>
      <c r="D319" s="63" t="s">
        <v>197</v>
      </c>
      <c r="E319" s="93" t="s">
        <v>72</v>
      </c>
      <c r="F319" s="96">
        <v>1982</v>
      </c>
      <c r="G319" s="63">
        <f t="shared" si="20"/>
        <v>34.5</v>
      </c>
      <c r="H319" s="95">
        <v>1097147.57</v>
      </c>
      <c r="I319" s="97">
        <f t="shared" si="21"/>
        <v>37851591.164999999</v>
      </c>
    </row>
    <row r="320" spans="1:9" ht="45" hidden="1" outlineLevel="2">
      <c r="A320" s="93" t="s">
        <v>93</v>
      </c>
      <c r="B320" s="93" t="s">
        <v>74</v>
      </c>
      <c r="D320" s="63" t="s">
        <v>197</v>
      </c>
      <c r="E320" s="93" t="s">
        <v>72</v>
      </c>
      <c r="F320" s="96">
        <v>1983</v>
      </c>
      <c r="G320" s="63">
        <f t="shared" si="20"/>
        <v>33.5</v>
      </c>
      <c r="H320" s="95">
        <v>1002089.87</v>
      </c>
      <c r="I320" s="97">
        <f t="shared" si="21"/>
        <v>33570010.645000003</v>
      </c>
    </row>
    <row r="321" spans="1:9" ht="45" hidden="1" outlineLevel="2">
      <c r="A321" s="93" t="s">
        <v>93</v>
      </c>
      <c r="B321" s="93" t="s">
        <v>74</v>
      </c>
      <c r="D321" s="63" t="s">
        <v>197</v>
      </c>
      <c r="E321" s="93" t="s">
        <v>72</v>
      </c>
      <c r="F321" s="96">
        <v>1984</v>
      </c>
      <c r="G321" s="63">
        <f t="shared" si="20"/>
        <v>32.5</v>
      </c>
      <c r="H321" s="95">
        <v>7872632.5099999998</v>
      </c>
      <c r="I321" s="97">
        <f t="shared" si="21"/>
        <v>255860556.57499999</v>
      </c>
    </row>
    <row r="322" spans="1:9" ht="45" hidden="1" outlineLevel="2">
      <c r="A322" s="93" t="s">
        <v>93</v>
      </c>
      <c r="B322" s="93" t="s">
        <v>74</v>
      </c>
      <c r="D322" s="63" t="s">
        <v>197</v>
      </c>
      <c r="E322" s="93" t="s">
        <v>72</v>
      </c>
      <c r="F322" s="96">
        <v>1985</v>
      </c>
      <c r="G322" s="63">
        <f t="shared" si="20"/>
        <v>31.5</v>
      </c>
      <c r="H322" s="95">
        <v>6946920.6299999999</v>
      </c>
      <c r="I322" s="97">
        <f t="shared" si="21"/>
        <v>218827999.845</v>
      </c>
    </row>
    <row r="323" spans="1:9" ht="45" hidden="1" outlineLevel="2">
      <c r="A323" s="93" t="s">
        <v>93</v>
      </c>
      <c r="B323" s="93" t="s">
        <v>74</v>
      </c>
      <c r="D323" s="63" t="s">
        <v>197</v>
      </c>
      <c r="E323" s="93" t="s">
        <v>72</v>
      </c>
      <c r="F323" s="96">
        <v>1986</v>
      </c>
      <c r="G323" s="63">
        <f t="shared" si="20"/>
        <v>30.5</v>
      </c>
      <c r="H323" s="95">
        <v>358893.99</v>
      </c>
      <c r="I323" s="97">
        <f t="shared" si="21"/>
        <v>10946266.695</v>
      </c>
    </row>
    <row r="324" spans="1:9" ht="45" hidden="1" outlineLevel="2">
      <c r="A324" s="93" t="s">
        <v>93</v>
      </c>
      <c r="B324" s="93" t="s">
        <v>74</v>
      </c>
      <c r="D324" s="63" t="s">
        <v>197</v>
      </c>
      <c r="E324" s="93" t="s">
        <v>72</v>
      </c>
      <c r="F324" s="96">
        <v>1987</v>
      </c>
      <c r="G324" s="63">
        <f t="shared" si="20"/>
        <v>29.5</v>
      </c>
      <c r="H324" s="95">
        <v>2468536.58</v>
      </c>
      <c r="I324" s="97">
        <f t="shared" si="21"/>
        <v>72821829.109999999</v>
      </c>
    </row>
    <row r="325" spans="1:9" ht="45" hidden="1" outlineLevel="2">
      <c r="A325" s="93" t="s">
        <v>93</v>
      </c>
      <c r="B325" s="93" t="s">
        <v>74</v>
      </c>
      <c r="D325" s="63" t="s">
        <v>197</v>
      </c>
      <c r="E325" s="93" t="s">
        <v>72</v>
      </c>
      <c r="F325" s="96">
        <v>1988</v>
      </c>
      <c r="G325" s="63">
        <f t="shared" si="20"/>
        <v>28.5</v>
      </c>
      <c r="H325" s="95">
        <v>2119929.44</v>
      </c>
      <c r="I325" s="97">
        <f t="shared" si="21"/>
        <v>60417989.039999999</v>
      </c>
    </row>
    <row r="326" spans="1:9" ht="45" hidden="1" outlineLevel="2">
      <c r="A326" s="93" t="s">
        <v>93</v>
      </c>
      <c r="B326" s="93" t="s">
        <v>74</v>
      </c>
      <c r="D326" s="63" t="s">
        <v>197</v>
      </c>
      <c r="E326" s="93" t="s">
        <v>72</v>
      </c>
      <c r="F326" s="96">
        <v>1989</v>
      </c>
      <c r="G326" s="63">
        <f t="shared" si="20"/>
        <v>27.5</v>
      </c>
      <c r="H326" s="95">
        <v>418941.41</v>
      </c>
      <c r="I326" s="97">
        <f t="shared" si="21"/>
        <v>11520888.774999999</v>
      </c>
    </row>
    <row r="327" spans="1:9" ht="45" hidden="1" outlineLevel="2">
      <c r="A327" s="93" t="s">
        <v>93</v>
      </c>
      <c r="B327" s="93" t="s">
        <v>74</v>
      </c>
      <c r="D327" s="63" t="s">
        <v>197</v>
      </c>
      <c r="E327" s="93" t="s">
        <v>72</v>
      </c>
      <c r="F327" s="96">
        <v>1990</v>
      </c>
      <c r="G327" s="63">
        <f t="shared" si="20"/>
        <v>26.5</v>
      </c>
      <c r="H327" s="95">
        <v>50951.22</v>
      </c>
      <c r="I327" s="97">
        <f t="shared" si="21"/>
        <v>1350207.33</v>
      </c>
    </row>
    <row r="328" spans="1:9" ht="45" hidden="1" outlineLevel="2">
      <c r="A328" s="93" t="s">
        <v>93</v>
      </c>
      <c r="B328" s="93" t="s">
        <v>74</v>
      </c>
      <c r="D328" s="63" t="s">
        <v>197</v>
      </c>
      <c r="E328" s="93" t="s">
        <v>72</v>
      </c>
      <c r="F328" s="96">
        <v>1991</v>
      </c>
      <c r="G328" s="63">
        <f t="shared" si="20"/>
        <v>25.5</v>
      </c>
      <c r="H328" s="95">
        <v>38605.61</v>
      </c>
      <c r="I328" s="97">
        <f t="shared" si="21"/>
        <v>984443.05500000005</v>
      </c>
    </row>
    <row r="329" spans="1:9" ht="45" hidden="1" outlineLevel="2">
      <c r="A329" s="93" t="s">
        <v>93</v>
      </c>
      <c r="B329" s="93" t="s">
        <v>74</v>
      </c>
      <c r="D329" s="63" t="s">
        <v>197</v>
      </c>
      <c r="E329" s="93" t="s">
        <v>72</v>
      </c>
      <c r="F329" s="96">
        <v>1992</v>
      </c>
      <c r="G329" s="63">
        <f t="shared" si="20"/>
        <v>24.5</v>
      </c>
      <c r="H329" s="95">
        <v>98783.35</v>
      </c>
      <c r="I329" s="97">
        <f t="shared" si="21"/>
        <v>2420192.0750000002</v>
      </c>
    </row>
    <row r="330" spans="1:9" ht="45" hidden="1" outlineLevel="2">
      <c r="A330" s="93" t="s">
        <v>93</v>
      </c>
      <c r="B330" s="93" t="s">
        <v>74</v>
      </c>
      <c r="D330" s="63" t="s">
        <v>197</v>
      </c>
      <c r="E330" s="93" t="s">
        <v>72</v>
      </c>
      <c r="F330" s="96">
        <v>1993</v>
      </c>
      <c r="G330" s="63">
        <f t="shared" si="20"/>
        <v>23.5</v>
      </c>
      <c r="H330" s="95">
        <v>123856.14</v>
      </c>
      <c r="I330" s="97">
        <f t="shared" si="21"/>
        <v>2910619.29</v>
      </c>
    </row>
    <row r="331" spans="1:9" ht="45" hidden="1" outlineLevel="2">
      <c r="A331" s="93" t="s">
        <v>93</v>
      </c>
      <c r="B331" s="93" t="s">
        <v>74</v>
      </c>
      <c r="D331" s="63" t="s">
        <v>197</v>
      </c>
      <c r="E331" s="93" t="s">
        <v>72</v>
      </c>
      <c r="F331" s="96">
        <v>1994</v>
      </c>
      <c r="G331" s="63">
        <f t="shared" ref="G331:G352" si="22">2016.5-F331</f>
        <v>22.5</v>
      </c>
      <c r="H331" s="95">
        <v>463566.41</v>
      </c>
      <c r="I331" s="97">
        <f t="shared" ref="I331:I352" si="23">+G331*H331</f>
        <v>10430244.225</v>
      </c>
    </row>
    <row r="332" spans="1:9" ht="45" hidden="1" outlineLevel="2">
      <c r="A332" s="93" t="s">
        <v>93</v>
      </c>
      <c r="B332" s="93" t="s">
        <v>74</v>
      </c>
      <c r="D332" s="63" t="s">
        <v>197</v>
      </c>
      <c r="E332" s="93" t="s">
        <v>72</v>
      </c>
      <c r="F332" s="96">
        <v>1995</v>
      </c>
      <c r="G332" s="63">
        <f t="shared" si="22"/>
        <v>21.5</v>
      </c>
      <c r="H332" s="95">
        <v>577984.56000000006</v>
      </c>
      <c r="I332" s="97">
        <f t="shared" si="23"/>
        <v>12426668.040000001</v>
      </c>
    </row>
    <row r="333" spans="1:9" ht="45" hidden="1" outlineLevel="2">
      <c r="A333" s="93" t="s">
        <v>93</v>
      </c>
      <c r="B333" s="93" t="s">
        <v>74</v>
      </c>
      <c r="D333" s="63" t="s">
        <v>197</v>
      </c>
      <c r="E333" s="93" t="s">
        <v>72</v>
      </c>
      <c r="F333" s="96">
        <v>1996</v>
      </c>
      <c r="G333" s="63">
        <f t="shared" si="22"/>
        <v>20.5</v>
      </c>
      <c r="H333" s="95">
        <v>944160.18</v>
      </c>
      <c r="I333" s="97">
        <f t="shared" si="23"/>
        <v>19355283.690000001</v>
      </c>
    </row>
    <row r="334" spans="1:9" ht="45" hidden="1" outlineLevel="2">
      <c r="A334" s="93" t="s">
        <v>93</v>
      </c>
      <c r="B334" s="93" t="s">
        <v>74</v>
      </c>
      <c r="D334" s="63" t="s">
        <v>197</v>
      </c>
      <c r="E334" s="93" t="s">
        <v>72</v>
      </c>
      <c r="F334" s="96">
        <v>1997</v>
      </c>
      <c r="G334" s="63">
        <f t="shared" si="22"/>
        <v>19.5</v>
      </c>
      <c r="H334" s="95">
        <v>4135.34</v>
      </c>
      <c r="I334" s="97">
        <f t="shared" si="23"/>
        <v>80639.13</v>
      </c>
    </row>
    <row r="335" spans="1:9" ht="45" hidden="1" outlineLevel="2">
      <c r="A335" s="93" t="s">
        <v>93</v>
      </c>
      <c r="B335" s="93" t="s">
        <v>74</v>
      </c>
      <c r="D335" s="63" t="s">
        <v>197</v>
      </c>
      <c r="E335" s="93" t="s">
        <v>72</v>
      </c>
      <c r="F335" s="96">
        <v>1998</v>
      </c>
      <c r="G335" s="63">
        <f t="shared" si="22"/>
        <v>18.5</v>
      </c>
      <c r="H335" s="95">
        <v>646129.03</v>
      </c>
      <c r="I335" s="97">
        <f t="shared" si="23"/>
        <v>11953387.055</v>
      </c>
    </row>
    <row r="336" spans="1:9" ht="45" hidden="1" outlineLevel="2">
      <c r="A336" s="93" t="s">
        <v>93</v>
      </c>
      <c r="B336" s="93" t="s">
        <v>74</v>
      </c>
      <c r="D336" s="63" t="s">
        <v>197</v>
      </c>
      <c r="E336" s="93" t="s">
        <v>72</v>
      </c>
      <c r="F336" s="96">
        <v>1999</v>
      </c>
      <c r="G336" s="63">
        <f t="shared" si="22"/>
        <v>17.5</v>
      </c>
      <c r="H336" s="95">
        <v>5000.6899999999996</v>
      </c>
      <c r="I336" s="97">
        <f t="shared" si="23"/>
        <v>87512.074999999997</v>
      </c>
    </row>
    <row r="337" spans="1:9" ht="45" hidden="1" outlineLevel="2">
      <c r="A337" s="93" t="s">
        <v>93</v>
      </c>
      <c r="B337" s="93" t="s">
        <v>74</v>
      </c>
      <c r="D337" s="63" t="s">
        <v>197</v>
      </c>
      <c r="E337" s="93" t="s">
        <v>72</v>
      </c>
      <c r="F337" s="96">
        <v>2000</v>
      </c>
      <c r="G337" s="63">
        <f t="shared" si="22"/>
        <v>16.5</v>
      </c>
      <c r="H337" s="95">
        <v>346122.68</v>
      </c>
      <c r="I337" s="97">
        <f t="shared" si="23"/>
        <v>5711024.2199999997</v>
      </c>
    </row>
    <row r="338" spans="1:9" ht="45" hidden="1" outlineLevel="2">
      <c r="A338" s="93" t="s">
        <v>93</v>
      </c>
      <c r="B338" s="93" t="s">
        <v>74</v>
      </c>
      <c r="D338" s="63" t="s">
        <v>197</v>
      </c>
      <c r="E338" s="93" t="s">
        <v>72</v>
      </c>
      <c r="F338" s="96">
        <v>2002</v>
      </c>
      <c r="G338" s="63">
        <f t="shared" si="22"/>
        <v>14.5</v>
      </c>
      <c r="H338" s="95">
        <v>2133056.2400000002</v>
      </c>
      <c r="I338" s="97">
        <f t="shared" si="23"/>
        <v>30929315.480000004</v>
      </c>
    </row>
    <row r="339" spans="1:9" ht="45" hidden="1" outlineLevel="2">
      <c r="A339" s="93" t="s">
        <v>93</v>
      </c>
      <c r="B339" s="93" t="s">
        <v>74</v>
      </c>
      <c r="D339" s="63" t="s">
        <v>197</v>
      </c>
      <c r="E339" s="93" t="s">
        <v>72</v>
      </c>
      <c r="F339" s="96">
        <v>2003</v>
      </c>
      <c r="G339" s="63">
        <f t="shared" si="22"/>
        <v>13.5</v>
      </c>
      <c r="H339" s="95">
        <v>347100.59</v>
      </c>
      <c r="I339" s="97">
        <f t="shared" si="23"/>
        <v>4685857.9650000008</v>
      </c>
    </row>
    <row r="340" spans="1:9" ht="45" hidden="1" outlineLevel="2">
      <c r="A340" s="93" t="s">
        <v>93</v>
      </c>
      <c r="B340" s="93" t="s">
        <v>74</v>
      </c>
      <c r="D340" s="63" t="s">
        <v>197</v>
      </c>
      <c r="E340" s="93" t="s">
        <v>72</v>
      </c>
      <c r="F340" s="96">
        <v>2004</v>
      </c>
      <c r="G340" s="63">
        <f t="shared" si="22"/>
        <v>12.5</v>
      </c>
      <c r="H340" s="95">
        <v>993302.32</v>
      </c>
      <c r="I340" s="97">
        <f t="shared" si="23"/>
        <v>12416279</v>
      </c>
    </row>
    <row r="341" spans="1:9" ht="45" hidden="1" outlineLevel="2">
      <c r="A341" s="93" t="s">
        <v>93</v>
      </c>
      <c r="B341" s="93" t="s">
        <v>74</v>
      </c>
      <c r="D341" s="63" t="s">
        <v>197</v>
      </c>
      <c r="E341" s="93" t="s">
        <v>72</v>
      </c>
      <c r="F341" s="96">
        <v>2005</v>
      </c>
      <c r="G341" s="63">
        <f t="shared" si="22"/>
        <v>11.5</v>
      </c>
      <c r="H341" s="95">
        <v>1837475.33</v>
      </c>
      <c r="I341" s="97">
        <f t="shared" si="23"/>
        <v>21130966.295000002</v>
      </c>
    </row>
    <row r="342" spans="1:9" ht="45" hidden="1" outlineLevel="2">
      <c r="A342" s="93" t="s">
        <v>93</v>
      </c>
      <c r="B342" s="93" t="s">
        <v>74</v>
      </c>
      <c r="D342" s="63" t="s">
        <v>197</v>
      </c>
      <c r="E342" s="93" t="s">
        <v>72</v>
      </c>
      <c r="F342" s="96">
        <v>2006</v>
      </c>
      <c r="G342" s="63">
        <f t="shared" si="22"/>
        <v>10.5</v>
      </c>
      <c r="H342" s="95">
        <v>2492078.31</v>
      </c>
      <c r="I342" s="97">
        <f t="shared" si="23"/>
        <v>26166822.254999999</v>
      </c>
    </row>
    <row r="343" spans="1:9" ht="45" hidden="1" outlineLevel="2">
      <c r="A343" s="93" t="s">
        <v>93</v>
      </c>
      <c r="B343" s="93" t="s">
        <v>74</v>
      </c>
      <c r="D343" s="63" t="s">
        <v>197</v>
      </c>
      <c r="E343" s="93" t="s">
        <v>72</v>
      </c>
      <c r="F343" s="96">
        <v>2007</v>
      </c>
      <c r="G343" s="63">
        <f t="shared" si="22"/>
        <v>9.5</v>
      </c>
      <c r="H343" s="95">
        <v>1025499.53</v>
      </c>
      <c r="I343" s="97">
        <f t="shared" si="23"/>
        <v>9742245.5350000001</v>
      </c>
    </row>
    <row r="344" spans="1:9" ht="45" hidden="1" outlineLevel="2">
      <c r="A344" s="93" t="s">
        <v>93</v>
      </c>
      <c r="B344" s="93" t="s">
        <v>74</v>
      </c>
      <c r="D344" s="63" t="s">
        <v>197</v>
      </c>
      <c r="E344" s="93" t="s">
        <v>72</v>
      </c>
      <c r="F344" s="96">
        <v>2008</v>
      </c>
      <c r="G344" s="63">
        <f t="shared" si="22"/>
        <v>8.5</v>
      </c>
      <c r="H344" s="95">
        <v>1576164.75</v>
      </c>
      <c r="I344" s="97">
        <f t="shared" si="23"/>
        <v>13397400.375</v>
      </c>
    </row>
    <row r="345" spans="1:9" ht="45" hidden="1" outlineLevel="2">
      <c r="A345" s="93" t="s">
        <v>93</v>
      </c>
      <c r="B345" s="93" t="s">
        <v>74</v>
      </c>
      <c r="D345" s="63" t="s">
        <v>197</v>
      </c>
      <c r="E345" s="93" t="s">
        <v>72</v>
      </c>
      <c r="F345" s="96">
        <v>2009</v>
      </c>
      <c r="G345" s="63">
        <f t="shared" si="22"/>
        <v>7.5</v>
      </c>
      <c r="H345" s="95">
        <v>39771446.329999998</v>
      </c>
      <c r="I345" s="97">
        <f t="shared" si="23"/>
        <v>298285847.47499996</v>
      </c>
    </row>
    <row r="346" spans="1:9" ht="45" hidden="1" outlineLevel="2">
      <c r="A346" s="93" t="s">
        <v>93</v>
      </c>
      <c r="B346" s="93" t="s">
        <v>74</v>
      </c>
      <c r="D346" s="63" t="s">
        <v>197</v>
      </c>
      <c r="E346" s="93" t="s">
        <v>72</v>
      </c>
      <c r="F346" s="96">
        <v>2010</v>
      </c>
      <c r="G346" s="63">
        <f t="shared" si="22"/>
        <v>6.5</v>
      </c>
      <c r="H346" s="95">
        <v>6143598.3600000003</v>
      </c>
      <c r="I346" s="97">
        <f t="shared" si="23"/>
        <v>39933389.340000004</v>
      </c>
    </row>
    <row r="347" spans="1:9" ht="45" hidden="1" outlineLevel="2">
      <c r="A347" s="93" t="s">
        <v>93</v>
      </c>
      <c r="B347" s="93" t="s">
        <v>74</v>
      </c>
      <c r="D347" s="63" t="s">
        <v>197</v>
      </c>
      <c r="E347" s="93" t="s">
        <v>72</v>
      </c>
      <c r="F347" s="96">
        <v>2011</v>
      </c>
      <c r="G347" s="63">
        <f t="shared" si="22"/>
        <v>5.5</v>
      </c>
      <c r="H347" s="95">
        <v>2117406.27</v>
      </c>
      <c r="I347" s="97">
        <f t="shared" si="23"/>
        <v>11645734.484999999</v>
      </c>
    </row>
    <row r="348" spans="1:9" ht="45" hidden="1" outlineLevel="2">
      <c r="A348" s="93" t="s">
        <v>93</v>
      </c>
      <c r="B348" s="93" t="s">
        <v>74</v>
      </c>
      <c r="D348" s="63" t="s">
        <v>197</v>
      </c>
      <c r="E348" s="93" t="s">
        <v>72</v>
      </c>
      <c r="F348" s="96">
        <v>2012</v>
      </c>
      <c r="G348" s="63">
        <f t="shared" si="22"/>
        <v>4.5</v>
      </c>
      <c r="H348" s="95">
        <v>6920958.3300000001</v>
      </c>
      <c r="I348" s="97">
        <f t="shared" si="23"/>
        <v>31144312.484999999</v>
      </c>
    </row>
    <row r="349" spans="1:9" ht="45" hidden="1" outlineLevel="2">
      <c r="A349" s="93" t="s">
        <v>93</v>
      </c>
      <c r="B349" s="93" t="s">
        <v>74</v>
      </c>
      <c r="D349" s="63" t="s">
        <v>197</v>
      </c>
      <c r="E349" s="93" t="s">
        <v>72</v>
      </c>
      <c r="F349" s="96">
        <v>2013</v>
      </c>
      <c r="G349" s="63">
        <f t="shared" si="22"/>
        <v>3.5</v>
      </c>
      <c r="H349" s="95">
        <v>282852.56</v>
      </c>
      <c r="I349" s="97">
        <f t="shared" si="23"/>
        <v>989983.96</v>
      </c>
    </row>
    <row r="350" spans="1:9" ht="45" hidden="1" outlineLevel="2">
      <c r="A350" s="93" t="s">
        <v>93</v>
      </c>
      <c r="B350" s="93" t="s">
        <v>74</v>
      </c>
      <c r="D350" s="63" t="s">
        <v>197</v>
      </c>
      <c r="E350" s="93" t="s">
        <v>72</v>
      </c>
      <c r="F350" s="96">
        <v>2014</v>
      </c>
      <c r="G350" s="63">
        <f t="shared" si="22"/>
        <v>2.5</v>
      </c>
      <c r="H350" s="95">
        <v>1160217.99</v>
      </c>
      <c r="I350" s="97">
        <f t="shared" si="23"/>
        <v>2900544.9750000001</v>
      </c>
    </row>
    <row r="351" spans="1:9" ht="45" hidden="1" outlineLevel="2">
      <c r="A351" s="93" t="s">
        <v>93</v>
      </c>
      <c r="B351" s="93" t="s">
        <v>74</v>
      </c>
      <c r="D351" s="63" t="s">
        <v>197</v>
      </c>
      <c r="E351" s="93" t="s">
        <v>72</v>
      </c>
      <c r="F351" s="96">
        <v>2015</v>
      </c>
      <c r="G351" s="63">
        <f t="shared" si="22"/>
        <v>1.5</v>
      </c>
      <c r="H351" s="95">
        <v>4256576.22</v>
      </c>
      <c r="I351" s="97">
        <f t="shared" si="23"/>
        <v>6384864.3300000001</v>
      </c>
    </row>
    <row r="352" spans="1:9" ht="45" hidden="1" outlineLevel="2">
      <c r="A352" s="93" t="s">
        <v>93</v>
      </c>
      <c r="B352" s="93" t="s">
        <v>74</v>
      </c>
      <c r="D352" s="63" t="s">
        <v>197</v>
      </c>
      <c r="E352" s="93" t="s">
        <v>72</v>
      </c>
      <c r="F352" s="96">
        <v>2016</v>
      </c>
      <c r="G352" s="63">
        <f t="shared" si="22"/>
        <v>0.5</v>
      </c>
      <c r="H352" s="95">
        <v>3772294.77</v>
      </c>
      <c r="I352" s="97">
        <f t="shared" si="23"/>
        <v>1886147.385</v>
      </c>
    </row>
    <row r="353" spans="1:10" s="63" customFormat="1" ht="30" outlineLevel="1" collapsed="1">
      <c r="A353" s="26" t="str">
        <f>+A352</f>
        <v>Crist</v>
      </c>
      <c r="B353" s="94"/>
      <c r="C353" s="26"/>
      <c r="D353" s="26" t="str">
        <f>+D352</f>
        <v>Crist Common</v>
      </c>
      <c r="E353" s="94" t="s">
        <v>205</v>
      </c>
      <c r="F353" s="96"/>
      <c r="H353" s="95">
        <f>SUBTOTAL(9,H299:H352)</f>
        <v>127423259.25999999</v>
      </c>
      <c r="I353" s="97">
        <f>SUBTOTAL(9,I299:I352)</f>
        <v>2473918027.8600006</v>
      </c>
      <c r="J353" s="64">
        <f>+I353/H353</f>
        <v>19.414964286952589</v>
      </c>
    </row>
    <row r="354" spans="1:10" ht="45" hidden="1" outlineLevel="2">
      <c r="A354" s="93" t="s">
        <v>93</v>
      </c>
      <c r="B354" s="93" t="s">
        <v>74</v>
      </c>
      <c r="D354" s="63" t="s">
        <v>197</v>
      </c>
      <c r="E354" s="93" t="s">
        <v>67</v>
      </c>
      <c r="F354" s="96">
        <v>1977</v>
      </c>
      <c r="G354" s="63">
        <f t="shared" ref="G354:G391" si="24">2016.5-F354</f>
        <v>39.5</v>
      </c>
      <c r="H354" s="95">
        <v>1421591.5318</v>
      </c>
      <c r="I354" s="97">
        <f t="shared" ref="I354:I391" si="25">+G354*H354</f>
        <v>56152865.506099999</v>
      </c>
    </row>
    <row r="355" spans="1:10" ht="45" hidden="1" outlineLevel="2">
      <c r="A355" s="93" t="s">
        <v>93</v>
      </c>
      <c r="B355" s="93" t="s">
        <v>74</v>
      </c>
      <c r="D355" s="63" t="s">
        <v>197</v>
      </c>
      <c r="E355" s="93" t="s">
        <v>67</v>
      </c>
      <c r="F355" s="96">
        <v>1978</v>
      </c>
      <c r="G355" s="63">
        <f t="shared" si="24"/>
        <v>38.5</v>
      </c>
      <c r="H355" s="95">
        <v>664429.4</v>
      </c>
      <c r="I355" s="97">
        <f t="shared" si="25"/>
        <v>25580531.900000002</v>
      </c>
    </row>
    <row r="356" spans="1:10" ht="45" hidden="1" outlineLevel="2">
      <c r="A356" s="93" t="s">
        <v>93</v>
      </c>
      <c r="B356" s="93" t="s">
        <v>74</v>
      </c>
      <c r="D356" s="63" t="s">
        <v>197</v>
      </c>
      <c r="E356" s="93" t="s">
        <v>67</v>
      </c>
      <c r="F356" s="96">
        <v>1979</v>
      </c>
      <c r="G356" s="63">
        <f t="shared" si="24"/>
        <v>37.5</v>
      </c>
      <c r="H356" s="95">
        <v>496680.07</v>
      </c>
      <c r="I356" s="97">
        <f t="shared" si="25"/>
        <v>18625502.625</v>
      </c>
    </row>
    <row r="357" spans="1:10" ht="45" hidden="1" outlineLevel="2">
      <c r="A357" s="93" t="s">
        <v>93</v>
      </c>
      <c r="B357" s="93" t="s">
        <v>74</v>
      </c>
      <c r="D357" s="63" t="s">
        <v>197</v>
      </c>
      <c r="E357" s="93" t="s">
        <v>67</v>
      </c>
      <c r="F357" s="96">
        <v>1980</v>
      </c>
      <c r="G357" s="63">
        <f t="shared" si="24"/>
        <v>36.5</v>
      </c>
      <c r="H357" s="95">
        <v>160299.53</v>
      </c>
      <c r="I357" s="97">
        <f t="shared" si="25"/>
        <v>5850932.8449999997</v>
      </c>
    </row>
    <row r="358" spans="1:10" ht="45" hidden="1" outlineLevel="2">
      <c r="A358" s="93" t="s">
        <v>93</v>
      </c>
      <c r="B358" s="93" t="s">
        <v>74</v>
      </c>
      <c r="D358" s="63" t="s">
        <v>197</v>
      </c>
      <c r="E358" s="93" t="s">
        <v>67</v>
      </c>
      <c r="F358" s="96">
        <v>1981</v>
      </c>
      <c r="G358" s="63">
        <f t="shared" si="24"/>
        <v>35.5</v>
      </c>
      <c r="H358" s="95">
        <v>190484.11</v>
      </c>
      <c r="I358" s="97">
        <f t="shared" si="25"/>
        <v>6762185.9049999993</v>
      </c>
    </row>
    <row r="359" spans="1:10" ht="45" hidden="1" outlineLevel="2">
      <c r="A359" s="93" t="s">
        <v>93</v>
      </c>
      <c r="B359" s="93" t="s">
        <v>74</v>
      </c>
      <c r="D359" s="63" t="s">
        <v>197</v>
      </c>
      <c r="E359" s="93" t="s">
        <v>67</v>
      </c>
      <c r="F359" s="96">
        <v>1982</v>
      </c>
      <c r="G359" s="63">
        <f t="shared" si="24"/>
        <v>34.5</v>
      </c>
      <c r="H359" s="95">
        <v>2114194.5</v>
      </c>
      <c r="I359" s="97">
        <f t="shared" si="25"/>
        <v>72939710.25</v>
      </c>
    </row>
    <row r="360" spans="1:10" ht="45" hidden="1" outlineLevel="2">
      <c r="A360" s="93" t="s">
        <v>93</v>
      </c>
      <c r="B360" s="93" t="s">
        <v>74</v>
      </c>
      <c r="D360" s="63" t="s">
        <v>197</v>
      </c>
      <c r="E360" s="93" t="s">
        <v>67</v>
      </c>
      <c r="F360" s="96">
        <v>1983</v>
      </c>
      <c r="G360" s="63">
        <f t="shared" si="24"/>
        <v>33.5</v>
      </c>
      <c r="H360" s="95">
        <v>14877011.23</v>
      </c>
      <c r="I360" s="97">
        <f t="shared" si="25"/>
        <v>498379876.20500004</v>
      </c>
    </row>
    <row r="361" spans="1:10" ht="45" hidden="1" outlineLevel="2">
      <c r="A361" s="93" t="s">
        <v>93</v>
      </c>
      <c r="B361" s="93" t="s">
        <v>74</v>
      </c>
      <c r="D361" s="63" t="s">
        <v>197</v>
      </c>
      <c r="E361" s="93" t="s">
        <v>67</v>
      </c>
      <c r="F361" s="96">
        <v>1984</v>
      </c>
      <c r="G361" s="63">
        <f t="shared" si="24"/>
        <v>32.5</v>
      </c>
      <c r="H361" s="95">
        <v>1176006.3400000001</v>
      </c>
      <c r="I361" s="97">
        <f t="shared" si="25"/>
        <v>38220206.050000004</v>
      </c>
    </row>
    <row r="362" spans="1:10" ht="45" hidden="1" outlineLevel="2">
      <c r="A362" s="93" t="s">
        <v>93</v>
      </c>
      <c r="B362" s="93" t="s">
        <v>74</v>
      </c>
      <c r="D362" s="63" t="s">
        <v>197</v>
      </c>
      <c r="E362" s="93" t="s">
        <v>67</v>
      </c>
      <c r="F362" s="96">
        <v>1985</v>
      </c>
      <c r="G362" s="63">
        <f t="shared" si="24"/>
        <v>31.5</v>
      </c>
      <c r="H362" s="95">
        <v>151687.45000000001</v>
      </c>
      <c r="I362" s="97">
        <f t="shared" si="25"/>
        <v>4778154.6750000007</v>
      </c>
    </row>
    <row r="363" spans="1:10" ht="45" hidden="1" outlineLevel="2">
      <c r="A363" s="93" t="s">
        <v>93</v>
      </c>
      <c r="B363" s="93" t="s">
        <v>74</v>
      </c>
      <c r="D363" s="63" t="s">
        <v>197</v>
      </c>
      <c r="E363" s="93" t="s">
        <v>67</v>
      </c>
      <c r="F363" s="96">
        <v>1986</v>
      </c>
      <c r="G363" s="63">
        <f t="shared" si="24"/>
        <v>30.5</v>
      </c>
      <c r="H363" s="95">
        <v>132464.64000000001</v>
      </c>
      <c r="I363" s="97">
        <f t="shared" si="25"/>
        <v>4040171.5200000005</v>
      </c>
    </row>
    <row r="364" spans="1:10" ht="45" hidden="1" outlineLevel="2">
      <c r="A364" s="93" t="s">
        <v>93</v>
      </c>
      <c r="B364" s="93" t="s">
        <v>74</v>
      </c>
      <c r="D364" s="63" t="s">
        <v>197</v>
      </c>
      <c r="E364" s="93" t="s">
        <v>67</v>
      </c>
      <c r="F364" s="96">
        <v>1987</v>
      </c>
      <c r="G364" s="63">
        <f t="shared" si="24"/>
        <v>29.5</v>
      </c>
      <c r="H364" s="95">
        <v>102742.34</v>
      </c>
      <c r="I364" s="97">
        <f t="shared" si="25"/>
        <v>3030899.03</v>
      </c>
    </row>
    <row r="365" spans="1:10" ht="45" hidden="1" outlineLevel="2">
      <c r="A365" s="93" t="s">
        <v>93</v>
      </c>
      <c r="B365" s="93" t="s">
        <v>74</v>
      </c>
      <c r="D365" s="63" t="s">
        <v>197</v>
      </c>
      <c r="E365" s="93" t="s">
        <v>67</v>
      </c>
      <c r="F365" s="96">
        <v>1988</v>
      </c>
      <c r="G365" s="63">
        <f t="shared" si="24"/>
        <v>28.5</v>
      </c>
      <c r="H365" s="95">
        <v>100749.84</v>
      </c>
      <c r="I365" s="97">
        <f t="shared" si="25"/>
        <v>2871370.44</v>
      </c>
    </row>
    <row r="366" spans="1:10" ht="45" hidden="1" outlineLevel="2">
      <c r="A366" s="93" t="s">
        <v>93</v>
      </c>
      <c r="B366" s="93" t="s">
        <v>74</v>
      </c>
      <c r="D366" s="63" t="s">
        <v>197</v>
      </c>
      <c r="E366" s="93" t="s">
        <v>67</v>
      </c>
      <c r="F366" s="96">
        <v>1989</v>
      </c>
      <c r="G366" s="63">
        <f t="shared" si="24"/>
        <v>27.5</v>
      </c>
      <c r="H366" s="95">
        <v>398262.8</v>
      </c>
      <c r="I366" s="97">
        <f t="shared" si="25"/>
        <v>10952227</v>
      </c>
    </row>
    <row r="367" spans="1:10" ht="45" hidden="1" outlineLevel="2">
      <c r="A367" s="93" t="s">
        <v>93</v>
      </c>
      <c r="B367" s="93" t="s">
        <v>74</v>
      </c>
      <c r="D367" s="63" t="s">
        <v>197</v>
      </c>
      <c r="E367" s="93" t="s">
        <v>67</v>
      </c>
      <c r="F367" s="96">
        <v>1990</v>
      </c>
      <c r="G367" s="63">
        <f t="shared" si="24"/>
        <v>26.5</v>
      </c>
      <c r="H367" s="95">
        <v>149756.81</v>
      </c>
      <c r="I367" s="97">
        <f t="shared" si="25"/>
        <v>3968555.4649999999</v>
      </c>
    </row>
    <row r="368" spans="1:10" ht="45" hidden="1" outlineLevel="2">
      <c r="A368" s="93" t="s">
        <v>93</v>
      </c>
      <c r="B368" s="93" t="s">
        <v>74</v>
      </c>
      <c r="D368" s="63" t="s">
        <v>197</v>
      </c>
      <c r="E368" s="93" t="s">
        <v>67</v>
      </c>
      <c r="F368" s="96">
        <v>1992</v>
      </c>
      <c r="G368" s="63">
        <f t="shared" si="24"/>
        <v>24.5</v>
      </c>
      <c r="H368" s="95">
        <v>72183.31</v>
      </c>
      <c r="I368" s="97">
        <f t="shared" si="25"/>
        <v>1768491.095</v>
      </c>
    </row>
    <row r="369" spans="1:9" ht="45" hidden="1" outlineLevel="2">
      <c r="A369" s="93" t="s">
        <v>93</v>
      </c>
      <c r="B369" s="93" t="s">
        <v>74</v>
      </c>
      <c r="D369" s="63" t="s">
        <v>197</v>
      </c>
      <c r="E369" s="93" t="s">
        <v>67</v>
      </c>
      <c r="F369" s="96">
        <v>1993</v>
      </c>
      <c r="G369" s="63">
        <f t="shared" si="24"/>
        <v>23.5</v>
      </c>
      <c r="H369" s="95">
        <v>168192.09</v>
      </c>
      <c r="I369" s="97">
        <f t="shared" si="25"/>
        <v>3952514.1149999998</v>
      </c>
    </row>
    <row r="370" spans="1:9" ht="45" hidden="1" outlineLevel="2">
      <c r="A370" s="93" t="s">
        <v>93</v>
      </c>
      <c r="B370" s="93" t="s">
        <v>74</v>
      </c>
      <c r="D370" s="63" t="s">
        <v>197</v>
      </c>
      <c r="E370" s="93" t="s">
        <v>67</v>
      </c>
      <c r="F370" s="96">
        <v>1994</v>
      </c>
      <c r="G370" s="63">
        <f t="shared" si="24"/>
        <v>22.5</v>
      </c>
      <c r="H370" s="95">
        <v>1502987.91</v>
      </c>
      <c r="I370" s="97">
        <f t="shared" si="25"/>
        <v>33817227.975000001</v>
      </c>
    </row>
    <row r="371" spans="1:9" ht="45" hidden="1" outlineLevel="2">
      <c r="A371" s="93" t="s">
        <v>93</v>
      </c>
      <c r="B371" s="93" t="s">
        <v>74</v>
      </c>
      <c r="D371" s="63" t="s">
        <v>197</v>
      </c>
      <c r="E371" s="93" t="s">
        <v>67</v>
      </c>
      <c r="F371" s="96">
        <v>1995</v>
      </c>
      <c r="G371" s="63">
        <f t="shared" si="24"/>
        <v>21.5</v>
      </c>
      <c r="H371" s="95">
        <v>299878.90000000002</v>
      </c>
      <c r="I371" s="97">
        <f t="shared" si="25"/>
        <v>6447396.3500000006</v>
      </c>
    </row>
    <row r="372" spans="1:9" ht="45" hidden="1" outlineLevel="2">
      <c r="A372" s="93" t="s">
        <v>93</v>
      </c>
      <c r="B372" s="93" t="s">
        <v>74</v>
      </c>
      <c r="D372" s="63" t="s">
        <v>197</v>
      </c>
      <c r="E372" s="93" t="s">
        <v>67</v>
      </c>
      <c r="F372" s="96">
        <v>1997</v>
      </c>
      <c r="G372" s="63">
        <f t="shared" si="24"/>
        <v>19.5</v>
      </c>
      <c r="H372" s="95">
        <v>10850.34</v>
      </c>
      <c r="I372" s="97">
        <f t="shared" si="25"/>
        <v>211581.63</v>
      </c>
    </row>
    <row r="373" spans="1:9" ht="45" hidden="1" outlineLevel="2">
      <c r="A373" s="93" t="s">
        <v>93</v>
      </c>
      <c r="B373" s="93" t="s">
        <v>74</v>
      </c>
      <c r="D373" s="63" t="s">
        <v>197</v>
      </c>
      <c r="E373" s="93" t="s">
        <v>67</v>
      </c>
      <c r="F373" s="96">
        <v>1998</v>
      </c>
      <c r="G373" s="63">
        <f t="shared" si="24"/>
        <v>18.5</v>
      </c>
      <c r="H373" s="95">
        <v>424406.09</v>
      </c>
      <c r="I373" s="97">
        <f t="shared" si="25"/>
        <v>7851512.665</v>
      </c>
    </row>
    <row r="374" spans="1:9" ht="45" hidden="1" outlineLevel="2">
      <c r="A374" s="93" t="s">
        <v>93</v>
      </c>
      <c r="B374" s="93" t="s">
        <v>74</v>
      </c>
      <c r="D374" s="63" t="s">
        <v>197</v>
      </c>
      <c r="E374" s="93" t="s">
        <v>67</v>
      </c>
      <c r="F374" s="96">
        <v>1999</v>
      </c>
      <c r="G374" s="63">
        <f t="shared" si="24"/>
        <v>17.5</v>
      </c>
      <c r="H374" s="95">
        <v>862637.82</v>
      </c>
      <c r="I374" s="97">
        <f t="shared" si="25"/>
        <v>15096161.85</v>
      </c>
    </row>
    <row r="375" spans="1:9" ht="45" hidden="1" outlineLevel="2">
      <c r="A375" s="93" t="s">
        <v>93</v>
      </c>
      <c r="B375" s="93" t="s">
        <v>74</v>
      </c>
      <c r="D375" s="63" t="s">
        <v>197</v>
      </c>
      <c r="E375" s="93" t="s">
        <v>67</v>
      </c>
      <c r="F375" s="96">
        <v>2000</v>
      </c>
      <c r="G375" s="63">
        <f t="shared" si="24"/>
        <v>16.5</v>
      </c>
      <c r="H375" s="95">
        <v>514329.13</v>
      </c>
      <c r="I375" s="97">
        <f t="shared" si="25"/>
        <v>8486430.6449999996</v>
      </c>
    </row>
    <row r="376" spans="1:9" ht="45" hidden="1" outlineLevel="2">
      <c r="A376" s="93" t="s">
        <v>93</v>
      </c>
      <c r="B376" s="93" t="s">
        <v>74</v>
      </c>
      <c r="D376" s="63" t="s">
        <v>197</v>
      </c>
      <c r="E376" s="93" t="s">
        <v>67</v>
      </c>
      <c r="F376" s="96">
        <v>2001</v>
      </c>
      <c r="G376" s="63">
        <f t="shared" si="24"/>
        <v>15.5</v>
      </c>
      <c r="H376" s="95">
        <v>321323.32</v>
      </c>
      <c r="I376" s="97">
        <f t="shared" si="25"/>
        <v>4980511.46</v>
      </c>
    </row>
    <row r="377" spans="1:9" ht="45" hidden="1" outlineLevel="2">
      <c r="A377" s="93" t="s">
        <v>93</v>
      </c>
      <c r="B377" s="93" t="s">
        <v>74</v>
      </c>
      <c r="D377" s="63" t="s">
        <v>197</v>
      </c>
      <c r="E377" s="93" t="s">
        <v>67</v>
      </c>
      <c r="F377" s="96">
        <v>2002</v>
      </c>
      <c r="G377" s="63">
        <f t="shared" si="24"/>
        <v>14.5</v>
      </c>
      <c r="H377" s="95">
        <v>6278832.7800000003</v>
      </c>
      <c r="I377" s="97">
        <f t="shared" si="25"/>
        <v>91043075.310000002</v>
      </c>
    </row>
    <row r="378" spans="1:9" ht="45" hidden="1" outlineLevel="2">
      <c r="A378" s="93" t="s">
        <v>93</v>
      </c>
      <c r="B378" s="93" t="s">
        <v>74</v>
      </c>
      <c r="D378" s="63" t="s">
        <v>197</v>
      </c>
      <c r="E378" s="93" t="s">
        <v>67</v>
      </c>
      <c r="F378" s="96">
        <v>2003</v>
      </c>
      <c r="G378" s="63">
        <f t="shared" si="24"/>
        <v>13.5</v>
      </c>
      <c r="H378" s="95">
        <v>830982.13</v>
      </c>
      <c r="I378" s="97">
        <f t="shared" si="25"/>
        <v>11218258.755000001</v>
      </c>
    </row>
    <row r="379" spans="1:9" ht="45" hidden="1" outlineLevel="2">
      <c r="A379" s="93" t="s">
        <v>93</v>
      </c>
      <c r="B379" s="93" t="s">
        <v>74</v>
      </c>
      <c r="D379" s="63" t="s">
        <v>197</v>
      </c>
      <c r="E379" s="93" t="s">
        <v>67</v>
      </c>
      <c r="F379" s="96">
        <v>2004</v>
      </c>
      <c r="G379" s="63">
        <f t="shared" si="24"/>
        <v>12.5</v>
      </c>
      <c r="H379" s="95">
        <v>100062.13</v>
      </c>
      <c r="I379" s="97">
        <f t="shared" si="25"/>
        <v>1250776.625</v>
      </c>
    </row>
    <row r="380" spans="1:9" ht="45" hidden="1" outlineLevel="2">
      <c r="A380" s="93" t="s">
        <v>93</v>
      </c>
      <c r="B380" s="93" t="s">
        <v>74</v>
      </c>
      <c r="D380" s="63" t="s">
        <v>197</v>
      </c>
      <c r="E380" s="93" t="s">
        <v>67</v>
      </c>
      <c r="F380" s="96">
        <v>2005</v>
      </c>
      <c r="G380" s="63">
        <f t="shared" si="24"/>
        <v>11.5</v>
      </c>
      <c r="H380" s="95">
        <v>785346.5</v>
      </c>
      <c r="I380" s="97">
        <f t="shared" si="25"/>
        <v>9031484.75</v>
      </c>
    </row>
    <row r="381" spans="1:9" ht="45" hidden="1" outlineLevel="2">
      <c r="A381" s="93" t="s">
        <v>93</v>
      </c>
      <c r="B381" s="93" t="s">
        <v>74</v>
      </c>
      <c r="D381" s="63" t="s">
        <v>197</v>
      </c>
      <c r="E381" s="93" t="s">
        <v>67</v>
      </c>
      <c r="F381" s="96">
        <v>2006</v>
      </c>
      <c r="G381" s="63">
        <f t="shared" si="24"/>
        <v>10.5</v>
      </c>
      <c r="H381" s="95">
        <v>4924683.26</v>
      </c>
      <c r="I381" s="97">
        <f t="shared" si="25"/>
        <v>51709174.229999997</v>
      </c>
    </row>
    <row r="382" spans="1:9" ht="45" hidden="1" outlineLevel="2">
      <c r="A382" s="93" t="s">
        <v>93</v>
      </c>
      <c r="B382" s="93" t="s">
        <v>74</v>
      </c>
      <c r="D382" s="63" t="s">
        <v>197</v>
      </c>
      <c r="E382" s="93" t="s">
        <v>67</v>
      </c>
      <c r="F382" s="96">
        <v>2007</v>
      </c>
      <c r="G382" s="63">
        <f t="shared" si="24"/>
        <v>9.5</v>
      </c>
      <c r="H382" s="95">
        <v>632625.03</v>
      </c>
      <c r="I382" s="97">
        <f t="shared" si="25"/>
        <v>6009937.7850000001</v>
      </c>
    </row>
    <row r="383" spans="1:9" ht="45" hidden="1" outlineLevel="2">
      <c r="A383" s="93" t="s">
        <v>93</v>
      </c>
      <c r="B383" s="93" t="s">
        <v>74</v>
      </c>
      <c r="D383" s="63" t="s">
        <v>197</v>
      </c>
      <c r="E383" s="93" t="s">
        <v>67</v>
      </c>
      <c r="F383" s="96">
        <v>2008</v>
      </c>
      <c r="G383" s="63">
        <f t="shared" si="24"/>
        <v>8.5</v>
      </c>
      <c r="H383" s="95">
        <v>4631741.55</v>
      </c>
      <c r="I383" s="97">
        <f t="shared" si="25"/>
        <v>39369803.174999997</v>
      </c>
    </row>
    <row r="384" spans="1:9" ht="45" hidden="1" outlineLevel="2">
      <c r="A384" s="93" t="s">
        <v>93</v>
      </c>
      <c r="B384" s="93" t="s">
        <v>74</v>
      </c>
      <c r="D384" s="63" t="s">
        <v>197</v>
      </c>
      <c r="E384" s="93" t="s">
        <v>67</v>
      </c>
      <c r="F384" s="96">
        <v>2009</v>
      </c>
      <c r="G384" s="63">
        <f t="shared" si="24"/>
        <v>7.5</v>
      </c>
      <c r="H384" s="95">
        <v>397550050.87</v>
      </c>
      <c r="I384" s="97">
        <f t="shared" si="25"/>
        <v>2981625381.5250001</v>
      </c>
    </row>
    <row r="385" spans="1:10" ht="45" hidden="1" outlineLevel="2">
      <c r="A385" s="93" t="s">
        <v>93</v>
      </c>
      <c r="B385" s="93" t="s">
        <v>74</v>
      </c>
      <c r="D385" s="63" t="s">
        <v>197</v>
      </c>
      <c r="E385" s="93" t="s">
        <v>67</v>
      </c>
      <c r="F385" s="96">
        <v>2010</v>
      </c>
      <c r="G385" s="63">
        <f t="shared" si="24"/>
        <v>6.5</v>
      </c>
      <c r="H385" s="95">
        <v>10237157.640000001</v>
      </c>
      <c r="I385" s="97">
        <f t="shared" si="25"/>
        <v>66541524.660000004</v>
      </c>
    </row>
    <row r="386" spans="1:10" ht="45" hidden="1" outlineLevel="2">
      <c r="A386" s="93" t="s">
        <v>93</v>
      </c>
      <c r="B386" s="93" t="s">
        <v>74</v>
      </c>
      <c r="D386" s="63" t="s">
        <v>197</v>
      </c>
      <c r="E386" s="93" t="s">
        <v>67</v>
      </c>
      <c r="F386" s="96">
        <v>2011</v>
      </c>
      <c r="G386" s="63">
        <f t="shared" si="24"/>
        <v>5.5</v>
      </c>
      <c r="H386" s="95">
        <v>11742178.470000001</v>
      </c>
      <c r="I386" s="97">
        <f t="shared" si="25"/>
        <v>64581981.585000001</v>
      </c>
    </row>
    <row r="387" spans="1:10" ht="45" hidden="1" outlineLevel="2">
      <c r="A387" s="93" t="s">
        <v>93</v>
      </c>
      <c r="B387" s="93" t="s">
        <v>74</v>
      </c>
      <c r="D387" s="63" t="s">
        <v>197</v>
      </c>
      <c r="E387" s="93" t="s">
        <v>67</v>
      </c>
      <c r="F387" s="96">
        <v>2012</v>
      </c>
      <c r="G387" s="63">
        <f t="shared" si="24"/>
        <v>4.5</v>
      </c>
      <c r="H387" s="95">
        <v>6429239.5800000001</v>
      </c>
      <c r="I387" s="97">
        <f t="shared" si="25"/>
        <v>28931578.109999999</v>
      </c>
    </row>
    <row r="388" spans="1:10" ht="45" hidden="1" outlineLevel="2">
      <c r="A388" s="93" t="s">
        <v>93</v>
      </c>
      <c r="B388" s="93" t="s">
        <v>74</v>
      </c>
      <c r="D388" s="63" t="s">
        <v>197</v>
      </c>
      <c r="E388" s="93" t="s">
        <v>67</v>
      </c>
      <c r="F388" s="96">
        <v>2013</v>
      </c>
      <c r="G388" s="63">
        <f t="shared" si="24"/>
        <v>3.5</v>
      </c>
      <c r="H388" s="95">
        <v>2558217.58</v>
      </c>
      <c r="I388" s="97">
        <f t="shared" si="25"/>
        <v>8953761.5300000012</v>
      </c>
    </row>
    <row r="389" spans="1:10" ht="45" hidden="1" outlineLevel="2">
      <c r="A389" s="93" t="s">
        <v>93</v>
      </c>
      <c r="B389" s="93" t="s">
        <v>74</v>
      </c>
      <c r="D389" s="63" t="s">
        <v>197</v>
      </c>
      <c r="E389" s="93" t="s">
        <v>67</v>
      </c>
      <c r="F389" s="96">
        <v>2014</v>
      </c>
      <c r="G389" s="63">
        <f t="shared" si="24"/>
        <v>2.5</v>
      </c>
      <c r="H389" s="95">
        <v>5333697.2</v>
      </c>
      <c r="I389" s="97">
        <f t="shared" si="25"/>
        <v>13334243</v>
      </c>
    </row>
    <row r="390" spans="1:10" ht="45" hidden="1" outlineLevel="2">
      <c r="A390" s="93" t="s">
        <v>93</v>
      </c>
      <c r="B390" s="93" t="s">
        <v>74</v>
      </c>
      <c r="D390" s="63" t="s">
        <v>197</v>
      </c>
      <c r="E390" s="93" t="s">
        <v>67</v>
      </c>
      <c r="F390" s="96">
        <v>2015</v>
      </c>
      <c r="G390" s="63">
        <f t="shared" si="24"/>
        <v>1.5</v>
      </c>
      <c r="H390" s="95">
        <v>3817827.01</v>
      </c>
      <c r="I390" s="97">
        <f t="shared" si="25"/>
        <v>5726740.5149999997</v>
      </c>
    </row>
    <row r="391" spans="1:10" ht="45" hidden="1" outlineLevel="2">
      <c r="A391" s="93" t="s">
        <v>93</v>
      </c>
      <c r="B391" s="93" t="s">
        <v>74</v>
      </c>
      <c r="D391" s="63" t="s">
        <v>197</v>
      </c>
      <c r="E391" s="93" t="s">
        <v>67</v>
      </c>
      <c r="F391" s="96">
        <v>2016</v>
      </c>
      <c r="G391" s="63">
        <f t="shared" si="24"/>
        <v>0.5</v>
      </c>
      <c r="H391" s="95">
        <v>7991892.2400000002</v>
      </c>
      <c r="I391" s="97">
        <f t="shared" si="25"/>
        <v>3995946.12</v>
      </c>
    </row>
    <row r="392" spans="1:10" s="63" customFormat="1" ht="30" outlineLevel="1" collapsed="1">
      <c r="A392" s="26" t="str">
        <f>+A391</f>
        <v>Crist</v>
      </c>
      <c r="B392" s="94"/>
      <c r="C392" s="26"/>
      <c r="D392" s="26" t="str">
        <f>+D391</f>
        <v>Crist Common</v>
      </c>
      <c r="E392" s="94" t="s">
        <v>202</v>
      </c>
      <c r="F392" s="96"/>
      <c r="H392" s="95">
        <f>SUBTOTAL(9,H354:H391)</f>
        <v>490157683.47179997</v>
      </c>
      <c r="I392" s="97">
        <f>SUBTOTAL(9,I354:I391)</f>
        <v>4218088684.8761001</v>
      </c>
      <c r="J392" s="64">
        <f>+I392/H392</f>
        <v>8.6055749549803338</v>
      </c>
    </row>
    <row r="393" spans="1:10" ht="45" hidden="1" outlineLevel="2">
      <c r="A393" s="93" t="s">
        <v>93</v>
      </c>
      <c r="B393" s="93" t="s">
        <v>74</v>
      </c>
      <c r="D393" s="63" t="s">
        <v>197</v>
      </c>
      <c r="E393" s="93" t="s">
        <v>68</v>
      </c>
      <c r="F393" s="96">
        <v>1960</v>
      </c>
      <c r="G393" s="63">
        <f t="shared" ref="G393:G425" si="26">2016.5-F393</f>
        <v>56.5</v>
      </c>
      <c r="H393" s="95">
        <v>124541.39</v>
      </c>
      <c r="I393" s="97">
        <f t="shared" ref="I393:I425" si="27">+G393*H393</f>
        <v>7036588.5350000001</v>
      </c>
    </row>
    <row r="394" spans="1:10" ht="45" hidden="1" outlineLevel="2">
      <c r="A394" s="93" t="s">
        <v>93</v>
      </c>
      <c r="B394" s="93" t="s">
        <v>74</v>
      </c>
      <c r="D394" s="63" t="s">
        <v>197</v>
      </c>
      <c r="E394" s="93" t="s">
        <v>68</v>
      </c>
      <c r="F394" s="96">
        <v>1961</v>
      </c>
      <c r="G394" s="63">
        <f t="shared" si="26"/>
        <v>55.5</v>
      </c>
      <c r="H394" s="95">
        <v>50283.63</v>
      </c>
      <c r="I394" s="97">
        <f t="shared" si="27"/>
        <v>2790741.4649999999</v>
      </c>
    </row>
    <row r="395" spans="1:10" ht="45" hidden="1" outlineLevel="2">
      <c r="A395" s="93" t="s">
        <v>93</v>
      </c>
      <c r="B395" s="93" t="s">
        <v>74</v>
      </c>
      <c r="D395" s="63" t="s">
        <v>197</v>
      </c>
      <c r="E395" s="93" t="s">
        <v>68</v>
      </c>
      <c r="F395" s="96">
        <v>1970</v>
      </c>
      <c r="G395" s="63">
        <f t="shared" si="26"/>
        <v>46.5</v>
      </c>
      <c r="H395" s="95">
        <v>650203.66</v>
      </c>
      <c r="I395" s="97">
        <f t="shared" si="27"/>
        <v>30234470.190000001</v>
      </c>
    </row>
    <row r="396" spans="1:10" ht="45" hidden="1" outlineLevel="2">
      <c r="A396" s="93" t="s">
        <v>93</v>
      </c>
      <c r="B396" s="93" t="s">
        <v>74</v>
      </c>
      <c r="D396" s="63" t="s">
        <v>197</v>
      </c>
      <c r="E396" s="93" t="s">
        <v>68</v>
      </c>
      <c r="F396" s="96">
        <v>1971</v>
      </c>
      <c r="G396" s="63">
        <f t="shared" si="26"/>
        <v>45.5</v>
      </c>
      <c r="H396" s="95">
        <v>1796660.58</v>
      </c>
      <c r="I396" s="97">
        <f t="shared" si="27"/>
        <v>81748056.390000001</v>
      </c>
    </row>
    <row r="397" spans="1:10" ht="45" hidden="1" outlineLevel="2">
      <c r="A397" s="93" t="s">
        <v>93</v>
      </c>
      <c r="B397" s="93" t="s">
        <v>74</v>
      </c>
      <c r="D397" s="63" t="s">
        <v>197</v>
      </c>
      <c r="E397" s="93" t="s">
        <v>68</v>
      </c>
      <c r="F397" s="96">
        <v>1973</v>
      </c>
      <c r="G397" s="63">
        <f t="shared" si="26"/>
        <v>43.5</v>
      </c>
      <c r="H397" s="95">
        <v>1942850.59</v>
      </c>
      <c r="I397" s="97">
        <f t="shared" si="27"/>
        <v>84514000.665000007</v>
      </c>
    </row>
    <row r="398" spans="1:10" ht="45" hidden="1" outlineLevel="2">
      <c r="A398" s="93" t="s">
        <v>93</v>
      </c>
      <c r="B398" s="93" t="s">
        <v>74</v>
      </c>
      <c r="D398" s="63" t="s">
        <v>197</v>
      </c>
      <c r="E398" s="93" t="s">
        <v>68</v>
      </c>
      <c r="F398" s="96">
        <v>1974</v>
      </c>
      <c r="G398" s="63">
        <f t="shared" si="26"/>
        <v>42.5</v>
      </c>
      <c r="H398" s="95">
        <v>15832.49</v>
      </c>
      <c r="I398" s="97">
        <f t="shared" si="27"/>
        <v>672880.82499999995</v>
      </c>
    </row>
    <row r="399" spans="1:10" ht="45" hidden="1" outlineLevel="2">
      <c r="A399" s="93" t="s">
        <v>93</v>
      </c>
      <c r="B399" s="93" t="s">
        <v>74</v>
      </c>
      <c r="D399" s="63" t="s">
        <v>197</v>
      </c>
      <c r="E399" s="93" t="s">
        <v>68</v>
      </c>
      <c r="F399" s="96">
        <v>1975</v>
      </c>
      <c r="G399" s="63">
        <f t="shared" si="26"/>
        <v>41.5</v>
      </c>
      <c r="H399" s="95">
        <v>110907.04</v>
      </c>
      <c r="I399" s="97">
        <f t="shared" si="27"/>
        <v>4602642.16</v>
      </c>
    </row>
    <row r="400" spans="1:10" ht="45" hidden="1" outlineLevel="2">
      <c r="A400" s="93" t="s">
        <v>93</v>
      </c>
      <c r="B400" s="93" t="s">
        <v>74</v>
      </c>
      <c r="D400" s="63" t="s">
        <v>197</v>
      </c>
      <c r="E400" s="93" t="s">
        <v>68</v>
      </c>
      <c r="F400" s="96">
        <v>1976</v>
      </c>
      <c r="G400" s="63">
        <f t="shared" si="26"/>
        <v>40.5</v>
      </c>
      <c r="H400" s="95">
        <v>3643748.02</v>
      </c>
      <c r="I400" s="97">
        <f t="shared" si="27"/>
        <v>147571794.81</v>
      </c>
    </row>
    <row r="401" spans="1:9" ht="45" hidden="1" outlineLevel="2">
      <c r="A401" s="93" t="s">
        <v>93</v>
      </c>
      <c r="B401" s="93" t="s">
        <v>74</v>
      </c>
      <c r="D401" s="63" t="s">
        <v>197</v>
      </c>
      <c r="E401" s="93" t="s">
        <v>68</v>
      </c>
      <c r="F401" s="96">
        <v>1977</v>
      </c>
      <c r="G401" s="63">
        <f t="shared" si="26"/>
        <v>39.5</v>
      </c>
      <c r="H401" s="95">
        <v>36658.1</v>
      </c>
      <c r="I401" s="97">
        <f t="shared" si="27"/>
        <v>1447994.95</v>
      </c>
    </row>
    <row r="402" spans="1:9" ht="45" hidden="1" outlineLevel="2">
      <c r="A402" s="93" t="s">
        <v>93</v>
      </c>
      <c r="B402" s="93" t="s">
        <v>74</v>
      </c>
      <c r="D402" s="63" t="s">
        <v>197</v>
      </c>
      <c r="E402" s="93" t="s">
        <v>68</v>
      </c>
      <c r="F402" s="96">
        <v>1978</v>
      </c>
      <c r="G402" s="63">
        <f t="shared" si="26"/>
        <v>38.5</v>
      </c>
      <c r="H402" s="95">
        <v>321593.56</v>
      </c>
      <c r="I402" s="97">
        <f t="shared" si="27"/>
        <v>12381352.060000001</v>
      </c>
    </row>
    <row r="403" spans="1:9" ht="45" hidden="1" outlineLevel="2">
      <c r="A403" s="93" t="s">
        <v>93</v>
      </c>
      <c r="B403" s="93" t="s">
        <v>74</v>
      </c>
      <c r="D403" s="63" t="s">
        <v>197</v>
      </c>
      <c r="E403" s="93" t="s">
        <v>68</v>
      </c>
      <c r="F403" s="96">
        <v>1979</v>
      </c>
      <c r="G403" s="63">
        <f t="shared" si="26"/>
        <v>37.5</v>
      </c>
      <c r="H403" s="95">
        <v>299419.34000000003</v>
      </c>
      <c r="I403" s="97">
        <f t="shared" si="27"/>
        <v>11228225.250000002</v>
      </c>
    </row>
    <row r="404" spans="1:9" ht="45" hidden="1" outlineLevel="2">
      <c r="A404" s="93" t="s">
        <v>93</v>
      </c>
      <c r="B404" s="93" t="s">
        <v>74</v>
      </c>
      <c r="D404" s="63" t="s">
        <v>197</v>
      </c>
      <c r="E404" s="93" t="s">
        <v>68</v>
      </c>
      <c r="F404" s="96">
        <v>1980</v>
      </c>
      <c r="G404" s="63">
        <f t="shared" si="26"/>
        <v>36.5</v>
      </c>
      <c r="H404" s="95">
        <v>275256.95</v>
      </c>
      <c r="I404" s="97">
        <f t="shared" si="27"/>
        <v>10046878.675000001</v>
      </c>
    </row>
    <row r="405" spans="1:9" ht="45" hidden="1" outlineLevel="2">
      <c r="A405" s="93" t="s">
        <v>93</v>
      </c>
      <c r="B405" s="93" t="s">
        <v>74</v>
      </c>
      <c r="D405" s="63" t="s">
        <v>197</v>
      </c>
      <c r="E405" s="93" t="s">
        <v>68</v>
      </c>
      <c r="F405" s="96">
        <v>1981</v>
      </c>
      <c r="G405" s="63">
        <f t="shared" si="26"/>
        <v>35.5</v>
      </c>
      <c r="H405" s="95">
        <v>557997.14</v>
      </c>
      <c r="I405" s="97">
        <f t="shared" si="27"/>
        <v>19808898.469999999</v>
      </c>
    </row>
    <row r="406" spans="1:9" ht="45" hidden="1" outlineLevel="2">
      <c r="A406" s="93" t="s">
        <v>93</v>
      </c>
      <c r="B406" s="93" t="s">
        <v>74</v>
      </c>
      <c r="D406" s="63" t="s">
        <v>197</v>
      </c>
      <c r="E406" s="93" t="s">
        <v>68</v>
      </c>
      <c r="F406" s="96">
        <v>1982</v>
      </c>
      <c r="G406" s="63">
        <f t="shared" si="26"/>
        <v>34.5</v>
      </c>
      <c r="H406" s="95">
        <v>68571.070000000007</v>
      </c>
      <c r="I406" s="97">
        <f t="shared" si="27"/>
        <v>2365701.915</v>
      </c>
    </row>
    <row r="407" spans="1:9" ht="45" hidden="1" outlineLevel="2">
      <c r="A407" s="93" t="s">
        <v>93</v>
      </c>
      <c r="B407" s="93" t="s">
        <v>74</v>
      </c>
      <c r="D407" s="63" t="s">
        <v>197</v>
      </c>
      <c r="E407" s="93" t="s">
        <v>68</v>
      </c>
      <c r="F407" s="96">
        <v>1983</v>
      </c>
      <c r="G407" s="63">
        <f t="shared" si="26"/>
        <v>33.5</v>
      </c>
      <c r="H407" s="95">
        <v>407757.85</v>
      </c>
      <c r="I407" s="97">
        <f t="shared" si="27"/>
        <v>13659887.975</v>
      </c>
    </row>
    <row r="408" spans="1:9" ht="45" hidden="1" outlineLevel="2">
      <c r="A408" s="93" t="s">
        <v>93</v>
      </c>
      <c r="B408" s="93" t="s">
        <v>74</v>
      </c>
      <c r="D408" s="63" t="s">
        <v>197</v>
      </c>
      <c r="E408" s="93" t="s">
        <v>68</v>
      </c>
      <c r="F408" s="96">
        <v>1985</v>
      </c>
      <c r="G408" s="63">
        <f t="shared" si="26"/>
        <v>31.5</v>
      </c>
      <c r="H408" s="95">
        <v>1188861.07</v>
      </c>
      <c r="I408" s="97">
        <f t="shared" si="27"/>
        <v>37449123.705000006</v>
      </c>
    </row>
    <row r="409" spans="1:9" ht="45" hidden="1" outlineLevel="2">
      <c r="A409" s="93" t="s">
        <v>93</v>
      </c>
      <c r="B409" s="93" t="s">
        <v>74</v>
      </c>
      <c r="D409" s="63" t="s">
        <v>197</v>
      </c>
      <c r="E409" s="93" t="s">
        <v>68</v>
      </c>
      <c r="F409" s="96">
        <v>1988</v>
      </c>
      <c r="G409" s="63">
        <f t="shared" si="26"/>
        <v>28.5</v>
      </c>
      <c r="H409" s="95">
        <v>21275.01</v>
      </c>
      <c r="I409" s="97">
        <f t="shared" si="27"/>
        <v>606337.78499999992</v>
      </c>
    </row>
    <row r="410" spans="1:9" ht="45" hidden="1" outlineLevel="2">
      <c r="A410" s="93" t="s">
        <v>93</v>
      </c>
      <c r="B410" s="93" t="s">
        <v>74</v>
      </c>
      <c r="D410" s="63" t="s">
        <v>197</v>
      </c>
      <c r="E410" s="93" t="s">
        <v>68</v>
      </c>
      <c r="F410" s="96">
        <v>1989</v>
      </c>
      <c r="G410" s="63">
        <f t="shared" si="26"/>
        <v>27.5</v>
      </c>
      <c r="H410" s="95">
        <v>162762.15</v>
      </c>
      <c r="I410" s="97">
        <f t="shared" si="27"/>
        <v>4475959.125</v>
      </c>
    </row>
    <row r="411" spans="1:9" ht="45" hidden="1" outlineLevel="2">
      <c r="A411" s="93" t="s">
        <v>93</v>
      </c>
      <c r="B411" s="93" t="s">
        <v>74</v>
      </c>
      <c r="D411" s="63" t="s">
        <v>197</v>
      </c>
      <c r="E411" s="93" t="s">
        <v>68</v>
      </c>
      <c r="F411" s="96">
        <v>1990</v>
      </c>
      <c r="G411" s="63">
        <f t="shared" si="26"/>
        <v>26.5</v>
      </c>
      <c r="H411" s="95">
        <v>20520.77</v>
      </c>
      <c r="I411" s="97">
        <f t="shared" si="27"/>
        <v>543800.40500000003</v>
      </c>
    </row>
    <row r="412" spans="1:9" ht="45" hidden="1" outlineLevel="2">
      <c r="A412" s="93" t="s">
        <v>93</v>
      </c>
      <c r="B412" s="93" t="s">
        <v>74</v>
      </c>
      <c r="D412" s="63" t="s">
        <v>197</v>
      </c>
      <c r="E412" s="93" t="s">
        <v>68</v>
      </c>
      <c r="F412" s="96">
        <v>1994</v>
      </c>
      <c r="G412" s="63">
        <f t="shared" si="26"/>
        <v>22.5</v>
      </c>
      <c r="H412" s="95">
        <v>207035.37</v>
      </c>
      <c r="I412" s="97">
        <f t="shared" si="27"/>
        <v>4658295.8250000002</v>
      </c>
    </row>
    <row r="413" spans="1:9" ht="45" hidden="1" outlineLevel="2">
      <c r="A413" s="93" t="s">
        <v>93</v>
      </c>
      <c r="B413" s="93" t="s">
        <v>74</v>
      </c>
      <c r="D413" s="63" t="s">
        <v>197</v>
      </c>
      <c r="E413" s="93" t="s">
        <v>68</v>
      </c>
      <c r="F413" s="96">
        <v>2002</v>
      </c>
      <c r="G413" s="63">
        <f t="shared" si="26"/>
        <v>14.5</v>
      </c>
      <c r="H413" s="95">
        <v>836008.38</v>
      </c>
      <c r="I413" s="97">
        <f t="shared" si="27"/>
        <v>12122121.51</v>
      </c>
    </row>
    <row r="414" spans="1:9" ht="45" hidden="1" outlineLevel="2">
      <c r="A414" s="93" t="s">
        <v>93</v>
      </c>
      <c r="B414" s="93" t="s">
        <v>74</v>
      </c>
      <c r="D414" s="63" t="s">
        <v>197</v>
      </c>
      <c r="E414" s="93" t="s">
        <v>68</v>
      </c>
      <c r="F414" s="96">
        <v>2003</v>
      </c>
      <c r="G414" s="63">
        <f t="shared" si="26"/>
        <v>13.5</v>
      </c>
      <c r="H414" s="95">
        <v>101382.94</v>
      </c>
      <c r="I414" s="97">
        <f t="shared" si="27"/>
        <v>1368669.69</v>
      </c>
    </row>
    <row r="415" spans="1:9" ht="45" hidden="1" outlineLevel="2">
      <c r="A415" s="93" t="s">
        <v>93</v>
      </c>
      <c r="B415" s="93" t="s">
        <v>74</v>
      </c>
      <c r="D415" s="63" t="s">
        <v>197</v>
      </c>
      <c r="E415" s="93" t="s">
        <v>68</v>
      </c>
      <c r="F415" s="96">
        <v>2006</v>
      </c>
      <c r="G415" s="63">
        <f t="shared" si="26"/>
        <v>10.5</v>
      </c>
      <c r="H415" s="95">
        <v>56297.01</v>
      </c>
      <c r="I415" s="97">
        <f t="shared" si="27"/>
        <v>591118.60499999998</v>
      </c>
    </row>
    <row r="416" spans="1:9" ht="45" hidden="1" outlineLevel="2">
      <c r="A416" s="93" t="s">
        <v>93</v>
      </c>
      <c r="B416" s="93" t="s">
        <v>74</v>
      </c>
      <c r="D416" s="63" t="s">
        <v>197</v>
      </c>
      <c r="E416" s="93" t="s">
        <v>68</v>
      </c>
      <c r="F416" s="96">
        <v>2007</v>
      </c>
      <c r="G416" s="63">
        <f t="shared" si="26"/>
        <v>9.5</v>
      </c>
      <c r="H416" s="95">
        <v>82687.13</v>
      </c>
      <c r="I416" s="97">
        <f t="shared" si="27"/>
        <v>785527.7350000001</v>
      </c>
    </row>
    <row r="417" spans="1:10" ht="45" hidden="1" outlineLevel="2">
      <c r="A417" s="93" t="s">
        <v>93</v>
      </c>
      <c r="B417" s="93" t="s">
        <v>74</v>
      </c>
      <c r="D417" s="63" t="s">
        <v>197</v>
      </c>
      <c r="E417" s="93" t="s">
        <v>68</v>
      </c>
      <c r="F417" s="96">
        <v>2008</v>
      </c>
      <c r="G417" s="63">
        <f t="shared" si="26"/>
        <v>8.5</v>
      </c>
      <c r="H417" s="95">
        <v>634661.72</v>
      </c>
      <c r="I417" s="97">
        <f t="shared" si="27"/>
        <v>5394624.6200000001</v>
      </c>
    </row>
    <row r="418" spans="1:10" ht="45" hidden="1" outlineLevel="2">
      <c r="A418" s="93" t="s">
        <v>93</v>
      </c>
      <c r="B418" s="93" t="s">
        <v>74</v>
      </c>
      <c r="D418" s="63" t="s">
        <v>197</v>
      </c>
      <c r="E418" s="93" t="s">
        <v>68</v>
      </c>
      <c r="F418" s="96">
        <v>2009</v>
      </c>
      <c r="G418" s="63">
        <f t="shared" si="26"/>
        <v>7.5</v>
      </c>
      <c r="H418" s="95">
        <v>9992749.8200000003</v>
      </c>
      <c r="I418" s="97">
        <f t="shared" si="27"/>
        <v>74945623.650000006</v>
      </c>
    </row>
    <row r="419" spans="1:10" ht="45" hidden="1" outlineLevel="2">
      <c r="A419" s="93" t="s">
        <v>93</v>
      </c>
      <c r="B419" s="93" t="s">
        <v>74</v>
      </c>
      <c r="D419" s="63" t="s">
        <v>197</v>
      </c>
      <c r="E419" s="93" t="s">
        <v>68</v>
      </c>
      <c r="F419" s="96">
        <v>2010</v>
      </c>
      <c r="G419" s="63">
        <f t="shared" si="26"/>
        <v>6.5</v>
      </c>
      <c r="H419" s="95">
        <v>291757.08</v>
      </c>
      <c r="I419" s="97">
        <f t="shared" si="27"/>
        <v>1896421.02</v>
      </c>
    </row>
    <row r="420" spans="1:10" ht="45" hidden="1" outlineLevel="2">
      <c r="A420" s="93" t="s">
        <v>93</v>
      </c>
      <c r="B420" s="93" t="s">
        <v>74</v>
      </c>
      <c r="D420" s="63" t="s">
        <v>197</v>
      </c>
      <c r="E420" s="93" t="s">
        <v>68</v>
      </c>
      <c r="F420" s="96">
        <v>2011</v>
      </c>
      <c r="G420" s="63">
        <f t="shared" si="26"/>
        <v>5.5</v>
      </c>
      <c r="H420" s="95">
        <v>386378.87</v>
      </c>
      <c r="I420" s="97">
        <f t="shared" si="27"/>
        <v>2125083.7850000001</v>
      </c>
    </row>
    <row r="421" spans="1:10" ht="45" hidden="1" outlineLevel="2">
      <c r="A421" s="93" t="s">
        <v>93</v>
      </c>
      <c r="B421" s="93" t="s">
        <v>74</v>
      </c>
      <c r="D421" s="63" t="s">
        <v>197</v>
      </c>
      <c r="E421" s="93" t="s">
        <v>68</v>
      </c>
      <c r="F421" s="96">
        <v>2012</v>
      </c>
      <c r="G421" s="63">
        <f t="shared" si="26"/>
        <v>4.5</v>
      </c>
      <c r="H421" s="95">
        <v>120510.01</v>
      </c>
      <c r="I421" s="97">
        <f t="shared" si="27"/>
        <v>542295.04499999993</v>
      </c>
    </row>
    <row r="422" spans="1:10" ht="45" hidden="1" outlineLevel="2">
      <c r="A422" s="93" t="s">
        <v>93</v>
      </c>
      <c r="B422" s="93" t="s">
        <v>74</v>
      </c>
      <c r="D422" s="63" t="s">
        <v>197</v>
      </c>
      <c r="E422" s="93" t="s">
        <v>68</v>
      </c>
      <c r="F422" s="96">
        <v>2013</v>
      </c>
      <c r="G422" s="63">
        <f t="shared" si="26"/>
        <v>3.5</v>
      </c>
      <c r="H422" s="95">
        <v>74210.039999999994</v>
      </c>
      <c r="I422" s="97">
        <f t="shared" si="27"/>
        <v>259735.13999999998</v>
      </c>
    </row>
    <row r="423" spans="1:10" ht="45" hidden="1" outlineLevel="2">
      <c r="A423" s="93" t="s">
        <v>93</v>
      </c>
      <c r="B423" s="93" t="s">
        <v>74</v>
      </c>
      <c r="D423" s="63" t="s">
        <v>197</v>
      </c>
      <c r="E423" s="93" t="s">
        <v>68</v>
      </c>
      <c r="F423" s="96">
        <v>2014</v>
      </c>
      <c r="G423" s="63">
        <f t="shared" si="26"/>
        <v>2.5</v>
      </c>
      <c r="H423" s="95">
        <v>48477.34</v>
      </c>
      <c r="I423" s="97">
        <f t="shared" si="27"/>
        <v>121193.34999999999</v>
      </c>
    </row>
    <row r="424" spans="1:10" ht="45" hidden="1" outlineLevel="2">
      <c r="A424" s="93" t="s">
        <v>93</v>
      </c>
      <c r="B424" s="93" t="s">
        <v>74</v>
      </c>
      <c r="D424" s="63" t="s">
        <v>197</v>
      </c>
      <c r="E424" s="93" t="s">
        <v>68</v>
      </c>
      <c r="F424" s="96">
        <v>2015</v>
      </c>
      <c r="G424" s="63">
        <f t="shared" si="26"/>
        <v>1.5</v>
      </c>
      <c r="H424" s="95">
        <v>234538.69</v>
      </c>
      <c r="I424" s="97">
        <f t="shared" si="27"/>
        <v>351808.03500000003</v>
      </c>
    </row>
    <row r="425" spans="1:10" ht="45" hidden="1" outlineLevel="2">
      <c r="A425" s="93" t="s">
        <v>93</v>
      </c>
      <c r="B425" s="93" t="s">
        <v>74</v>
      </c>
      <c r="D425" s="63" t="s">
        <v>197</v>
      </c>
      <c r="E425" s="93" t="s">
        <v>68</v>
      </c>
      <c r="F425" s="96">
        <v>2016</v>
      </c>
      <c r="G425" s="63">
        <f t="shared" si="26"/>
        <v>0.5</v>
      </c>
      <c r="H425" s="95">
        <v>2017622.57</v>
      </c>
      <c r="I425" s="97">
        <f t="shared" si="27"/>
        <v>1008811.285</v>
      </c>
    </row>
    <row r="426" spans="1:10" s="63" customFormat="1" ht="30" outlineLevel="1" collapsed="1">
      <c r="A426" s="26" t="str">
        <f>+A425</f>
        <v>Crist</v>
      </c>
      <c r="B426" s="94"/>
      <c r="C426" s="26"/>
      <c r="D426" s="26" t="str">
        <f>+D425</f>
        <v>Crist Common</v>
      </c>
      <c r="E426" s="94" t="s">
        <v>203</v>
      </c>
      <c r="F426" s="96"/>
      <c r="H426" s="95">
        <f>SUBTOTAL(9,H393:H425)</f>
        <v>26780017.380000003</v>
      </c>
      <c r="I426" s="97">
        <f>SUBTOTAL(9,I393:I425)</f>
        <v>579356664.64999986</v>
      </c>
      <c r="J426" s="64">
        <f>+I426/H426</f>
        <v>21.633916678585809</v>
      </c>
    </row>
    <row r="427" spans="1:10" ht="45" hidden="1" outlineLevel="2">
      <c r="A427" s="93" t="s">
        <v>93</v>
      </c>
      <c r="B427" s="93" t="s">
        <v>74</v>
      </c>
      <c r="D427" s="63" t="s">
        <v>197</v>
      </c>
      <c r="E427" s="93" t="s">
        <v>69</v>
      </c>
      <c r="F427" s="96">
        <v>1976</v>
      </c>
      <c r="G427" s="63">
        <f t="shared" ref="G427:G463" si="28">2016.5-F427</f>
        <v>40.5</v>
      </c>
      <c r="H427" s="95">
        <v>1716061.36</v>
      </c>
      <c r="I427" s="97">
        <f t="shared" ref="I427:I463" si="29">+G427*H427</f>
        <v>69500485.079999998</v>
      </c>
    </row>
    <row r="428" spans="1:10" ht="45" hidden="1" outlineLevel="2">
      <c r="A428" s="93" t="s">
        <v>93</v>
      </c>
      <c r="B428" s="93" t="s">
        <v>74</v>
      </c>
      <c r="D428" s="63" t="s">
        <v>197</v>
      </c>
      <c r="E428" s="93" t="s">
        <v>69</v>
      </c>
      <c r="F428" s="96">
        <v>1977</v>
      </c>
      <c r="G428" s="63">
        <f t="shared" si="28"/>
        <v>39.5</v>
      </c>
      <c r="H428" s="95">
        <v>595422.73</v>
      </c>
      <c r="I428" s="97">
        <f t="shared" si="29"/>
        <v>23519197.835000001</v>
      </c>
    </row>
    <row r="429" spans="1:10" ht="45" hidden="1" outlineLevel="2">
      <c r="A429" s="93" t="s">
        <v>93</v>
      </c>
      <c r="B429" s="93" t="s">
        <v>74</v>
      </c>
      <c r="D429" s="63" t="s">
        <v>197</v>
      </c>
      <c r="E429" s="93" t="s">
        <v>69</v>
      </c>
      <c r="F429" s="96">
        <v>1978</v>
      </c>
      <c r="G429" s="63">
        <f t="shared" si="28"/>
        <v>38.5</v>
      </c>
      <c r="H429" s="95">
        <v>47328.32</v>
      </c>
      <c r="I429" s="97">
        <f t="shared" si="29"/>
        <v>1822140.32</v>
      </c>
    </row>
    <row r="430" spans="1:10" ht="45" hidden="1" outlineLevel="2">
      <c r="A430" s="93" t="s">
        <v>93</v>
      </c>
      <c r="B430" s="93" t="s">
        <v>74</v>
      </c>
      <c r="D430" s="63" t="s">
        <v>197</v>
      </c>
      <c r="E430" s="93" t="s">
        <v>69</v>
      </c>
      <c r="F430" s="96">
        <v>1979</v>
      </c>
      <c r="G430" s="63">
        <f t="shared" si="28"/>
        <v>37.5</v>
      </c>
      <c r="H430" s="95">
        <v>131127.54999999999</v>
      </c>
      <c r="I430" s="97">
        <f t="shared" si="29"/>
        <v>4917283.125</v>
      </c>
    </row>
    <row r="431" spans="1:10" ht="45" hidden="1" outlineLevel="2">
      <c r="A431" s="93" t="s">
        <v>93</v>
      </c>
      <c r="B431" s="93" t="s">
        <v>74</v>
      </c>
      <c r="D431" s="63" t="s">
        <v>197</v>
      </c>
      <c r="E431" s="93" t="s">
        <v>69</v>
      </c>
      <c r="F431" s="96">
        <v>1980</v>
      </c>
      <c r="G431" s="63">
        <f t="shared" si="28"/>
        <v>36.5</v>
      </c>
      <c r="H431" s="95">
        <v>18016.830000000002</v>
      </c>
      <c r="I431" s="97">
        <f t="shared" si="29"/>
        <v>657614.29500000004</v>
      </c>
    </row>
    <row r="432" spans="1:10" ht="45" hidden="1" outlineLevel="2">
      <c r="A432" s="93" t="s">
        <v>93</v>
      </c>
      <c r="B432" s="93" t="s">
        <v>74</v>
      </c>
      <c r="D432" s="63" t="s">
        <v>197</v>
      </c>
      <c r="E432" s="93" t="s">
        <v>69</v>
      </c>
      <c r="F432" s="96">
        <v>1981</v>
      </c>
      <c r="G432" s="63">
        <f t="shared" si="28"/>
        <v>35.5</v>
      </c>
      <c r="H432" s="95">
        <v>105846.15</v>
      </c>
      <c r="I432" s="97">
        <f t="shared" si="29"/>
        <v>3757538.3249999997</v>
      </c>
    </row>
    <row r="433" spans="1:9" ht="45" hidden="1" outlineLevel="2">
      <c r="A433" s="93" t="s">
        <v>93</v>
      </c>
      <c r="B433" s="93" t="s">
        <v>74</v>
      </c>
      <c r="D433" s="63" t="s">
        <v>197</v>
      </c>
      <c r="E433" s="93" t="s">
        <v>69</v>
      </c>
      <c r="F433" s="96">
        <v>1982</v>
      </c>
      <c r="G433" s="63">
        <f t="shared" si="28"/>
        <v>34.5</v>
      </c>
      <c r="H433" s="95">
        <v>367251.82</v>
      </c>
      <c r="I433" s="97">
        <f t="shared" si="29"/>
        <v>12670187.790000001</v>
      </c>
    </row>
    <row r="434" spans="1:9" ht="45" hidden="1" outlineLevel="2">
      <c r="A434" s="93" t="s">
        <v>93</v>
      </c>
      <c r="B434" s="93" t="s">
        <v>74</v>
      </c>
      <c r="D434" s="63" t="s">
        <v>197</v>
      </c>
      <c r="E434" s="93" t="s">
        <v>69</v>
      </c>
      <c r="F434" s="96">
        <v>1983</v>
      </c>
      <c r="G434" s="63">
        <f t="shared" si="28"/>
        <v>33.5</v>
      </c>
      <c r="H434" s="95">
        <v>3427967.48</v>
      </c>
      <c r="I434" s="97">
        <f t="shared" si="29"/>
        <v>114836910.58</v>
      </c>
    </row>
    <row r="435" spans="1:9" ht="45" hidden="1" outlineLevel="2">
      <c r="A435" s="93" t="s">
        <v>93</v>
      </c>
      <c r="B435" s="93" t="s">
        <v>74</v>
      </c>
      <c r="D435" s="63" t="s">
        <v>197</v>
      </c>
      <c r="E435" s="93" t="s">
        <v>69</v>
      </c>
      <c r="F435" s="96">
        <v>1984</v>
      </c>
      <c r="G435" s="63">
        <f t="shared" si="28"/>
        <v>32.5</v>
      </c>
      <c r="H435" s="95">
        <v>877203.52</v>
      </c>
      <c r="I435" s="97">
        <f t="shared" si="29"/>
        <v>28509114.400000002</v>
      </c>
    </row>
    <row r="436" spans="1:9" ht="45" hidden="1" outlineLevel="2">
      <c r="A436" s="93" t="s">
        <v>93</v>
      </c>
      <c r="B436" s="93" t="s">
        <v>74</v>
      </c>
      <c r="D436" s="63" t="s">
        <v>197</v>
      </c>
      <c r="E436" s="93" t="s">
        <v>69</v>
      </c>
      <c r="F436" s="96">
        <v>1985</v>
      </c>
      <c r="G436" s="63">
        <f t="shared" si="28"/>
        <v>31.5</v>
      </c>
      <c r="H436" s="95">
        <v>376785.45</v>
      </c>
      <c r="I436" s="97">
        <f t="shared" si="29"/>
        <v>11868741.675000001</v>
      </c>
    </row>
    <row r="437" spans="1:9" ht="45" hidden="1" outlineLevel="2">
      <c r="A437" s="93" t="s">
        <v>93</v>
      </c>
      <c r="B437" s="93" t="s">
        <v>74</v>
      </c>
      <c r="D437" s="63" t="s">
        <v>197</v>
      </c>
      <c r="E437" s="93" t="s">
        <v>69</v>
      </c>
      <c r="F437" s="96">
        <v>1986</v>
      </c>
      <c r="G437" s="63">
        <f t="shared" si="28"/>
        <v>30.5</v>
      </c>
      <c r="H437" s="95">
        <v>142888.32000000001</v>
      </c>
      <c r="I437" s="97">
        <f t="shared" si="29"/>
        <v>4358093.76</v>
      </c>
    </row>
    <row r="438" spans="1:9" ht="45" hidden="1" outlineLevel="2">
      <c r="A438" s="93" t="s">
        <v>93</v>
      </c>
      <c r="B438" s="93" t="s">
        <v>74</v>
      </c>
      <c r="D438" s="63" t="s">
        <v>197</v>
      </c>
      <c r="E438" s="93" t="s">
        <v>69</v>
      </c>
      <c r="F438" s="96">
        <v>1987</v>
      </c>
      <c r="G438" s="63">
        <f t="shared" si="28"/>
        <v>29.5</v>
      </c>
      <c r="H438" s="95">
        <v>224482.38</v>
      </c>
      <c r="I438" s="97">
        <f t="shared" si="29"/>
        <v>6622230.21</v>
      </c>
    </row>
    <row r="439" spans="1:9" ht="45" hidden="1" outlineLevel="2">
      <c r="A439" s="93" t="s">
        <v>93</v>
      </c>
      <c r="B439" s="93" t="s">
        <v>74</v>
      </c>
      <c r="D439" s="63" t="s">
        <v>197</v>
      </c>
      <c r="E439" s="93" t="s">
        <v>69</v>
      </c>
      <c r="F439" s="96">
        <v>1988</v>
      </c>
      <c r="G439" s="63">
        <f t="shared" si="28"/>
        <v>28.5</v>
      </c>
      <c r="H439" s="95">
        <v>123731.74</v>
      </c>
      <c r="I439" s="97">
        <f t="shared" si="29"/>
        <v>3526354.5900000003</v>
      </c>
    </row>
    <row r="440" spans="1:9" ht="45" hidden="1" outlineLevel="2">
      <c r="A440" s="93" t="s">
        <v>93</v>
      </c>
      <c r="B440" s="93" t="s">
        <v>74</v>
      </c>
      <c r="D440" s="63" t="s">
        <v>197</v>
      </c>
      <c r="E440" s="93" t="s">
        <v>69</v>
      </c>
      <c r="F440" s="96">
        <v>1989</v>
      </c>
      <c r="G440" s="63">
        <f t="shared" si="28"/>
        <v>27.5</v>
      </c>
      <c r="H440" s="95">
        <v>111369.32</v>
      </c>
      <c r="I440" s="97">
        <f t="shared" si="29"/>
        <v>3062656.3000000003</v>
      </c>
    </row>
    <row r="441" spans="1:9" ht="45" hidden="1" outlineLevel="2">
      <c r="A441" s="93" t="s">
        <v>93</v>
      </c>
      <c r="B441" s="93" t="s">
        <v>74</v>
      </c>
      <c r="D441" s="63" t="s">
        <v>197</v>
      </c>
      <c r="E441" s="93" t="s">
        <v>69</v>
      </c>
      <c r="F441" s="96">
        <v>1990</v>
      </c>
      <c r="G441" s="63">
        <f t="shared" si="28"/>
        <v>26.5</v>
      </c>
      <c r="H441" s="95">
        <v>9363.68</v>
      </c>
      <c r="I441" s="97">
        <f t="shared" si="29"/>
        <v>248137.52000000002</v>
      </c>
    </row>
    <row r="442" spans="1:9" ht="45" hidden="1" outlineLevel="2">
      <c r="A442" s="93" t="s">
        <v>93</v>
      </c>
      <c r="B442" s="93" t="s">
        <v>74</v>
      </c>
      <c r="D442" s="63" t="s">
        <v>197</v>
      </c>
      <c r="E442" s="93" t="s">
        <v>69</v>
      </c>
      <c r="F442" s="96">
        <v>1991</v>
      </c>
      <c r="G442" s="63">
        <f t="shared" si="28"/>
        <v>25.5</v>
      </c>
      <c r="H442" s="95">
        <v>116254.93</v>
      </c>
      <c r="I442" s="97">
        <f t="shared" si="29"/>
        <v>2964500.7149999999</v>
      </c>
    </row>
    <row r="443" spans="1:9" ht="45" hidden="1" outlineLevel="2">
      <c r="A443" s="93" t="s">
        <v>93</v>
      </c>
      <c r="B443" s="93" t="s">
        <v>74</v>
      </c>
      <c r="D443" s="63" t="s">
        <v>197</v>
      </c>
      <c r="E443" s="93" t="s">
        <v>69</v>
      </c>
      <c r="F443" s="96">
        <v>1993</v>
      </c>
      <c r="G443" s="63">
        <f t="shared" si="28"/>
        <v>23.5</v>
      </c>
      <c r="H443" s="95">
        <v>19311.919999999998</v>
      </c>
      <c r="I443" s="97">
        <f t="shared" si="29"/>
        <v>453830.11999999994</v>
      </c>
    </row>
    <row r="444" spans="1:9" ht="45" hidden="1" outlineLevel="2">
      <c r="A444" s="93" t="s">
        <v>93</v>
      </c>
      <c r="B444" s="93" t="s">
        <v>74</v>
      </c>
      <c r="D444" s="63" t="s">
        <v>197</v>
      </c>
      <c r="E444" s="93" t="s">
        <v>69</v>
      </c>
      <c r="F444" s="96">
        <v>1994</v>
      </c>
      <c r="G444" s="63">
        <f t="shared" si="28"/>
        <v>22.5</v>
      </c>
      <c r="H444" s="95">
        <v>150372.03</v>
      </c>
      <c r="I444" s="97">
        <f t="shared" si="29"/>
        <v>3383370.6749999998</v>
      </c>
    </row>
    <row r="445" spans="1:9" ht="45" hidden="1" outlineLevel="2">
      <c r="A445" s="93" t="s">
        <v>93</v>
      </c>
      <c r="B445" s="93" t="s">
        <v>74</v>
      </c>
      <c r="D445" s="63" t="s">
        <v>197</v>
      </c>
      <c r="E445" s="93" t="s">
        <v>69</v>
      </c>
      <c r="F445" s="96">
        <v>1995</v>
      </c>
      <c r="G445" s="63">
        <f t="shared" si="28"/>
        <v>21.5</v>
      </c>
      <c r="H445" s="95">
        <v>83644.33</v>
      </c>
      <c r="I445" s="97">
        <f t="shared" si="29"/>
        <v>1798353.095</v>
      </c>
    </row>
    <row r="446" spans="1:9" ht="45" hidden="1" outlineLevel="2">
      <c r="A446" s="93" t="s">
        <v>93</v>
      </c>
      <c r="B446" s="93" t="s">
        <v>74</v>
      </c>
      <c r="D446" s="63" t="s">
        <v>197</v>
      </c>
      <c r="E446" s="93" t="s">
        <v>69</v>
      </c>
      <c r="F446" s="96">
        <v>1997</v>
      </c>
      <c r="G446" s="63">
        <f t="shared" si="28"/>
        <v>19.5</v>
      </c>
      <c r="H446" s="95">
        <v>277180.28999999998</v>
      </c>
      <c r="I446" s="97">
        <f t="shared" si="29"/>
        <v>5405015.6549999993</v>
      </c>
    </row>
    <row r="447" spans="1:9" ht="45" hidden="1" outlineLevel="2">
      <c r="A447" s="93" t="s">
        <v>93</v>
      </c>
      <c r="B447" s="93" t="s">
        <v>74</v>
      </c>
      <c r="D447" s="63" t="s">
        <v>197</v>
      </c>
      <c r="E447" s="93" t="s">
        <v>69</v>
      </c>
      <c r="F447" s="96">
        <v>1998</v>
      </c>
      <c r="G447" s="63">
        <f t="shared" si="28"/>
        <v>18.5</v>
      </c>
      <c r="H447" s="95">
        <v>40214.629999999997</v>
      </c>
      <c r="I447" s="97">
        <f t="shared" si="29"/>
        <v>743970.65499999991</v>
      </c>
    </row>
    <row r="448" spans="1:9" ht="45" hidden="1" outlineLevel="2">
      <c r="A448" s="93" t="s">
        <v>93</v>
      </c>
      <c r="B448" s="93" t="s">
        <v>74</v>
      </c>
      <c r="D448" s="63" t="s">
        <v>197</v>
      </c>
      <c r="E448" s="93" t="s">
        <v>69</v>
      </c>
      <c r="F448" s="96">
        <v>2000</v>
      </c>
      <c r="G448" s="63">
        <f t="shared" si="28"/>
        <v>16.5</v>
      </c>
      <c r="H448" s="95">
        <v>533085.03</v>
      </c>
      <c r="I448" s="97">
        <f t="shared" si="29"/>
        <v>8795902.995000001</v>
      </c>
    </row>
    <row r="449" spans="1:10" ht="45" hidden="1" outlineLevel="2">
      <c r="A449" s="93" t="s">
        <v>93</v>
      </c>
      <c r="B449" s="93" t="s">
        <v>74</v>
      </c>
      <c r="D449" s="63" t="s">
        <v>197</v>
      </c>
      <c r="E449" s="93" t="s">
        <v>69</v>
      </c>
      <c r="F449" s="96">
        <v>2001</v>
      </c>
      <c r="G449" s="63">
        <f t="shared" si="28"/>
        <v>15.5</v>
      </c>
      <c r="H449" s="95">
        <v>6361.34</v>
      </c>
      <c r="I449" s="97">
        <f t="shared" si="29"/>
        <v>98600.77</v>
      </c>
    </row>
    <row r="450" spans="1:10" ht="45" hidden="1" outlineLevel="2">
      <c r="A450" s="93" t="s">
        <v>93</v>
      </c>
      <c r="B450" s="93" t="s">
        <v>74</v>
      </c>
      <c r="D450" s="63" t="s">
        <v>197</v>
      </c>
      <c r="E450" s="93" t="s">
        <v>69</v>
      </c>
      <c r="F450" s="96">
        <v>2002</v>
      </c>
      <c r="G450" s="63">
        <f t="shared" si="28"/>
        <v>14.5</v>
      </c>
      <c r="H450" s="95">
        <v>165509.89000000001</v>
      </c>
      <c r="I450" s="97">
        <f t="shared" si="29"/>
        <v>2399893.4050000003</v>
      </c>
    </row>
    <row r="451" spans="1:10" ht="45" hidden="1" outlineLevel="2">
      <c r="A451" s="93" t="s">
        <v>93</v>
      </c>
      <c r="B451" s="93" t="s">
        <v>74</v>
      </c>
      <c r="D451" s="63" t="s">
        <v>197</v>
      </c>
      <c r="E451" s="93" t="s">
        <v>69</v>
      </c>
      <c r="F451" s="96">
        <v>2003</v>
      </c>
      <c r="G451" s="63">
        <f t="shared" si="28"/>
        <v>13.5</v>
      </c>
      <c r="H451" s="95">
        <v>33092.75</v>
      </c>
      <c r="I451" s="97">
        <f t="shared" si="29"/>
        <v>446752.125</v>
      </c>
    </row>
    <row r="452" spans="1:10" ht="45" hidden="1" outlineLevel="2">
      <c r="A452" s="93" t="s">
        <v>93</v>
      </c>
      <c r="B452" s="93" t="s">
        <v>74</v>
      </c>
      <c r="D452" s="63" t="s">
        <v>197</v>
      </c>
      <c r="E452" s="93" t="s">
        <v>69</v>
      </c>
      <c r="F452" s="96">
        <v>2004</v>
      </c>
      <c r="G452" s="63">
        <f t="shared" si="28"/>
        <v>12.5</v>
      </c>
      <c r="H452" s="95">
        <v>116282.77</v>
      </c>
      <c r="I452" s="97">
        <f t="shared" si="29"/>
        <v>1453534.625</v>
      </c>
    </row>
    <row r="453" spans="1:10" ht="45" hidden="1" outlineLevel="2">
      <c r="A453" s="93" t="s">
        <v>93</v>
      </c>
      <c r="B453" s="93" t="s">
        <v>74</v>
      </c>
      <c r="D453" s="63" t="s">
        <v>197</v>
      </c>
      <c r="E453" s="93" t="s">
        <v>69</v>
      </c>
      <c r="F453" s="96">
        <v>2005</v>
      </c>
      <c r="G453" s="63">
        <f t="shared" si="28"/>
        <v>11.5</v>
      </c>
      <c r="H453" s="95">
        <v>27905.13</v>
      </c>
      <c r="I453" s="97">
        <f t="shared" si="29"/>
        <v>320908.995</v>
      </c>
    </row>
    <row r="454" spans="1:10" ht="45" hidden="1" outlineLevel="2">
      <c r="A454" s="93" t="s">
        <v>93</v>
      </c>
      <c r="B454" s="93" t="s">
        <v>74</v>
      </c>
      <c r="D454" s="63" t="s">
        <v>197</v>
      </c>
      <c r="E454" s="93" t="s">
        <v>69</v>
      </c>
      <c r="F454" s="96">
        <v>2006</v>
      </c>
      <c r="G454" s="63">
        <f t="shared" si="28"/>
        <v>10.5</v>
      </c>
      <c r="H454" s="95">
        <v>11900.71</v>
      </c>
      <c r="I454" s="97">
        <f t="shared" si="29"/>
        <v>124957.45499999999</v>
      </c>
    </row>
    <row r="455" spans="1:10" ht="45" hidden="1" outlineLevel="2">
      <c r="A455" s="93" t="s">
        <v>93</v>
      </c>
      <c r="B455" s="93" t="s">
        <v>74</v>
      </c>
      <c r="D455" s="63" t="s">
        <v>197</v>
      </c>
      <c r="E455" s="93" t="s">
        <v>69</v>
      </c>
      <c r="F455" s="96">
        <v>2007</v>
      </c>
      <c r="G455" s="63">
        <f t="shared" si="28"/>
        <v>9.5</v>
      </c>
      <c r="H455" s="95">
        <v>554820.97</v>
      </c>
      <c r="I455" s="97">
        <f t="shared" si="29"/>
        <v>5270799.2149999999</v>
      </c>
    </row>
    <row r="456" spans="1:10" ht="45" hidden="1" outlineLevel="2">
      <c r="A456" s="93" t="s">
        <v>93</v>
      </c>
      <c r="B456" s="93" t="s">
        <v>74</v>
      </c>
      <c r="D456" s="63" t="s">
        <v>197</v>
      </c>
      <c r="E456" s="93" t="s">
        <v>69</v>
      </c>
      <c r="F456" s="96">
        <v>2008</v>
      </c>
      <c r="G456" s="63">
        <f t="shared" si="28"/>
        <v>8.5</v>
      </c>
      <c r="H456" s="95">
        <v>383930.64</v>
      </c>
      <c r="I456" s="97">
        <f t="shared" si="29"/>
        <v>3263410.44</v>
      </c>
    </row>
    <row r="457" spans="1:10" ht="45" hidden="1" outlineLevel="2">
      <c r="A457" s="93" t="s">
        <v>93</v>
      </c>
      <c r="B457" s="93" t="s">
        <v>74</v>
      </c>
      <c r="D457" s="63" t="s">
        <v>197</v>
      </c>
      <c r="E457" s="93" t="s">
        <v>69</v>
      </c>
      <c r="F457" s="96">
        <v>2009</v>
      </c>
      <c r="G457" s="63">
        <f t="shared" si="28"/>
        <v>7.5</v>
      </c>
      <c r="H457" s="95">
        <v>79249664.409999996</v>
      </c>
      <c r="I457" s="97">
        <f t="shared" si="29"/>
        <v>594372483.07499993</v>
      </c>
    </row>
    <row r="458" spans="1:10" ht="45" hidden="1" outlineLevel="2">
      <c r="A458" s="93" t="s">
        <v>93</v>
      </c>
      <c r="B458" s="93" t="s">
        <v>74</v>
      </c>
      <c r="D458" s="63" t="s">
        <v>197</v>
      </c>
      <c r="E458" s="93" t="s">
        <v>69</v>
      </c>
      <c r="F458" s="96">
        <v>2010</v>
      </c>
      <c r="G458" s="63">
        <f t="shared" si="28"/>
        <v>6.5</v>
      </c>
      <c r="H458" s="95">
        <v>2888566.67</v>
      </c>
      <c r="I458" s="97">
        <f t="shared" si="29"/>
        <v>18775683.355</v>
      </c>
    </row>
    <row r="459" spans="1:10" ht="45" hidden="1" outlineLevel="2">
      <c r="A459" s="93" t="s">
        <v>93</v>
      </c>
      <c r="B459" s="93" t="s">
        <v>74</v>
      </c>
      <c r="D459" s="63" t="s">
        <v>197</v>
      </c>
      <c r="E459" s="93" t="s">
        <v>69</v>
      </c>
      <c r="F459" s="96">
        <v>2012</v>
      </c>
      <c r="G459" s="63">
        <f t="shared" si="28"/>
        <v>4.5</v>
      </c>
      <c r="H459" s="95">
        <v>1354925.86</v>
      </c>
      <c r="I459" s="97">
        <f t="shared" si="29"/>
        <v>6097166.3700000001</v>
      </c>
    </row>
    <row r="460" spans="1:10" ht="45" hidden="1" outlineLevel="2">
      <c r="A460" s="93" t="s">
        <v>93</v>
      </c>
      <c r="B460" s="93" t="s">
        <v>74</v>
      </c>
      <c r="D460" s="63" t="s">
        <v>197</v>
      </c>
      <c r="E460" s="93" t="s">
        <v>69</v>
      </c>
      <c r="F460" s="96">
        <v>2013</v>
      </c>
      <c r="G460" s="63">
        <f t="shared" si="28"/>
        <v>3.5</v>
      </c>
      <c r="H460" s="95">
        <v>1237628.8700000001</v>
      </c>
      <c r="I460" s="97">
        <f t="shared" si="29"/>
        <v>4331701.0449999999</v>
      </c>
    </row>
    <row r="461" spans="1:10" ht="45" hidden="1" outlineLevel="2">
      <c r="A461" s="93" t="s">
        <v>93</v>
      </c>
      <c r="B461" s="93" t="s">
        <v>74</v>
      </c>
      <c r="D461" s="63" t="s">
        <v>197</v>
      </c>
      <c r="E461" s="93" t="s">
        <v>69</v>
      </c>
      <c r="F461" s="96">
        <v>2014</v>
      </c>
      <c r="G461" s="63">
        <f t="shared" si="28"/>
        <v>2.5</v>
      </c>
      <c r="H461" s="95">
        <v>2275674.94</v>
      </c>
      <c r="I461" s="97">
        <f t="shared" si="29"/>
        <v>5689187.3499999996</v>
      </c>
    </row>
    <row r="462" spans="1:10" ht="45" hidden="1" outlineLevel="2">
      <c r="A462" s="93" t="s">
        <v>93</v>
      </c>
      <c r="B462" s="93" t="s">
        <v>74</v>
      </c>
      <c r="D462" s="63" t="s">
        <v>197</v>
      </c>
      <c r="E462" s="93" t="s">
        <v>69</v>
      </c>
      <c r="F462" s="96">
        <v>2015</v>
      </c>
      <c r="G462" s="63">
        <f t="shared" si="28"/>
        <v>1.5</v>
      </c>
      <c r="H462" s="95">
        <v>1024348.14</v>
      </c>
      <c r="I462" s="97">
        <f t="shared" si="29"/>
        <v>1536522.21</v>
      </c>
    </row>
    <row r="463" spans="1:10" ht="45" hidden="1" outlineLevel="2">
      <c r="A463" s="93" t="s">
        <v>93</v>
      </c>
      <c r="B463" s="93" t="s">
        <v>74</v>
      </c>
      <c r="D463" s="63" t="s">
        <v>197</v>
      </c>
      <c r="E463" s="93" t="s">
        <v>69</v>
      </c>
      <c r="F463" s="96">
        <v>2016</v>
      </c>
      <c r="G463" s="63">
        <f t="shared" si="28"/>
        <v>0.5</v>
      </c>
      <c r="H463" s="95">
        <v>2523231.0099999998</v>
      </c>
      <c r="I463" s="97">
        <f t="shared" si="29"/>
        <v>1261615.5049999999</v>
      </c>
    </row>
    <row r="464" spans="1:10" s="63" customFormat="1" ht="30" outlineLevel="1" collapsed="1">
      <c r="A464" s="26" t="str">
        <f>+A463</f>
        <v>Crist</v>
      </c>
      <c r="B464" s="94"/>
      <c r="C464" s="26"/>
      <c r="D464" s="26" t="str">
        <f>+D463</f>
        <v>Crist Common</v>
      </c>
      <c r="E464" s="94" t="s">
        <v>204</v>
      </c>
      <c r="F464" s="96"/>
      <c r="H464" s="95">
        <f>SUBTOTAL(9,H427:H463)</f>
        <v>101348753.91000001</v>
      </c>
      <c r="I464" s="97">
        <f>SUBTOTAL(9,I427:I463)</f>
        <v>958864845.65499973</v>
      </c>
      <c r="J464" s="64">
        <f>+I464/H464</f>
        <v>9.4610422788867581</v>
      </c>
    </row>
    <row r="465" spans="1:9" ht="45" hidden="1" outlineLevel="2">
      <c r="A465" s="93" t="s">
        <v>93</v>
      </c>
      <c r="B465" s="93" t="s">
        <v>74</v>
      </c>
      <c r="D465" s="63" t="s">
        <v>197</v>
      </c>
      <c r="E465" s="93" t="s">
        <v>75</v>
      </c>
      <c r="F465" s="96">
        <v>1945</v>
      </c>
      <c r="G465" s="63">
        <f t="shared" ref="G465:G496" si="30">2016.5-F465</f>
        <v>71.5</v>
      </c>
      <c r="H465" s="95">
        <v>0</v>
      </c>
      <c r="I465" s="97">
        <f t="shared" ref="I465:I496" si="31">+G465*H465</f>
        <v>0</v>
      </c>
    </row>
    <row r="466" spans="1:9" ht="45" hidden="1" outlineLevel="2">
      <c r="A466" s="93" t="s">
        <v>93</v>
      </c>
      <c r="B466" s="93" t="s">
        <v>74</v>
      </c>
      <c r="D466" s="63" t="s">
        <v>197</v>
      </c>
      <c r="E466" s="93" t="s">
        <v>75</v>
      </c>
      <c r="F466" s="96">
        <v>1947</v>
      </c>
      <c r="G466" s="63">
        <f t="shared" si="30"/>
        <v>69.5</v>
      </c>
      <c r="H466" s="95">
        <v>0</v>
      </c>
      <c r="I466" s="97">
        <f t="shared" si="31"/>
        <v>0</v>
      </c>
    </row>
    <row r="467" spans="1:9" ht="45" hidden="1" outlineLevel="2">
      <c r="A467" s="93" t="s">
        <v>93</v>
      </c>
      <c r="B467" s="93" t="s">
        <v>74</v>
      </c>
      <c r="D467" s="63" t="s">
        <v>197</v>
      </c>
      <c r="E467" s="93" t="s">
        <v>75</v>
      </c>
      <c r="F467" s="96">
        <v>1948</v>
      </c>
      <c r="G467" s="63">
        <f t="shared" si="30"/>
        <v>68.5</v>
      </c>
      <c r="H467" s="95">
        <v>0</v>
      </c>
      <c r="I467" s="97">
        <f t="shared" si="31"/>
        <v>0</v>
      </c>
    </row>
    <row r="468" spans="1:9" ht="45" hidden="1" outlineLevel="2">
      <c r="A468" s="93" t="s">
        <v>93</v>
      </c>
      <c r="B468" s="93" t="s">
        <v>74</v>
      </c>
      <c r="D468" s="63" t="s">
        <v>197</v>
      </c>
      <c r="E468" s="93" t="s">
        <v>75</v>
      </c>
      <c r="F468" s="96">
        <v>1949</v>
      </c>
      <c r="G468" s="63">
        <f t="shared" si="30"/>
        <v>67.5</v>
      </c>
      <c r="H468" s="95">
        <v>0</v>
      </c>
      <c r="I468" s="97">
        <f t="shared" si="31"/>
        <v>0</v>
      </c>
    </row>
    <row r="469" spans="1:9" ht="45" hidden="1" outlineLevel="2">
      <c r="A469" s="93" t="s">
        <v>93</v>
      </c>
      <c r="B469" s="93" t="s">
        <v>74</v>
      </c>
      <c r="D469" s="63" t="s">
        <v>197</v>
      </c>
      <c r="E469" s="93" t="s">
        <v>75</v>
      </c>
      <c r="F469" s="96">
        <v>1951</v>
      </c>
      <c r="G469" s="63">
        <f t="shared" si="30"/>
        <v>65.5</v>
      </c>
      <c r="H469" s="95">
        <v>0</v>
      </c>
      <c r="I469" s="97">
        <f t="shared" si="31"/>
        <v>0</v>
      </c>
    </row>
    <row r="470" spans="1:9" ht="45" hidden="1" outlineLevel="2">
      <c r="A470" s="93" t="s">
        <v>93</v>
      </c>
      <c r="B470" s="93" t="s">
        <v>74</v>
      </c>
      <c r="D470" s="63" t="s">
        <v>197</v>
      </c>
      <c r="E470" s="93" t="s">
        <v>75</v>
      </c>
      <c r="F470" s="96">
        <v>1952</v>
      </c>
      <c r="G470" s="63">
        <f t="shared" si="30"/>
        <v>64.5</v>
      </c>
      <c r="H470" s="95">
        <v>0</v>
      </c>
      <c r="I470" s="97">
        <f t="shared" si="31"/>
        <v>0</v>
      </c>
    </row>
    <row r="471" spans="1:9" ht="45" hidden="1" outlineLevel="2">
      <c r="A471" s="93" t="s">
        <v>93</v>
      </c>
      <c r="B471" s="93" t="s">
        <v>74</v>
      </c>
      <c r="D471" s="63" t="s">
        <v>197</v>
      </c>
      <c r="E471" s="93" t="s">
        <v>75</v>
      </c>
      <c r="F471" s="96">
        <v>1955</v>
      </c>
      <c r="G471" s="63">
        <f t="shared" si="30"/>
        <v>61.5</v>
      </c>
      <c r="H471" s="95">
        <v>0</v>
      </c>
      <c r="I471" s="97">
        <f t="shared" si="31"/>
        <v>0</v>
      </c>
    </row>
    <row r="472" spans="1:9" ht="45" hidden="1" outlineLevel="2">
      <c r="A472" s="93" t="s">
        <v>93</v>
      </c>
      <c r="B472" s="93" t="s">
        <v>74</v>
      </c>
      <c r="D472" s="63" t="s">
        <v>197</v>
      </c>
      <c r="E472" s="93" t="s">
        <v>75</v>
      </c>
      <c r="F472" s="96">
        <v>1959</v>
      </c>
      <c r="G472" s="63">
        <f t="shared" si="30"/>
        <v>57.5</v>
      </c>
      <c r="H472" s="95">
        <v>0</v>
      </c>
      <c r="I472" s="97">
        <f t="shared" si="31"/>
        <v>0</v>
      </c>
    </row>
    <row r="473" spans="1:9" ht="45" hidden="1" outlineLevel="2">
      <c r="A473" s="93" t="s">
        <v>93</v>
      </c>
      <c r="B473" s="93" t="s">
        <v>74</v>
      </c>
      <c r="D473" s="63" t="s">
        <v>197</v>
      </c>
      <c r="E473" s="93" t="s">
        <v>75</v>
      </c>
      <c r="F473" s="96">
        <v>1960</v>
      </c>
      <c r="G473" s="63">
        <f t="shared" si="30"/>
        <v>56.5</v>
      </c>
      <c r="H473" s="95">
        <v>0</v>
      </c>
      <c r="I473" s="97">
        <f t="shared" si="31"/>
        <v>0</v>
      </c>
    </row>
    <row r="474" spans="1:9" ht="45" hidden="1" outlineLevel="2">
      <c r="A474" s="93" t="s">
        <v>93</v>
      </c>
      <c r="B474" s="93" t="s">
        <v>74</v>
      </c>
      <c r="D474" s="63" t="s">
        <v>197</v>
      </c>
      <c r="E474" s="93" t="s">
        <v>75</v>
      </c>
      <c r="F474" s="96">
        <v>1961</v>
      </c>
      <c r="G474" s="63">
        <f t="shared" si="30"/>
        <v>55.5</v>
      </c>
      <c r="H474" s="95">
        <v>0</v>
      </c>
      <c r="I474" s="97">
        <f t="shared" si="31"/>
        <v>0</v>
      </c>
    </row>
    <row r="475" spans="1:9" ht="45" hidden="1" outlineLevel="2">
      <c r="A475" s="93" t="s">
        <v>93</v>
      </c>
      <c r="B475" s="93" t="s">
        <v>74</v>
      </c>
      <c r="D475" s="63" t="s">
        <v>197</v>
      </c>
      <c r="E475" s="93" t="s">
        <v>75</v>
      </c>
      <c r="F475" s="96">
        <v>1963</v>
      </c>
      <c r="G475" s="63">
        <f t="shared" si="30"/>
        <v>53.5</v>
      </c>
      <c r="H475" s="95">
        <v>0</v>
      </c>
      <c r="I475" s="97">
        <f t="shared" si="31"/>
        <v>0</v>
      </c>
    </row>
    <row r="476" spans="1:9" ht="45" hidden="1" outlineLevel="2">
      <c r="A476" s="93" t="s">
        <v>93</v>
      </c>
      <c r="B476" s="93" t="s">
        <v>74</v>
      </c>
      <c r="D476" s="63" t="s">
        <v>197</v>
      </c>
      <c r="E476" s="93" t="s">
        <v>75</v>
      </c>
      <c r="F476" s="96">
        <v>1970</v>
      </c>
      <c r="G476" s="63">
        <f t="shared" si="30"/>
        <v>46.5</v>
      </c>
      <c r="H476" s="95">
        <v>0</v>
      </c>
      <c r="I476" s="97">
        <f t="shared" si="31"/>
        <v>0</v>
      </c>
    </row>
    <row r="477" spans="1:9" ht="45" hidden="1" outlineLevel="2">
      <c r="A477" s="93" t="s">
        <v>93</v>
      </c>
      <c r="B477" s="93" t="s">
        <v>74</v>
      </c>
      <c r="D477" s="63" t="s">
        <v>197</v>
      </c>
      <c r="E477" s="93" t="s">
        <v>75</v>
      </c>
      <c r="F477" s="96">
        <v>1971</v>
      </c>
      <c r="G477" s="63">
        <f t="shared" si="30"/>
        <v>45.5</v>
      </c>
      <c r="H477" s="95">
        <v>0</v>
      </c>
      <c r="I477" s="97">
        <f t="shared" si="31"/>
        <v>0</v>
      </c>
    </row>
    <row r="478" spans="1:9" ht="45" hidden="1" outlineLevel="2">
      <c r="A478" s="93" t="s">
        <v>93</v>
      </c>
      <c r="B478" s="93" t="s">
        <v>74</v>
      </c>
      <c r="D478" s="63" t="s">
        <v>197</v>
      </c>
      <c r="E478" s="93" t="s">
        <v>75</v>
      </c>
      <c r="F478" s="96">
        <v>1973</v>
      </c>
      <c r="G478" s="63">
        <f t="shared" si="30"/>
        <v>43.5</v>
      </c>
      <c r="H478" s="95">
        <v>0</v>
      </c>
      <c r="I478" s="97">
        <f t="shared" si="31"/>
        <v>0</v>
      </c>
    </row>
    <row r="479" spans="1:9" ht="45" hidden="1" outlineLevel="2">
      <c r="A479" s="93" t="s">
        <v>93</v>
      </c>
      <c r="B479" s="93" t="s">
        <v>74</v>
      </c>
      <c r="D479" s="63" t="s">
        <v>197</v>
      </c>
      <c r="E479" s="93" t="s">
        <v>75</v>
      </c>
      <c r="F479" s="96">
        <v>1974</v>
      </c>
      <c r="G479" s="63">
        <f t="shared" si="30"/>
        <v>42.5</v>
      </c>
      <c r="H479" s="95">
        <v>0</v>
      </c>
      <c r="I479" s="97">
        <f t="shared" si="31"/>
        <v>0</v>
      </c>
    </row>
    <row r="480" spans="1:9" ht="45" hidden="1" outlineLevel="2">
      <c r="A480" s="93" t="s">
        <v>93</v>
      </c>
      <c r="B480" s="93" t="s">
        <v>74</v>
      </c>
      <c r="D480" s="63" t="s">
        <v>197</v>
      </c>
      <c r="E480" s="93" t="s">
        <v>75</v>
      </c>
      <c r="F480" s="96">
        <v>1975</v>
      </c>
      <c r="G480" s="63">
        <f t="shared" si="30"/>
        <v>41.5</v>
      </c>
      <c r="H480" s="95">
        <v>0</v>
      </c>
      <c r="I480" s="97">
        <f t="shared" si="31"/>
        <v>0</v>
      </c>
    </row>
    <row r="481" spans="1:9" ht="45" hidden="1" outlineLevel="2">
      <c r="A481" s="93" t="s">
        <v>93</v>
      </c>
      <c r="B481" s="93" t="s">
        <v>74</v>
      </c>
      <c r="D481" s="63" t="s">
        <v>197</v>
      </c>
      <c r="E481" s="93" t="s">
        <v>75</v>
      </c>
      <c r="F481" s="96">
        <v>1976</v>
      </c>
      <c r="G481" s="63">
        <f t="shared" si="30"/>
        <v>40.5</v>
      </c>
      <c r="H481" s="95">
        <v>0</v>
      </c>
      <c r="I481" s="97">
        <f t="shared" si="31"/>
        <v>0</v>
      </c>
    </row>
    <row r="482" spans="1:9" ht="45" hidden="1" outlineLevel="2">
      <c r="A482" s="93" t="s">
        <v>93</v>
      </c>
      <c r="B482" s="93" t="s">
        <v>74</v>
      </c>
      <c r="D482" s="63" t="s">
        <v>197</v>
      </c>
      <c r="E482" s="93" t="s">
        <v>75</v>
      </c>
      <c r="F482" s="96">
        <v>1977</v>
      </c>
      <c r="G482" s="63">
        <f t="shared" si="30"/>
        <v>39.5</v>
      </c>
      <c r="H482" s="95">
        <v>0</v>
      </c>
      <c r="I482" s="97">
        <f t="shared" si="31"/>
        <v>0</v>
      </c>
    </row>
    <row r="483" spans="1:9" ht="45" hidden="1" outlineLevel="2">
      <c r="A483" s="93" t="s">
        <v>93</v>
      </c>
      <c r="B483" s="93" t="s">
        <v>74</v>
      </c>
      <c r="D483" s="63" t="s">
        <v>197</v>
      </c>
      <c r="E483" s="93" t="s">
        <v>75</v>
      </c>
      <c r="F483" s="96">
        <v>1979</v>
      </c>
      <c r="G483" s="63">
        <f t="shared" si="30"/>
        <v>37.5</v>
      </c>
      <c r="H483" s="95">
        <v>0</v>
      </c>
      <c r="I483" s="97">
        <f t="shared" si="31"/>
        <v>0</v>
      </c>
    </row>
    <row r="484" spans="1:9" ht="45" hidden="1" outlineLevel="2">
      <c r="A484" s="93" t="s">
        <v>93</v>
      </c>
      <c r="B484" s="93" t="s">
        <v>74</v>
      </c>
      <c r="D484" s="63" t="s">
        <v>197</v>
      </c>
      <c r="E484" s="93" t="s">
        <v>75</v>
      </c>
      <c r="F484" s="96">
        <v>1980</v>
      </c>
      <c r="G484" s="63">
        <f t="shared" si="30"/>
        <v>36.5</v>
      </c>
      <c r="H484" s="95">
        <v>0</v>
      </c>
      <c r="I484" s="97">
        <f t="shared" si="31"/>
        <v>0</v>
      </c>
    </row>
    <row r="485" spans="1:9" ht="45" hidden="1" outlineLevel="2">
      <c r="A485" s="93" t="s">
        <v>93</v>
      </c>
      <c r="B485" s="93" t="s">
        <v>74</v>
      </c>
      <c r="D485" s="63" t="s">
        <v>197</v>
      </c>
      <c r="E485" s="93" t="s">
        <v>75</v>
      </c>
      <c r="F485" s="96">
        <v>1982</v>
      </c>
      <c r="G485" s="63">
        <f t="shared" si="30"/>
        <v>34.5</v>
      </c>
      <c r="H485" s="95">
        <v>0</v>
      </c>
      <c r="I485" s="97">
        <f t="shared" si="31"/>
        <v>0</v>
      </c>
    </row>
    <row r="486" spans="1:9" ht="45" hidden="1" outlineLevel="2">
      <c r="A486" s="93" t="s">
        <v>93</v>
      </c>
      <c r="B486" s="93" t="s">
        <v>74</v>
      </c>
      <c r="D486" s="63" t="s">
        <v>197</v>
      </c>
      <c r="E486" s="93" t="s">
        <v>75</v>
      </c>
      <c r="F486" s="96">
        <v>1983</v>
      </c>
      <c r="G486" s="63">
        <f t="shared" si="30"/>
        <v>33.5</v>
      </c>
      <c r="H486" s="95">
        <v>10750.45</v>
      </c>
      <c r="I486" s="97">
        <f t="shared" si="31"/>
        <v>360140.07500000001</v>
      </c>
    </row>
    <row r="487" spans="1:9" ht="45" hidden="1" outlineLevel="2">
      <c r="A487" s="93" t="s">
        <v>93</v>
      </c>
      <c r="B487" s="93" t="s">
        <v>74</v>
      </c>
      <c r="D487" s="63" t="s">
        <v>197</v>
      </c>
      <c r="E487" s="93" t="s">
        <v>75</v>
      </c>
      <c r="F487" s="96">
        <v>1984</v>
      </c>
      <c r="G487" s="63">
        <f t="shared" si="30"/>
        <v>32.5</v>
      </c>
      <c r="H487" s="95">
        <v>208759.36</v>
      </c>
      <c r="I487" s="97">
        <f t="shared" si="31"/>
        <v>6784679.1999999993</v>
      </c>
    </row>
    <row r="488" spans="1:9" ht="45" hidden="1" outlineLevel="2">
      <c r="A488" s="93" t="s">
        <v>93</v>
      </c>
      <c r="B488" s="93" t="s">
        <v>74</v>
      </c>
      <c r="D488" s="63" t="s">
        <v>197</v>
      </c>
      <c r="E488" s="93" t="s">
        <v>75</v>
      </c>
      <c r="F488" s="96">
        <v>1985</v>
      </c>
      <c r="G488" s="63">
        <f t="shared" si="30"/>
        <v>31.5</v>
      </c>
      <c r="H488" s="95">
        <v>253921.53</v>
      </c>
      <c r="I488" s="97">
        <f t="shared" si="31"/>
        <v>7998528.1950000003</v>
      </c>
    </row>
    <row r="489" spans="1:9" ht="45" hidden="1" outlineLevel="2">
      <c r="A489" s="93" t="s">
        <v>93</v>
      </c>
      <c r="B489" s="93" t="s">
        <v>74</v>
      </c>
      <c r="D489" s="63" t="s">
        <v>197</v>
      </c>
      <c r="E489" s="93" t="s">
        <v>75</v>
      </c>
      <c r="F489" s="96">
        <v>1986</v>
      </c>
      <c r="G489" s="63">
        <f t="shared" si="30"/>
        <v>30.5</v>
      </c>
      <c r="H489" s="95">
        <v>58248.28</v>
      </c>
      <c r="I489" s="97">
        <f t="shared" si="31"/>
        <v>1776572.54</v>
      </c>
    </row>
    <row r="490" spans="1:9" ht="45" hidden="1" outlineLevel="2">
      <c r="A490" s="93" t="s">
        <v>93</v>
      </c>
      <c r="B490" s="93" t="s">
        <v>74</v>
      </c>
      <c r="D490" s="63" t="s">
        <v>197</v>
      </c>
      <c r="E490" s="93" t="s">
        <v>75</v>
      </c>
      <c r="F490" s="96">
        <v>1987</v>
      </c>
      <c r="G490" s="63">
        <f t="shared" si="30"/>
        <v>29.5</v>
      </c>
      <c r="H490" s="95">
        <v>23668.32</v>
      </c>
      <c r="I490" s="97">
        <f t="shared" si="31"/>
        <v>698215.44</v>
      </c>
    </row>
    <row r="491" spans="1:9" ht="45" hidden="1" outlineLevel="2">
      <c r="A491" s="93" t="s">
        <v>93</v>
      </c>
      <c r="B491" s="93" t="s">
        <v>74</v>
      </c>
      <c r="D491" s="63" t="s">
        <v>197</v>
      </c>
      <c r="E491" s="93" t="s">
        <v>75</v>
      </c>
      <c r="F491" s="96">
        <v>1988</v>
      </c>
      <c r="G491" s="63">
        <f t="shared" si="30"/>
        <v>28.5</v>
      </c>
      <c r="H491" s="95">
        <v>30159.59</v>
      </c>
      <c r="I491" s="97">
        <f t="shared" si="31"/>
        <v>859548.31500000006</v>
      </c>
    </row>
    <row r="492" spans="1:9" ht="45" hidden="1" outlineLevel="2">
      <c r="A492" s="93" t="s">
        <v>93</v>
      </c>
      <c r="B492" s="93" t="s">
        <v>74</v>
      </c>
      <c r="D492" s="63" t="s">
        <v>197</v>
      </c>
      <c r="E492" s="93" t="s">
        <v>75</v>
      </c>
      <c r="F492" s="96">
        <v>1989</v>
      </c>
      <c r="G492" s="63">
        <f t="shared" si="30"/>
        <v>27.5</v>
      </c>
      <c r="H492" s="95">
        <v>226443.21</v>
      </c>
      <c r="I492" s="97">
        <f t="shared" si="31"/>
        <v>6227188.2749999994</v>
      </c>
    </row>
    <row r="493" spans="1:9" ht="45" hidden="1" outlineLevel="2">
      <c r="A493" s="93" t="s">
        <v>93</v>
      </c>
      <c r="B493" s="93" t="s">
        <v>74</v>
      </c>
      <c r="D493" s="63" t="s">
        <v>197</v>
      </c>
      <c r="E493" s="93" t="s">
        <v>75</v>
      </c>
      <c r="F493" s="96">
        <v>1990</v>
      </c>
      <c r="G493" s="63">
        <f t="shared" si="30"/>
        <v>26.5</v>
      </c>
      <c r="H493" s="95">
        <v>86346.39</v>
      </c>
      <c r="I493" s="97">
        <f t="shared" si="31"/>
        <v>2288179.335</v>
      </c>
    </row>
    <row r="494" spans="1:9" ht="45" hidden="1" outlineLevel="2">
      <c r="A494" s="93" t="s">
        <v>93</v>
      </c>
      <c r="B494" s="93" t="s">
        <v>74</v>
      </c>
      <c r="D494" s="63" t="s">
        <v>197</v>
      </c>
      <c r="E494" s="93" t="s">
        <v>75</v>
      </c>
      <c r="F494" s="96">
        <v>1991</v>
      </c>
      <c r="G494" s="63">
        <f t="shared" si="30"/>
        <v>25.5</v>
      </c>
      <c r="H494" s="95">
        <v>41444.720000000001</v>
      </c>
      <c r="I494" s="97">
        <f t="shared" si="31"/>
        <v>1056840.3600000001</v>
      </c>
    </row>
    <row r="495" spans="1:9" ht="45" hidden="1" outlineLevel="2">
      <c r="A495" s="93" t="s">
        <v>93</v>
      </c>
      <c r="B495" s="93" t="s">
        <v>74</v>
      </c>
      <c r="D495" s="63" t="s">
        <v>197</v>
      </c>
      <c r="E495" s="93" t="s">
        <v>75</v>
      </c>
      <c r="F495" s="96">
        <v>1992</v>
      </c>
      <c r="G495" s="63">
        <f t="shared" si="30"/>
        <v>24.5</v>
      </c>
      <c r="H495" s="95">
        <v>67604.84</v>
      </c>
      <c r="I495" s="97">
        <f t="shared" si="31"/>
        <v>1656318.5799999998</v>
      </c>
    </row>
    <row r="496" spans="1:9" ht="45" hidden="1" outlineLevel="2">
      <c r="A496" s="93" t="s">
        <v>93</v>
      </c>
      <c r="B496" s="93" t="s">
        <v>74</v>
      </c>
      <c r="D496" s="63" t="s">
        <v>197</v>
      </c>
      <c r="E496" s="93" t="s">
        <v>75</v>
      </c>
      <c r="F496" s="96">
        <v>1993</v>
      </c>
      <c r="G496" s="63">
        <f t="shared" si="30"/>
        <v>23.5</v>
      </c>
      <c r="H496" s="95">
        <v>4100.93</v>
      </c>
      <c r="I496" s="97">
        <f t="shared" si="31"/>
        <v>96371.85500000001</v>
      </c>
    </row>
    <row r="497" spans="1:9" ht="45" hidden="1" outlineLevel="2">
      <c r="A497" s="93" t="s">
        <v>93</v>
      </c>
      <c r="B497" s="93" t="s">
        <v>74</v>
      </c>
      <c r="D497" s="63" t="s">
        <v>197</v>
      </c>
      <c r="E497" s="93" t="s">
        <v>75</v>
      </c>
      <c r="F497" s="96">
        <v>1994</v>
      </c>
      <c r="G497" s="63">
        <f t="shared" ref="G497:G516" si="32">2016.5-F497</f>
        <v>22.5</v>
      </c>
      <c r="H497" s="95">
        <v>12382.77</v>
      </c>
      <c r="I497" s="97">
        <f t="shared" ref="I497:I516" si="33">+G497*H497</f>
        <v>278612.32500000001</v>
      </c>
    </row>
    <row r="498" spans="1:9" ht="45" hidden="1" outlineLevel="2">
      <c r="A498" s="93" t="s">
        <v>93</v>
      </c>
      <c r="B498" s="93" t="s">
        <v>74</v>
      </c>
      <c r="D498" s="63" t="s">
        <v>197</v>
      </c>
      <c r="E498" s="93" t="s">
        <v>75</v>
      </c>
      <c r="F498" s="96">
        <v>1995</v>
      </c>
      <c r="G498" s="63">
        <f t="shared" si="32"/>
        <v>21.5</v>
      </c>
      <c r="H498" s="95">
        <v>76775.77</v>
      </c>
      <c r="I498" s="97">
        <f t="shared" si="33"/>
        <v>1650679.0550000002</v>
      </c>
    </row>
    <row r="499" spans="1:9" ht="45" hidden="1" outlineLevel="2">
      <c r="A499" s="93" t="s">
        <v>93</v>
      </c>
      <c r="B499" s="93" t="s">
        <v>74</v>
      </c>
      <c r="D499" s="63" t="s">
        <v>197</v>
      </c>
      <c r="E499" s="93" t="s">
        <v>75</v>
      </c>
      <c r="F499" s="96">
        <v>1996</v>
      </c>
      <c r="G499" s="63">
        <f t="shared" si="32"/>
        <v>20.5</v>
      </c>
      <c r="H499" s="95">
        <v>103272.99</v>
      </c>
      <c r="I499" s="97">
        <f t="shared" si="33"/>
        <v>2117096.2949999999</v>
      </c>
    </row>
    <row r="500" spans="1:9" ht="45" hidden="1" outlineLevel="2">
      <c r="A500" s="93" t="s">
        <v>93</v>
      </c>
      <c r="B500" s="93" t="s">
        <v>74</v>
      </c>
      <c r="D500" s="63" t="s">
        <v>197</v>
      </c>
      <c r="E500" s="93" t="s">
        <v>75</v>
      </c>
      <c r="F500" s="96">
        <v>1997</v>
      </c>
      <c r="G500" s="63">
        <f t="shared" si="32"/>
        <v>19.5</v>
      </c>
      <c r="H500" s="95">
        <v>1232.42</v>
      </c>
      <c r="I500" s="97">
        <f t="shared" si="33"/>
        <v>24032.190000000002</v>
      </c>
    </row>
    <row r="501" spans="1:9" ht="45" hidden="1" outlineLevel="2">
      <c r="A501" s="93" t="s">
        <v>93</v>
      </c>
      <c r="B501" s="93" t="s">
        <v>74</v>
      </c>
      <c r="D501" s="63" t="s">
        <v>197</v>
      </c>
      <c r="E501" s="93" t="s">
        <v>75</v>
      </c>
      <c r="F501" s="96">
        <v>1998</v>
      </c>
      <c r="G501" s="63">
        <f t="shared" si="32"/>
        <v>18.5</v>
      </c>
      <c r="H501" s="95">
        <v>565.51</v>
      </c>
      <c r="I501" s="97">
        <f t="shared" si="33"/>
        <v>10461.934999999999</v>
      </c>
    </row>
    <row r="502" spans="1:9" ht="45" hidden="1" outlineLevel="2">
      <c r="A502" s="93" t="s">
        <v>93</v>
      </c>
      <c r="B502" s="93" t="s">
        <v>74</v>
      </c>
      <c r="D502" s="63" t="s">
        <v>197</v>
      </c>
      <c r="E502" s="93" t="s">
        <v>75</v>
      </c>
      <c r="F502" s="96">
        <v>1999</v>
      </c>
      <c r="G502" s="63">
        <f t="shared" si="32"/>
        <v>17.5</v>
      </c>
      <c r="H502" s="95">
        <v>34734.03</v>
      </c>
      <c r="I502" s="97">
        <f t="shared" si="33"/>
        <v>607845.52500000002</v>
      </c>
    </row>
    <row r="503" spans="1:9" ht="45" hidden="1" outlineLevel="2">
      <c r="A503" s="93" t="s">
        <v>93</v>
      </c>
      <c r="B503" s="93" t="s">
        <v>74</v>
      </c>
      <c r="D503" s="63" t="s">
        <v>197</v>
      </c>
      <c r="E503" s="93" t="s">
        <v>75</v>
      </c>
      <c r="F503" s="96">
        <v>2000</v>
      </c>
      <c r="G503" s="63">
        <f t="shared" si="32"/>
        <v>16.5</v>
      </c>
      <c r="H503" s="95">
        <v>51669.9</v>
      </c>
      <c r="I503" s="97">
        <f t="shared" si="33"/>
        <v>852553.35</v>
      </c>
    </row>
    <row r="504" spans="1:9" ht="45" hidden="1" outlineLevel="2">
      <c r="A504" s="93" t="s">
        <v>93</v>
      </c>
      <c r="B504" s="93" t="s">
        <v>74</v>
      </c>
      <c r="D504" s="63" t="s">
        <v>197</v>
      </c>
      <c r="E504" s="93" t="s">
        <v>75</v>
      </c>
      <c r="F504" s="96">
        <v>2002</v>
      </c>
      <c r="G504" s="63">
        <f t="shared" si="32"/>
        <v>14.5</v>
      </c>
      <c r="H504" s="95">
        <v>317492.81</v>
      </c>
      <c r="I504" s="97">
        <f t="shared" si="33"/>
        <v>4603645.7450000001</v>
      </c>
    </row>
    <row r="505" spans="1:9" ht="45" hidden="1" outlineLevel="2">
      <c r="A505" s="93" t="s">
        <v>93</v>
      </c>
      <c r="B505" s="93" t="s">
        <v>74</v>
      </c>
      <c r="D505" s="63" t="s">
        <v>197</v>
      </c>
      <c r="E505" s="93" t="s">
        <v>75</v>
      </c>
      <c r="F505" s="96">
        <v>2005</v>
      </c>
      <c r="G505" s="63">
        <f t="shared" si="32"/>
        <v>11.5</v>
      </c>
      <c r="H505" s="95">
        <v>84840.69</v>
      </c>
      <c r="I505" s="97">
        <f t="shared" si="33"/>
        <v>975667.93500000006</v>
      </c>
    </row>
    <row r="506" spans="1:9" ht="45" hidden="1" outlineLevel="2">
      <c r="A506" s="93" t="s">
        <v>93</v>
      </c>
      <c r="B506" s="93" t="s">
        <v>74</v>
      </c>
      <c r="D506" s="63" t="s">
        <v>197</v>
      </c>
      <c r="E506" s="93" t="s">
        <v>75</v>
      </c>
      <c r="F506" s="96">
        <v>2006</v>
      </c>
      <c r="G506" s="63">
        <f t="shared" si="32"/>
        <v>10.5</v>
      </c>
      <c r="H506" s="95">
        <v>215215.49</v>
      </c>
      <c r="I506" s="97">
        <f t="shared" si="33"/>
        <v>2259762.645</v>
      </c>
    </row>
    <row r="507" spans="1:9" ht="45" hidden="1" outlineLevel="2">
      <c r="A507" s="93" t="s">
        <v>93</v>
      </c>
      <c r="B507" s="93" t="s">
        <v>74</v>
      </c>
      <c r="D507" s="63" t="s">
        <v>197</v>
      </c>
      <c r="E507" s="93" t="s">
        <v>75</v>
      </c>
      <c r="F507" s="96">
        <v>2007</v>
      </c>
      <c r="G507" s="63">
        <f t="shared" si="32"/>
        <v>9.5</v>
      </c>
      <c r="H507" s="95">
        <v>74260.59</v>
      </c>
      <c r="I507" s="97">
        <f t="shared" si="33"/>
        <v>705475.60499999998</v>
      </c>
    </row>
    <row r="508" spans="1:9" ht="45" hidden="1" outlineLevel="2">
      <c r="A508" s="93" t="s">
        <v>93</v>
      </c>
      <c r="B508" s="93" t="s">
        <v>74</v>
      </c>
      <c r="D508" s="63" t="s">
        <v>197</v>
      </c>
      <c r="E508" s="93" t="s">
        <v>75</v>
      </c>
      <c r="F508" s="96">
        <v>2008</v>
      </c>
      <c r="G508" s="63">
        <f t="shared" si="32"/>
        <v>8.5</v>
      </c>
      <c r="H508" s="95">
        <v>93061.06</v>
      </c>
      <c r="I508" s="97">
        <f t="shared" si="33"/>
        <v>791019.01</v>
      </c>
    </row>
    <row r="509" spans="1:9" ht="45" hidden="1" outlineLevel="2">
      <c r="A509" s="93" t="s">
        <v>93</v>
      </c>
      <c r="B509" s="93" t="s">
        <v>74</v>
      </c>
      <c r="D509" s="63" t="s">
        <v>197</v>
      </c>
      <c r="E509" s="93" t="s">
        <v>75</v>
      </c>
      <c r="F509" s="96">
        <v>2009</v>
      </c>
      <c r="G509" s="63">
        <f t="shared" si="32"/>
        <v>7.5</v>
      </c>
      <c r="H509" s="95">
        <v>3144092.49</v>
      </c>
      <c r="I509" s="97">
        <f t="shared" si="33"/>
        <v>23580693.675000001</v>
      </c>
    </row>
    <row r="510" spans="1:9" ht="45" hidden="1" outlineLevel="2">
      <c r="A510" s="93" t="s">
        <v>93</v>
      </c>
      <c r="B510" s="93" t="s">
        <v>74</v>
      </c>
      <c r="D510" s="63" t="s">
        <v>197</v>
      </c>
      <c r="E510" s="93" t="s">
        <v>75</v>
      </c>
      <c r="F510" s="96">
        <v>2010</v>
      </c>
      <c r="G510" s="63">
        <f t="shared" si="32"/>
        <v>6.5</v>
      </c>
      <c r="H510" s="95">
        <v>3914.19</v>
      </c>
      <c r="I510" s="97">
        <f t="shared" si="33"/>
        <v>25442.235000000001</v>
      </c>
    </row>
    <row r="511" spans="1:9" ht="45" hidden="1" outlineLevel="2">
      <c r="A511" s="93" t="s">
        <v>93</v>
      </c>
      <c r="B511" s="93" t="s">
        <v>74</v>
      </c>
      <c r="D511" s="63" t="s">
        <v>197</v>
      </c>
      <c r="E511" s="93" t="s">
        <v>75</v>
      </c>
      <c r="F511" s="96">
        <v>2011</v>
      </c>
      <c r="G511" s="63">
        <f t="shared" si="32"/>
        <v>5.5</v>
      </c>
      <c r="H511" s="95">
        <v>488492.98</v>
      </c>
      <c r="I511" s="97">
        <f t="shared" si="33"/>
        <v>2686711.3899999997</v>
      </c>
    </row>
    <row r="512" spans="1:9" ht="45" hidden="1" outlineLevel="2">
      <c r="A512" s="93" t="s">
        <v>93</v>
      </c>
      <c r="B512" s="93" t="s">
        <v>74</v>
      </c>
      <c r="D512" s="63" t="s">
        <v>197</v>
      </c>
      <c r="E512" s="93" t="s">
        <v>75</v>
      </c>
      <c r="F512" s="96">
        <v>2012</v>
      </c>
      <c r="G512" s="63">
        <f t="shared" si="32"/>
        <v>4.5</v>
      </c>
      <c r="H512" s="95">
        <v>161214.59</v>
      </c>
      <c r="I512" s="97">
        <f t="shared" si="33"/>
        <v>725465.65500000003</v>
      </c>
    </row>
    <row r="513" spans="1:10" ht="45" hidden="1" outlineLevel="2">
      <c r="A513" s="93" t="s">
        <v>93</v>
      </c>
      <c r="B513" s="93" t="s">
        <v>74</v>
      </c>
      <c r="D513" s="63" t="s">
        <v>197</v>
      </c>
      <c r="E513" s="93" t="s">
        <v>75</v>
      </c>
      <c r="F513" s="96">
        <v>2013</v>
      </c>
      <c r="G513" s="63">
        <f t="shared" si="32"/>
        <v>3.5</v>
      </c>
      <c r="H513" s="95">
        <v>200286.07</v>
      </c>
      <c r="I513" s="97">
        <f t="shared" si="33"/>
        <v>701001.245</v>
      </c>
    </row>
    <row r="514" spans="1:10" ht="45" hidden="1" outlineLevel="2">
      <c r="A514" s="93" t="s">
        <v>93</v>
      </c>
      <c r="B514" s="93" t="s">
        <v>74</v>
      </c>
      <c r="D514" s="63" t="s">
        <v>197</v>
      </c>
      <c r="E514" s="93" t="s">
        <v>75</v>
      </c>
      <c r="F514" s="96">
        <v>2014</v>
      </c>
      <c r="G514" s="63">
        <f t="shared" si="32"/>
        <v>2.5</v>
      </c>
      <c r="H514" s="95">
        <v>211318.1</v>
      </c>
      <c r="I514" s="97">
        <f t="shared" si="33"/>
        <v>528295.25</v>
      </c>
    </row>
    <row r="515" spans="1:10" ht="45" hidden="1" outlineLevel="2">
      <c r="A515" s="93" t="s">
        <v>93</v>
      </c>
      <c r="B515" s="93" t="s">
        <v>74</v>
      </c>
      <c r="D515" s="63" t="s">
        <v>197</v>
      </c>
      <c r="E515" s="93" t="s">
        <v>75</v>
      </c>
      <c r="F515" s="96">
        <v>2015</v>
      </c>
      <c r="G515" s="63">
        <f t="shared" si="32"/>
        <v>1.5</v>
      </c>
      <c r="H515" s="95">
        <v>1180909.56</v>
      </c>
      <c r="I515" s="97">
        <f t="shared" si="33"/>
        <v>1771364.34</v>
      </c>
    </row>
    <row r="516" spans="1:10" ht="45" hidden="1" outlineLevel="2">
      <c r="A516" s="93" t="s">
        <v>93</v>
      </c>
      <c r="B516" s="93" t="s">
        <v>74</v>
      </c>
      <c r="D516" s="63" t="s">
        <v>197</v>
      </c>
      <c r="E516" s="93" t="s">
        <v>75</v>
      </c>
      <c r="F516" s="96">
        <v>2016</v>
      </c>
      <c r="G516" s="63">
        <f t="shared" si="32"/>
        <v>0.5</v>
      </c>
      <c r="H516" s="95">
        <v>3319786.34</v>
      </c>
      <c r="I516" s="97">
        <f t="shared" si="33"/>
        <v>1659893.17</v>
      </c>
    </row>
    <row r="517" spans="1:10" s="63" customFormat="1" ht="30" outlineLevel="1" collapsed="1">
      <c r="A517" s="26" t="str">
        <f>+A516</f>
        <v>Crist</v>
      </c>
      <c r="B517" s="94"/>
      <c r="C517" s="26"/>
      <c r="D517" s="26" t="str">
        <f>+D516</f>
        <v>Crist Common</v>
      </c>
      <c r="E517" s="94" t="s">
        <v>206</v>
      </c>
      <c r="F517" s="96"/>
      <c r="H517" s="95">
        <f>SUBTOTAL(9,H465:H516)</f>
        <v>10786965.970000001</v>
      </c>
      <c r="I517" s="97">
        <f>SUBTOTAL(9,I465:I516)</f>
        <v>76358300.745000005</v>
      </c>
      <c r="J517" s="64">
        <f>+I517/H517</f>
        <v>7.0787560614692477</v>
      </c>
    </row>
    <row r="518" spans="1:10" ht="30" hidden="1" outlineLevel="2">
      <c r="A518" s="93" t="s">
        <v>95</v>
      </c>
      <c r="B518" s="93" t="s">
        <v>79</v>
      </c>
      <c r="D518" t="s">
        <v>198</v>
      </c>
      <c r="E518" s="93" t="s">
        <v>72</v>
      </c>
      <c r="F518" s="96">
        <v>1977</v>
      </c>
      <c r="G518" s="63">
        <f t="shared" ref="G518:G529" si="34">2016.5-F518</f>
        <v>39.5</v>
      </c>
      <c r="H518" s="95">
        <v>7548275.4400000004</v>
      </c>
      <c r="I518" s="97">
        <f t="shared" ref="I518:I529" si="35">+G518*H518</f>
        <v>298156879.88</v>
      </c>
    </row>
    <row r="519" spans="1:10" ht="30" hidden="1" outlineLevel="2">
      <c r="A519" s="93" t="s">
        <v>95</v>
      </c>
      <c r="B519" s="93" t="s">
        <v>79</v>
      </c>
      <c r="D519" s="63" t="s">
        <v>198</v>
      </c>
      <c r="E519" s="93" t="s">
        <v>72</v>
      </c>
      <c r="F519" s="96">
        <v>1978</v>
      </c>
      <c r="G519" s="63">
        <f t="shared" si="34"/>
        <v>38.5</v>
      </c>
      <c r="H519" s="95">
        <v>390154.92</v>
      </c>
      <c r="I519" s="97">
        <f t="shared" si="35"/>
        <v>15020964.42</v>
      </c>
    </row>
    <row r="520" spans="1:10" ht="30" hidden="1" outlineLevel="2">
      <c r="A520" s="93" t="s">
        <v>95</v>
      </c>
      <c r="B520" s="93" t="s">
        <v>79</v>
      </c>
      <c r="D520" s="63" t="s">
        <v>198</v>
      </c>
      <c r="E520" s="93" t="s">
        <v>72</v>
      </c>
      <c r="F520" s="96">
        <v>1979</v>
      </c>
      <c r="G520" s="63">
        <f t="shared" si="34"/>
        <v>37.5</v>
      </c>
      <c r="H520" s="95">
        <v>25211.15</v>
      </c>
      <c r="I520" s="97">
        <f t="shared" si="35"/>
        <v>945418.125</v>
      </c>
    </row>
    <row r="521" spans="1:10" ht="30" hidden="1" outlineLevel="2">
      <c r="A521" s="93" t="s">
        <v>95</v>
      </c>
      <c r="B521" s="93" t="s">
        <v>79</v>
      </c>
      <c r="D521" s="63" t="s">
        <v>198</v>
      </c>
      <c r="E521" s="93" t="s">
        <v>72</v>
      </c>
      <c r="F521" s="96">
        <v>1980</v>
      </c>
      <c r="G521" s="63">
        <f t="shared" si="34"/>
        <v>36.5</v>
      </c>
      <c r="H521" s="95">
        <v>258395.59</v>
      </c>
      <c r="I521" s="97">
        <f t="shared" si="35"/>
        <v>9431439.0350000001</v>
      </c>
    </row>
    <row r="522" spans="1:10" ht="30" hidden="1" outlineLevel="2">
      <c r="A522" s="93" t="s">
        <v>95</v>
      </c>
      <c r="B522" s="93" t="s">
        <v>79</v>
      </c>
      <c r="D522" s="63" t="s">
        <v>198</v>
      </c>
      <c r="E522" s="93" t="s">
        <v>72</v>
      </c>
      <c r="F522" s="96">
        <v>1981</v>
      </c>
      <c r="G522" s="63">
        <f t="shared" si="34"/>
        <v>35.5</v>
      </c>
      <c r="H522" s="95">
        <v>55151.73</v>
      </c>
      <c r="I522" s="97">
        <f t="shared" si="35"/>
        <v>1957886.415</v>
      </c>
    </row>
    <row r="523" spans="1:10" ht="30" hidden="1" outlineLevel="2">
      <c r="A523" s="93" t="s">
        <v>95</v>
      </c>
      <c r="B523" s="93" t="s">
        <v>79</v>
      </c>
      <c r="D523" s="63" t="s">
        <v>198</v>
      </c>
      <c r="E523" s="93" t="s">
        <v>72</v>
      </c>
      <c r="F523" s="96">
        <v>1983</v>
      </c>
      <c r="G523" s="63">
        <f t="shared" si="34"/>
        <v>33.5</v>
      </c>
      <c r="H523" s="95">
        <v>180782.2</v>
      </c>
      <c r="I523" s="97">
        <f t="shared" si="35"/>
        <v>6056203.7000000002</v>
      </c>
    </row>
    <row r="524" spans="1:10" ht="30" hidden="1" outlineLevel="2">
      <c r="A524" s="93" t="s">
        <v>95</v>
      </c>
      <c r="B524" s="93" t="s">
        <v>79</v>
      </c>
      <c r="D524" s="63" t="s">
        <v>198</v>
      </c>
      <c r="E524" s="93" t="s">
        <v>72</v>
      </c>
      <c r="F524" s="96">
        <v>1986</v>
      </c>
      <c r="G524" s="63">
        <f t="shared" si="34"/>
        <v>30.5</v>
      </c>
      <c r="H524" s="95">
        <v>71465.41</v>
      </c>
      <c r="I524" s="97">
        <f t="shared" si="35"/>
        <v>2179695.0049999999</v>
      </c>
    </row>
    <row r="525" spans="1:10" ht="30" hidden="1" outlineLevel="2">
      <c r="A525" s="93" t="s">
        <v>95</v>
      </c>
      <c r="B525" s="93" t="s">
        <v>79</v>
      </c>
      <c r="D525" s="63" t="s">
        <v>198</v>
      </c>
      <c r="E525" s="93" t="s">
        <v>72</v>
      </c>
      <c r="F525" s="96">
        <v>2005</v>
      </c>
      <c r="G525" s="63">
        <f t="shared" si="34"/>
        <v>11.5</v>
      </c>
      <c r="H525" s="95">
        <v>5102.9399999999996</v>
      </c>
      <c r="I525" s="97">
        <f t="shared" si="35"/>
        <v>58683.81</v>
      </c>
    </row>
    <row r="526" spans="1:10" ht="30" hidden="1" outlineLevel="2">
      <c r="A526" s="93" t="s">
        <v>95</v>
      </c>
      <c r="B526" s="93" t="s">
        <v>79</v>
      </c>
      <c r="D526" s="63" t="s">
        <v>198</v>
      </c>
      <c r="E526" s="93" t="s">
        <v>72</v>
      </c>
      <c r="F526" s="96">
        <v>2008</v>
      </c>
      <c r="G526" s="63">
        <f t="shared" si="34"/>
        <v>8.5</v>
      </c>
      <c r="H526" s="95">
        <v>28289.919999999998</v>
      </c>
      <c r="I526" s="97">
        <f t="shared" si="35"/>
        <v>240464.31999999998</v>
      </c>
    </row>
    <row r="527" spans="1:10" ht="30" hidden="1" outlineLevel="2">
      <c r="A527" s="93" t="s">
        <v>95</v>
      </c>
      <c r="B527" s="93" t="s">
        <v>79</v>
      </c>
      <c r="D527" s="63" t="s">
        <v>198</v>
      </c>
      <c r="E527" s="93" t="s">
        <v>72</v>
      </c>
      <c r="F527" s="96">
        <v>2010</v>
      </c>
      <c r="G527" s="63">
        <f t="shared" si="34"/>
        <v>6.5</v>
      </c>
      <c r="H527" s="95">
        <v>28210.48</v>
      </c>
      <c r="I527" s="97">
        <f t="shared" si="35"/>
        <v>183368.12</v>
      </c>
    </row>
    <row r="528" spans="1:10" ht="30" hidden="1" outlineLevel="2">
      <c r="A528" s="93" t="s">
        <v>95</v>
      </c>
      <c r="B528" s="93" t="s">
        <v>79</v>
      </c>
      <c r="D528" s="63" t="s">
        <v>198</v>
      </c>
      <c r="E528" s="93" t="s">
        <v>72</v>
      </c>
      <c r="F528" s="96">
        <v>2012</v>
      </c>
      <c r="G528" s="63">
        <f t="shared" si="34"/>
        <v>4.5</v>
      </c>
      <c r="H528" s="95">
        <v>25519.62</v>
      </c>
      <c r="I528" s="97">
        <f t="shared" si="35"/>
        <v>114838.29</v>
      </c>
    </row>
    <row r="529" spans="1:10" ht="30" hidden="1" outlineLevel="2">
      <c r="A529" s="93" t="s">
        <v>95</v>
      </c>
      <c r="B529" s="93" t="s">
        <v>79</v>
      </c>
      <c r="D529" s="63" t="s">
        <v>198</v>
      </c>
      <c r="E529" s="93" t="s">
        <v>72</v>
      </c>
      <c r="F529" s="96">
        <v>2016</v>
      </c>
      <c r="G529" s="63">
        <f t="shared" si="34"/>
        <v>0.5</v>
      </c>
      <c r="H529" s="95">
        <v>271282.96999999997</v>
      </c>
      <c r="I529" s="97">
        <f t="shared" si="35"/>
        <v>135641.48499999999</v>
      </c>
    </row>
    <row r="530" spans="1:10" s="63" customFormat="1" ht="30" outlineLevel="1" collapsed="1">
      <c r="A530" s="26" t="str">
        <f>+A529</f>
        <v>Daniel</v>
      </c>
      <c r="B530" s="94"/>
      <c r="C530" s="26"/>
      <c r="D530" s="26" t="str">
        <f>+D529</f>
        <v>Daniel 1</v>
      </c>
      <c r="E530" s="94" t="s">
        <v>205</v>
      </c>
      <c r="F530" s="96"/>
      <c r="H530" s="95">
        <f>SUBTOTAL(9,H518:H529)</f>
        <v>8887842.370000001</v>
      </c>
      <c r="I530" s="97">
        <f>SUBTOTAL(9,I518:I529)</f>
        <v>334481482.60500008</v>
      </c>
      <c r="J530" s="64">
        <f>+I530/H530</f>
        <v>37.633597523512336</v>
      </c>
    </row>
    <row r="531" spans="1:10" ht="30" hidden="1" outlineLevel="2">
      <c r="A531" s="93" t="s">
        <v>95</v>
      </c>
      <c r="B531" s="93" t="s">
        <v>79</v>
      </c>
      <c r="D531" s="63" t="s">
        <v>198</v>
      </c>
      <c r="E531" s="93" t="s">
        <v>67</v>
      </c>
      <c r="F531" s="96">
        <v>1977</v>
      </c>
      <c r="G531" s="63">
        <f t="shared" ref="G531:G567" si="36">2016.5-F531</f>
        <v>39.5</v>
      </c>
      <c r="H531" s="95">
        <v>18808121.170000002</v>
      </c>
      <c r="I531" s="97">
        <f t="shared" ref="I531:I567" si="37">+G531*H531</f>
        <v>742920786.21500003</v>
      </c>
    </row>
    <row r="532" spans="1:10" ht="30" hidden="1" outlineLevel="2">
      <c r="A532" s="93" t="s">
        <v>95</v>
      </c>
      <c r="B532" s="93" t="s">
        <v>79</v>
      </c>
      <c r="D532" s="63" t="s">
        <v>198</v>
      </c>
      <c r="E532" s="93" t="s">
        <v>67</v>
      </c>
      <c r="F532" s="96">
        <v>1978</v>
      </c>
      <c r="G532" s="63">
        <f t="shared" si="36"/>
        <v>38.5</v>
      </c>
      <c r="H532" s="95">
        <v>3183066.73</v>
      </c>
      <c r="I532" s="97">
        <f t="shared" si="37"/>
        <v>122548069.105</v>
      </c>
    </row>
    <row r="533" spans="1:10" ht="30" hidden="1" outlineLevel="2">
      <c r="A533" s="93" t="s">
        <v>95</v>
      </c>
      <c r="B533" s="93" t="s">
        <v>79</v>
      </c>
      <c r="D533" s="63" t="s">
        <v>198</v>
      </c>
      <c r="E533" s="93" t="s">
        <v>67</v>
      </c>
      <c r="F533" s="96">
        <v>1979</v>
      </c>
      <c r="G533" s="63">
        <f t="shared" si="36"/>
        <v>37.5</v>
      </c>
      <c r="H533" s="95">
        <v>364518.02</v>
      </c>
      <c r="I533" s="97">
        <f t="shared" si="37"/>
        <v>13669425.75</v>
      </c>
    </row>
    <row r="534" spans="1:10" ht="30" hidden="1" outlineLevel="2">
      <c r="A534" s="93" t="s">
        <v>95</v>
      </c>
      <c r="B534" s="93" t="s">
        <v>79</v>
      </c>
      <c r="D534" s="63" t="s">
        <v>198</v>
      </c>
      <c r="E534" s="93" t="s">
        <v>67</v>
      </c>
      <c r="F534" s="96">
        <v>1980</v>
      </c>
      <c r="G534" s="63">
        <f t="shared" si="36"/>
        <v>36.5</v>
      </c>
      <c r="H534" s="95">
        <v>346371.57</v>
      </c>
      <c r="I534" s="97">
        <f t="shared" si="37"/>
        <v>12642562.305</v>
      </c>
    </row>
    <row r="535" spans="1:10" ht="30" hidden="1" outlineLevel="2">
      <c r="A535" s="93" t="s">
        <v>95</v>
      </c>
      <c r="B535" s="93" t="s">
        <v>79</v>
      </c>
      <c r="D535" s="63" t="s">
        <v>198</v>
      </c>
      <c r="E535" s="93" t="s">
        <v>67</v>
      </c>
      <c r="F535" s="96">
        <v>1981</v>
      </c>
      <c r="G535" s="63">
        <f t="shared" si="36"/>
        <v>35.5</v>
      </c>
      <c r="H535" s="95">
        <v>48619.92</v>
      </c>
      <c r="I535" s="97">
        <f t="shared" si="37"/>
        <v>1726007.16</v>
      </c>
    </row>
    <row r="536" spans="1:10" ht="30" hidden="1" outlineLevel="2">
      <c r="A536" s="93" t="s">
        <v>95</v>
      </c>
      <c r="B536" s="93" t="s">
        <v>79</v>
      </c>
      <c r="D536" s="63" t="s">
        <v>198</v>
      </c>
      <c r="E536" s="93" t="s">
        <v>67</v>
      </c>
      <c r="F536" s="96">
        <v>1983</v>
      </c>
      <c r="G536" s="63">
        <f t="shared" si="36"/>
        <v>33.5</v>
      </c>
      <c r="H536" s="95">
        <v>225906.58</v>
      </c>
      <c r="I536" s="97">
        <f t="shared" si="37"/>
        <v>7567870.4299999997</v>
      </c>
    </row>
    <row r="537" spans="1:10" ht="30" hidden="1" outlineLevel="2">
      <c r="A537" s="93" t="s">
        <v>95</v>
      </c>
      <c r="B537" s="93" t="s">
        <v>79</v>
      </c>
      <c r="D537" s="63" t="s">
        <v>198</v>
      </c>
      <c r="E537" s="93" t="s">
        <v>67</v>
      </c>
      <c r="F537" s="96">
        <v>1984</v>
      </c>
      <c r="G537" s="63">
        <f t="shared" si="36"/>
        <v>32.5</v>
      </c>
      <c r="H537" s="95">
        <v>294124.63</v>
      </c>
      <c r="I537" s="97">
        <f t="shared" si="37"/>
        <v>9559050.4749999996</v>
      </c>
    </row>
    <row r="538" spans="1:10" ht="30" hidden="1" outlineLevel="2">
      <c r="A538" s="93" t="s">
        <v>95</v>
      </c>
      <c r="B538" s="93" t="s">
        <v>79</v>
      </c>
      <c r="D538" s="63" t="s">
        <v>198</v>
      </c>
      <c r="E538" s="93" t="s">
        <v>67</v>
      </c>
      <c r="F538" s="96">
        <v>1986</v>
      </c>
      <c r="G538" s="63">
        <f t="shared" si="36"/>
        <v>30.5</v>
      </c>
      <c r="H538" s="95">
        <v>5136</v>
      </c>
      <c r="I538" s="97">
        <f t="shared" si="37"/>
        <v>156648</v>
      </c>
    </row>
    <row r="539" spans="1:10" ht="30" hidden="1" outlineLevel="2">
      <c r="A539" s="93" t="s">
        <v>95</v>
      </c>
      <c r="B539" s="93" t="s">
        <v>79</v>
      </c>
      <c r="D539" s="63" t="s">
        <v>198</v>
      </c>
      <c r="E539" s="93" t="s">
        <v>67</v>
      </c>
      <c r="F539" s="96">
        <v>1987</v>
      </c>
      <c r="G539" s="63">
        <f t="shared" si="36"/>
        <v>29.5</v>
      </c>
      <c r="H539" s="95">
        <v>4006.81</v>
      </c>
      <c r="I539" s="97">
        <f t="shared" si="37"/>
        <v>118200.895</v>
      </c>
    </row>
    <row r="540" spans="1:10" ht="30" hidden="1" outlineLevel="2">
      <c r="A540" s="93" t="s">
        <v>95</v>
      </c>
      <c r="B540" s="93" t="s">
        <v>79</v>
      </c>
      <c r="D540" s="63" t="s">
        <v>198</v>
      </c>
      <c r="E540" s="93" t="s">
        <v>67</v>
      </c>
      <c r="F540" s="96">
        <v>1988</v>
      </c>
      <c r="G540" s="63">
        <f t="shared" si="36"/>
        <v>28.5</v>
      </c>
      <c r="H540" s="95">
        <v>176397.97</v>
      </c>
      <c r="I540" s="97">
        <f t="shared" si="37"/>
        <v>5027342.1450000005</v>
      </c>
    </row>
    <row r="541" spans="1:10" ht="30" hidden="1" outlineLevel="2">
      <c r="A541" s="93" t="s">
        <v>95</v>
      </c>
      <c r="B541" s="93" t="s">
        <v>79</v>
      </c>
      <c r="D541" s="63" t="s">
        <v>198</v>
      </c>
      <c r="E541" s="93" t="s">
        <v>67</v>
      </c>
      <c r="F541" s="96">
        <v>1989</v>
      </c>
      <c r="G541" s="63">
        <f t="shared" si="36"/>
        <v>27.5</v>
      </c>
      <c r="H541" s="95">
        <v>38805.97</v>
      </c>
      <c r="I541" s="97">
        <f t="shared" si="37"/>
        <v>1067164.175</v>
      </c>
    </row>
    <row r="542" spans="1:10" ht="30" hidden="1" outlineLevel="2">
      <c r="A542" s="93" t="s">
        <v>95</v>
      </c>
      <c r="B542" s="93" t="s">
        <v>79</v>
      </c>
      <c r="D542" s="63" t="s">
        <v>198</v>
      </c>
      <c r="E542" s="93" t="s">
        <v>67</v>
      </c>
      <c r="F542" s="96">
        <v>1991</v>
      </c>
      <c r="G542" s="63">
        <f t="shared" si="36"/>
        <v>25.5</v>
      </c>
      <c r="H542" s="95">
        <v>11916.32</v>
      </c>
      <c r="I542" s="97">
        <f t="shared" si="37"/>
        <v>303866.15999999997</v>
      </c>
    </row>
    <row r="543" spans="1:10" ht="30" hidden="1" outlineLevel="2">
      <c r="A543" s="93" t="s">
        <v>95</v>
      </c>
      <c r="B543" s="93" t="s">
        <v>79</v>
      </c>
      <c r="D543" s="63" t="s">
        <v>198</v>
      </c>
      <c r="E543" s="93" t="s">
        <v>67</v>
      </c>
      <c r="F543" s="96">
        <v>1992</v>
      </c>
      <c r="G543" s="63">
        <f t="shared" si="36"/>
        <v>24.5</v>
      </c>
      <c r="H543" s="95">
        <v>50346.22</v>
      </c>
      <c r="I543" s="97">
        <f t="shared" si="37"/>
        <v>1233482.3900000001</v>
      </c>
    </row>
    <row r="544" spans="1:10" ht="30" hidden="1" outlineLevel="2">
      <c r="A544" s="93" t="s">
        <v>95</v>
      </c>
      <c r="B544" s="93" t="s">
        <v>79</v>
      </c>
      <c r="D544" s="63" t="s">
        <v>198</v>
      </c>
      <c r="E544" s="93" t="s">
        <v>67</v>
      </c>
      <c r="F544" s="96">
        <v>1993</v>
      </c>
      <c r="G544" s="63">
        <f t="shared" si="36"/>
        <v>23.5</v>
      </c>
      <c r="H544" s="95">
        <v>3143.47</v>
      </c>
      <c r="I544" s="97">
        <f t="shared" si="37"/>
        <v>73871.544999999998</v>
      </c>
    </row>
    <row r="545" spans="1:9" ht="30" hidden="1" outlineLevel="2">
      <c r="A545" s="93" t="s">
        <v>95</v>
      </c>
      <c r="B545" s="93" t="s">
        <v>79</v>
      </c>
      <c r="D545" s="63" t="s">
        <v>198</v>
      </c>
      <c r="E545" s="93" t="s">
        <v>67</v>
      </c>
      <c r="F545" s="96">
        <v>1994</v>
      </c>
      <c r="G545" s="63">
        <f t="shared" si="36"/>
        <v>22.5</v>
      </c>
      <c r="H545" s="95">
        <v>323076.17</v>
      </c>
      <c r="I545" s="97">
        <f t="shared" si="37"/>
        <v>7269213.8249999993</v>
      </c>
    </row>
    <row r="546" spans="1:9" ht="30" hidden="1" outlineLevel="2">
      <c r="A546" s="93" t="s">
        <v>95</v>
      </c>
      <c r="B546" s="93" t="s">
        <v>79</v>
      </c>
      <c r="D546" s="63" t="s">
        <v>198</v>
      </c>
      <c r="E546" s="93" t="s">
        <v>67</v>
      </c>
      <c r="F546" s="96">
        <v>1995</v>
      </c>
      <c r="G546" s="63">
        <f t="shared" si="36"/>
        <v>21.5</v>
      </c>
      <c r="H546" s="95">
        <v>16856.03</v>
      </c>
      <c r="I546" s="97">
        <f t="shared" si="37"/>
        <v>362404.64499999996</v>
      </c>
    </row>
    <row r="547" spans="1:9" ht="30" hidden="1" outlineLevel="2">
      <c r="A547" s="93" t="s">
        <v>95</v>
      </c>
      <c r="B547" s="93" t="s">
        <v>79</v>
      </c>
      <c r="D547" s="63" t="s">
        <v>198</v>
      </c>
      <c r="E547" s="93" t="s">
        <v>67</v>
      </c>
      <c r="F547" s="96">
        <v>1996</v>
      </c>
      <c r="G547" s="63">
        <f t="shared" si="36"/>
        <v>20.5</v>
      </c>
      <c r="H547" s="95">
        <v>373706.21</v>
      </c>
      <c r="I547" s="97">
        <f t="shared" si="37"/>
        <v>7660977.3050000006</v>
      </c>
    </row>
    <row r="548" spans="1:9" ht="30" hidden="1" outlineLevel="2">
      <c r="A548" s="93" t="s">
        <v>95</v>
      </c>
      <c r="B548" s="93" t="s">
        <v>79</v>
      </c>
      <c r="D548" s="63" t="s">
        <v>198</v>
      </c>
      <c r="E548" s="93" t="s">
        <v>67</v>
      </c>
      <c r="F548" s="96">
        <v>1997</v>
      </c>
      <c r="G548" s="63">
        <f t="shared" si="36"/>
        <v>19.5</v>
      </c>
      <c r="H548" s="95">
        <v>111014.9</v>
      </c>
      <c r="I548" s="97">
        <f t="shared" si="37"/>
        <v>2164790.5499999998</v>
      </c>
    </row>
    <row r="549" spans="1:9" ht="30" hidden="1" outlineLevel="2">
      <c r="A549" s="93" t="s">
        <v>95</v>
      </c>
      <c r="B549" s="93" t="s">
        <v>79</v>
      </c>
      <c r="D549" s="63" t="s">
        <v>198</v>
      </c>
      <c r="E549" s="93" t="s">
        <v>67</v>
      </c>
      <c r="F549" s="96">
        <v>1998</v>
      </c>
      <c r="G549" s="63">
        <f t="shared" si="36"/>
        <v>18.5</v>
      </c>
      <c r="H549" s="95">
        <v>25985.58</v>
      </c>
      <c r="I549" s="97">
        <f t="shared" si="37"/>
        <v>480733.23000000004</v>
      </c>
    </row>
    <row r="550" spans="1:9" ht="30" hidden="1" outlineLevel="2">
      <c r="A550" s="93" t="s">
        <v>95</v>
      </c>
      <c r="B550" s="93" t="s">
        <v>79</v>
      </c>
      <c r="D550" s="63" t="s">
        <v>198</v>
      </c>
      <c r="E550" s="93" t="s">
        <v>67</v>
      </c>
      <c r="F550" s="96">
        <v>1999</v>
      </c>
      <c r="G550" s="63">
        <f t="shared" si="36"/>
        <v>17.5</v>
      </c>
      <c r="H550" s="95">
        <v>7098860.2300000004</v>
      </c>
      <c r="I550" s="97">
        <f t="shared" si="37"/>
        <v>124230054.02500001</v>
      </c>
    </row>
    <row r="551" spans="1:9" ht="30" hidden="1" outlineLevel="2">
      <c r="A551" s="93" t="s">
        <v>95</v>
      </c>
      <c r="B551" s="93" t="s">
        <v>79</v>
      </c>
      <c r="D551" s="63" t="s">
        <v>198</v>
      </c>
      <c r="E551" s="93" t="s">
        <v>67</v>
      </c>
      <c r="F551" s="96">
        <v>2000</v>
      </c>
      <c r="G551" s="63">
        <f t="shared" si="36"/>
        <v>16.5</v>
      </c>
      <c r="H551" s="95">
        <v>1016155.68</v>
      </c>
      <c r="I551" s="97">
        <f t="shared" si="37"/>
        <v>16766568.720000001</v>
      </c>
    </row>
    <row r="552" spans="1:9" ht="30" hidden="1" outlineLevel="2">
      <c r="A552" s="93" t="s">
        <v>95</v>
      </c>
      <c r="B552" s="93" t="s">
        <v>79</v>
      </c>
      <c r="D552" s="63" t="s">
        <v>198</v>
      </c>
      <c r="E552" s="93" t="s">
        <v>67</v>
      </c>
      <c r="F552" s="96">
        <v>2001</v>
      </c>
      <c r="G552" s="63">
        <f t="shared" si="36"/>
        <v>15.5</v>
      </c>
      <c r="H552" s="95">
        <v>15616.69</v>
      </c>
      <c r="I552" s="97">
        <f t="shared" si="37"/>
        <v>242058.69500000001</v>
      </c>
    </row>
    <row r="553" spans="1:9" ht="30" hidden="1" outlineLevel="2">
      <c r="A553" s="93" t="s">
        <v>95</v>
      </c>
      <c r="B553" s="93" t="s">
        <v>79</v>
      </c>
      <c r="D553" s="63" t="s">
        <v>198</v>
      </c>
      <c r="E553" s="93" t="s">
        <v>67</v>
      </c>
      <c r="F553" s="96">
        <v>2002</v>
      </c>
      <c r="G553" s="63">
        <f t="shared" si="36"/>
        <v>14.5</v>
      </c>
      <c r="H553" s="95">
        <v>264933.01</v>
      </c>
      <c r="I553" s="97">
        <f t="shared" si="37"/>
        <v>3841528.645</v>
      </c>
    </row>
    <row r="554" spans="1:9" ht="30" hidden="1" outlineLevel="2">
      <c r="A554" s="93" t="s">
        <v>95</v>
      </c>
      <c r="B554" s="93" t="s">
        <v>79</v>
      </c>
      <c r="D554" s="63" t="s">
        <v>198</v>
      </c>
      <c r="E554" s="93" t="s">
        <v>67</v>
      </c>
      <c r="F554" s="96">
        <v>2003</v>
      </c>
      <c r="G554" s="63">
        <f t="shared" si="36"/>
        <v>13.5</v>
      </c>
      <c r="H554" s="95">
        <v>3415606.13</v>
      </c>
      <c r="I554" s="97">
        <f t="shared" si="37"/>
        <v>46110682.754999995</v>
      </c>
    </row>
    <row r="555" spans="1:9" ht="30" hidden="1" outlineLevel="2">
      <c r="A555" s="93" t="s">
        <v>95</v>
      </c>
      <c r="B555" s="93" t="s">
        <v>79</v>
      </c>
      <c r="D555" s="63" t="s">
        <v>198</v>
      </c>
      <c r="E555" s="93" t="s">
        <v>67</v>
      </c>
      <c r="F555" s="96">
        <v>2004</v>
      </c>
      <c r="G555" s="63">
        <f t="shared" si="36"/>
        <v>12.5</v>
      </c>
      <c r="H555" s="95">
        <v>201285.28</v>
      </c>
      <c r="I555" s="97">
        <f t="shared" si="37"/>
        <v>2516066</v>
      </c>
    </row>
    <row r="556" spans="1:9" ht="30" hidden="1" outlineLevel="2">
      <c r="A556" s="93" t="s">
        <v>95</v>
      </c>
      <c r="B556" s="93" t="s">
        <v>79</v>
      </c>
      <c r="D556" s="63" t="s">
        <v>198</v>
      </c>
      <c r="E556" s="93" t="s">
        <v>67</v>
      </c>
      <c r="F556" s="96">
        <v>2005</v>
      </c>
      <c r="G556" s="63">
        <f t="shared" si="36"/>
        <v>11.5</v>
      </c>
      <c r="H556" s="95">
        <v>4373619.25</v>
      </c>
      <c r="I556" s="97">
        <f t="shared" si="37"/>
        <v>50296621.375</v>
      </c>
    </row>
    <row r="557" spans="1:9" ht="30" hidden="1" outlineLevel="2">
      <c r="A557" s="93" t="s">
        <v>95</v>
      </c>
      <c r="B557" s="93" t="s">
        <v>79</v>
      </c>
      <c r="D557" s="63" t="s">
        <v>198</v>
      </c>
      <c r="E557" s="93" t="s">
        <v>67</v>
      </c>
      <c r="F557" s="96">
        <v>2006</v>
      </c>
      <c r="G557" s="63">
        <f t="shared" si="36"/>
        <v>10.5</v>
      </c>
      <c r="H557" s="95">
        <v>1698544.61</v>
      </c>
      <c r="I557" s="97">
        <f t="shared" si="37"/>
        <v>17834718.405000001</v>
      </c>
    </row>
    <row r="558" spans="1:9" ht="30" hidden="1" outlineLevel="2">
      <c r="A558" s="93" t="s">
        <v>95</v>
      </c>
      <c r="B558" s="93" t="s">
        <v>79</v>
      </c>
      <c r="D558" s="63" t="s">
        <v>198</v>
      </c>
      <c r="E558" s="93" t="s">
        <v>67</v>
      </c>
      <c r="F558" s="96">
        <v>2007</v>
      </c>
      <c r="G558" s="63">
        <f t="shared" si="36"/>
        <v>9.5</v>
      </c>
      <c r="H558" s="95">
        <v>4174155.63</v>
      </c>
      <c r="I558" s="97">
        <f t="shared" si="37"/>
        <v>39654478.484999999</v>
      </c>
    </row>
    <row r="559" spans="1:9" ht="30" hidden="1" outlineLevel="2">
      <c r="A559" s="93" t="s">
        <v>95</v>
      </c>
      <c r="B559" s="93" t="s">
        <v>79</v>
      </c>
      <c r="D559" s="63" t="s">
        <v>198</v>
      </c>
      <c r="E559" s="93" t="s">
        <v>67</v>
      </c>
      <c r="F559" s="96">
        <v>2008</v>
      </c>
      <c r="G559" s="63">
        <f t="shared" si="36"/>
        <v>8.5</v>
      </c>
      <c r="H559" s="95">
        <v>89354.99</v>
      </c>
      <c r="I559" s="97">
        <f t="shared" si="37"/>
        <v>759517.41500000004</v>
      </c>
    </row>
    <row r="560" spans="1:9" ht="30" hidden="1" outlineLevel="2">
      <c r="A560" s="93" t="s">
        <v>95</v>
      </c>
      <c r="B560" s="93" t="s">
        <v>79</v>
      </c>
      <c r="D560" s="63" t="s">
        <v>198</v>
      </c>
      <c r="E560" s="93" t="s">
        <v>67</v>
      </c>
      <c r="F560" s="96">
        <v>2009</v>
      </c>
      <c r="G560" s="63">
        <f t="shared" si="36"/>
        <v>7.5</v>
      </c>
      <c r="H560" s="95">
        <v>95847.15</v>
      </c>
      <c r="I560" s="97">
        <f t="shared" si="37"/>
        <v>718853.625</v>
      </c>
    </row>
    <row r="561" spans="1:10" ht="30" hidden="1" outlineLevel="2">
      <c r="A561" s="93" t="s">
        <v>95</v>
      </c>
      <c r="B561" s="93" t="s">
        <v>79</v>
      </c>
      <c r="D561" s="63" t="s">
        <v>198</v>
      </c>
      <c r="E561" s="93" t="s">
        <v>67</v>
      </c>
      <c r="F561" s="96">
        <v>2010</v>
      </c>
      <c r="G561" s="63">
        <f t="shared" si="36"/>
        <v>6.5</v>
      </c>
      <c r="H561" s="95">
        <v>3950855.44</v>
      </c>
      <c r="I561" s="97">
        <f t="shared" si="37"/>
        <v>25680560.359999999</v>
      </c>
    </row>
    <row r="562" spans="1:10" ht="30" hidden="1" outlineLevel="2">
      <c r="A562" s="93" t="s">
        <v>95</v>
      </c>
      <c r="B562" s="93" t="s">
        <v>79</v>
      </c>
      <c r="D562" s="63" t="s">
        <v>198</v>
      </c>
      <c r="E562" s="93" t="s">
        <v>67</v>
      </c>
      <c r="F562" s="96">
        <v>2011</v>
      </c>
      <c r="G562" s="63">
        <f t="shared" si="36"/>
        <v>5.5</v>
      </c>
      <c r="H562" s="95">
        <v>37282.81</v>
      </c>
      <c r="I562" s="97">
        <f t="shared" si="37"/>
        <v>205055.45499999999</v>
      </c>
    </row>
    <row r="563" spans="1:10" ht="30" hidden="1" outlineLevel="2">
      <c r="A563" s="93" t="s">
        <v>95</v>
      </c>
      <c r="B563" s="93" t="s">
        <v>79</v>
      </c>
      <c r="D563" s="63" t="s">
        <v>198</v>
      </c>
      <c r="E563" s="93" t="s">
        <v>67</v>
      </c>
      <c r="F563" s="96">
        <v>2012</v>
      </c>
      <c r="G563" s="63">
        <f t="shared" si="36"/>
        <v>4.5</v>
      </c>
      <c r="H563" s="95">
        <v>550873.24</v>
      </c>
      <c r="I563" s="97">
        <f t="shared" si="37"/>
        <v>2478929.58</v>
      </c>
    </row>
    <row r="564" spans="1:10" ht="30" hidden="1" outlineLevel="2">
      <c r="A564" s="93" t="s">
        <v>95</v>
      </c>
      <c r="B564" s="93" t="s">
        <v>79</v>
      </c>
      <c r="D564" s="63" t="s">
        <v>198</v>
      </c>
      <c r="E564" s="93" t="s">
        <v>67</v>
      </c>
      <c r="F564" s="96">
        <v>2013</v>
      </c>
      <c r="G564" s="63">
        <f t="shared" si="36"/>
        <v>3.5</v>
      </c>
      <c r="H564" s="95">
        <v>417792.17</v>
      </c>
      <c r="I564" s="97">
        <f t="shared" si="37"/>
        <v>1462272.595</v>
      </c>
    </row>
    <row r="565" spans="1:10" ht="30" hidden="1" outlineLevel="2">
      <c r="A565" s="93" t="s">
        <v>95</v>
      </c>
      <c r="B565" s="93" t="s">
        <v>79</v>
      </c>
      <c r="D565" s="63" t="s">
        <v>198</v>
      </c>
      <c r="E565" s="93" t="s">
        <v>67</v>
      </c>
      <c r="F565" s="96">
        <v>2014</v>
      </c>
      <c r="G565" s="63">
        <f t="shared" si="36"/>
        <v>2.5</v>
      </c>
      <c r="H565" s="95">
        <v>360929.41</v>
      </c>
      <c r="I565" s="97">
        <f t="shared" si="37"/>
        <v>902323.52499999991</v>
      </c>
    </row>
    <row r="566" spans="1:10" ht="30" hidden="1" outlineLevel="2">
      <c r="A566" s="93" t="s">
        <v>95</v>
      </c>
      <c r="B566" s="93" t="s">
        <v>79</v>
      </c>
      <c r="D566" s="63" t="s">
        <v>198</v>
      </c>
      <c r="E566" s="93" t="s">
        <v>67</v>
      </c>
      <c r="F566" s="96">
        <v>2015</v>
      </c>
      <c r="G566" s="63">
        <f t="shared" si="36"/>
        <v>1.5</v>
      </c>
      <c r="H566" s="95">
        <v>92281341.799999997</v>
      </c>
      <c r="I566" s="97">
        <f t="shared" si="37"/>
        <v>138422012.69999999</v>
      </c>
    </row>
    <row r="567" spans="1:10" ht="30" hidden="1" outlineLevel="2">
      <c r="A567" s="93" t="s">
        <v>95</v>
      </c>
      <c r="B567" s="93" t="s">
        <v>79</v>
      </c>
      <c r="D567" s="63" t="s">
        <v>198</v>
      </c>
      <c r="E567" s="93" t="s">
        <v>67</v>
      </c>
      <c r="F567" s="96">
        <v>2016</v>
      </c>
      <c r="G567" s="63">
        <f t="shared" si="36"/>
        <v>0.5</v>
      </c>
      <c r="H567" s="95">
        <v>1800442.85</v>
      </c>
      <c r="I567" s="97">
        <f t="shared" si="37"/>
        <v>900221.42500000005</v>
      </c>
    </row>
    <row r="568" spans="1:10" s="63" customFormat="1" ht="30" outlineLevel="1" collapsed="1">
      <c r="A568" s="26" t="str">
        <f>+A567</f>
        <v>Daniel</v>
      </c>
      <c r="B568" s="94"/>
      <c r="C568" s="26"/>
      <c r="D568" s="26" t="str">
        <f>+D567</f>
        <v>Daniel 1</v>
      </c>
      <c r="E568" s="94" t="s">
        <v>202</v>
      </c>
      <c r="F568" s="96"/>
      <c r="H568" s="95">
        <f>SUBTOTAL(9,H531:H567)</f>
        <v>146254616.63999999</v>
      </c>
      <c r="I568" s="97">
        <f>SUBTOTAL(9,I531:I567)</f>
        <v>1409574990.0899992</v>
      </c>
      <c r="J568" s="64">
        <f>+I568/H568</f>
        <v>9.6378153556657491</v>
      </c>
    </row>
    <row r="569" spans="1:10" ht="30" hidden="1" outlineLevel="2">
      <c r="A569" s="93" t="s">
        <v>95</v>
      </c>
      <c r="B569" s="93" t="s">
        <v>79</v>
      </c>
      <c r="D569" s="63" t="s">
        <v>198</v>
      </c>
      <c r="E569" s="93" t="s">
        <v>68</v>
      </c>
      <c r="F569" s="96">
        <v>1977</v>
      </c>
      <c r="G569" s="63">
        <f t="shared" ref="G569:G589" si="38">2016.5-F569</f>
        <v>39.5</v>
      </c>
      <c r="H569" s="95">
        <v>7328135.5499999998</v>
      </c>
      <c r="I569" s="97">
        <f t="shared" ref="I569:I589" si="39">+G569*H569</f>
        <v>289461354.22499996</v>
      </c>
    </row>
    <row r="570" spans="1:10" ht="30" hidden="1" outlineLevel="2">
      <c r="A570" s="93" t="s">
        <v>95</v>
      </c>
      <c r="B570" s="93" t="s">
        <v>79</v>
      </c>
      <c r="D570" s="63" t="s">
        <v>198</v>
      </c>
      <c r="E570" s="93" t="s">
        <v>68</v>
      </c>
      <c r="F570" s="96">
        <v>1978</v>
      </c>
      <c r="G570" s="63">
        <f t="shared" si="38"/>
        <v>38.5</v>
      </c>
      <c r="H570" s="95">
        <v>311563.25</v>
      </c>
      <c r="I570" s="97">
        <f t="shared" si="39"/>
        <v>11995185.125</v>
      </c>
    </row>
    <row r="571" spans="1:10" ht="30" hidden="1" outlineLevel="2">
      <c r="A571" s="93" t="s">
        <v>95</v>
      </c>
      <c r="B571" s="93" t="s">
        <v>79</v>
      </c>
      <c r="D571" s="63" t="s">
        <v>198</v>
      </c>
      <c r="E571" s="93" t="s">
        <v>68</v>
      </c>
      <c r="F571" s="96">
        <v>1981</v>
      </c>
      <c r="G571" s="63">
        <f t="shared" si="38"/>
        <v>35.5</v>
      </c>
      <c r="H571" s="95">
        <v>378.45</v>
      </c>
      <c r="I571" s="97">
        <f t="shared" si="39"/>
        <v>13434.975</v>
      </c>
    </row>
    <row r="572" spans="1:10" ht="30" hidden="1" outlineLevel="2">
      <c r="A572" s="93" t="s">
        <v>95</v>
      </c>
      <c r="B572" s="93" t="s">
        <v>79</v>
      </c>
      <c r="D572" s="63" t="s">
        <v>198</v>
      </c>
      <c r="E572" s="93" t="s">
        <v>68</v>
      </c>
      <c r="F572" s="96">
        <v>1983</v>
      </c>
      <c r="G572" s="63">
        <f t="shared" si="38"/>
        <v>33.5</v>
      </c>
      <c r="H572" s="95">
        <v>35750.92</v>
      </c>
      <c r="I572" s="97">
        <f t="shared" si="39"/>
        <v>1197655.8199999998</v>
      </c>
    </row>
    <row r="573" spans="1:10" ht="30" hidden="1" outlineLevel="2">
      <c r="A573" s="93" t="s">
        <v>95</v>
      </c>
      <c r="B573" s="93" t="s">
        <v>79</v>
      </c>
      <c r="D573" s="63" t="s">
        <v>198</v>
      </c>
      <c r="E573" s="93" t="s">
        <v>68</v>
      </c>
      <c r="F573" s="96">
        <v>1988</v>
      </c>
      <c r="G573" s="63">
        <f t="shared" si="38"/>
        <v>28.5</v>
      </c>
      <c r="H573" s="95">
        <v>923573.77</v>
      </c>
      <c r="I573" s="97">
        <f t="shared" si="39"/>
        <v>26321852.445</v>
      </c>
    </row>
    <row r="574" spans="1:10" ht="30" hidden="1" outlineLevel="2">
      <c r="A574" s="93" t="s">
        <v>95</v>
      </c>
      <c r="B574" s="93" t="s">
        <v>79</v>
      </c>
      <c r="D574" s="63" t="s">
        <v>198</v>
      </c>
      <c r="E574" s="93" t="s">
        <v>68</v>
      </c>
      <c r="F574" s="96">
        <v>1991</v>
      </c>
      <c r="G574" s="63">
        <f t="shared" si="38"/>
        <v>25.5</v>
      </c>
      <c r="H574" s="95">
        <v>15707.12</v>
      </c>
      <c r="I574" s="97">
        <f t="shared" si="39"/>
        <v>400531.56</v>
      </c>
    </row>
    <row r="575" spans="1:10" ht="30" hidden="1" outlineLevel="2">
      <c r="A575" s="93" t="s">
        <v>95</v>
      </c>
      <c r="B575" s="93" t="s">
        <v>79</v>
      </c>
      <c r="D575" s="63" t="s">
        <v>198</v>
      </c>
      <c r="E575" s="93" t="s">
        <v>68</v>
      </c>
      <c r="F575" s="96">
        <v>1995</v>
      </c>
      <c r="G575" s="63">
        <f t="shared" si="38"/>
        <v>21.5</v>
      </c>
      <c r="H575" s="95">
        <v>2844105.15</v>
      </c>
      <c r="I575" s="97">
        <f t="shared" si="39"/>
        <v>61148260.725000001</v>
      </c>
    </row>
    <row r="576" spans="1:10" ht="30" hidden="1" outlineLevel="2">
      <c r="A576" s="93" t="s">
        <v>95</v>
      </c>
      <c r="B576" s="93" t="s">
        <v>79</v>
      </c>
      <c r="D576" s="63" t="s">
        <v>198</v>
      </c>
      <c r="E576" s="93" t="s">
        <v>68</v>
      </c>
      <c r="F576" s="96">
        <v>1996</v>
      </c>
      <c r="G576" s="63">
        <f t="shared" si="38"/>
        <v>20.5</v>
      </c>
      <c r="H576" s="95">
        <v>465149.28</v>
      </c>
      <c r="I576" s="97">
        <f t="shared" si="39"/>
        <v>9535560.2400000002</v>
      </c>
    </row>
    <row r="577" spans="1:10" ht="30" hidden="1" outlineLevel="2">
      <c r="A577" s="93" t="s">
        <v>95</v>
      </c>
      <c r="B577" s="93" t="s">
        <v>79</v>
      </c>
      <c r="D577" s="63" t="s">
        <v>198</v>
      </c>
      <c r="E577" s="93" t="s">
        <v>68</v>
      </c>
      <c r="F577" s="96">
        <v>1998</v>
      </c>
      <c r="G577" s="63">
        <f t="shared" si="38"/>
        <v>18.5</v>
      </c>
      <c r="H577" s="95">
        <v>86298.22</v>
      </c>
      <c r="I577" s="97">
        <f t="shared" si="39"/>
        <v>1596517.07</v>
      </c>
    </row>
    <row r="578" spans="1:10" ht="30" hidden="1" outlineLevel="2">
      <c r="A578" s="93" t="s">
        <v>95</v>
      </c>
      <c r="B578" s="93" t="s">
        <v>79</v>
      </c>
      <c r="D578" s="63" t="s">
        <v>198</v>
      </c>
      <c r="E578" s="93" t="s">
        <v>68</v>
      </c>
      <c r="F578" s="96">
        <v>1999</v>
      </c>
      <c r="G578" s="63">
        <f t="shared" si="38"/>
        <v>17.5</v>
      </c>
      <c r="H578" s="95">
        <v>7062</v>
      </c>
      <c r="I578" s="97">
        <f t="shared" si="39"/>
        <v>123585</v>
      </c>
    </row>
    <row r="579" spans="1:10" ht="30" hidden="1" outlineLevel="2">
      <c r="A579" s="93" t="s">
        <v>95</v>
      </c>
      <c r="B579" s="93" t="s">
        <v>79</v>
      </c>
      <c r="D579" s="63" t="s">
        <v>198</v>
      </c>
      <c r="E579" s="93" t="s">
        <v>68</v>
      </c>
      <c r="F579" s="96">
        <v>2002</v>
      </c>
      <c r="G579" s="63">
        <f t="shared" si="38"/>
        <v>14.5</v>
      </c>
      <c r="H579" s="95">
        <v>15775.29</v>
      </c>
      <c r="I579" s="97">
        <f t="shared" si="39"/>
        <v>228741.70500000002</v>
      </c>
    </row>
    <row r="580" spans="1:10" ht="30" hidden="1" outlineLevel="2">
      <c r="A580" s="93" t="s">
        <v>95</v>
      </c>
      <c r="B580" s="93" t="s">
        <v>79</v>
      </c>
      <c r="D580" s="63" t="s">
        <v>198</v>
      </c>
      <c r="E580" s="93" t="s">
        <v>68</v>
      </c>
      <c r="F580" s="96">
        <v>2003</v>
      </c>
      <c r="G580" s="63">
        <f t="shared" si="38"/>
        <v>13.5</v>
      </c>
      <c r="H580" s="95">
        <v>522990.81</v>
      </c>
      <c r="I580" s="97">
        <f t="shared" si="39"/>
        <v>7060375.9349999996</v>
      </c>
    </row>
    <row r="581" spans="1:10" ht="30" hidden="1" outlineLevel="2">
      <c r="A581" s="93" t="s">
        <v>95</v>
      </c>
      <c r="B581" s="93" t="s">
        <v>79</v>
      </c>
      <c r="D581" s="63" t="s">
        <v>198</v>
      </c>
      <c r="E581" s="93" t="s">
        <v>68</v>
      </c>
      <c r="F581" s="96">
        <v>2004</v>
      </c>
      <c r="G581" s="63">
        <f t="shared" si="38"/>
        <v>12.5</v>
      </c>
      <c r="H581" s="95">
        <v>101688.97</v>
      </c>
      <c r="I581" s="97">
        <f t="shared" si="39"/>
        <v>1271112.125</v>
      </c>
    </row>
    <row r="582" spans="1:10" ht="30" hidden="1" outlineLevel="2">
      <c r="A582" s="93" t="s">
        <v>95</v>
      </c>
      <c r="B582" s="93" t="s">
        <v>79</v>
      </c>
      <c r="D582" s="63" t="s">
        <v>198</v>
      </c>
      <c r="E582" s="93" t="s">
        <v>68</v>
      </c>
      <c r="F582" s="96">
        <v>2005</v>
      </c>
      <c r="G582" s="63">
        <f t="shared" si="38"/>
        <v>11.5</v>
      </c>
      <c r="H582" s="95">
        <v>216874.03</v>
      </c>
      <c r="I582" s="97">
        <f t="shared" si="39"/>
        <v>2494051.3450000002</v>
      </c>
    </row>
    <row r="583" spans="1:10" ht="30" hidden="1" outlineLevel="2">
      <c r="A583" s="93" t="s">
        <v>95</v>
      </c>
      <c r="B583" s="93" t="s">
        <v>79</v>
      </c>
      <c r="D583" s="63" t="s">
        <v>198</v>
      </c>
      <c r="E583" s="93" t="s">
        <v>68</v>
      </c>
      <c r="F583" s="96">
        <v>2006</v>
      </c>
      <c r="G583" s="63">
        <f t="shared" si="38"/>
        <v>10.5</v>
      </c>
      <c r="H583" s="95">
        <v>74313.52</v>
      </c>
      <c r="I583" s="97">
        <f t="shared" si="39"/>
        <v>780291.96000000008</v>
      </c>
    </row>
    <row r="584" spans="1:10" ht="30" hidden="1" outlineLevel="2">
      <c r="A584" s="93" t="s">
        <v>95</v>
      </c>
      <c r="B584" s="93" t="s">
        <v>79</v>
      </c>
      <c r="D584" s="63" t="s">
        <v>198</v>
      </c>
      <c r="E584" s="93" t="s">
        <v>68</v>
      </c>
      <c r="F584" s="96">
        <v>2007</v>
      </c>
      <c r="G584" s="63">
        <f t="shared" si="38"/>
        <v>9.5</v>
      </c>
      <c r="H584" s="95">
        <v>390385.14</v>
      </c>
      <c r="I584" s="97">
        <f t="shared" si="39"/>
        <v>3708658.83</v>
      </c>
    </row>
    <row r="585" spans="1:10" ht="30" hidden="1" outlineLevel="2">
      <c r="A585" s="93" t="s">
        <v>95</v>
      </c>
      <c r="B585" s="93" t="s">
        <v>79</v>
      </c>
      <c r="D585" s="63" t="s">
        <v>198</v>
      </c>
      <c r="E585" s="93" t="s">
        <v>68</v>
      </c>
      <c r="F585" s="96">
        <v>2009</v>
      </c>
      <c r="G585" s="63">
        <f t="shared" si="38"/>
        <v>7.5</v>
      </c>
      <c r="H585" s="95">
        <v>4663.24</v>
      </c>
      <c r="I585" s="97">
        <f t="shared" si="39"/>
        <v>34974.299999999996</v>
      </c>
    </row>
    <row r="586" spans="1:10" ht="30" hidden="1" outlineLevel="2">
      <c r="A586" s="93" t="s">
        <v>95</v>
      </c>
      <c r="B586" s="93" t="s">
        <v>79</v>
      </c>
      <c r="D586" s="63" t="s">
        <v>198</v>
      </c>
      <c r="E586" s="93" t="s">
        <v>68</v>
      </c>
      <c r="F586" s="96">
        <v>2010</v>
      </c>
      <c r="G586" s="63">
        <f t="shared" si="38"/>
        <v>6.5</v>
      </c>
      <c r="H586" s="95">
        <v>5242781.3899999997</v>
      </c>
      <c r="I586" s="97">
        <f t="shared" si="39"/>
        <v>34078079.034999996</v>
      </c>
    </row>
    <row r="587" spans="1:10" ht="30" hidden="1" outlineLevel="2">
      <c r="A587" s="93" t="s">
        <v>95</v>
      </c>
      <c r="B587" s="93" t="s">
        <v>79</v>
      </c>
      <c r="D587" s="63" t="s">
        <v>198</v>
      </c>
      <c r="E587" s="93" t="s">
        <v>68</v>
      </c>
      <c r="F587" s="96">
        <v>2012</v>
      </c>
      <c r="G587" s="63">
        <f t="shared" si="38"/>
        <v>4.5</v>
      </c>
      <c r="H587" s="95">
        <v>939750.74</v>
      </c>
      <c r="I587" s="97">
        <f t="shared" si="39"/>
        <v>4228878.33</v>
      </c>
    </row>
    <row r="588" spans="1:10" ht="30" hidden="1" outlineLevel="2">
      <c r="A588" s="93" t="s">
        <v>95</v>
      </c>
      <c r="B588" s="93" t="s">
        <v>79</v>
      </c>
      <c r="D588" s="63" t="s">
        <v>198</v>
      </c>
      <c r="E588" s="93" t="s">
        <v>68</v>
      </c>
      <c r="F588" s="96">
        <v>2015</v>
      </c>
      <c r="G588" s="63">
        <f t="shared" si="38"/>
        <v>1.5</v>
      </c>
      <c r="H588" s="95">
        <v>6280221.1200000001</v>
      </c>
      <c r="I588" s="97">
        <f t="shared" si="39"/>
        <v>9420331.6799999997</v>
      </c>
    </row>
    <row r="589" spans="1:10" ht="30" hidden="1" outlineLevel="2">
      <c r="A589" s="93" t="s">
        <v>95</v>
      </c>
      <c r="B589" s="93" t="s">
        <v>79</v>
      </c>
      <c r="D589" s="63" t="s">
        <v>198</v>
      </c>
      <c r="E589" s="93" t="s">
        <v>68</v>
      </c>
      <c r="F589" s="96">
        <v>2016</v>
      </c>
      <c r="G589" s="63">
        <f t="shared" si="38"/>
        <v>0.5</v>
      </c>
      <c r="H589" s="95">
        <v>1881657.26</v>
      </c>
      <c r="I589" s="97">
        <f t="shared" si="39"/>
        <v>940828.63</v>
      </c>
    </row>
    <row r="590" spans="1:10" s="63" customFormat="1" ht="30" outlineLevel="1" collapsed="1">
      <c r="A590" s="26" t="str">
        <f>+A589</f>
        <v>Daniel</v>
      </c>
      <c r="B590" s="94"/>
      <c r="C590" s="26"/>
      <c r="D590" s="26" t="str">
        <f>+D589</f>
        <v>Daniel 1</v>
      </c>
      <c r="E590" s="94" t="s">
        <v>203</v>
      </c>
      <c r="F590" s="96"/>
      <c r="H590" s="95">
        <f>SUBTOTAL(9,H569:H589)</f>
        <v>27688825.219999999</v>
      </c>
      <c r="I590" s="97">
        <f>SUBTOTAL(9,I569:I589)</f>
        <v>466040261.05999994</v>
      </c>
      <c r="J590" s="64">
        <f>+I590/H590</f>
        <v>16.831348291489558</v>
      </c>
    </row>
    <row r="591" spans="1:10" ht="30" hidden="1" outlineLevel="2">
      <c r="A591" s="93" t="s">
        <v>95</v>
      </c>
      <c r="B591" s="93" t="s">
        <v>79</v>
      </c>
      <c r="D591" s="63" t="s">
        <v>198</v>
      </c>
      <c r="E591" s="93" t="s">
        <v>69</v>
      </c>
      <c r="F591" s="96">
        <v>1977</v>
      </c>
      <c r="G591" s="63">
        <f t="shared" ref="G591:G613" si="40">2016.5-F591</f>
        <v>39.5</v>
      </c>
      <c r="H591" s="95">
        <v>6796200.8399999999</v>
      </c>
      <c r="I591" s="97">
        <f t="shared" ref="I591:I613" si="41">+G591*H591</f>
        <v>268449933.18000001</v>
      </c>
    </row>
    <row r="592" spans="1:10" ht="30" hidden="1" outlineLevel="2">
      <c r="A592" s="93" t="s">
        <v>95</v>
      </c>
      <c r="B592" s="93" t="s">
        <v>79</v>
      </c>
      <c r="D592" s="63" t="s">
        <v>198</v>
      </c>
      <c r="E592" s="93" t="s">
        <v>69</v>
      </c>
      <c r="F592" s="96">
        <v>1978</v>
      </c>
      <c r="G592" s="63">
        <f t="shared" si="40"/>
        <v>38.5</v>
      </c>
      <c r="H592" s="95">
        <v>282804.95</v>
      </c>
      <c r="I592" s="97">
        <f t="shared" si="41"/>
        <v>10887990.575000001</v>
      </c>
    </row>
    <row r="593" spans="1:9" ht="30" hidden="1" outlineLevel="2">
      <c r="A593" s="93" t="s">
        <v>95</v>
      </c>
      <c r="B593" s="93" t="s">
        <v>79</v>
      </c>
      <c r="D593" s="63" t="s">
        <v>198</v>
      </c>
      <c r="E593" s="93" t="s">
        <v>69</v>
      </c>
      <c r="F593" s="96">
        <v>1981</v>
      </c>
      <c r="G593" s="63">
        <f t="shared" si="40"/>
        <v>35.5</v>
      </c>
      <c r="H593" s="95">
        <v>19182.37</v>
      </c>
      <c r="I593" s="97">
        <f t="shared" si="41"/>
        <v>680974.13500000001</v>
      </c>
    </row>
    <row r="594" spans="1:9" ht="30" hidden="1" outlineLevel="2">
      <c r="A594" s="93" t="s">
        <v>95</v>
      </c>
      <c r="B594" s="93" t="s">
        <v>79</v>
      </c>
      <c r="D594" s="63" t="s">
        <v>198</v>
      </c>
      <c r="E594" s="93" t="s">
        <v>69</v>
      </c>
      <c r="F594" s="96">
        <v>1983</v>
      </c>
      <c r="G594" s="63">
        <f t="shared" si="40"/>
        <v>33.5</v>
      </c>
      <c r="H594" s="95">
        <v>71846.75</v>
      </c>
      <c r="I594" s="97">
        <f t="shared" si="41"/>
        <v>2406866.125</v>
      </c>
    </row>
    <row r="595" spans="1:9" ht="30" hidden="1" outlineLevel="2">
      <c r="A595" s="93" t="s">
        <v>95</v>
      </c>
      <c r="B595" s="93" t="s">
        <v>79</v>
      </c>
      <c r="D595" s="63" t="s">
        <v>198</v>
      </c>
      <c r="E595" s="93" t="s">
        <v>69</v>
      </c>
      <c r="F595" s="96">
        <v>1984</v>
      </c>
      <c r="G595" s="63">
        <f t="shared" si="40"/>
        <v>32.5</v>
      </c>
      <c r="H595" s="95">
        <v>11016.48</v>
      </c>
      <c r="I595" s="97">
        <f t="shared" si="41"/>
        <v>358035.6</v>
      </c>
    </row>
    <row r="596" spans="1:9" ht="30" hidden="1" outlineLevel="2">
      <c r="A596" s="93" t="s">
        <v>95</v>
      </c>
      <c r="B596" s="93" t="s">
        <v>79</v>
      </c>
      <c r="D596" s="63" t="s">
        <v>198</v>
      </c>
      <c r="E596" s="93" t="s">
        <v>69</v>
      </c>
      <c r="F596" s="96">
        <v>1985</v>
      </c>
      <c r="G596" s="63">
        <f t="shared" si="40"/>
        <v>31.5</v>
      </c>
      <c r="H596" s="95">
        <v>20542.939999999999</v>
      </c>
      <c r="I596" s="97">
        <f t="shared" si="41"/>
        <v>647102.61</v>
      </c>
    </row>
    <row r="597" spans="1:9" ht="30" hidden="1" outlineLevel="2">
      <c r="A597" s="93" t="s">
        <v>95</v>
      </c>
      <c r="B597" s="93" t="s">
        <v>79</v>
      </c>
      <c r="D597" s="63" t="s">
        <v>198</v>
      </c>
      <c r="E597" s="93" t="s">
        <v>69</v>
      </c>
      <c r="F597" s="96">
        <v>1987</v>
      </c>
      <c r="G597" s="63">
        <f t="shared" si="40"/>
        <v>29.5</v>
      </c>
      <c r="H597" s="95">
        <v>32305.05</v>
      </c>
      <c r="I597" s="97">
        <f t="shared" si="41"/>
        <v>952998.97499999998</v>
      </c>
    </row>
    <row r="598" spans="1:9" ht="30" hidden="1" outlineLevel="2">
      <c r="A598" s="93" t="s">
        <v>95</v>
      </c>
      <c r="B598" s="93" t="s">
        <v>79</v>
      </c>
      <c r="D598" s="63" t="s">
        <v>198</v>
      </c>
      <c r="E598" s="93" t="s">
        <v>69</v>
      </c>
      <c r="F598" s="96">
        <v>1988</v>
      </c>
      <c r="G598" s="63">
        <f t="shared" si="40"/>
        <v>28.5</v>
      </c>
      <c r="H598" s="95">
        <v>335476.65000000002</v>
      </c>
      <c r="I598" s="97">
        <f t="shared" si="41"/>
        <v>9561084.5250000004</v>
      </c>
    </row>
    <row r="599" spans="1:9" ht="30" hidden="1" outlineLevel="2">
      <c r="A599" s="93" t="s">
        <v>95</v>
      </c>
      <c r="B599" s="93" t="s">
        <v>79</v>
      </c>
      <c r="D599" s="63" t="s">
        <v>198</v>
      </c>
      <c r="E599" s="93" t="s">
        <v>69</v>
      </c>
      <c r="F599" s="96">
        <v>1990</v>
      </c>
      <c r="G599" s="63">
        <f t="shared" si="40"/>
        <v>26.5</v>
      </c>
      <c r="H599" s="95">
        <v>9964.89</v>
      </c>
      <c r="I599" s="97">
        <f t="shared" si="41"/>
        <v>264069.58499999996</v>
      </c>
    </row>
    <row r="600" spans="1:9" ht="30" hidden="1" outlineLevel="2">
      <c r="A600" s="93" t="s">
        <v>95</v>
      </c>
      <c r="B600" s="93" t="s">
        <v>79</v>
      </c>
      <c r="D600" s="63" t="s">
        <v>198</v>
      </c>
      <c r="E600" s="93" t="s">
        <v>69</v>
      </c>
      <c r="F600" s="96">
        <v>1992</v>
      </c>
      <c r="G600" s="63">
        <f t="shared" si="40"/>
        <v>24.5</v>
      </c>
      <c r="H600" s="95">
        <v>38930.370000000003</v>
      </c>
      <c r="I600" s="97">
        <f t="shared" si="41"/>
        <v>953794.06500000006</v>
      </c>
    </row>
    <row r="601" spans="1:9" ht="30" hidden="1" outlineLevel="2">
      <c r="A601" s="93" t="s">
        <v>95</v>
      </c>
      <c r="B601" s="93" t="s">
        <v>79</v>
      </c>
      <c r="D601" s="63" t="s">
        <v>198</v>
      </c>
      <c r="E601" s="93" t="s">
        <v>69</v>
      </c>
      <c r="F601" s="96">
        <v>1999</v>
      </c>
      <c r="G601" s="63">
        <f t="shared" si="40"/>
        <v>17.5</v>
      </c>
      <c r="H601" s="95">
        <v>9768.3799999999992</v>
      </c>
      <c r="I601" s="97">
        <f t="shared" si="41"/>
        <v>170946.65</v>
      </c>
    </row>
    <row r="602" spans="1:9" ht="30" hidden="1" outlineLevel="2">
      <c r="A602" s="93" t="s">
        <v>95</v>
      </c>
      <c r="B602" s="93" t="s">
        <v>79</v>
      </c>
      <c r="D602" s="63" t="s">
        <v>198</v>
      </c>
      <c r="E602" s="93" t="s">
        <v>69</v>
      </c>
      <c r="F602" s="96">
        <v>2000</v>
      </c>
      <c r="G602" s="63">
        <f t="shared" si="40"/>
        <v>16.5</v>
      </c>
      <c r="H602" s="95">
        <v>35051.26</v>
      </c>
      <c r="I602" s="97">
        <f t="shared" si="41"/>
        <v>578345.79</v>
      </c>
    </row>
    <row r="603" spans="1:9" ht="30" hidden="1" outlineLevel="2">
      <c r="A603" s="93" t="s">
        <v>95</v>
      </c>
      <c r="B603" s="93" t="s">
        <v>79</v>
      </c>
      <c r="D603" s="63" t="s">
        <v>198</v>
      </c>
      <c r="E603" s="93" t="s">
        <v>69</v>
      </c>
      <c r="F603" s="96">
        <v>2003</v>
      </c>
      <c r="G603" s="63">
        <f t="shared" si="40"/>
        <v>13.5</v>
      </c>
      <c r="H603" s="95">
        <v>39413.699999999997</v>
      </c>
      <c r="I603" s="97">
        <f t="shared" si="41"/>
        <v>532084.94999999995</v>
      </c>
    </row>
    <row r="604" spans="1:9" ht="30" hidden="1" outlineLevel="2">
      <c r="A604" s="93" t="s">
        <v>95</v>
      </c>
      <c r="B604" s="93" t="s">
        <v>79</v>
      </c>
      <c r="D604" s="63" t="s">
        <v>198</v>
      </c>
      <c r="E604" s="93" t="s">
        <v>69</v>
      </c>
      <c r="F604" s="96">
        <v>2004</v>
      </c>
      <c r="G604" s="63">
        <f t="shared" si="40"/>
        <v>12.5</v>
      </c>
      <c r="H604" s="95">
        <v>2538935.37</v>
      </c>
      <c r="I604" s="97">
        <f t="shared" si="41"/>
        <v>31736692.125</v>
      </c>
    </row>
    <row r="605" spans="1:9" ht="30" hidden="1" outlineLevel="2">
      <c r="A605" s="93" t="s">
        <v>95</v>
      </c>
      <c r="B605" s="93" t="s">
        <v>79</v>
      </c>
      <c r="D605" s="63" t="s">
        <v>198</v>
      </c>
      <c r="E605" s="93" t="s">
        <v>69</v>
      </c>
      <c r="F605" s="96">
        <v>2005</v>
      </c>
      <c r="G605" s="63">
        <f t="shared" si="40"/>
        <v>11.5</v>
      </c>
      <c r="H605" s="95">
        <v>7748.64</v>
      </c>
      <c r="I605" s="97">
        <f t="shared" si="41"/>
        <v>89109.36</v>
      </c>
    </row>
    <row r="606" spans="1:9" ht="30" hidden="1" outlineLevel="2">
      <c r="A606" s="93" t="s">
        <v>95</v>
      </c>
      <c r="B606" s="93" t="s">
        <v>79</v>
      </c>
      <c r="D606" s="63" t="s">
        <v>198</v>
      </c>
      <c r="E606" s="93" t="s">
        <v>69</v>
      </c>
      <c r="F606" s="96">
        <v>2006</v>
      </c>
      <c r="G606" s="63">
        <f t="shared" si="40"/>
        <v>10.5</v>
      </c>
      <c r="H606" s="95">
        <v>74729.13</v>
      </c>
      <c r="I606" s="97">
        <f t="shared" si="41"/>
        <v>784655.86499999999</v>
      </c>
    </row>
    <row r="607" spans="1:9" ht="30" hidden="1" outlineLevel="2">
      <c r="A607" s="93" t="s">
        <v>95</v>
      </c>
      <c r="B607" s="93" t="s">
        <v>79</v>
      </c>
      <c r="D607" s="63" t="s">
        <v>198</v>
      </c>
      <c r="E607" s="93" t="s">
        <v>69</v>
      </c>
      <c r="F607" s="96">
        <v>2007</v>
      </c>
      <c r="G607" s="63">
        <f t="shared" si="40"/>
        <v>9.5</v>
      </c>
      <c r="H607" s="95">
        <v>33783.279999999999</v>
      </c>
      <c r="I607" s="97">
        <f t="shared" si="41"/>
        <v>320941.15999999997</v>
      </c>
    </row>
    <row r="608" spans="1:9" ht="30" hidden="1" outlineLevel="2">
      <c r="A608" s="93" t="s">
        <v>95</v>
      </c>
      <c r="B608" s="93" t="s">
        <v>79</v>
      </c>
      <c r="D608" s="63" t="s">
        <v>198</v>
      </c>
      <c r="E608" s="93" t="s">
        <v>69</v>
      </c>
      <c r="F608" s="96">
        <v>2008</v>
      </c>
      <c r="G608" s="63">
        <f t="shared" si="40"/>
        <v>8.5</v>
      </c>
      <c r="H608" s="95">
        <v>10171.35</v>
      </c>
      <c r="I608" s="97">
        <f t="shared" si="41"/>
        <v>86456.475000000006</v>
      </c>
    </row>
    <row r="609" spans="1:10" ht="30" hidden="1" outlineLevel="2">
      <c r="A609" s="93" t="s">
        <v>95</v>
      </c>
      <c r="B609" s="93" t="s">
        <v>79</v>
      </c>
      <c r="D609" s="63" t="s">
        <v>198</v>
      </c>
      <c r="E609" s="93" t="s">
        <v>69</v>
      </c>
      <c r="F609" s="96">
        <v>2012</v>
      </c>
      <c r="G609" s="63">
        <f t="shared" si="40"/>
        <v>4.5</v>
      </c>
      <c r="H609" s="95">
        <v>345566.45</v>
      </c>
      <c r="I609" s="97">
        <f t="shared" si="41"/>
        <v>1555049.0250000001</v>
      </c>
    </row>
    <row r="610" spans="1:10" ht="30" hidden="1" outlineLevel="2">
      <c r="A610" s="93" t="s">
        <v>95</v>
      </c>
      <c r="B610" s="93" t="s">
        <v>79</v>
      </c>
      <c r="D610" s="63" t="s">
        <v>198</v>
      </c>
      <c r="E610" s="93" t="s">
        <v>69</v>
      </c>
      <c r="F610" s="96">
        <v>2013</v>
      </c>
      <c r="G610" s="63">
        <f t="shared" si="40"/>
        <v>3.5</v>
      </c>
      <c r="H610" s="95">
        <v>1074.5999999999999</v>
      </c>
      <c r="I610" s="97">
        <f t="shared" si="41"/>
        <v>3761.0999999999995</v>
      </c>
    </row>
    <row r="611" spans="1:10" ht="30" hidden="1" outlineLevel="2">
      <c r="A611" s="93" t="s">
        <v>95</v>
      </c>
      <c r="B611" s="93" t="s">
        <v>79</v>
      </c>
      <c r="D611" s="63" t="s">
        <v>198</v>
      </c>
      <c r="E611" s="93" t="s">
        <v>69</v>
      </c>
      <c r="F611" s="96">
        <v>2014</v>
      </c>
      <c r="G611" s="63">
        <f t="shared" si="40"/>
        <v>2.5</v>
      </c>
      <c r="H611" s="95">
        <v>4797.46</v>
      </c>
      <c r="I611" s="97">
        <f t="shared" si="41"/>
        <v>11993.65</v>
      </c>
    </row>
    <row r="612" spans="1:10" ht="30" hidden="1" outlineLevel="2">
      <c r="A612" s="93" t="s">
        <v>95</v>
      </c>
      <c r="B612" s="93" t="s">
        <v>79</v>
      </c>
      <c r="D612" s="63" t="s">
        <v>198</v>
      </c>
      <c r="E612" s="93" t="s">
        <v>69</v>
      </c>
      <c r="F612" s="96">
        <v>2015</v>
      </c>
      <c r="G612" s="63">
        <f t="shared" si="40"/>
        <v>1.5</v>
      </c>
      <c r="H612" s="95">
        <v>2666042.9500000002</v>
      </c>
      <c r="I612" s="97">
        <f t="shared" si="41"/>
        <v>3999064.4250000003</v>
      </c>
    </row>
    <row r="613" spans="1:10" ht="30" hidden="1" outlineLevel="2">
      <c r="A613" s="93" t="s">
        <v>95</v>
      </c>
      <c r="B613" s="93" t="s">
        <v>79</v>
      </c>
      <c r="D613" s="63" t="s">
        <v>198</v>
      </c>
      <c r="E613" s="93" t="s">
        <v>69</v>
      </c>
      <c r="F613" s="96">
        <v>2016</v>
      </c>
      <c r="G613" s="63">
        <f t="shared" si="40"/>
        <v>0.5</v>
      </c>
      <c r="H613" s="95">
        <v>586955.22</v>
      </c>
      <c r="I613" s="97">
        <f t="shared" si="41"/>
        <v>293477.61</v>
      </c>
    </row>
    <row r="614" spans="1:10" s="63" customFormat="1" ht="30" outlineLevel="1" collapsed="1">
      <c r="A614" s="26" t="str">
        <f>+A613</f>
        <v>Daniel</v>
      </c>
      <c r="B614" s="94"/>
      <c r="C614" s="26"/>
      <c r="D614" s="26" t="str">
        <f>+D613</f>
        <v>Daniel 1</v>
      </c>
      <c r="E614" s="94" t="s">
        <v>204</v>
      </c>
      <c r="F614" s="96"/>
      <c r="H614" s="95">
        <f>SUBTOTAL(9,H591:H613)</f>
        <v>13972309.08</v>
      </c>
      <c r="I614" s="97">
        <f>SUBTOTAL(9,I591:I613)</f>
        <v>335325427.56000006</v>
      </c>
      <c r="J614" s="64">
        <f>+I614/H614</f>
        <v>23.999284988619795</v>
      </c>
    </row>
    <row r="615" spans="1:10" ht="30" hidden="1" outlineLevel="2">
      <c r="A615" s="93" t="s">
        <v>95</v>
      </c>
      <c r="B615" s="93" t="s">
        <v>79</v>
      </c>
      <c r="D615" s="63" t="s">
        <v>198</v>
      </c>
      <c r="E615" s="93" t="s">
        <v>75</v>
      </c>
      <c r="F615" s="96">
        <v>1980</v>
      </c>
      <c r="G615" s="63">
        <f>2016.5-F615</f>
        <v>36.5</v>
      </c>
      <c r="H615" s="95">
        <v>3592.76</v>
      </c>
      <c r="I615" s="97">
        <f>+G615*H615</f>
        <v>131135.74000000002</v>
      </c>
    </row>
    <row r="616" spans="1:10" ht="30" hidden="1" outlineLevel="2">
      <c r="A616" s="93" t="s">
        <v>95</v>
      </c>
      <c r="B616" s="93" t="s">
        <v>79</v>
      </c>
      <c r="D616" s="63" t="s">
        <v>198</v>
      </c>
      <c r="E616" s="93" t="s">
        <v>75</v>
      </c>
      <c r="F616" s="96">
        <v>2014</v>
      </c>
      <c r="G616" s="63">
        <f>2016.5-F616</f>
        <v>2.5</v>
      </c>
      <c r="H616" s="95">
        <v>124988.27</v>
      </c>
      <c r="I616" s="97">
        <f>+G616*H616</f>
        <v>312470.67499999999</v>
      </c>
    </row>
    <row r="617" spans="1:10" ht="30" hidden="1" outlineLevel="2">
      <c r="A617" s="93" t="s">
        <v>95</v>
      </c>
      <c r="B617" s="93" t="s">
        <v>79</v>
      </c>
      <c r="D617" s="63" t="s">
        <v>198</v>
      </c>
      <c r="E617" s="93" t="s">
        <v>75</v>
      </c>
      <c r="F617" s="96">
        <v>2016</v>
      </c>
      <c r="G617" s="63">
        <f>2016.5-F617</f>
        <v>0.5</v>
      </c>
      <c r="H617" s="95">
        <v>5141.07</v>
      </c>
      <c r="I617" s="97">
        <f>+G617*H617</f>
        <v>2570.5349999999999</v>
      </c>
    </row>
    <row r="618" spans="1:10" s="63" customFormat="1" ht="30" outlineLevel="1" collapsed="1">
      <c r="A618" s="26" t="str">
        <f>+A617</f>
        <v>Daniel</v>
      </c>
      <c r="B618" s="94"/>
      <c r="C618" s="26"/>
      <c r="D618" s="26" t="str">
        <f>+D617</f>
        <v>Daniel 1</v>
      </c>
      <c r="E618" s="94" t="s">
        <v>206</v>
      </c>
      <c r="F618" s="96"/>
      <c r="H618" s="95">
        <f>SUBTOTAL(9,H615:H617)</f>
        <v>133722.1</v>
      </c>
      <c r="I618" s="97">
        <f>SUBTOTAL(9,I615:I617)</f>
        <v>446176.95</v>
      </c>
      <c r="J618" s="64">
        <f>+I618/H618</f>
        <v>3.3365984381040978</v>
      </c>
    </row>
    <row r="619" spans="1:10" ht="30" hidden="1" outlineLevel="2">
      <c r="A619" s="93" t="s">
        <v>95</v>
      </c>
      <c r="B619" s="93" t="s">
        <v>80</v>
      </c>
      <c r="D619" t="s">
        <v>199</v>
      </c>
      <c r="E619" s="93" t="s">
        <v>72</v>
      </c>
      <c r="F619" s="96">
        <v>1981</v>
      </c>
      <c r="G619" s="63">
        <f>2016.5-F619</f>
        <v>35.5</v>
      </c>
      <c r="H619" s="95">
        <v>8745503.8499999996</v>
      </c>
      <c r="I619" s="97">
        <f>+G619*H619</f>
        <v>310465386.67500001</v>
      </c>
    </row>
    <row r="620" spans="1:10" ht="30" hidden="1" outlineLevel="2">
      <c r="A620" s="93" t="s">
        <v>95</v>
      </c>
      <c r="B620" s="93" t="s">
        <v>80</v>
      </c>
      <c r="D620" s="63" t="s">
        <v>199</v>
      </c>
      <c r="E620" s="93" t="s">
        <v>72</v>
      </c>
      <c r="F620" s="96">
        <v>1983</v>
      </c>
      <c r="G620" s="63">
        <f>2016.5-F620</f>
        <v>33.5</v>
      </c>
      <c r="H620" s="95">
        <v>181823.68</v>
      </c>
      <c r="I620" s="97">
        <f>+G620*H620</f>
        <v>6091093.2799999993</v>
      </c>
    </row>
    <row r="621" spans="1:10" ht="30" hidden="1" outlineLevel="2">
      <c r="A621" s="93" t="s">
        <v>95</v>
      </c>
      <c r="B621" s="93" t="s">
        <v>80</v>
      </c>
      <c r="D621" s="63" t="s">
        <v>199</v>
      </c>
      <c r="E621" s="93" t="s">
        <v>72</v>
      </c>
      <c r="F621" s="96">
        <v>1986</v>
      </c>
      <c r="G621" s="63">
        <f>2016.5-F621</f>
        <v>30.5</v>
      </c>
      <c r="H621" s="95">
        <v>72130.570000000007</v>
      </c>
      <c r="I621" s="97">
        <f>+G621*H621</f>
        <v>2199982.3850000002</v>
      </c>
    </row>
    <row r="622" spans="1:10" ht="30" hidden="1" outlineLevel="2">
      <c r="A622" s="93" t="s">
        <v>95</v>
      </c>
      <c r="B622" s="93" t="s">
        <v>80</v>
      </c>
      <c r="D622" s="63" t="s">
        <v>199</v>
      </c>
      <c r="E622" s="93" t="s">
        <v>72</v>
      </c>
      <c r="F622" s="96">
        <v>2008</v>
      </c>
      <c r="G622" s="63">
        <f>2016.5-F622</f>
        <v>8.5</v>
      </c>
      <c r="H622" s="95">
        <v>51936.39</v>
      </c>
      <c r="I622" s="97">
        <f>+G622*H622</f>
        <v>441459.315</v>
      </c>
    </row>
    <row r="623" spans="1:10" ht="30" hidden="1" outlineLevel="2">
      <c r="A623" s="93" t="s">
        <v>95</v>
      </c>
      <c r="B623" s="93" t="s">
        <v>80</v>
      </c>
      <c r="D623" s="63" t="s">
        <v>199</v>
      </c>
      <c r="E623" s="93" t="s">
        <v>72</v>
      </c>
      <c r="F623" s="96">
        <v>2016</v>
      </c>
      <c r="G623" s="63">
        <f>2016.5-F623</f>
        <v>0.5</v>
      </c>
      <c r="H623" s="95">
        <v>285819.78000000003</v>
      </c>
      <c r="I623" s="97">
        <f>+G623*H623</f>
        <v>142909.89000000001</v>
      </c>
    </row>
    <row r="624" spans="1:10" s="63" customFormat="1" ht="30" outlineLevel="1" collapsed="1">
      <c r="A624" s="26" t="str">
        <f>+A623</f>
        <v>Daniel</v>
      </c>
      <c r="B624" s="94"/>
      <c r="C624" s="26"/>
      <c r="D624" s="26" t="str">
        <f>+D623</f>
        <v>Daniel 2</v>
      </c>
      <c r="E624" s="94" t="s">
        <v>205</v>
      </c>
      <c r="F624" s="96"/>
      <c r="H624" s="95">
        <f>SUBTOTAL(9,H619:H623)</f>
        <v>9337214.2699999996</v>
      </c>
      <c r="I624" s="97">
        <f>SUBTOTAL(9,I619:I623)</f>
        <v>319340831.54499996</v>
      </c>
      <c r="J624" s="64">
        <f>+I624/H624</f>
        <v>34.200867872447354</v>
      </c>
    </row>
    <row r="625" spans="1:9" ht="30" hidden="1" outlineLevel="2">
      <c r="A625" s="93" t="s">
        <v>95</v>
      </c>
      <c r="B625" s="93" t="s">
        <v>80</v>
      </c>
      <c r="D625" s="63" t="s">
        <v>199</v>
      </c>
      <c r="E625" s="93" t="s">
        <v>67</v>
      </c>
      <c r="F625" s="96">
        <v>1981</v>
      </c>
      <c r="G625" s="63">
        <f t="shared" ref="G625:G656" si="42">2016.5-F625</f>
        <v>35.5</v>
      </c>
      <c r="H625" s="95">
        <v>31757194.609999999</v>
      </c>
      <c r="I625" s="97">
        <f t="shared" ref="I625:I656" si="43">+G625*H625</f>
        <v>1127380408.655</v>
      </c>
    </row>
    <row r="626" spans="1:9" ht="30" hidden="1" outlineLevel="2">
      <c r="A626" s="93" t="s">
        <v>95</v>
      </c>
      <c r="B626" s="93" t="s">
        <v>80</v>
      </c>
      <c r="D626" s="63" t="s">
        <v>199</v>
      </c>
      <c r="E626" s="93" t="s">
        <v>67</v>
      </c>
      <c r="F626" s="96">
        <v>1983</v>
      </c>
      <c r="G626" s="63">
        <f t="shared" si="42"/>
        <v>33.5</v>
      </c>
      <c r="H626" s="95">
        <v>462089.9</v>
      </c>
      <c r="I626" s="97">
        <f t="shared" si="43"/>
        <v>15480011.65</v>
      </c>
    </row>
    <row r="627" spans="1:9" ht="30" hidden="1" outlineLevel="2">
      <c r="A627" s="93" t="s">
        <v>95</v>
      </c>
      <c r="B627" s="93" t="s">
        <v>80</v>
      </c>
      <c r="D627" s="63" t="s">
        <v>199</v>
      </c>
      <c r="E627" s="93" t="s">
        <v>67</v>
      </c>
      <c r="F627" s="96">
        <v>1986</v>
      </c>
      <c r="G627" s="63">
        <f t="shared" si="42"/>
        <v>30.5</v>
      </c>
      <c r="H627" s="95">
        <v>43334.84</v>
      </c>
      <c r="I627" s="97">
        <f t="shared" si="43"/>
        <v>1321712.6199999999</v>
      </c>
    </row>
    <row r="628" spans="1:9" ht="30" hidden="1" outlineLevel="2">
      <c r="A628" s="93" t="s">
        <v>95</v>
      </c>
      <c r="B628" s="93" t="s">
        <v>80</v>
      </c>
      <c r="D628" s="63" t="s">
        <v>199</v>
      </c>
      <c r="E628" s="93" t="s">
        <v>67</v>
      </c>
      <c r="F628" s="96">
        <v>1987</v>
      </c>
      <c r="G628" s="63">
        <f t="shared" si="42"/>
        <v>29.5</v>
      </c>
      <c r="H628" s="95">
        <v>3627.79</v>
      </c>
      <c r="I628" s="97">
        <f t="shared" si="43"/>
        <v>107019.80499999999</v>
      </c>
    </row>
    <row r="629" spans="1:9" ht="30" hidden="1" outlineLevel="2">
      <c r="A629" s="93" t="s">
        <v>95</v>
      </c>
      <c r="B629" s="93" t="s">
        <v>80</v>
      </c>
      <c r="D629" s="63" t="s">
        <v>199</v>
      </c>
      <c r="E629" s="93" t="s">
        <v>67</v>
      </c>
      <c r="F629" s="96">
        <v>1988</v>
      </c>
      <c r="G629" s="63">
        <f t="shared" si="42"/>
        <v>28.5</v>
      </c>
      <c r="H629" s="95">
        <v>224667.12</v>
      </c>
      <c r="I629" s="97">
        <f t="shared" si="43"/>
        <v>6403012.9199999999</v>
      </c>
    </row>
    <row r="630" spans="1:9" ht="30" hidden="1" outlineLevel="2">
      <c r="A630" s="93" t="s">
        <v>95</v>
      </c>
      <c r="B630" s="93" t="s">
        <v>80</v>
      </c>
      <c r="D630" s="63" t="s">
        <v>199</v>
      </c>
      <c r="E630" s="93" t="s">
        <v>67</v>
      </c>
      <c r="F630" s="96">
        <v>1989</v>
      </c>
      <c r="G630" s="63">
        <f t="shared" si="42"/>
        <v>27.5</v>
      </c>
      <c r="H630" s="95">
        <v>5537.01</v>
      </c>
      <c r="I630" s="97">
        <f t="shared" si="43"/>
        <v>152267.77499999999</v>
      </c>
    </row>
    <row r="631" spans="1:9" ht="30" hidden="1" outlineLevel="2">
      <c r="A631" s="93" t="s">
        <v>95</v>
      </c>
      <c r="B631" s="93" t="s">
        <v>80</v>
      </c>
      <c r="D631" s="63" t="s">
        <v>199</v>
      </c>
      <c r="E631" s="93" t="s">
        <v>67</v>
      </c>
      <c r="F631" s="96">
        <v>1990</v>
      </c>
      <c r="G631" s="63">
        <f t="shared" si="42"/>
        <v>26.5</v>
      </c>
      <c r="H631" s="95">
        <v>46768.77</v>
      </c>
      <c r="I631" s="97">
        <f t="shared" si="43"/>
        <v>1239372.405</v>
      </c>
    </row>
    <row r="632" spans="1:9" ht="30" hidden="1" outlineLevel="2">
      <c r="A632" s="93" t="s">
        <v>95</v>
      </c>
      <c r="B632" s="93" t="s">
        <v>80</v>
      </c>
      <c r="D632" s="63" t="s">
        <v>199</v>
      </c>
      <c r="E632" s="93" t="s">
        <v>67</v>
      </c>
      <c r="F632" s="96">
        <v>1991</v>
      </c>
      <c r="G632" s="63">
        <f t="shared" si="42"/>
        <v>25.5</v>
      </c>
      <c r="H632" s="95">
        <v>222435.65</v>
      </c>
      <c r="I632" s="97">
        <f t="shared" si="43"/>
        <v>5672109.0750000002</v>
      </c>
    </row>
    <row r="633" spans="1:9" ht="30" hidden="1" outlineLevel="2">
      <c r="A633" s="93" t="s">
        <v>95</v>
      </c>
      <c r="B633" s="93" t="s">
        <v>80</v>
      </c>
      <c r="D633" s="63" t="s">
        <v>199</v>
      </c>
      <c r="E633" s="93" t="s">
        <v>67</v>
      </c>
      <c r="F633" s="96">
        <v>1992</v>
      </c>
      <c r="G633" s="63">
        <f t="shared" si="42"/>
        <v>24.5</v>
      </c>
      <c r="H633" s="95">
        <v>83389.84</v>
      </c>
      <c r="I633" s="97">
        <f t="shared" si="43"/>
        <v>2043051.0799999998</v>
      </c>
    </row>
    <row r="634" spans="1:9" ht="30" hidden="1" outlineLevel="2">
      <c r="A634" s="93" t="s">
        <v>95</v>
      </c>
      <c r="B634" s="93" t="s">
        <v>80</v>
      </c>
      <c r="D634" s="63" t="s">
        <v>199</v>
      </c>
      <c r="E634" s="93" t="s">
        <v>67</v>
      </c>
      <c r="F634" s="96">
        <v>1993</v>
      </c>
      <c r="G634" s="63">
        <f t="shared" si="42"/>
        <v>23.5</v>
      </c>
      <c r="H634" s="95">
        <v>11227.19</v>
      </c>
      <c r="I634" s="97">
        <f t="shared" si="43"/>
        <v>263838.96500000003</v>
      </c>
    </row>
    <row r="635" spans="1:9" ht="30" hidden="1" outlineLevel="2">
      <c r="A635" s="93" t="s">
        <v>95</v>
      </c>
      <c r="B635" s="93" t="s">
        <v>80</v>
      </c>
      <c r="D635" s="63" t="s">
        <v>199</v>
      </c>
      <c r="E635" s="93" t="s">
        <v>67</v>
      </c>
      <c r="F635" s="96">
        <v>1994</v>
      </c>
      <c r="G635" s="63">
        <f t="shared" si="42"/>
        <v>22.5</v>
      </c>
      <c r="H635" s="95">
        <v>66927.16</v>
      </c>
      <c r="I635" s="97">
        <f t="shared" si="43"/>
        <v>1505861.1</v>
      </c>
    </row>
    <row r="636" spans="1:9" ht="30" hidden="1" outlineLevel="2">
      <c r="A636" s="93" t="s">
        <v>95</v>
      </c>
      <c r="B636" s="93" t="s">
        <v>80</v>
      </c>
      <c r="D636" s="63" t="s">
        <v>199</v>
      </c>
      <c r="E636" s="93" t="s">
        <v>67</v>
      </c>
      <c r="F636" s="96">
        <v>1996</v>
      </c>
      <c r="G636" s="63">
        <f t="shared" si="42"/>
        <v>20.5</v>
      </c>
      <c r="H636" s="95">
        <v>420326.79</v>
      </c>
      <c r="I636" s="97">
        <f t="shared" si="43"/>
        <v>8616699.1950000003</v>
      </c>
    </row>
    <row r="637" spans="1:9" ht="30" hidden="1" outlineLevel="2">
      <c r="A637" s="93" t="s">
        <v>95</v>
      </c>
      <c r="B637" s="93" t="s">
        <v>80</v>
      </c>
      <c r="D637" s="63" t="s">
        <v>199</v>
      </c>
      <c r="E637" s="93" t="s">
        <v>67</v>
      </c>
      <c r="F637" s="96">
        <v>1997</v>
      </c>
      <c r="G637" s="63">
        <f t="shared" si="42"/>
        <v>19.5</v>
      </c>
      <c r="H637" s="95">
        <v>51882.96</v>
      </c>
      <c r="I637" s="97">
        <f t="shared" si="43"/>
        <v>1011717.72</v>
      </c>
    </row>
    <row r="638" spans="1:9" ht="30" hidden="1" outlineLevel="2">
      <c r="A638" s="93" t="s">
        <v>95</v>
      </c>
      <c r="B638" s="93" t="s">
        <v>80</v>
      </c>
      <c r="D638" s="63" t="s">
        <v>199</v>
      </c>
      <c r="E638" s="93" t="s">
        <v>67</v>
      </c>
      <c r="F638" s="96">
        <v>1998</v>
      </c>
      <c r="G638" s="63">
        <f t="shared" si="42"/>
        <v>18.5</v>
      </c>
      <c r="H638" s="95">
        <v>46604.53</v>
      </c>
      <c r="I638" s="97">
        <f t="shared" si="43"/>
        <v>862183.80499999993</v>
      </c>
    </row>
    <row r="639" spans="1:9" ht="30" hidden="1" outlineLevel="2">
      <c r="A639" s="93" t="s">
        <v>95</v>
      </c>
      <c r="B639" s="93" t="s">
        <v>80</v>
      </c>
      <c r="D639" s="63" t="s">
        <v>199</v>
      </c>
      <c r="E639" s="93" t="s">
        <v>67</v>
      </c>
      <c r="F639" s="96">
        <v>1999</v>
      </c>
      <c r="G639" s="63">
        <f t="shared" si="42"/>
        <v>17.5</v>
      </c>
      <c r="H639" s="95">
        <v>58270.27</v>
      </c>
      <c r="I639" s="97">
        <f t="shared" si="43"/>
        <v>1019729.725</v>
      </c>
    </row>
    <row r="640" spans="1:9" ht="30" hidden="1" outlineLevel="2">
      <c r="A640" s="93" t="s">
        <v>95</v>
      </c>
      <c r="B640" s="93" t="s">
        <v>80</v>
      </c>
      <c r="D640" s="63" t="s">
        <v>199</v>
      </c>
      <c r="E640" s="93" t="s">
        <v>67</v>
      </c>
      <c r="F640" s="96">
        <v>2000</v>
      </c>
      <c r="G640" s="63">
        <f t="shared" si="42"/>
        <v>16.5</v>
      </c>
      <c r="H640" s="95">
        <v>3740156.38</v>
      </c>
      <c r="I640" s="97">
        <f t="shared" si="43"/>
        <v>61712580.269999996</v>
      </c>
    </row>
    <row r="641" spans="1:9" ht="30" hidden="1" outlineLevel="2">
      <c r="A641" s="93" t="s">
        <v>95</v>
      </c>
      <c r="B641" s="93" t="s">
        <v>80</v>
      </c>
      <c r="D641" s="63" t="s">
        <v>199</v>
      </c>
      <c r="E641" s="93" t="s">
        <v>67</v>
      </c>
      <c r="F641" s="96">
        <v>2001</v>
      </c>
      <c r="G641" s="63">
        <f t="shared" si="42"/>
        <v>15.5</v>
      </c>
      <c r="H641" s="95">
        <v>22571.98</v>
      </c>
      <c r="I641" s="97">
        <f t="shared" si="43"/>
        <v>349865.69</v>
      </c>
    </row>
    <row r="642" spans="1:9" ht="30" hidden="1" outlineLevel="2">
      <c r="A642" s="93" t="s">
        <v>95</v>
      </c>
      <c r="B642" s="93" t="s">
        <v>80</v>
      </c>
      <c r="D642" s="63" t="s">
        <v>199</v>
      </c>
      <c r="E642" s="93" t="s">
        <v>67</v>
      </c>
      <c r="F642" s="96">
        <v>2002</v>
      </c>
      <c r="G642" s="63">
        <f t="shared" si="42"/>
        <v>14.5</v>
      </c>
      <c r="H642" s="95">
        <v>6951130.3200000003</v>
      </c>
      <c r="I642" s="97">
        <f t="shared" si="43"/>
        <v>100791389.64</v>
      </c>
    </row>
    <row r="643" spans="1:9" ht="30" hidden="1" outlineLevel="2">
      <c r="A643" s="93" t="s">
        <v>95</v>
      </c>
      <c r="B643" s="93" t="s">
        <v>80</v>
      </c>
      <c r="D643" s="63" t="s">
        <v>199</v>
      </c>
      <c r="E643" s="93" t="s">
        <v>67</v>
      </c>
      <c r="F643" s="96">
        <v>2003</v>
      </c>
      <c r="G643" s="63">
        <f t="shared" si="42"/>
        <v>13.5</v>
      </c>
      <c r="H643" s="95">
        <v>179050.93</v>
      </c>
      <c r="I643" s="97">
        <f t="shared" si="43"/>
        <v>2417187.5549999997</v>
      </c>
    </row>
    <row r="644" spans="1:9" ht="30" hidden="1" outlineLevel="2">
      <c r="A644" s="93" t="s">
        <v>95</v>
      </c>
      <c r="B644" s="93" t="s">
        <v>80</v>
      </c>
      <c r="D644" s="63" t="s">
        <v>199</v>
      </c>
      <c r="E644" s="93" t="s">
        <v>67</v>
      </c>
      <c r="F644" s="96">
        <v>2004</v>
      </c>
      <c r="G644" s="63">
        <f t="shared" si="42"/>
        <v>12.5</v>
      </c>
      <c r="H644" s="95">
        <v>36552.699999999997</v>
      </c>
      <c r="I644" s="97">
        <f t="shared" si="43"/>
        <v>456908.74999999994</v>
      </c>
    </row>
    <row r="645" spans="1:9" ht="30" hidden="1" outlineLevel="2">
      <c r="A645" s="93" t="s">
        <v>95</v>
      </c>
      <c r="B645" s="93" t="s">
        <v>80</v>
      </c>
      <c r="D645" s="63" t="s">
        <v>199</v>
      </c>
      <c r="E645" s="93" t="s">
        <v>67</v>
      </c>
      <c r="F645" s="96">
        <v>2005</v>
      </c>
      <c r="G645" s="63">
        <f t="shared" si="42"/>
        <v>11.5</v>
      </c>
      <c r="H645" s="95">
        <v>684321.41</v>
      </c>
      <c r="I645" s="97">
        <f t="shared" si="43"/>
        <v>7869696.2150000008</v>
      </c>
    </row>
    <row r="646" spans="1:9" ht="30" hidden="1" outlineLevel="2">
      <c r="A646" s="93" t="s">
        <v>95</v>
      </c>
      <c r="B646" s="93" t="s">
        <v>80</v>
      </c>
      <c r="D646" s="63" t="s">
        <v>199</v>
      </c>
      <c r="E646" s="93" t="s">
        <v>67</v>
      </c>
      <c r="F646" s="96">
        <v>2006</v>
      </c>
      <c r="G646" s="63">
        <f t="shared" si="42"/>
        <v>10.5</v>
      </c>
      <c r="H646" s="95">
        <v>6080831.3099999996</v>
      </c>
      <c r="I646" s="97">
        <f t="shared" si="43"/>
        <v>63848728.754999995</v>
      </c>
    </row>
    <row r="647" spans="1:9" ht="30" hidden="1" outlineLevel="2">
      <c r="A647" s="93" t="s">
        <v>95</v>
      </c>
      <c r="B647" s="93" t="s">
        <v>80</v>
      </c>
      <c r="D647" s="63" t="s">
        <v>199</v>
      </c>
      <c r="E647" s="93" t="s">
        <v>67</v>
      </c>
      <c r="F647" s="96">
        <v>2007</v>
      </c>
      <c r="G647" s="63">
        <f t="shared" si="42"/>
        <v>9.5</v>
      </c>
      <c r="H647" s="95">
        <v>182606.52</v>
      </c>
      <c r="I647" s="97">
        <f t="shared" si="43"/>
        <v>1734761.94</v>
      </c>
    </row>
    <row r="648" spans="1:9" ht="30" hidden="1" outlineLevel="2">
      <c r="A648" s="93" t="s">
        <v>95</v>
      </c>
      <c r="B648" s="93" t="s">
        <v>80</v>
      </c>
      <c r="D648" s="63" t="s">
        <v>199</v>
      </c>
      <c r="E648" s="93" t="s">
        <v>67</v>
      </c>
      <c r="F648" s="96">
        <v>2008</v>
      </c>
      <c r="G648" s="63">
        <f t="shared" si="42"/>
        <v>8.5</v>
      </c>
      <c r="H648" s="95">
        <v>7549130.8300000001</v>
      </c>
      <c r="I648" s="97">
        <f t="shared" si="43"/>
        <v>64167612.055</v>
      </c>
    </row>
    <row r="649" spans="1:9" ht="30" hidden="1" outlineLevel="2">
      <c r="A649" s="93" t="s">
        <v>95</v>
      </c>
      <c r="B649" s="93" t="s">
        <v>80</v>
      </c>
      <c r="D649" s="63" t="s">
        <v>199</v>
      </c>
      <c r="E649" s="93" t="s">
        <v>67</v>
      </c>
      <c r="F649" s="96">
        <v>2009</v>
      </c>
      <c r="G649" s="63">
        <f t="shared" si="42"/>
        <v>7.5</v>
      </c>
      <c r="H649" s="95">
        <v>13334.11</v>
      </c>
      <c r="I649" s="97">
        <f t="shared" si="43"/>
        <v>100005.82500000001</v>
      </c>
    </row>
    <row r="650" spans="1:9" ht="30" hidden="1" outlineLevel="2">
      <c r="A650" s="93" t="s">
        <v>95</v>
      </c>
      <c r="B650" s="93" t="s">
        <v>80</v>
      </c>
      <c r="D650" s="63" t="s">
        <v>199</v>
      </c>
      <c r="E650" s="93" t="s">
        <v>67</v>
      </c>
      <c r="F650" s="96">
        <v>2010</v>
      </c>
      <c r="G650" s="63">
        <f t="shared" si="42"/>
        <v>6.5</v>
      </c>
      <c r="H650" s="95">
        <v>8432.73</v>
      </c>
      <c r="I650" s="97">
        <f t="shared" si="43"/>
        <v>54812.744999999995</v>
      </c>
    </row>
    <row r="651" spans="1:9" ht="30" hidden="1" outlineLevel="2">
      <c r="A651" s="93" t="s">
        <v>95</v>
      </c>
      <c r="B651" s="93" t="s">
        <v>80</v>
      </c>
      <c r="D651" s="63" t="s">
        <v>199</v>
      </c>
      <c r="E651" s="93" t="s">
        <v>67</v>
      </c>
      <c r="F651" s="96">
        <v>2011</v>
      </c>
      <c r="G651" s="63">
        <f t="shared" si="42"/>
        <v>5.5</v>
      </c>
      <c r="H651" s="95">
        <v>1097159.48</v>
      </c>
      <c r="I651" s="97">
        <f t="shared" si="43"/>
        <v>6034377.1399999997</v>
      </c>
    </row>
    <row r="652" spans="1:9" ht="30" hidden="1" outlineLevel="2">
      <c r="A652" s="93" t="s">
        <v>95</v>
      </c>
      <c r="B652" s="93" t="s">
        <v>80</v>
      </c>
      <c r="D652" s="63" t="s">
        <v>199</v>
      </c>
      <c r="E652" s="93" t="s">
        <v>67</v>
      </c>
      <c r="F652" s="96">
        <v>2012</v>
      </c>
      <c r="G652" s="63">
        <f t="shared" si="42"/>
        <v>4.5</v>
      </c>
      <c r="H652" s="95">
        <v>26775.98</v>
      </c>
      <c r="I652" s="97">
        <f t="shared" si="43"/>
        <v>120491.91</v>
      </c>
    </row>
    <row r="653" spans="1:9" ht="30" hidden="1" outlineLevel="2">
      <c r="A653" s="93" t="s">
        <v>95</v>
      </c>
      <c r="B653" s="93" t="s">
        <v>80</v>
      </c>
      <c r="D653" s="63" t="s">
        <v>199</v>
      </c>
      <c r="E653" s="93" t="s">
        <v>67</v>
      </c>
      <c r="F653" s="96">
        <v>2013</v>
      </c>
      <c r="G653" s="63">
        <f t="shared" si="42"/>
        <v>3.5</v>
      </c>
      <c r="H653" s="95">
        <v>262918.78999999998</v>
      </c>
      <c r="I653" s="97">
        <f t="shared" si="43"/>
        <v>920215.7649999999</v>
      </c>
    </row>
    <row r="654" spans="1:9" ht="30" hidden="1" outlineLevel="2">
      <c r="A654" s="93" t="s">
        <v>95</v>
      </c>
      <c r="B654" s="93" t="s">
        <v>80</v>
      </c>
      <c r="D654" s="63" t="s">
        <v>199</v>
      </c>
      <c r="E654" s="93" t="s">
        <v>67</v>
      </c>
      <c r="F654" s="96">
        <v>2014</v>
      </c>
      <c r="G654" s="63">
        <f t="shared" si="42"/>
        <v>2.5</v>
      </c>
      <c r="H654" s="95">
        <v>1862871.68</v>
      </c>
      <c r="I654" s="97">
        <f t="shared" si="43"/>
        <v>4657179.2</v>
      </c>
    </row>
    <row r="655" spans="1:9" ht="30" hidden="1" outlineLevel="2">
      <c r="A655" s="93" t="s">
        <v>95</v>
      </c>
      <c r="B655" s="93" t="s">
        <v>80</v>
      </c>
      <c r="D655" s="63" t="s">
        <v>199</v>
      </c>
      <c r="E655" s="93" t="s">
        <v>67</v>
      </c>
      <c r="F655" s="96">
        <v>2015</v>
      </c>
      <c r="G655" s="63">
        <f t="shared" si="42"/>
        <v>1.5</v>
      </c>
      <c r="H655" s="95">
        <v>88011116.689999998</v>
      </c>
      <c r="I655" s="97">
        <f t="shared" si="43"/>
        <v>132016675.035</v>
      </c>
    </row>
    <row r="656" spans="1:9" ht="30" hidden="1" outlineLevel="2">
      <c r="A656" s="93" t="s">
        <v>95</v>
      </c>
      <c r="B656" s="93" t="s">
        <v>80</v>
      </c>
      <c r="D656" s="63" t="s">
        <v>199</v>
      </c>
      <c r="E656" s="93" t="s">
        <v>67</v>
      </c>
      <c r="F656" s="96">
        <v>2016</v>
      </c>
      <c r="G656" s="63">
        <f t="shared" si="42"/>
        <v>0.5</v>
      </c>
      <c r="H656" s="95">
        <v>2061498.47</v>
      </c>
      <c r="I656" s="97">
        <f t="shared" si="43"/>
        <v>1030749.235</v>
      </c>
    </row>
    <row r="657" spans="1:10" s="63" customFormat="1" ht="30" outlineLevel="1" collapsed="1">
      <c r="A657" s="26" t="str">
        <f>+A656</f>
        <v>Daniel</v>
      </c>
      <c r="B657" s="94"/>
      <c r="C657" s="26"/>
      <c r="D657" s="26" t="str">
        <f>+D656</f>
        <v>Daniel 2</v>
      </c>
      <c r="E657" s="94" t="s">
        <v>202</v>
      </c>
      <c r="F657" s="96"/>
      <c r="H657" s="95">
        <f>SUBTOTAL(9,H625:H656)</f>
        <v>152274744.73999998</v>
      </c>
      <c r="I657" s="97">
        <f>SUBTOTAL(9,I625:I656)</f>
        <v>1621362234.2200003</v>
      </c>
      <c r="J657" s="64">
        <f>+I657/H657</f>
        <v>10.647610915312184</v>
      </c>
    </row>
    <row r="658" spans="1:10" ht="30" hidden="1" outlineLevel="2">
      <c r="A658" s="93" t="s">
        <v>95</v>
      </c>
      <c r="B658" s="93" t="s">
        <v>80</v>
      </c>
      <c r="D658" s="63" t="s">
        <v>199</v>
      </c>
      <c r="E658" s="93" t="s">
        <v>68</v>
      </c>
      <c r="F658" s="96">
        <v>1981</v>
      </c>
      <c r="G658" s="63">
        <f t="shared" ref="G658:G677" si="44">2016.5-F658</f>
        <v>35.5</v>
      </c>
      <c r="H658" s="95">
        <v>13788139.65</v>
      </c>
      <c r="I658" s="97">
        <f t="shared" ref="I658:I677" si="45">+G658*H658</f>
        <v>489478957.57499999</v>
      </c>
    </row>
    <row r="659" spans="1:10" ht="30" hidden="1" outlineLevel="2">
      <c r="A659" s="93" t="s">
        <v>95</v>
      </c>
      <c r="B659" s="93" t="s">
        <v>80</v>
      </c>
      <c r="D659" s="63" t="s">
        <v>199</v>
      </c>
      <c r="E659" s="93" t="s">
        <v>68</v>
      </c>
      <c r="F659" s="96">
        <v>1983</v>
      </c>
      <c r="G659" s="63">
        <f t="shared" si="44"/>
        <v>33.5</v>
      </c>
      <c r="H659" s="95">
        <v>23422.38</v>
      </c>
      <c r="I659" s="97">
        <f t="shared" si="45"/>
        <v>784649.73</v>
      </c>
    </row>
    <row r="660" spans="1:10" ht="30" hidden="1" outlineLevel="2">
      <c r="A660" s="93" t="s">
        <v>95</v>
      </c>
      <c r="B660" s="93" t="s">
        <v>80</v>
      </c>
      <c r="D660" s="63" t="s">
        <v>199</v>
      </c>
      <c r="E660" s="93" t="s">
        <v>68</v>
      </c>
      <c r="F660" s="96">
        <v>1984</v>
      </c>
      <c r="G660" s="63">
        <f t="shared" si="44"/>
        <v>32.5</v>
      </c>
      <c r="H660" s="95">
        <v>267</v>
      </c>
      <c r="I660" s="97">
        <f t="shared" si="45"/>
        <v>8677.5</v>
      </c>
    </row>
    <row r="661" spans="1:10" ht="30" hidden="1" outlineLevel="2">
      <c r="A661" s="93" t="s">
        <v>95</v>
      </c>
      <c r="B661" s="93" t="s">
        <v>80</v>
      </c>
      <c r="D661" s="63" t="s">
        <v>199</v>
      </c>
      <c r="E661" s="93" t="s">
        <v>68</v>
      </c>
      <c r="F661" s="96">
        <v>1985</v>
      </c>
      <c r="G661" s="63">
        <f t="shared" si="44"/>
        <v>31.5</v>
      </c>
      <c r="H661" s="95">
        <v>464.39</v>
      </c>
      <c r="I661" s="97">
        <f t="shared" si="45"/>
        <v>14628.285</v>
      </c>
    </row>
    <row r="662" spans="1:10" ht="30" hidden="1" outlineLevel="2">
      <c r="A662" s="93" t="s">
        <v>95</v>
      </c>
      <c r="B662" s="93" t="s">
        <v>80</v>
      </c>
      <c r="D662" s="63" t="s">
        <v>199</v>
      </c>
      <c r="E662" s="93" t="s">
        <v>68</v>
      </c>
      <c r="F662" s="96">
        <v>1989</v>
      </c>
      <c r="G662" s="63">
        <f t="shared" si="44"/>
        <v>27.5</v>
      </c>
      <c r="H662" s="95">
        <v>39231.74</v>
      </c>
      <c r="I662" s="97">
        <f t="shared" si="45"/>
        <v>1078872.8499999999</v>
      </c>
    </row>
    <row r="663" spans="1:10" ht="30" hidden="1" outlineLevel="2">
      <c r="A663" s="93" t="s">
        <v>95</v>
      </c>
      <c r="B663" s="93" t="s">
        <v>80</v>
      </c>
      <c r="D663" s="63" t="s">
        <v>199</v>
      </c>
      <c r="E663" s="93" t="s">
        <v>68</v>
      </c>
      <c r="F663" s="96">
        <v>1990</v>
      </c>
      <c r="G663" s="63">
        <f t="shared" si="44"/>
        <v>26.5</v>
      </c>
      <c r="H663" s="95">
        <v>1313.47</v>
      </c>
      <c r="I663" s="97">
        <f t="shared" si="45"/>
        <v>34806.955000000002</v>
      </c>
    </row>
    <row r="664" spans="1:10" ht="30" hidden="1" outlineLevel="2">
      <c r="A664" s="93" t="s">
        <v>95</v>
      </c>
      <c r="B664" s="93" t="s">
        <v>80</v>
      </c>
      <c r="D664" s="63" t="s">
        <v>199</v>
      </c>
      <c r="E664" s="93" t="s">
        <v>68</v>
      </c>
      <c r="F664" s="96">
        <v>1991</v>
      </c>
      <c r="G664" s="63">
        <f t="shared" si="44"/>
        <v>25.5</v>
      </c>
      <c r="H664" s="95">
        <v>8830.7000000000007</v>
      </c>
      <c r="I664" s="97">
        <f t="shared" si="45"/>
        <v>225182.85</v>
      </c>
    </row>
    <row r="665" spans="1:10" ht="30" hidden="1" outlineLevel="2">
      <c r="A665" s="93" t="s">
        <v>95</v>
      </c>
      <c r="B665" s="93" t="s">
        <v>80</v>
      </c>
      <c r="D665" s="63" t="s">
        <v>199</v>
      </c>
      <c r="E665" s="93" t="s">
        <v>68</v>
      </c>
      <c r="F665" s="96">
        <v>1992</v>
      </c>
      <c r="G665" s="63">
        <f t="shared" si="44"/>
        <v>24.5</v>
      </c>
      <c r="H665" s="95">
        <v>79083.13</v>
      </c>
      <c r="I665" s="97">
        <f t="shared" si="45"/>
        <v>1937536.6850000001</v>
      </c>
    </row>
    <row r="666" spans="1:10" ht="30" hidden="1" outlineLevel="2">
      <c r="A666" s="93" t="s">
        <v>95</v>
      </c>
      <c r="B666" s="93" t="s">
        <v>80</v>
      </c>
      <c r="D666" s="63" t="s">
        <v>199</v>
      </c>
      <c r="E666" s="93" t="s">
        <v>68</v>
      </c>
      <c r="F666" s="96">
        <v>1994</v>
      </c>
      <c r="G666" s="63">
        <f t="shared" si="44"/>
        <v>22.5</v>
      </c>
      <c r="H666" s="95">
        <v>801.24</v>
      </c>
      <c r="I666" s="97">
        <f t="shared" si="45"/>
        <v>18027.900000000001</v>
      </c>
    </row>
    <row r="667" spans="1:10" ht="30" hidden="1" outlineLevel="2">
      <c r="A667" s="93" t="s">
        <v>95</v>
      </c>
      <c r="B667" s="93" t="s">
        <v>80</v>
      </c>
      <c r="D667" s="63" t="s">
        <v>199</v>
      </c>
      <c r="E667" s="93" t="s">
        <v>68</v>
      </c>
      <c r="F667" s="96">
        <v>1999</v>
      </c>
      <c r="G667" s="63">
        <f t="shared" si="44"/>
        <v>17.5</v>
      </c>
      <c r="H667" s="95">
        <v>7101.95</v>
      </c>
      <c r="I667" s="97">
        <f t="shared" si="45"/>
        <v>124284.125</v>
      </c>
    </row>
    <row r="668" spans="1:10" ht="30" hidden="1" outlineLevel="2">
      <c r="A668" s="93" t="s">
        <v>95</v>
      </c>
      <c r="B668" s="93" t="s">
        <v>80</v>
      </c>
      <c r="D668" s="63" t="s">
        <v>199</v>
      </c>
      <c r="E668" s="93" t="s">
        <v>68</v>
      </c>
      <c r="F668" s="96">
        <v>2002</v>
      </c>
      <c r="G668" s="63">
        <f t="shared" si="44"/>
        <v>14.5</v>
      </c>
      <c r="H668" s="95">
        <v>408521.01</v>
      </c>
      <c r="I668" s="97">
        <f t="shared" si="45"/>
        <v>5923554.6450000005</v>
      </c>
    </row>
    <row r="669" spans="1:10" ht="30" hidden="1" outlineLevel="2">
      <c r="A669" s="93" t="s">
        <v>95</v>
      </c>
      <c r="B669" s="93" t="s">
        <v>80</v>
      </c>
      <c r="D669" s="63" t="s">
        <v>199</v>
      </c>
      <c r="E669" s="93" t="s">
        <v>68</v>
      </c>
      <c r="F669" s="96">
        <v>2003</v>
      </c>
      <c r="G669" s="63">
        <f t="shared" si="44"/>
        <v>13.5</v>
      </c>
      <c r="H669" s="95">
        <v>75938.16</v>
      </c>
      <c r="I669" s="97">
        <f t="shared" si="45"/>
        <v>1025165.16</v>
      </c>
    </row>
    <row r="670" spans="1:10" ht="30" hidden="1" outlineLevel="2">
      <c r="A670" s="93" t="s">
        <v>95</v>
      </c>
      <c r="B670" s="93" t="s">
        <v>80</v>
      </c>
      <c r="D670" s="63" t="s">
        <v>199</v>
      </c>
      <c r="E670" s="93" t="s">
        <v>68</v>
      </c>
      <c r="F670" s="96">
        <v>2005</v>
      </c>
      <c r="G670" s="63">
        <f t="shared" si="44"/>
        <v>11.5</v>
      </c>
      <c r="H670" s="95">
        <v>23119.84</v>
      </c>
      <c r="I670" s="97">
        <f t="shared" si="45"/>
        <v>265878.15999999997</v>
      </c>
    </row>
    <row r="671" spans="1:10" ht="30" hidden="1" outlineLevel="2">
      <c r="A671" s="93" t="s">
        <v>95</v>
      </c>
      <c r="B671" s="93" t="s">
        <v>80</v>
      </c>
      <c r="D671" s="63" t="s">
        <v>199</v>
      </c>
      <c r="E671" s="93" t="s">
        <v>68</v>
      </c>
      <c r="F671" s="96">
        <v>2006</v>
      </c>
      <c r="G671" s="63">
        <f t="shared" si="44"/>
        <v>10.5</v>
      </c>
      <c r="H671" s="95">
        <v>312250.65999999997</v>
      </c>
      <c r="I671" s="97">
        <f t="shared" si="45"/>
        <v>3278631.9299999997</v>
      </c>
    </row>
    <row r="672" spans="1:10" ht="30" hidden="1" outlineLevel="2">
      <c r="A672" s="93" t="s">
        <v>95</v>
      </c>
      <c r="B672" s="93" t="s">
        <v>80</v>
      </c>
      <c r="D672" s="63" t="s">
        <v>199</v>
      </c>
      <c r="E672" s="93" t="s">
        <v>68</v>
      </c>
      <c r="F672" s="96">
        <v>2008</v>
      </c>
      <c r="G672" s="63">
        <f t="shared" si="44"/>
        <v>8.5</v>
      </c>
      <c r="H672" s="95">
        <v>1693988.72</v>
      </c>
      <c r="I672" s="97">
        <f t="shared" si="45"/>
        <v>14398904.119999999</v>
      </c>
    </row>
    <row r="673" spans="1:10" ht="30" hidden="1" outlineLevel="2">
      <c r="A673" s="93" t="s">
        <v>95</v>
      </c>
      <c r="B673" s="93" t="s">
        <v>80</v>
      </c>
      <c r="D673" s="63" t="s">
        <v>199</v>
      </c>
      <c r="E673" s="93" t="s">
        <v>68</v>
      </c>
      <c r="F673" s="96">
        <v>2011</v>
      </c>
      <c r="G673" s="63">
        <f t="shared" si="44"/>
        <v>5.5</v>
      </c>
      <c r="H673" s="95">
        <v>5512190.0300000003</v>
      </c>
      <c r="I673" s="97">
        <f t="shared" si="45"/>
        <v>30317045.165000003</v>
      </c>
    </row>
    <row r="674" spans="1:10" ht="30" hidden="1" outlineLevel="2">
      <c r="A674" s="93" t="s">
        <v>95</v>
      </c>
      <c r="B674" s="93" t="s">
        <v>80</v>
      </c>
      <c r="D674" s="63" t="s">
        <v>199</v>
      </c>
      <c r="E674" s="93" t="s">
        <v>68</v>
      </c>
      <c r="F674" s="96">
        <v>2013</v>
      </c>
      <c r="G674" s="63">
        <f t="shared" si="44"/>
        <v>3.5</v>
      </c>
      <c r="H674" s="95">
        <v>2645694.29</v>
      </c>
      <c r="I674" s="97">
        <f t="shared" si="45"/>
        <v>9259930.0150000006</v>
      </c>
    </row>
    <row r="675" spans="1:10" ht="30" hidden="1" outlineLevel="2">
      <c r="A675" s="93" t="s">
        <v>95</v>
      </c>
      <c r="B675" s="93" t="s">
        <v>80</v>
      </c>
      <c r="D675" s="63" t="s">
        <v>199</v>
      </c>
      <c r="E675" s="93" t="s">
        <v>68</v>
      </c>
      <c r="F675" s="96">
        <v>2014</v>
      </c>
      <c r="G675" s="63">
        <f t="shared" si="44"/>
        <v>2.5</v>
      </c>
      <c r="H675" s="95">
        <v>503979.3</v>
      </c>
      <c r="I675" s="97">
        <f t="shared" si="45"/>
        <v>1259948.25</v>
      </c>
    </row>
    <row r="676" spans="1:10" ht="30" hidden="1" outlineLevel="2">
      <c r="A676" s="93" t="s">
        <v>95</v>
      </c>
      <c r="B676" s="93" t="s">
        <v>80</v>
      </c>
      <c r="D676" s="63" t="s">
        <v>199</v>
      </c>
      <c r="E676" s="93" t="s">
        <v>68</v>
      </c>
      <c r="F676" s="96">
        <v>2015</v>
      </c>
      <c r="G676" s="63">
        <f t="shared" si="44"/>
        <v>1.5</v>
      </c>
      <c r="H676" s="95">
        <v>7964.81</v>
      </c>
      <c r="I676" s="97">
        <f t="shared" si="45"/>
        <v>11947.215</v>
      </c>
    </row>
    <row r="677" spans="1:10" ht="30" hidden="1" outlineLevel="2">
      <c r="A677" s="93" t="s">
        <v>95</v>
      </c>
      <c r="B677" s="93" t="s">
        <v>80</v>
      </c>
      <c r="D677" s="63" t="s">
        <v>199</v>
      </c>
      <c r="E677" s="93" t="s">
        <v>68</v>
      </c>
      <c r="F677" s="96">
        <v>2016</v>
      </c>
      <c r="G677" s="63">
        <f t="shared" si="44"/>
        <v>0.5</v>
      </c>
      <c r="H677" s="95">
        <v>1585696.07</v>
      </c>
      <c r="I677" s="97">
        <f t="shared" si="45"/>
        <v>792848.03500000003</v>
      </c>
    </row>
    <row r="678" spans="1:10" s="63" customFormat="1" ht="30" outlineLevel="1" collapsed="1">
      <c r="A678" s="26" t="str">
        <f>+A677</f>
        <v>Daniel</v>
      </c>
      <c r="B678" s="94"/>
      <c r="C678" s="26"/>
      <c r="D678" s="26" t="str">
        <f>+D677</f>
        <v>Daniel 2</v>
      </c>
      <c r="E678" s="94" t="s">
        <v>203</v>
      </c>
      <c r="F678" s="96"/>
      <c r="H678" s="95">
        <f>SUBTOTAL(9,H658:H677)</f>
        <v>26717998.540000003</v>
      </c>
      <c r="I678" s="97">
        <f>SUBTOTAL(9,I658:I677)</f>
        <v>560239477.1500001</v>
      </c>
      <c r="J678" s="64">
        <f>+I678/H678</f>
        <v>20.968616953521252</v>
      </c>
    </row>
    <row r="679" spans="1:10" ht="30" hidden="1" outlineLevel="2">
      <c r="A679" s="93" t="s">
        <v>95</v>
      </c>
      <c r="B679" s="93" t="s">
        <v>80</v>
      </c>
      <c r="D679" s="63" t="s">
        <v>199</v>
      </c>
      <c r="E679" s="93" t="s">
        <v>69</v>
      </c>
      <c r="F679" s="96">
        <v>1981</v>
      </c>
      <c r="G679" s="63">
        <f t="shared" ref="G679:G694" si="46">2016.5-F679</f>
        <v>35.5</v>
      </c>
      <c r="H679" s="95">
        <v>6729532.2000000002</v>
      </c>
      <c r="I679" s="97">
        <f t="shared" ref="I679:I694" si="47">+G679*H679</f>
        <v>238898393.09999999</v>
      </c>
    </row>
    <row r="680" spans="1:10" ht="30" hidden="1" outlineLevel="2">
      <c r="A680" s="93" t="s">
        <v>95</v>
      </c>
      <c r="B680" s="93" t="s">
        <v>80</v>
      </c>
      <c r="D680" s="63" t="s">
        <v>199</v>
      </c>
      <c r="E680" s="93" t="s">
        <v>69</v>
      </c>
      <c r="F680" s="96">
        <v>1983</v>
      </c>
      <c r="G680" s="63">
        <f t="shared" si="46"/>
        <v>33.5</v>
      </c>
      <c r="H680" s="95">
        <v>4677.96</v>
      </c>
      <c r="I680" s="97">
        <f t="shared" si="47"/>
        <v>156711.66</v>
      </c>
    </row>
    <row r="681" spans="1:10" ht="30" hidden="1" outlineLevel="2">
      <c r="A681" s="93" t="s">
        <v>95</v>
      </c>
      <c r="B681" s="93" t="s">
        <v>80</v>
      </c>
      <c r="D681" s="63" t="s">
        <v>199</v>
      </c>
      <c r="E681" s="93" t="s">
        <v>69</v>
      </c>
      <c r="F681" s="96">
        <v>1985</v>
      </c>
      <c r="G681" s="63">
        <f t="shared" si="46"/>
        <v>31.5</v>
      </c>
      <c r="H681" s="95">
        <v>18758.13</v>
      </c>
      <c r="I681" s="97">
        <f t="shared" si="47"/>
        <v>590881.09500000009</v>
      </c>
    </row>
    <row r="682" spans="1:10" ht="30" hidden="1" outlineLevel="2">
      <c r="A682" s="93" t="s">
        <v>95</v>
      </c>
      <c r="B682" s="93" t="s">
        <v>80</v>
      </c>
      <c r="D682" s="63" t="s">
        <v>199</v>
      </c>
      <c r="E682" s="93" t="s">
        <v>69</v>
      </c>
      <c r="F682" s="96">
        <v>1986</v>
      </c>
      <c r="G682" s="63">
        <f t="shared" si="46"/>
        <v>30.5</v>
      </c>
      <c r="H682" s="95">
        <v>7105.35</v>
      </c>
      <c r="I682" s="97">
        <f t="shared" si="47"/>
        <v>216713.17500000002</v>
      </c>
    </row>
    <row r="683" spans="1:10" ht="30" hidden="1" outlineLevel="2">
      <c r="A683" s="93" t="s">
        <v>95</v>
      </c>
      <c r="B683" s="93" t="s">
        <v>80</v>
      </c>
      <c r="D683" s="63" t="s">
        <v>199</v>
      </c>
      <c r="E683" s="93" t="s">
        <v>69</v>
      </c>
      <c r="F683" s="96">
        <v>1987</v>
      </c>
      <c r="G683" s="63">
        <f t="shared" si="46"/>
        <v>29.5</v>
      </c>
      <c r="H683" s="95">
        <v>1358.57</v>
      </c>
      <c r="I683" s="97">
        <f t="shared" si="47"/>
        <v>40077.814999999995</v>
      </c>
    </row>
    <row r="684" spans="1:10" ht="30" hidden="1" outlineLevel="2">
      <c r="A684" s="93" t="s">
        <v>95</v>
      </c>
      <c r="B684" s="93" t="s">
        <v>80</v>
      </c>
      <c r="D684" s="63" t="s">
        <v>199</v>
      </c>
      <c r="E684" s="93" t="s">
        <v>69</v>
      </c>
      <c r="F684" s="96">
        <v>1988</v>
      </c>
      <c r="G684" s="63">
        <f t="shared" si="46"/>
        <v>28.5</v>
      </c>
      <c r="H684" s="95">
        <v>35474.39</v>
      </c>
      <c r="I684" s="97">
        <f t="shared" si="47"/>
        <v>1011020.115</v>
      </c>
    </row>
    <row r="685" spans="1:10" ht="30" hidden="1" outlineLevel="2">
      <c r="A685" s="93" t="s">
        <v>95</v>
      </c>
      <c r="B685" s="93" t="s">
        <v>80</v>
      </c>
      <c r="D685" s="63" t="s">
        <v>199</v>
      </c>
      <c r="E685" s="93" t="s">
        <v>69</v>
      </c>
      <c r="F685" s="96">
        <v>1991</v>
      </c>
      <c r="G685" s="63">
        <f t="shared" si="46"/>
        <v>25.5</v>
      </c>
      <c r="H685" s="95">
        <v>1504749.05</v>
      </c>
      <c r="I685" s="97">
        <f t="shared" si="47"/>
        <v>38371100.774999999</v>
      </c>
    </row>
    <row r="686" spans="1:10" ht="30" hidden="1" outlineLevel="2">
      <c r="A686" s="93" t="s">
        <v>95</v>
      </c>
      <c r="B686" s="93" t="s">
        <v>80</v>
      </c>
      <c r="D686" s="63" t="s">
        <v>199</v>
      </c>
      <c r="E686" s="93" t="s">
        <v>69</v>
      </c>
      <c r="F686" s="96">
        <v>1992</v>
      </c>
      <c r="G686" s="63">
        <f t="shared" si="46"/>
        <v>24.5</v>
      </c>
      <c r="H686" s="95">
        <v>167602.88</v>
      </c>
      <c r="I686" s="97">
        <f t="shared" si="47"/>
        <v>4106270.56</v>
      </c>
    </row>
    <row r="687" spans="1:10" ht="30" hidden="1" outlineLevel="2">
      <c r="A687" s="93" t="s">
        <v>95</v>
      </c>
      <c r="B687" s="93" t="s">
        <v>80</v>
      </c>
      <c r="D687" s="63" t="s">
        <v>199</v>
      </c>
      <c r="E687" s="93" t="s">
        <v>69</v>
      </c>
      <c r="F687" s="96">
        <v>2000</v>
      </c>
      <c r="G687" s="63">
        <f t="shared" si="46"/>
        <v>16.5</v>
      </c>
      <c r="H687" s="95">
        <v>40667.72</v>
      </c>
      <c r="I687" s="97">
        <f t="shared" si="47"/>
        <v>671017.38</v>
      </c>
    </row>
    <row r="688" spans="1:10" ht="30" hidden="1" outlineLevel="2">
      <c r="A688" s="93" t="s">
        <v>95</v>
      </c>
      <c r="B688" s="93" t="s">
        <v>80</v>
      </c>
      <c r="D688" s="63" t="s">
        <v>199</v>
      </c>
      <c r="E688" s="93" t="s">
        <v>69</v>
      </c>
      <c r="F688" s="96">
        <v>2002</v>
      </c>
      <c r="G688" s="63">
        <f t="shared" si="46"/>
        <v>14.5</v>
      </c>
      <c r="H688" s="95">
        <v>1871800.86</v>
      </c>
      <c r="I688" s="97">
        <f t="shared" si="47"/>
        <v>27141112.470000003</v>
      </c>
    </row>
    <row r="689" spans="1:10" ht="30" hidden="1" outlineLevel="2">
      <c r="A689" s="93" t="s">
        <v>95</v>
      </c>
      <c r="B689" s="93" t="s">
        <v>80</v>
      </c>
      <c r="D689" s="63" t="s">
        <v>199</v>
      </c>
      <c r="E689" s="93" t="s">
        <v>69</v>
      </c>
      <c r="F689" s="96">
        <v>2003</v>
      </c>
      <c r="G689" s="63">
        <f t="shared" si="46"/>
        <v>13.5</v>
      </c>
      <c r="H689" s="95">
        <v>49735.3</v>
      </c>
      <c r="I689" s="97">
        <f t="shared" si="47"/>
        <v>671426.55</v>
      </c>
    </row>
    <row r="690" spans="1:10" ht="30" hidden="1" outlineLevel="2">
      <c r="A690" s="93" t="s">
        <v>95</v>
      </c>
      <c r="B690" s="93" t="s">
        <v>80</v>
      </c>
      <c r="D690" s="63" t="s">
        <v>199</v>
      </c>
      <c r="E690" s="93" t="s">
        <v>69</v>
      </c>
      <c r="F690" s="96">
        <v>2006</v>
      </c>
      <c r="G690" s="63">
        <f t="shared" si="46"/>
        <v>10.5</v>
      </c>
      <c r="H690" s="95">
        <v>22806.73</v>
      </c>
      <c r="I690" s="97">
        <f t="shared" si="47"/>
        <v>239470.66500000001</v>
      </c>
    </row>
    <row r="691" spans="1:10" ht="30" hidden="1" outlineLevel="2">
      <c r="A691" s="93" t="s">
        <v>95</v>
      </c>
      <c r="B691" s="93" t="s">
        <v>80</v>
      </c>
      <c r="D691" s="63" t="s">
        <v>199</v>
      </c>
      <c r="E691" s="93" t="s">
        <v>69</v>
      </c>
      <c r="F691" s="96">
        <v>2013</v>
      </c>
      <c r="G691" s="63">
        <f t="shared" si="46"/>
        <v>3.5</v>
      </c>
      <c r="H691" s="95">
        <v>315188.33</v>
      </c>
      <c r="I691" s="97">
        <f t="shared" si="47"/>
        <v>1103159.155</v>
      </c>
    </row>
    <row r="692" spans="1:10" ht="30" hidden="1" outlineLevel="2">
      <c r="A692" s="93" t="s">
        <v>95</v>
      </c>
      <c r="B692" s="93" t="s">
        <v>80</v>
      </c>
      <c r="D692" s="63" t="s">
        <v>199</v>
      </c>
      <c r="E692" s="93" t="s">
        <v>69</v>
      </c>
      <c r="F692" s="96">
        <v>2014</v>
      </c>
      <c r="G692" s="63">
        <f t="shared" si="46"/>
        <v>2.5</v>
      </c>
      <c r="H692" s="95">
        <v>33221.410000000003</v>
      </c>
      <c r="I692" s="97">
        <f t="shared" si="47"/>
        <v>83053.525000000009</v>
      </c>
    </row>
    <row r="693" spans="1:10" ht="30" hidden="1" outlineLevel="2">
      <c r="A693" s="93" t="s">
        <v>95</v>
      </c>
      <c r="B693" s="93" t="s">
        <v>80</v>
      </c>
      <c r="D693" s="63" t="s">
        <v>199</v>
      </c>
      <c r="E693" s="93" t="s">
        <v>69</v>
      </c>
      <c r="F693" s="96">
        <v>2015</v>
      </c>
      <c r="G693" s="63">
        <f t="shared" si="46"/>
        <v>1.5</v>
      </c>
      <c r="H693" s="95">
        <v>1582589.26</v>
      </c>
      <c r="I693" s="97">
        <f t="shared" si="47"/>
        <v>2373883.89</v>
      </c>
    </row>
    <row r="694" spans="1:10" ht="30" hidden="1" outlineLevel="2">
      <c r="A694" s="93" t="s">
        <v>95</v>
      </c>
      <c r="B694" s="93" t="s">
        <v>80</v>
      </c>
      <c r="D694" s="63" t="s">
        <v>199</v>
      </c>
      <c r="E694" s="93" t="s">
        <v>69</v>
      </c>
      <c r="F694" s="96">
        <v>2016</v>
      </c>
      <c r="G694" s="63">
        <f t="shared" si="46"/>
        <v>0.5</v>
      </c>
      <c r="H694" s="95">
        <v>592282.84</v>
      </c>
      <c r="I694" s="97">
        <f t="shared" si="47"/>
        <v>296141.42</v>
      </c>
    </row>
    <row r="695" spans="1:10" s="63" customFormat="1" ht="30" outlineLevel="1" collapsed="1">
      <c r="A695" s="26" t="str">
        <f>+A694</f>
        <v>Daniel</v>
      </c>
      <c r="B695" s="94"/>
      <c r="C695" s="26"/>
      <c r="D695" s="26" t="str">
        <f>+D694</f>
        <v>Daniel 2</v>
      </c>
      <c r="E695" s="94" t="s">
        <v>204</v>
      </c>
      <c r="F695" s="96"/>
      <c r="H695" s="95">
        <f>SUBTOTAL(9,H679:H694)</f>
        <v>12977550.98</v>
      </c>
      <c r="I695" s="97">
        <f>SUBTOTAL(9,I679:I694)</f>
        <v>315970433.35000002</v>
      </c>
      <c r="J695" s="64">
        <f>+I695/H695</f>
        <v>24.347462309102021</v>
      </c>
    </row>
    <row r="696" spans="1:10" ht="30" hidden="1" outlineLevel="2">
      <c r="A696" s="93" t="s">
        <v>95</v>
      </c>
      <c r="B696" s="93" t="s">
        <v>80</v>
      </c>
      <c r="D696" s="63" t="s">
        <v>199</v>
      </c>
      <c r="E696" s="93" t="s">
        <v>75</v>
      </c>
      <c r="F696" s="96">
        <v>1983</v>
      </c>
      <c r="G696" s="63">
        <f>2016.5-F696</f>
        <v>33.5</v>
      </c>
      <c r="H696" s="95">
        <v>9977.41</v>
      </c>
      <c r="I696" s="97">
        <f>+G696*H696</f>
        <v>334243.23499999999</v>
      </c>
    </row>
    <row r="697" spans="1:10" ht="30" hidden="1" outlineLevel="2">
      <c r="A697" s="93" t="s">
        <v>95</v>
      </c>
      <c r="B697" s="93" t="s">
        <v>80</v>
      </c>
      <c r="D697" s="63" t="s">
        <v>199</v>
      </c>
      <c r="E697" s="93" t="s">
        <v>75</v>
      </c>
      <c r="F697" s="96">
        <v>2005</v>
      </c>
      <c r="G697" s="63">
        <f>2016.5-F697</f>
        <v>11.5</v>
      </c>
      <c r="H697" s="95">
        <v>90976.31</v>
      </c>
      <c r="I697" s="97">
        <f>+G697*H697</f>
        <v>1046227.5649999999</v>
      </c>
    </row>
    <row r="698" spans="1:10" ht="30" hidden="1" outlineLevel="2">
      <c r="A698" s="93" t="s">
        <v>95</v>
      </c>
      <c r="B698" s="93" t="s">
        <v>80</v>
      </c>
      <c r="D698" s="63" t="s">
        <v>199</v>
      </c>
      <c r="E698" s="93" t="s">
        <v>75</v>
      </c>
      <c r="F698" s="96">
        <v>2015</v>
      </c>
      <c r="G698" s="63">
        <f>2016.5-F698</f>
        <v>1.5</v>
      </c>
      <c r="H698" s="95">
        <v>46481.22</v>
      </c>
      <c r="I698" s="97">
        <f>+G698*H698</f>
        <v>69721.83</v>
      </c>
    </row>
    <row r="699" spans="1:10" ht="30" hidden="1" outlineLevel="2">
      <c r="A699" s="93" t="s">
        <v>95</v>
      </c>
      <c r="B699" s="93" t="s">
        <v>80</v>
      </c>
      <c r="D699" s="63" t="s">
        <v>199</v>
      </c>
      <c r="E699" s="93" t="s">
        <v>75</v>
      </c>
      <c r="F699" s="96">
        <v>2016</v>
      </c>
      <c r="G699" s="63">
        <f>2016.5-F699</f>
        <v>0.5</v>
      </c>
      <c r="H699" s="95">
        <v>43144.79</v>
      </c>
      <c r="I699" s="97">
        <f>+G699*H699</f>
        <v>21572.395</v>
      </c>
    </row>
    <row r="700" spans="1:10" s="63" customFormat="1" ht="30" outlineLevel="1" collapsed="1">
      <c r="A700" s="26" t="str">
        <f>+A699</f>
        <v>Daniel</v>
      </c>
      <c r="B700" s="94"/>
      <c r="C700" s="26"/>
      <c r="D700" s="26" t="str">
        <f>+D699</f>
        <v>Daniel 2</v>
      </c>
      <c r="E700" s="94" t="s">
        <v>206</v>
      </c>
      <c r="F700" s="96"/>
      <c r="H700" s="95">
        <f>SUBTOTAL(9,H696:H699)</f>
        <v>190579.73</v>
      </c>
      <c r="I700" s="97">
        <f>SUBTOTAL(9,I696:I699)</f>
        <v>1471765.0249999999</v>
      </c>
      <c r="J700" s="64">
        <f>+I700/H700</f>
        <v>7.7225685281430501</v>
      </c>
    </row>
    <row r="701" spans="1:10" ht="45" hidden="1" outlineLevel="2">
      <c r="A701" s="93" t="s">
        <v>95</v>
      </c>
      <c r="B701" s="93" t="s">
        <v>81</v>
      </c>
      <c r="D701" s="63" t="s">
        <v>200</v>
      </c>
      <c r="E701" s="93" t="s">
        <v>72</v>
      </c>
      <c r="F701" s="96">
        <v>1977</v>
      </c>
      <c r="G701" s="63">
        <f t="shared" ref="G701:G732" si="48">2016.5-F701</f>
        <v>39.5</v>
      </c>
      <c r="H701" s="95">
        <v>3581275.55</v>
      </c>
      <c r="I701" s="97">
        <f t="shared" ref="I701:I732" si="49">+G701*H701</f>
        <v>141460384.22499999</v>
      </c>
    </row>
    <row r="702" spans="1:10" ht="45" hidden="1" outlineLevel="2">
      <c r="A702" s="93" t="s">
        <v>95</v>
      </c>
      <c r="B702" s="93" t="s">
        <v>84</v>
      </c>
      <c r="D702" s="63" t="s">
        <v>200</v>
      </c>
      <c r="E702" s="93" t="s">
        <v>72</v>
      </c>
      <c r="F702" s="96">
        <v>1977</v>
      </c>
      <c r="G702" s="63">
        <f t="shared" si="48"/>
        <v>39.5</v>
      </c>
      <c r="H702" s="95">
        <v>76766.66</v>
      </c>
      <c r="I702" s="97">
        <f t="shared" si="49"/>
        <v>3032283.0700000003</v>
      </c>
    </row>
    <row r="703" spans="1:10" ht="45" hidden="1" outlineLevel="2">
      <c r="A703" s="93" t="s">
        <v>95</v>
      </c>
      <c r="B703" s="93" t="s">
        <v>85</v>
      </c>
      <c r="D703" s="63" t="s">
        <v>200</v>
      </c>
      <c r="E703" s="93" t="s">
        <v>72</v>
      </c>
      <c r="F703" s="96">
        <v>1977</v>
      </c>
      <c r="G703" s="63">
        <f t="shared" si="48"/>
        <v>39.5</v>
      </c>
      <c r="H703" s="95">
        <v>1541440.64</v>
      </c>
      <c r="I703" s="97">
        <f t="shared" si="49"/>
        <v>60886905.279999994</v>
      </c>
    </row>
    <row r="704" spans="1:10" ht="45" hidden="1" outlineLevel="2">
      <c r="A704" s="93" t="s">
        <v>95</v>
      </c>
      <c r="B704" s="93" t="s">
        <v>81</v>
      </c>
      <c r="D704" s="63" t="s">
        <v>200</v>
      </c>
      <c r="E704" s="93" t="s">
        <v>72</v>
      </c>
      <c r="F704" s="96">
        <v>1978</v>
      </c>
      <c r="G704" s="63">
        <f t="shared" si="48"/>
        <v>38.5</v>
      </c>
      <c r="H704" s="95">
        <v>666136.86</v>
      </c>
      <c r="I704" s="97">
        <f t="shared" si="49"/>
        <v>25646269.109999999</v>
      </c>
    </row>
    <row r="705" spans="1:9" ht="45" hidden="1" outlineLevel="2">
      <c r="A705" s="93" t="s">
        <v>95</v>
      </c>
      <c r="B705" s="93" t="s">
        <v>85</v>
      </c>
      <c r="D705" s="63" t="s">
        <v>200</v>
      </c>
      <c r="E705" s="93" t="s">
        <v>72</v>
      </c>
      <c r="F705" s="96">
        <v>1978</v>
      </c>
      <c r="G705" s="63">
        <f t="shared" si="48"/>
        <v>38.5</v>
      </c>
      <c r="H705" s="95">
        <v>179227.15</v>
      </c>
      <c r="I705" s="97">
        <f t="shared" si="49"/>
        <v>6900245.2749999994</v>
      </c>
    </row>
    <row r="706" spans="1:9" ht="45" hidden="1" outlineLevel="2">
      <c r="A706" s="93" t="s">
        <v>95</v>
      </c>
      <c r="B706" s="93" t="s">
        <v>81</v>
      </c>
      <c r="D706" s="63" t="s">
        <v>200</v>
      </c>
      <c r="E706" s="93" t="s">
        <v>72</v>
      </c>
      <c r="F706" s="96">
        <v>1979</v>
      </c>
      <c r="G706" s="63">
        <f t="shared" si="48"/>
        <v>37.5</v>
      </c>
      <c r="H706" s="95">
        <v>154865.51</v>
      </c>
      <c r="I706" s="97">
        <f t="shared" si="49"/>
        <v>5807456.625</v>
      </c>
    </row>
    <row r="707" spans="1:9" ht="45" hidden="1" outlineLevel="2">
      <c r="A707" s="93" t="s">
        <v>95</v>
      </c>
      <c r="B707" s="93" t="s">
        <v>84</v>
      </c>
      <c r="D707" s="63" t="s">
        <v>200</v>
      </c>
      <c r="E707" s="93" t="s">
        <v>72</v>
      </c>
      <c r="F707" s="96">
        <v>1979</v>
      </c>
      <c r="G707" s="63">
        <f t="shared" si="48"/>
        <v>37.5</v>
      </c>
      <c r="H707" s="95">
        <v>511.56</v>
      </c>
      <c r="I707" s="97">
        <f t="shared" si="49"/>
        <v>19183.5</v>
      </c>
    </row>
    <row r="708" spans="1:9" ht="45" hidden="1" outlineLevel="2">
      <c r="A708" s="93" t="s">
        <v>95</v>
      </c>
      <c r="B708" s="93" t="s">
        <v>85</v>
      </c>
      <c r="D708" s="63" t="s">
        <v>200</v>
      </c>
      <c r="E708" s="93" t="s">
        <v>72</v>
      </c>
      <c r="F708" s="96">
        <v>1979</v>
      </c>
      <c r="G708" s="63">
        <f t="shared" si="48"/>
        <v>37.5</v>
      </c>
      <c r="H708" s="95">
        <v>117143.22</v>
      </c>
      <c r="I708" s="97">
        <f t="shared" si="49"/>
        <v>4392870.75</v>
      </c>
    </row>
    <row r="709" spans="1:9" ht="45" hidden="1" outlineLevel="2">
      <c r="A709" s="93" t="s">
        <v>95</v>
      </c>
      <c r="B709" s="93" t="s">
        <v>81</v>
      </c>
      <c r="D709" s="63" t="s">
        <v>200</v>
      </c>
      <c r="E709" s="93" t="s">
        <v>72</v>
      </c>
      <c r="F709" s="96">
        <v>1980</v>
      </c>
      <c r="G709" s="63">
        <f t="shared" si="48"/>
        <v>36.5</v>
      </c>
      <c r="H709" s="95">
        <v>3232.9</v>
      </c>
      <c r="I709" s="97">
        <f t="shared" si="49"/>
        <v>118000.85</v>
      </c>
    </row>
    <row r="710" spans="1:9" ht="45" hidden="1" outlineLevel="2">
      <c r="A710" s="93" t="s">
        <v>95</v>
      </c>
      <c r="B710" s="93" t="s">
        <v>85</v>
      </c>
      <c r="D710" s="63" t="s">
        <v>200</v>
      </c>
      <c r="E710" s="93" t="s">
        <v>72</v>
      </c>
      <c r="F710" s="96">
        <v>1980</v>
      </c>
      <c r="G710" s="63">
        <f t="shared" si="48"/>
        <v>36.5</v>
      </c>
      <c r="H710" s="95">
        <v>85198.59</v>
      </c>
      <c r="I710" s="97">
        <f t="shared" si="49"/>
        <v>3109748.5349999997</v>
      </c>
    </row>
    <row r="711" spans="1:9" ht="45" hidden="1" outlineLevel="2">
      <c r="A711" s="93" t="s">
        <v>95</v>
      </c>
      <c r="B711" s="93" t="s">
        <v>81</v>
      </c>
      <c r="D711" s="63" t="s">
        <v>200</v>
      </c>
      <c r="E711" s="93" t="s">
        <v>72</v>
      </c>
      <c r="F711" s="96">
        <v>1981</v>
      </c>
      <c r="G711" s="63">
        <f t="shared" si="48"/>
        <v>35.5</v>
      </c>
      <c r="H711" s="95">
        <v>649697.24</v>
      </c>
      <c r="I711" s="97">
        <f t="shared" si="49"/>
        <v>23064252.02</v>
      </c>
    </row>
    <row r="712" spans="1:9" ht="45" hidden="1" outlineLevel="2">
      <c r="A712" s="93" t="s">
        <v>95</v>
      </c>
      <c r="B712" s="93" t="s">
        <v>84</v>
      </c>
      <c r="D712" s="63" t="s">
        <v>200</v>
      </c>
      <c r="E712" s="93" t="s">
        <v>72</v>
      </c>
      <c r="F712" s="96">
        <v>1981</v>
      </c>
      <c r="G712" s="63">
        <f t="shared" si="48"/>
        <v>35.5</v>
      </c>
      <c r="H712" s="95">
        <v>532.92999999999995</v>
      </c>
      <c r="I712" s="97">
        <f t="shared" si="49"/>
        <v>18919.014999999999</v>
      </c>
    </row>
    <row r="713" spans="1:9" ht="45" hidden="1" outlineLevel="2">
      <c r="A713" s="93" t="s">
        <v>95</v>
      </c>
      <c r="B713" s="93" t="s">
        <v>85</v>
      </c>
      <c r="D713" s="63" t="s">
        <v>200</v>
      </c>
      <c r="E713" s="93" t="s">
        <v>72</v>
      </c>
      <c r="F713" s="96">
        <v>1981</v>
      </c>
      <c r="G713" s="63">
        <f t="shared" si="48"/>
        <v>35.5</v>
      </c>
      <c r="H713" s="95">
        <v>325025.36</v>
      </c>
      <c r="I713" s="97">
        <f t="shared" si="49"/>
        <v>11538400.279999999</v>
      </c>
    </row>
    <row r="714" spans="1:9" ht="45" hidden="1" outlineLevel="2">
      <c r="A714" s="93" t="s">
        <v>95</v>
      </c>
      <c r="B714" s="93" t="s">
        <v>84</v>
      </c>
      <c r="D714" s="63" t="s">
        <v>200</v>
      </c>
      <c r="E714" s="93" t="s">
        <v>72</v>
      </c>
      <c r="F714" s="96">
        <v>1982</v>
      </c>
      <c r="G714" s="63">
        <f t="shared" si="48"/>
        <v>34.5</v>
      </c>
      <c r="H714" s="95">
        <v>10.27</v>
      </c>
      <c r="I714" s="97">
        <f t="shared" si="49"/>
        <v>354.315</v>
      </c>
    </row>
    <row r="715" spans="1:9" ht="45" hidden="1" outlineLevel="2">
      <c r="A715" s="93" t="s">
        <v>95</v>
      </c>
      <c r="B715" s="93" t="s">
        <v>81</v>
      </c>
      <c r="D715" s="63" t="s">
        <v>200</v>
      </c>
      <c r="E715" s="93" t="s">
        <v>72</v>
      </c>
      <c r="F715" s="96">
        <v>1983</v>
      </c>
      <c r="G715" s="63">
        <f t="shared" si="48"/>
        <v>33.5</v>
      </c>
      <c r="H715" s="95">
        <v>84490.84</v>
      </c>
      <c r="I715" s="97">
        <f t="shared" si="49"/>
        <v>2830443.1399999997</v>
      </c>
    </row>
    <row r="716" spans="1:9" ht="45" hidden="1" outlineLevel="2">
      <c r="A716" s="93" t="s">
        <v>95</v>
      </c>
      <c r="B716" s="93" t="s">
        <v>85</v>
      </c>
      <c r="D716" s="63" t="s">
        <v>200</v>
      </c>
      <c r="E716" s="93" t="s">
        <v>72</v>
      </c>
      <c r="F716" s="96">
        <v>1983</v>
      </c>
      <c r="G716" s="63">
        <f t="shared" si="48"/>
        <v>33.5</v>
      </c>
      <c r="H716" s="95">
        <v>50330.98</v>
      </c>
      <c r="I716" s="97">
        <f t="shared" si="49"/>
        <v>1686087.83</v>
      </c>
    </row>
    <row r="717" spans="1:9" ht="45" hidden="1" outlineLevel="2">
      <c r="A717" s="93" t="s">
        <v>95</v>
      </c>
      <c r="B717" s="93" t="s">
        <v>85</v>
      </c>
      <c r="D717" s="63" t="s">
        <v>200</v>
      </c>
      <c r="E717" s="93" t="s">
        <v>72</v>
      </c>
      <c r="F717" s="96">
        <v>1984</v>
      </c>
      <c r="G717" s="63">
        <f t="shared" si="48"/>
        <v>32.5</v>
      </c>
      <c r="H717" s="95">
        <v>34333.910000000003</v>
      </c>
      <c r="I717" s="97">
        <f t="shared" si="49"/>
        <v>1115852.0750000002</v>
      </c>
    </row>
    <row r="718" spans="1:9" ht="45" hidden="1" outlineLevel="2">
      <c r="A718" s="93" t="s">
        <v>95</v>
      </c>
      <c r="B718" s="93" t="s">
        <v>81</v>
      </c>
      <c r="D718" s="63" t="s">
        <v>200</v>
      </c>
      <c r="E718" s="93" t="s">
        <v>72</v>
      </c>
      <c r="F718" s="96">
        <v>1985</v>
      </c>
      <c r="G718" s="63">
        <f t="shared" si="48"/>
        <v>31.5</v>
      </c>
      <c r="H718" s="95">
        <v>36841.03</v>
      </c>
      <c r="I718" s="97">
        <f t="shared" si="49"/>
        <v>1160492.4450000001</v>
      </c>
    </row>
    <row r="719" spans="1:9" ht="45" hidden="1" outlineLevel="2">
      <c r="A719" s="93" t="s">
        <v>95</v>
      </c>
      <c r="B719" s="93" t="s">
        <v>85</v>
      </c>
      <c r="D719" s="63" t="s">
        <v>200</v>
      </c>
      <c r="E719" s="93" t="s">
        <v>72</v>
      </c>
      <c r="F719" s="96">
        <v>1985</v>
      </c>
      <c r="G719" s="63">
        <f t="shared" si="48"/>
        <v>31.5</v>
      </c>
      <c r="H719" s="95">
        <v>235.37</v>
      </c>
      <c r="I719" s="97">
        <f t="shared" si="49"/>
        <v>7414.1549999999997</v>
      </c>
    </row>
    <row r="720" spans="1:9" ht="45" hidden="1" outlineLevel="2">
      <c r="A720" s="93" t="s">
        <v>95</v>
      </c>
      <c r="B720" s="93" t="s">
        <v>85</v>
      </c>
      <c r="D720" s="63" t="s">
        <v>200</v>
      </c>
      <c r="E720" s="93" t="s">
        <v>72</v>
      </c>
      <c r="F720" s="96">
        <v>1986</v>
      </c>
      <c r="G720" s="63">
        <f t="shared" si="48"/>
        <v>30.5</v>
      </c>
      <c r="H720" s="95">
        <v>24788.32</v>
      </c>
      <c r="I720" s="97">
        <f t="shared" si="49"/>
        <v>756043.76</v>
      </c>
    </row>
    <row r="721" spans="1:9" ht="45" hidden="1" outlineLevel="2">
      <c r="A721" s="93" t="s">
        <v>95</v>
      </c>
      <c r="B721" s="93" t="s">
        <v>84</v>
      </c>
      <c r="D721" s="63" t="s">
        <v>200</v>
      </c>
      <c r="E721" s="93" t="s">
        <v>72</v>
      </c>
      <c r="F721" s="96">
        <v>1987</v>
      </c>
      <c r="G721" s="63">
        <f t="shared" si="48"/>
        <v>29.5</v>
      </c>
      <c r="H721" s="95">
        <v>322.74</v>
      </c>
      <c r="I721" s="97">
        <f t="shared" si="49"/>
        <v>9520.83</v>
      </c>
    </row>
    <row r="722" spans="1:9" ht="45" hidden="1" outlineLevel="2">
      <c r="A722" s="93" t="s">
        <v>95</v>
      </c>
      <c r="B722" s="93" t="s">
        <v>81</v>
      </c>
      <c r="D722" s="63" t="s">
        <v>200</v>
      </c>
      <c r="E722" s="93" t="s">
        <v>72</v>
      </c>
      <c r="F722" s="96">
        <v>1988</v>
      </c>
      <c r="G722" s="63">
        <f t="shared" si="48"/>
        <v>28.5</v>
      </c>
      <c r="H722" s="95">
        <v>25681.14</v>
      </c>
      <c r="I722" s="97">
        <f t="shared" si="49"/>
        <v>731912.49</v>
      </c>
    </row>
    <row r="723" spans="1:9" ht="45" hidden="1" outlineLevel="2">
      <c r="A723" s="93" t="s">
        <v>95</v>
      </c>
      <c r="B723" s="93" t="s">
        <v>81</v>
      </c>
      <c r="D723" s="63" t="s">
        <v>200</v>
      </c>
      <c r="E723" s="93" t="s">
        <v>72</v>
      </c>
      <c r="F723" s="96">
        <v>1989</v>
      </c>
      <c r="G723" s="63">
        <f t="shared" si="48"/>
        <v>27.5</v>
      </c>
      <c r="H723" s="95">
        <v>2099.5300000000002</v>
      </c>
      <c r="I723" s="97">
        <f t="shared" si="49"/>
        <v>57737.075000000004</v>
      </c>
    </row>
    <row r="724" spans="1:9" ht="45" hidden="1" outlineLevel="2">
      <c r="A724" s="93" t="s">
        <v>95</v>
      </c>
      <c r="B724" s="93" t="s">
        <v>85</v>
      </c>
      <c r="D724" s="63" t="s">
        <v>200</v>
      </c>
      <c r="E724" s="93" t="s">
        <v>72</v>
      </c>
      <c r="F724" s="96">
        <v>1989</v>
      </c>
      <c r="G724" s="63">
        <f t="shared" si="48"/>
        <v>27.5</v>
      </c>
      <c r="H724" s="95">
        <v>1375665.75</v>
      </c>
      <c r="I724" s="97">
        <f t="shared" si="49"/>
        <v>37830808.125</v>
      </c>
    </row>
    <row r="725" spans="1:9" ht="45" hidden="1" outlineLevel="2">
      <c r="A725" s="93" t="s">
        <v>95</v>
      </c>
      <c r="B725" s="93" t="s">
        <v>81</v>
      </c>
      <c r="D725" s="63" t="s">
        <v>200</v>
      </c>
      <c r="E725" s="93" t="s">
        <v>72</v>
      </c>
      <c r="F725" s="96">
        <v>1990</v>
      </c>
      <c r="G725" s="63">
        <f t="shared" si="48"/>
        <v>26.5</v>
      </c>
      <c r="H725" s="95">
        <v>123648.88</v>
      </c>
      <c r="I725" s="97">
        <f t="shared" si="49"/>
        <v>3276695.3200000003</v>
      </c>
    </row>
    <row r="726" spans="1:9" ht="45" hidden="1" outlineLevel="2">
      <c r="A726" s="93" t="s">
        <v>95</v>
      </c>
      <c r="B726" s="93" t="s">
        <v>85</v>
      </c>
      <c r="D726" s="63" t="s">
        <v>200</v>
      </c>
      <c r="E726" s="93" t="s">
        <v>72</v>
      </c>
      <c r="F726" s="96">
        <v>1990</v>
      </c>
      <c r="G726" s="63">
        <f t="shared" si="48"/>
        <v>26.5</v>
      </c>
      <c r="H726" s="95">
        <v>74807.070000000007</v>
      </c>
      <c r="I726" s="97">
        <f t="shared" si="49"/>
        <v>1982387.3550000002</v>
      </c>
    </row>
    <row r="727" spans="1:9" ht="45" hidden="1" outlineLevel="2">
      <c r="A727" s="93" t="s">
        <v>95</v>
      </c>
      <c r="B727" s="93" t="s">
        <v>81</v>
      </c>
      <c r="D727" s="63" t="s">
        <v>200</v>
      </c>
      <c r="E727" s="93" t="s">
        <v>72</v>
      </c>
      <c r="F727" s="96">
        <v>1991</v>
      </c>
      <c r="G727" s="63">
        <f t="shared" si="48"/>
        <v>25.5</v>
      </c>
      <c r="H727" s="95">
        <v>476.03</v>
      </c>
      <c r="I727" s="97">
        <f t="shared" si="49"/>
        <v>12138.764999999999</v>
      </c>
    </row>
    <row r="728" spans="1:9" ht="45" hidden="1" outlineLevel="2">
      <c r="A728" s="93" t="s">
        <v>95</v>
      </c>
      <c r="B728" s="93" t="s">
        <v>85</v>
      </c>
      <c r="D728" s="63" t="s">
        <v>200</v>
      </c>
      <c r="E728" s="93" t="s">
        <v>72</v>
      </c>
      <c r="F728" s="96">
        <v>1991</v>
      </c>
      <c r="G728" s="63">
        <f t="shared" si="48"/>
        <v>25.5</v>
      </c>
      <c r="H728" s="95">
        <v>10285.56</v>
      </c>
      <c r="I728" s="97">
        <f t="shared" si="49"/>
        <v>262281.77999999997</v>
      </c>
    </row>
    <row r="729" spans="1:9" ht="45" hidden="1" outlineLevel="2">
      <c r="A729" s="93" t="s">
        <v>95</v>
      </c>
      <c r="B729" s="93" t="s">
        <v>81</v>
      </c>
      <c r="D729" s="63" t="s">
        <v>200</v>
      </c>
      <c r="E729" s="93" t="s">
        <v>72</v>
      </c>
      <c r="F729" s="96">
        <v>1992</v>
      </c>
      <c r="G729" s="63">
        <f t="shared" si="48"/>
        <v>24.5</v>
      </c>
      <c r="H729" s="95">
        <v>4428.67</v>
      </c>
      <c r="I729" s="97">
        <f t="shared" si="49"/>
        <v>108502.41500000001</v>
      </c>
    </row>
    <row r="730" spans="1:9" ht="45" hidden="1" outlineLevel="2">
      <c r="A730" s="93" t="s">
        <v>95</v>
      </c>
      <c r="B730" s="93" t="s">
        <v>84</v>
      </c>
      <c r="D730" s="63" t="s">
        <v>200</v>
      </c>
      <c r="E730" s="93" t="s">
        <v>72</v>
      </c>
      <c r="F730" s="96">
        <v>1992</v>
      </c>
      <c r="G730" s="63">
        <f t="shared" si="48"/>
        <v>24.5</v>
      </c>
      <c r="H730" s="95">
        <v>113.49</v>
      </c>
      <c r="I730" s="97">
        <f t="shared" si="49"/>
        <v>2780.5049999999997</v>
      </c>
    </row>
    <row r="731" spans="1:9" ht="45" hidden="1" outlineLevel="2">
      <c r="A731" s="93" t="s">
        <v>95</v>
      </c>
      <c r="B731" s="93" t="s">
        <v>85</v>
      </c>
      <c r="D731" s="63" t="s">
        <v>200</v>
      </c>
      <c r="E731" s="93" t="s">
        <v>72</v>
      </c>
      <c r="F731" s="96">
        <v>1992</v>
      </c>
      <c r="G731" s="63">
        <f t="shared" si="48"/>
        <v>24.5</v>
      </c>
      <c r="H731" s="95">
        <v>193492.91</v>
      </c>
      <c r="I731" s="97">
        <f t="shared" si="49"/>
        <v>4740576.2949999999</v>
      </c>
    </row>
    <row r="732" spans="1:9" ht="45" hidden="1" outlineLevel="2">
      <c r="A732" s="93" t="s">
        <v>95</v>
      </c>
      <c r="B732" s="93" t="s">
        <v>85</v>
      </c>
      <c r="D732" s="63" t="s">
        <v>200</v>
      </c>
      <c r="E732" s="93" t="s">
        <v>72</v>
      </c>
      <c r="F732" s="96">
        <v>1993</v>
      </c>
      <c r="G732" s="63">
        <f t="shared" si="48"/>
        <v>23.5</v>
      </c>
      <c r="H732" s="95">
        <v>18791.599999999999</v>
      </c>
      <c r="I732" s="97">
        <f t="shared" si="49"/>
        <v>441602.6</v>
      </c>
    </row>
    <row r="733" spans="1:9" ht="45" hidden="1" outlineLevel="2">
      <c r="A733" s="93" t="s">
        <v>95</v>
      </c>
      <c r="B733" s="93" t="s">
        <v>81</v>
      </c>
      <c r="D733" s="63" t="s">
        <v>200</v>
      </c>
      <c r="E733" s="93" t="s">
        <v>72</v>
      </c>
      <c r="F733" s="96">
        <v>1994</v>
      </c>
      <c r="G733" s="63">
        <f t="shared" ref="G733:G764" si="50">2016.5-F733</f>
        <v>22.5</v>
      </c>
      <c r="H733" s="95">
        <v>4323898.9400000004</v>
      </c>
      <c r="I733" s="97">
        <f t="shared" ref="I733:I764" si="51">+G733*H733</f>
        <v>97287726.150000006</v>
      </c>
    </row>
    <row r="734" spans="1:9" ht="45" hidden="1" outlineLevel="2">
      <c r="A734" s="93" t="s">
        <v>95</v>
      </c>
      <c r="B734" s="93" t="s">
        <v>85</v>
      </c>
      <c r="D734" s="63" t="s">
        <v>200</v>
      </c>
      <c r="E734" s="93" t="s">
        <v>72</v>
      </c>
      <c r="F734" s="96">
        <v>1994</v>
      </c>
      <c r="G734" s="63">
        <f t="shared" si="50"/>
        <v>22.5</v>
      </c>
      <c r="H734" s="95">
        <v>7072.2</v>
      </c>
      <c r="I734" s="97">
        <f t="shared" si="51"/>
        <v>159124.5</v>
      </c>
    </row>
    <row r="735" spans="1:9" ht="45" hidden="1" outlineLevel="2">
      <c r="A735" s="93" t="s">
        <v>95</v>
      </c>
      <c r="B735" s="93" t="s">
        <v>81</v>
      </c>
      <c r="D735" s="63" t="s">
        <v>200</v>
      </c>
      <c r="E735" s="93" t="s">
        <v>72</v>
      </c>
      <c r="F735" s="96">
        <v>1995</v>
      </c>
      <c r="G735" s="63">
        <f t="shared" si="50"/>
        <v>21.5</v>
      </c>
      <c r="H735" s="95">
        <v>36543.03</v>
      </c>
      <c r="I735" s="97">
        <f t="shared" si="51"/>
        <v>785675.14500000002</v>
      </c>
    </row>
    <row r="736" spans="1:9" ht="45" hidden="1" outlineLevel="2">
      <c r="A736" s="93" t="s">
        <v>95</v>
      </c>
      <c r="B736" s="93" t="s">
        <v>85</v>
      </c>
      <c r="D736" s="63" t="s">
        <v>200</v>
      </c>
      <c r="E736" s="93" t="s">
        <v>72</v>
      </c>
      <c r="F736" s="96">
        <v>1995</v>
      </c>
      <c r="G736" s="63">
        <f t="shared" si="50"/>
        <v>21.5</v>
      </c>
      <c r="H736" s="95">
        <v>819.21</v>
      </c>
      <c r="I736" s="97">
        <f t="shared" si="51"/>
        <v>17613.014999999999</v>
      </c>
    </row>
    <row r="737" spans="1:9" ht="45" hidden="1" outlineLevel="2">
      <c r="A737" s="93" t="s">
        <v>95</v>
      </c>
      <c r="B737" s="93" t="s">
        <v>81</v>
      </c>
      <c r="D737" s="63" t="s">
        <v>200</v>
      </c>
      <c r="E737" s="93" t="s">
        <v>72</v>
      </c>
      <c r="F737" s="96">
        <v>1997</v>
      </c>
      <c r="G737" s="63">
        <f t="shared" si="50"/>
        <v>19.5</v>
      </c>
      <c r="H737" s="95">
        <v>2347.87</v>
      </c>
      <c r="I737" s="97">
        <f t="shared" si="51"/>
        <v>45783.464999999997</v>
      </c>
    </row>
    <row r="738" spans="1:9" ht="45" hidden="1" outlineLevel="2">
      <c r="A738" s="93" t="s">
        <v>95</v>
      </c>
      <c r="B738" s="93" t="s">
        <v>81</v>
      </c>
      <c r="D738" s="63" t="s">
        <v>200</v>
      </c>
      <c r="E738" s="93" t="s">
        <v>72</v>
      </c>
      <c r="F738" s="96">
        <v>1999</v>
      </c>
      <c r="G738" s="63">
        <f t="shared" si="50"/>
        <v>17.5</v>
      </c>
      <c r="H738" s="95">
        <v>8171.22</v>
      </c>
      <c r="I738" s="97">
        <f t="shared" si="51"/>
        <v>142996.35</v>
      </c>
    </row>
    <row r="739" spans="1:9" ht="45" hidden="1" outlineLevel="2">
      <c r="A739" s="93" t="s">
        <v>95</v>
      </c>
      <c r="B739" s="93" t="s">
        <v>84</v>
      </c>
      <c r="D739" s="63" t="s">
        <v>200</v>
      </c>
      <c r="E739" s="93" t="s">
        <v>72</v>
      </c>
      <c r="F739" s="96">
        <v>2001</v>
      </c>
      <c r="G739" s="63">
        <f t="shared" si="50"/>
        <v>15.5</v>
      </c>
      <c r="H739" s="95">
        <v>54433.74</v>
      </c>
      <c r="I739" s="97">
        <f t="shared" si="51"/>
        <v>843722.97</v>
      </c>
    </row>
    <row r="740" spans="1:9" ht="45" hidden="1" outlineLevel="2">
      <c r="A740" s="93" t="s">
        <v>95</v>
      </c>
      <c r="B740" s="93" t="s">
        <v>85</v>
      </c>
      <c r="D740" s="63" t="s">
        <v>200</v>
      </c>
      <c r="E740" s="93" t="s">
        <v>72</v>
      </c>
      <c r="F740" s="96">
        <v>2001</v>
      </c>
      <c r="G740" s="63">
        <f t="shared" si="50"/>
        <v>15.5</v>
      </c>
      <c r="H740" s="95">
        <v>43977.62</v>
      </c>
      <c r="I740" s="97">
        <f t="shared" si="51"/>
        <v>681653.11</v>
      </c>
    </row>
    <row r="741" spans="1:9" ht="45" hidden="1" outlineLevel="2">
      <c r="A741" s="93" t="s">
        <v>95</v>
      </c>
      <c r="B741" s="93" t="s">
        <v>81</v>
      </c>
      <c r="D741" s="63" t="s">
        <v>200</v>
      </c>
      <c r="E741" s="93" t="s">
        <v>72</v>
      </c>
      <c r="F741" s="96">
        <v>2003</v>
      </c>
      <c r="G741" s="63">
        <f t="shared" si="50"/>
        <v>13.5</v>
      </c>
      <c r="H741" s="95">
        <v>14540.53</v>
      </c>
      <c r="I741" s="97">
        <f t="shared" si="51"/>
        <v>196297.155</v>
      </c>
    </row>
    <row r="742" spans="1:9" ht="45" hidden="1" outlineLevel="2">
      <c r="A742" s="93" t="s">
        <v>95</v>
      </c>
      <c r="B742" s="93" t="s">
        <v>84</v>
      </c>
      <c r="D742" s="63" t="s">
        <v>200</v>
      </c>
      <c r="E742" s="93" t="s">
        <v>72</v>
      </c>
      <c r="F742" s="96">
        <v>2003</v>
      </c>
      <c r="G742" s="63">
        <f t="shared" si="50"/>
        <v>13.5</v>
      </c>
      <c r="H742" s="95">
        <v>1018.11</v>
      </c>
      <c r="I742" s="97">
        <f t="shared" si="51"/>
        <v>13744.485000000001</v>
      </c>
    </row>
    <row r="743" spans="1:9" ht="45" hidden="1" outlineLevel="2">
      <c r="A743" s="93" t="s">
        <v>95</v>
      </c>
      <c r="B743" s="93" t="s">
        <v>85</v>
      </c>
      <c r="D743" s="63" t="s">
        <v>200</v>
      </c>
      <c r="E743" s="93" t="s">
        <v>72</v>
      </c>
      <c r="F743" s="96">
        <v>2003</v>
      </c>
      <c r="G743" s="63">
        <f t="shared" si="50"/>
        <v>13.5</v>
      </c>
      <c r="H743" s="95">
        <v>78548.36</v>
      </c>
      <c r="I743" s="97">
        <f t="shared" si="51"/>
        <v>1060402.8600000001</v>
      </c>
    </row>
    <row r="744" spans="1:9" ht="45" hidden="1" outlineLevel="2">
      <c r="A744" s="93" t="s">
        <v>95</v>
      </c>
      <c r="B744" s="93" t="s">
        <v>85</v>
      </c>
      <c r="D744" s="63" t="s">
        <v>200</v>
      </c>
      <c r="E744" s="93" t="s">
        <v>72</v>
      </c>
      <c r="F744" s="96">
        <v>2004</v>
      </c>
      <c r="G744" s="63">
        <f t="shared" si="50"/>
        <v>12.5</v>
      </c>
      <c r="H744" s="95">
        <v>23987.040000000001</v>
      </c>
      <c r="I744" s="97">
        <f t="shared" si="51"/>
        <v>299838</v>
      </c>
    </row>
    <row r="745" spans="1:9" ht="45" hidden="1" outlineLevel="2">
      <c r="A745" s="93" t="s">
        <v>95</v>
      </c>
      <c r="B745" s="93" t="s">
        <v>85</v>
      </c>
      <c r="D745" s="63" t="s">
        <v>200</v>
      </c>
      <c r="E745" s="93" t="s">
        <v>72</v>
      </c>
      <c r="F745" s="96">
        <v>2005</v>
      </c>
      <c r="G745" s="63">
        <f t="shared" si="50"/>
        <v>11.5</v>
      </c>
      <c r="H745" s="95">
        <v>24755.99</v>
      </c>
      <c r="I745" s="97">
        <f t="shared" si="51"/>
        <v>284693.88500000001</v>
      </c>
    </row>
    <row r="746" spans="1:9" ht="45" hidden="1" outlineLevel="2">
      <c r="A746" s="93" t="s">
        <v>95</v>
      </c>
      <c r="B746" s="93" t="s">
        <v>81</v>
      </c>
      <c r="D746" s="63" t="s">
        <v>200</v>
      </c>
      <c r="E746" s="93" t="s">
        <v>72</v>
      </c>
      <c r="F746" s="96">
        <v>2006</v>
      </c>
      <c r="G746" s="63">
        <f t="shared" si="50"/>
        <v>10.5</v>
      </c>
      <c r="H746" s="95">
        <v>2969774.99</v>
      </c>
      <c r="I746" s="97">
        <f t="shared" si="51"/>
        <v>31182637.395000003</v>
      </c>
    </row>
    <row r="747" spans="1:9" ht="45" hidden="1" outlineLevel="2">
      <c r="A747" s="93" t="s">
        <v>95</v>
      </c>
      <c r="B747" s="93" t="s">
        <v>85</v>
      </c>
      <c r="D747" s="63" t="s">
        <v>200</v>
      </c>
      <c r="E747" s="93" t="s">
        <v>72</v>
      </c>
      <c r="F747" s="96">
        <v>2006</v>
      </c>
      <c r="G747" s="63">
        <f t="shared" si="50"/>
        <v>10.5</v>
      </c>
      <c r="H747" s="95">
        <v>48659.73</v>
      </c>
      <c r="I747" s="97">
        <f t="shared" si="51"/>
        <v>510927.16500000004</v>
      </c>
    </row>
    <row r="748" spans="1:9" ht="45" hidden="1" outlineLevel="2">
      <c r="A748" s="93" t="s">
        <v>95</v>
      </c>
      <c r="B748" s="93" t="s">
        <v>81</v>
      </c>
      <c r="D748" s="63" t="s">
        <v>200</v>
      </c>
      <c r="E748" s="93" t="s">
        <v>72</v>
      </c>
      <c r="F748" s="96">
        <v>2007</v>
      </c>
      <c r="G748" s="63">
        <f t="shared" si="50"/>
        <v>9.5</v>
      </c>
      <c r="H748" s="95">
        <v>366106.08</v>
      </c>
      <c r="I748" s="97">
        <f t="shared" si="51"/>
        <v>3478007.7600000002</v>
      </c>
    </row>
    <row r="749" spans="1:9" ht="45" hidden="1" outlineLevel="2">
      <c r="A749" s="93" t="s">
        <v>95</v>
      </c>
      <c r="B749" s="93" t="s">
        <v>81</v>
      </c>
      <c r="D749" s="63" t="s">
        <v>200</v>
      </c>
      <c r="E749" s="93" t="s">
        <v>72</v>
      </c>
      <c r="F749" s="96">
        <v>2008</v>
      </c>
      <c r="G749" s="63">
        <f t="shared" si="50"/>
        <v>8.5</v>
      </c>
      <c r="H749" s="95">
        <v>421.67</v>
      </c>
      <c r="I749" s="97">
        <f t="shared" si="51"/>
        <v>3584.1950000000002</v>
      </c>
    </row>
    <row r="750" spans="1:9" ht="45" hidden="1" outlineLevel="2">
      <c r="A750" s="93" t="s">
        <v>95</v>
      </c>
      <c r="B750" s="93" t="s">
        <v>85</v>
      </c>
      <c r="D750" s="63" t="s">
        <v>200</v>
      </c>
      <c r="E750" s="93" t="s">
        <v>72</v>
      </c>
      <c r="F750" s="96">
        <v>2008</v>
      </c>
      <c r="G750" s="63">
        <f t="shared" si="50"/>
        <v>8.5</v>
      </c>
      <c r="H750" s="95">
        <v>12523.63</v>
      </c>
      <c r="I750" s="97">
        <f t="shared" si="51"/>
        <v>106450.855</v>
      </c>
    </row>
    <row r="751" spans="1:9" ht="45" hidden="1" outlineLevel="2">
      <c r="A751" s="93" t="s">
        <v>95</v>
      </c>
      <c r="B751" s="93" t="s">
        <v>85</v>
      </c>
      <c r="D751" s="63" t="s">
        <v>200</v>
      </c>
      <c r="E751" s="93" t="s">
        <v>72</v>
      </c>
      <c r="F751" s="96">
        <v>2009</v>
      </c>
      <c r="G751" s="63">
        <f t="shared" si="50"/>
        <v>7.5</v>
      </c>
      <c r="H751" s="95">
        <v>2283.39</v>
      </c>
      <c r="I751" s="97">
        <f t="shared" si="51"/>
        <v>17125.424999999999</v>
      </c>
    </row>
    <row r="752" spans="1:9" ht="45" hidden="1" outlineLevel="2">
      <c r="A752" s="93" t="s">
        <v>95</v>
      </c>
      <c r="B752" s="93" t="s">
        <v>81</v>
      </c>
      <c r="D752" s="63" t="s">
        <v>200</v>
      </c>
      <c r="E752" s="93" t="s">
        <v>72</v>
      </c>
      <c r="F752" s="96">
        <v>2010</v>
      </c>
      <c r="G752" s="63">
        <f t="shared" si="50"/>
        <v>6.5</v>
      </c>
      <c r="H752" s="95">
        <v>3114.47</v>
      </c>
      <c r="I752" s="97">
        <f t="shared" si="51"/>
        <v>20244.055</v>
      </c>
    </row>
    <row r="753" spans="1:10" ht="45" hidden="1" outlineLevel="2">
      <c r="A753" s="93" t="s">
        <v>95</v>
      </c>
      <c r="B753" s="93" t="s">
        <v>84</v>
      </c>
      <c r="D753" s="63" t="s">
        <v>200</v>
      </c>
      <c r="E753" s="93" t="s">
        <v>72</v>
      </c>
      <c r="F753" s="96">
        <v>2010</v>
      </c>
      <c r="G753" s="63">
        <f t="shared" si="50"/>
        <v>6.5</v>
      </c>
      <c r="H753" s="95">
        <v>11116.79</v>
      </c>
      <c r="I753" s="97">
        <f t="shared" si="51"/>
        <v>72259.135000000009</v>
      </c>
    </row>
    <row r="754" spans="1:10" ht="45" hidden="1" outlineLevel="2">
      <c r="A754" s="93" t="s">
        <v>95</v>
      </c>
      <c r="B754" s="93" t="s">
        <v>85</v>
      </c>
      <c r="D754" s="63" t="s">
        <v>200</v>
      </c>
      <c r="E754" s="93" t="s">
        <v>72</v>
      </c>
      <c r="F754" s="96">
        <v>2010</v>
      </c>
      <c r="G754" s="63">
        <f t="shared" si="50"/>
        <v>6.5</v>
      </c>
      <c r="H754" s="95">
        <v>2389.3200000000002</v>
      </c>
      <c r="I754" s="97">
        <f t="shared" si="51"/>
        <v>15530.580000000002</v>
      </c>
    </row>
    <row r="755" spans="1:10" ht="45" hidden="1" outlineLevel="2">
      <c r="A755" s="93" t="s">
        <v>95</v>
      </c>
      <c r="B755" s="93" t="s">
        <v>81</v>
      </c>
      <c r="D755" s="63" t="s">
        <v>200</v>
      </c>
      <c r="E755" s="93" t="s">
        <v>72</v>
      </c>
      <c r="F755" s="96">
        <v>2011</v>
      </c>
      <c r="G755" s="63">
        <f t="shared" si="50"/>
        <v>5.5</v>
      </c>
      <c r="H755" s="95">
        <v>48606.11</v>
      </c>
      <c r="I755" s="97">
        <f t="shared" si="51"/>
        <v>267333.60499999998</v>
      </c>
    </row>
    <row r="756" spans="1:10" ht="45" hidden="1" outlineLevel="2">
      <c r="A756" s="93" t="s">
        <v>95</v>
      </c>
      <c r="B756" s="93" t="s">
        <v>81</v>
      </c>
      <c r="D756" s="63" t="s">
        <v>200</v>
      </c>
      <c r="E756" s="93" t="s">
        <v>72</v>
      </c>
      <c r="F756" s="96">
        <v>2012</v>
      </c>
      <c r="G756" s="63">
        <f t="shared" si="50"/>
        <v>4.5</v>
      </c>
      <c r="H756" s="95">
        <v>115688.49</v>
      </c>
      <c r="I756" s="97">
        <f t="shared" si="51"/>
        <v>520598.20500000002</v>
      </c>
    </row>
    <row r="757" spans="1:10" ht="45" hidden="1" outlineLevel="2">
      <c r="A757" s="93" t="s">
        <v>95</v>
      </c>
      <c r="B757" s="93" t="s">
        <v>85</v>
      </c>
      <c r="D757" s="63" t="s">
        <v>200</v>
      </c>
      <c r="E757" s="93" t="s">
        <v>72</v>
      </c>
      <c r="F757" s="96">
        <v>2013</v>
      </c>
      <c r="G757" s="63">
        <f t="shared" si="50"/>
        <v>3.5</v>
      </c>
      <c r="H757" s="95">
        <v>379835.47</v>
      </c>
      <c r="I757" s="97">
        <f t="shared" si="51"/>
        <v>1329424.145</v>
      </c>
    </row>
    <row r="758" spans="1:10" ht="45" hidden="1" outlineLevel="2">
      <c r="A758" s="93" t="s">
        <v>95</v>
      </c>
      <c r="B758" s="93" t="s">
        <v>81</v>
      </c>
      <c r="D758" s="63" t="s">
        <v>200</v>
      </c>
      <c r="E758" s="93" t="s">
        <v>72</v>
      </c>
      <c r="F758" s="96">
        <v>2014</v>
      </c>
      <c r="G758" s="63">
        <f t="shared" si="50"/>
        <v>2.5</v>
      </c>
      <c r="H758" s="95">
        <v>11364.88</v>
      </c>
      <c r="I758" s="97">
        <f t="shared" si="51"/>
        <v>28412.199999999997</v>
      </c>
    </row>
    <row r="759" spans="1:10" ht="45" hidden="1" outlineLevel="2">
      <c r="A759" s="93" t="s">
        <v>95</v>
      </c>
      <c r="B759" s="93" t="s">
        <v>85</v>
      </c>
      <c r="D759" s="63" t="s">
        <v>200</v>
      </c>
      <c r="E759" s="93" t="s">
        <v>72</v>
      </c>
      <c r="F759" s="96">
        <v>2014</v>
      </c>
      <c r="G759" s="63">
        <f t="shared" si="50"/>
        <v>2.5</v>
      </c>
      <c r="H759" s="95">
        <v>9684.2800000000007</v>
      </c>
      <c r="I759" s="97">
        <f t="shared" si="51"/>
        <v>24210.7</v>
      </c>
    </row>
    <row r="760" spans="1:10" ht="45" hidden="1" outlineLevel="2">
      <c r="A760" s="93" t="s">
        <v>95</v>
      </c>
      <c r="B760" s="93" t="s">
        <v>81</v>
      </c>
      <c r="D760" s="63" t="s">
        <v>200</v>
      </c>
      <c r="E760" s="93" t="s">
        <v>72</v>
      </c>
      <c r="F760" s="96">
        <v>2015</v>
      </c>
      <c r="G760" s="63">
        <f t="shared" si="50"/>
        <v>1.5</v>
      </c>
      <c r="H760" s="95">
        <v>19871181.890000001</v>
      </c>
      <c r="I760" s="97">
        <f t="shared" si="51"/>
        <v>29806772.835000001</v>
      </c>
    </row>
    <row r="761" spans="1:10" ht="45" hidden="1" outlineLevel="2">
      <c r="A761" s="93" t="s">
        <v>95</v>
      </c>
      <c r="B761" s="93" t="s">
        <v>85</v>
      </c>
      <c r="D761" s="63" t="s">
        <v>200</v>
      </c>
      <c r="E761" s="93" t="s">
        <v>72</v>
      </c>
      <c r="F761" s="96">
        <v>2015</v>
      </c>
      <c r="G761" s="63">
        <f t="shared" si="50"/>
        <v>1.5</v>
      </c>
      <c r="H761" s="95">
        <v>87612.71</v>
      </c>
      <c r="I761" s="97">
        <f t="shared" si="51"/>
        <v>131419.065</v>
      </c>
    </row>
    <row r="762" spans="1:10" ht="45" hidden="1" outlineLevel="2">
      <c r="A762" s="93" t="s">
        <v>95</v>
      </c>
      <c r="B762" s="93" t="s">
        <v>81</v>
      </c>
      <c r="D762" s="63" t="s">
        <v>200</v>
      </c>
      <c r="E762" s="93" t="s">
        <v>72</v>
      </c>
      <c r="F762" s="96">
        <v>2016</v>
      </c>
      <c r="G762" s="63">
        <f t="shared" si="50"/>
        <v>0.5</v>
      </c>
      <c r="H762" s="95">
        <v>458229.84</v>
      </c>
      <c r="I762" s="97">
        <f t="shared" si="51"/>
        <v>229114.92</v>
      </c>
    </row>
    <row r="763" spans="1:10" ht="45" hidden="1" outlineLevel="2">
      <c r="A763" s="93" t="s">
        <v>95</v>
      </c>
      <c r="B763" s="93" t="s">
        <v>84</v>
      </c>
      <c r="D763" s="63" t="s">
        <v>200</v>
      </c>
      <c r="E763" s="93" t="s">
        <v>72</v>
      </c>
      <c r="F763" s="96">
        <v>2016</v>
      </c>
      <c r="G763" s="63">
        <f t="shared" si="50"/>
        <v>0.5</v>
      </c>
      <c r="H763" s="95">
        <v>4585.6400000000003</v>
      </c>
      <c r="I763" s="97">
        <f t="shared" si="51"/>
        <v>2292.8200000000002</v>
      </c>
    </row>
    <row r="764" spans="1:10" ht="45" hidden="1" outlineLevel="2">
      <c r="A764" s="93" t="s">
        <v>95</v>
      </c>
      <c r="B764" s="93" t="s">
        <v>85</v>
      </c>
      <c r="D764" s="63" t="s">
        <v>200</v>
      </c>
      <c r="E764" s="93" t="s">
        <v>72</v>
      </c>
      <c r="F764" s="96">
        <v>2016</v>
      </c>
      <c r="G764" s="63">
        <f t="shared" si="50"/>
        <v>0.5</v>
      </c>
      <c r="H764" s="95">
        <v>140280.51</v>
      </c>
      <c r="I764" s="97">
        <f t="shared" si="51"/>
        <v>70140.255000000005</v>
      </c>
    </row>
    <row r="765" spans="1:10" s="63" customFormat="1" ht="30" outlineLevel="1" collapsed="1">
      <c r="A765" s="26" t="str">
        <f>+A764</f>
        <v>Daniel</v>
      </c>
      <c r="B765" s="94"/>
      <c r="C765" s="26"/>
      <c r="D765" s="26" t="str">
        <f>+D764</f>
        <v>Daniel Common</v>
      </c>
      <c r="E765" s="94" t="s">
        <v>205</v>
      </c>
      <c r="F765" s="96"/>
      <c r="H765" s="95">
        <f>SUBTOTAL(9,H701:H764)</f>
        <v>38605472.009999998</v>
      </c>
      <c r="I765" s="97">
        <f>SUBTOTAL(9,I701:I764)</f>
        <v>512644306.21499985</v>
      </c>
      <c r="J765" s="64">
        <f>+I765/H765</f>
        <v>13.279058110783085</v>
      </c>
    </row>
    <row r="766" spans="1:10" ht="45" hidden="1" outlineLevel="2">
      <c r="A766" s="93" t="s">
        <v>95</v>
      </c>
      <c r="B766" s="93" t="s">
        <v>81</v>
      </c>
      <c r="D766" s="63" t="s">
        <v>200</v>
      </c>
      <c r="E766" s="93" t="s">
        <v>67</v>
      </c>
      <c r="F766" s="96">
        <v>1977</v>
      </c>
      <c r="G766" s="63">
        <f t="shared" ref="G766:G797" si="52">2016.5-F766</f>
        <v>39.5</v>
      </c>
      <c r="H766" s="95">
        <v>6684154.9100000001</v>
      </c>
      <c r="I766" s="97">
        <f t="shared" ref="I766:I797" si="53">+G766*H766</f>
        <v>264024118.94499999</v>
      </c>
    </row>
    <row r="767" spans="1:10" ht="45" hidden="1" outlineLevel="2">
      <c r="A767" s="93" t="s">
        <v>95</v>
      </c>
      <c r="B767" s="93" t="s">
        <v>84</v>
      </c>
      <c r="D767" s="63" t="s">
        <v>200</v>
      </c>
      <c r="E767" s="93" t="s">
        <v>67</v>
      </c>
      <c r="F767" s="96">
        <v>1977</v>
      </c>
      <c r="G767" s="63">
        <f t="shared" si="52"/>
        <v>39.5</v>
      </c>
      <c r="H767" s="95">
        <v>272915.76</v>
      </c>
      <c r="I767" s="97">
        <f t="shared" si="53"/>
        <v>10780172.52</v>
      </c>
    </row>
    <row r="768" spans="1:10" ht="45" hidden="1" outlineLevel="2">
      <c r="A768" s="93" t="s">
        <v>95</v>
      </c>
      <c r="B768" s="93" t="s">
        <v>85</v>
      </c>
      <c r="D768" s="63" t="s">
        <v>200</v>
      </c>
      <c r="E768" s="93" t="s">
        <v>67</v>
      </c>
      <c r="F768" s="96">
        <v>1977</v>
      </c>
      <c r="G768" s="63">
        <f t="shared" si="52"/>
        <v>39.5</v>
      </c>
      <c r="H768" s="95">
        <v>145729.68</v>
      </c>
      <c r="I768" s="97">
        <f t="shared" si="53"/>
        <v>5756322.3599999994</v>
      </c>
    </row>
    <row r="769" spans="1:9" ht="45" hidden="1" outlineLevel="2">
      <c r="A769" s="93" t="s">
        <v>95</v>
      </c>
      <c r="B769" s="93" t="s">
        <v>81</v>
      </c>
      <c r="D769" s="63" t="s">
        <v>200</v>
      </c>
      <c r="E769" s="93" t="s">
        <v>67</v>
      </c>
      <c r="F769" s="96">
        <v>1978</v>
      </c>
      <c r="G769" s="63">
        <f t="shared" si="52"/>
        <v>38.5</v>
      </c>
      <c r="H769" s="95">
        <v>8036789.6100000003</v>
      </c>
      <c r="I769" s="97">
        <f t="shared" si="53"/>
        <v>309416399.98500001</v>
      </c>
    </row>
    <row r="770" spans="1:9" ht="45" hidden="1" outlineLevel="2">
      <c r="A770" s="93" t="s">
        <v>95</v>
      </c>
      <c r="B770" s="93" t="s">
        <v>81</v>
      </c>
      <c r="D770" s="63" t="s">
        <v>200</v>
      </c>
      <c r="E770" s="93" t="s">
        <v>67</v>
      </c>
      <c r="F770" s="96">
        <v>1979</v>
      </c>
      <c r="G770" s="63">
        <f t="shared" si="52"/>
        <v>37.5</v>
      </c>
      <c r="H770" s="95">
        <v>280912.96000000002</v>
      </c>
      <c r="I770" s="97">
        <f t="shared" si="53"/>
        <v>10534236</v>
      </c>
    </row>
    <row r="771" spans="1:9" ht="45" hidden="1" outlineLevel="2">
      <c r="A771" s="93" t="s">
        <v>95</v>
      </c>
      <c r="B771" s="93" t="s">
        <v>81</v>
      </c>
      <c r="D771" s="63" t="s">
        <v>200</v>
      </c>
      <c r="E771" s="93" t="s">
        <v>67</v>
      </c>
      <c r="F771" s="96">
        <v>1980</v>
      </c>
      <c r="G771" s="63">
        <f t="shared" si="52"/>
        <v>36.5</v>
      </c>
      <c r="H771" s="95">
        <v>882982.78</v>
      </c>
      <c r="I771" s="97">
        <f t="shared" si="53"/>
        <v>32228871.470000003</v>
      </c>
    </row>
    <row r="772" spans="1:9" ht="45" hidden="1" outlineLevel="2">
      <c r="A772" s="93" t="s">
        <v>95</v>
      </c>
      <c r="B772" s="93" t="s">
        <v>84</v>
      </c>
      <c r="D772" s="63" t="s">
        <v>200</v>
      </c>
      <c r="E772" s="93" t="s">
        <v>67</v>
      </c>
      <c r="F772" s="96">
        <v>1980</v>
      </c>
      <c r="G772" s="63">
        <f t="shared" si="52"/>
        <v>36.5</v>
      </c>
      <c r="H772" s="95">
        <v>9086.2099999999991</v>
      </c>
      <c r="I772" s="97">
        <f t="shared" si="53"/>
        <v>331646.66499999998</v>
      </c>
    </row>
    <row r="773" spans="1:9" ht="45" hidden="1" outlineLevel="2">
      <c r="A773" s="93" t="s">
        <v>95</v>
      </c>
      <c r="B773" s="93" t="s">
        <v>85</v>
      </c>
      <c r="D773" s="63" t="s">
        <v>200</v>
      </c>
      <c r="E773" s="93" t="s">
        <v>67</v>
      </c>
      <c r="F773" s="96">
        <v>1980</v>
      </c>
      <c r="G773" s="63">
        <f t="shared" si="52"/>
        <v>36.5</v>
      </c>
      <c r="H773" s="95">
        <v>4440.6899999999996</v>
      </c>
      <c r="I773" s="97">
        <f t="shared" si="53"/>
        <v>162085.185</v>
      </c>
    </row>
    <row r="774" spans="1:9" ht="45" hidden="1" outlineLevel="2">
      <c r="A774" s="93" t="s">
        <v>95</v>
      </c>
      <c r="B774" s="93" t="s">
        <v>81</v>
      </c>
      <c r="D774" s="63" t="s">
        <v>200</v>
      </c>
      <c r="E774" s="93" t="s">
        <v>67</v>
      </c>
      <c r="F774" s="96">
        <v>1981</v>
      </c>
      <c r="G774" s="63">
        <f t="shared" si="52"/>
        <v>35.5</v>
      </c>
      <c r="H774" s="95">
        <v>2187678.5099999998</v>
      </c>
      <c r="I774" s="97">
        <f t="shared" si="53"/>
        <v>77662587.104999989</v>
      </c>
    </row>
    <row r="775" spans="1:9" ht="45" hidden="1" outlineLevel="2">
      <c r="A775" s="93" t="s">
        <v>95</v>
      </c>
      <c r="B775" s="93" t="s">
        <v>84</v>
      </c>
      <c r="D775" s="63" t="s">
        <v>200</v>
      </c>
      <c r="E775" s="93" t="s">
        <v>67</v>
      </c>
      <c r="F775" s="96">
        <v>1981</v>
      </c>
      <c r="G775" s="63">
        <f t="shared" si="52"/>
        <v>35.5</v>
      </c>
      <c r="H775" s="95">
        <v>20136.41</v>
      </c>
      <c r="I775" s="97">
        <f t="shared" si="53"/>
        <v>714842.55500000005</v>
      </c>
    </row>
    <row r="776" spans="1:9" ht="45" hidden="1" outlineLevel="2">
      <c r="A776" s="93" t="s">
        <v>95</v>
      </c>
      <c r="B776" s="93" t="s">
        <v>85</v>
      </c>
      <c r="D776" s="63" t="s">
        <v>200</v>
      </c>
      <c r="E776" s="93" t="s">
        <v>67</v>
      </c>
      <c r="F776" s="96">
        <v>1981</v>
      </c>
      <c r="G776" s="63">
        <f t="shared" si="52"/>
        <v>35.5</v>
      </c>
      <c r="H776" s="95">
        <v>63993.91</v>
      </c>
      <c r="I776" s="97">
        <f t="shared" si="53"/>
        <v>2271783.8050000002</v>
      </c>
    </row>
    <row r="777" spans="1:9" ht="45" hidden="1" outlineLevel="2">
      <c r="A777" s="93" t="s">
        <v>95</v>
      </c>
      <c r="B777" s="93" t="s">
        <v>81</v>
      </c>
      <c r="D777" s="63" t="s">
        <v>200</v>
      </c>
      <c r="E777" s="93" t="s">
        <v>67</v>
      </c>
      <c r="F777" s="96">
        <v>1983</v>
      </c>
      <c r="G777" s="63">
        <f t="shared" si="52"/>
        <v>33.5</v>
      </c>
      <c r="H777" s="95">
        <v>87771.65</v>
      </c>
      <c r="I777" s="97">
        <f t="shared" si="53"/>
        <v>2940350.2749999999</v>
      </c>
    </row>
    <row r="778" spans="1:9" ht="45" hidden="1" outlineLevel="2">
      <c r="A778" s="93" t="s">
        <v>95</v>
      </c>
      <c r="B778" s="93" t="s">
        <v>84</v>
      </c>
      <c r="D778" s="63" t="s">
        <v>200</v>
      </c>
      <c r="E778" s="93" t="s">
        <v>67</v>
      </c>
      <c r="F778" s="96">
        <v>1983</v>
      </c>
      <c r="G778" s="63">
        <f t="shared" si="52"/>
        <v>33.5</v>
      </c>
      <c r="H778" s="95">
        <v>10350.98</v>
      </c>
      <c r="I778" s="97">
        <f t="shared" si="53"/>
        <v>346757.82999999996</v>
      </c>
    </row>
    <row r="779" spans="1:9" ht="45" hidden="1" outlineLevel="2">
      <c r="A779" s="93" t="s">
        <v>95</v>
      </c>
      <c r="B779" s="93" t="s">
        <v>81</v>
      </c>
      <c r="D779" s="63" t="s">
        <v>200</v>
      </c>
      <c r="E779" s="93" t="s">
        <v>67</v>
      </c>
      <c r="F779" s="96">
        <v>1984</v>
      </c>
      <c r="G779" s="63">
        <f t="shared" si="52"/>
        <v>32.5</v>
      </c>
      <c r="H779" s="95">
        <v>207404.97</v>
      </c>
      <c r="I779" s="97">
        <f t="shared" si="53"/>
        <v>6740661.5250000004</v>
      </c>
    </row>
    <row r="780" spans="1:9" ht="45" hidden="1" outlineLevel="2">
      <c r="A780" s="93" t="s">
        <v>95</v>
      </c>
      <c r="B780" s="93" t="s">
        <v>81</v>
      </c>
      <c r="D780" s="63" t="s">
        <v>200</v>
      </c>
      <c r="E780" s="93" t="s">
        <v>67</v>
      </c>
      <c r="F780" s="96">
        <v>1985</v>
      </c>
      <c r="G780" s="63">
        <f t="shared" si="52"/>
        <v>31.5</v>
      </c>
      <c r="H780" s="95">
        <v>21128.14</v>
      </c>
      <c r="I780" s="97">
        <f t="shared" si="53"/>
        <v>665536.41</v>
      </c>
    </row>
    <row r="781" spans="1:9" ht="45" hidden="1" outlineLevel="2">
      <c r="A781" s="93" t="s">
        <v>95</v>
      </c>
      <c r="B781" s="93" t="s">
        <v>81</v>
      </c>
      <c r="D781" s="63" t="s">
        <v>200</v>
      </c>
      <c r="E781" s="93" t="s">
        <v>67</v>
      </c>
      <c r="F781" s="96">
        <v>1986</v>
      </c>
      <c r="G781" s="63">
        <f t="shared" si="52"/>
        <v>30.5</v>
      </c>
      <c r="H781" s="95">
        <v>185813.54</v>
      </c>
      <c r="I781" s="97">
        <f t="shared" si="53"/>
        <v>5667312.9700000007</v>
      </c>
    </row>
    <row r="782" spans="1:9" ht="45" hidden="1" outlineLevel="2">
      <c r="A782" s="93" t="s">
        <v>95</v>
      </c>
      <c r="B782" s="93" t="s">
        <v>81</v>
      </c>
      <c r="D782" s="63" t="s">
        <v>200</v>
      </c>
      <c r="E782" s="93" t="s">
        <v>67</v>
      </c>
      <c r="F782" s="96">
        <v>1987</v>
      </c>
      <c r="G782" s="63">
        <f t="shared" si="52"/>
        <v>29.5</v>
      </c>
      <c r="H782" s="95">
        <v>965.73</v>
      </c>
      <c r="I782" s="97">
        <f t="shared" si="53"/>
        <v>28489.035</v>
      </c>
    </row>
    <row r="783" spans="1:9" ht="45" hidden="1" outlineLevel="2">
      <c r="A783" s="93" t="s">
        <v>95</v>
      </c>
      <c r="B783" s="93" t="s">
        <v>81</v>
      </c>
      <c r="D783" s="63" t="s">
        <v>200</v>
      </c>
      <c r="E783" s="93" t="s">
        <v>67</v>
      </c>
      <c r="F783" s="96">
        <v>1988</v>
      </c>
      <c r="G783" s="63">
        <f t="shared" si="52"/>
        <v>28.5</v>
      </c>
      <c r="H783" s="95">
        <v>12401.17</v>
      </c>
      <c r="I783" s="97">
        <f t="shared" si="53"/>
        <v>353433.34500000003</v>
      </c>
    </row>
    <row r="784" spans="1:9" ht="45" hidden="1" outlineLevel="2">
      <c r="A784" s="93" t="s">
        <v>95</v>
      </c>
      <c r="B784" s="93" t="s">
        <v>81</v>
      </c>
      <c r="D784" s="63" t="s">
        <v>200</v>
      </c>
      <c r="E784" s="93" t="s">
        <v>67</v>
      </c>
      <c r="F784" s="96">
        <v>1989</v>
      </c>
      <c r="G784" s="63">
        <f t="shared" si="52"/>
        <v>27.5</v>
      </c>
      <c r="H784" s="95">
        <v>10713.49</v>
      </c>
      <c r="I784" s="97">
        <f t="shared" si="53"/>
        <v>294620.97499999998</v>
      </c>
    </row>
    <row r="785" spans="1:9" ht="45" hidden="1" outlineLevel="2">
      <c r="A785" s="93" t="s">
        <v>95</v>
      </c>
      <c r="B785" s="93" t="s">
        <v>81</v>
      </c>
      <c r="D785" s="63" t="s">
        <v>200</v>
      </c>
      <c r="E785" s="93" t="s">
        <v>67</v>
      </c>
      <c r="F785" s="96">
        <v>1990</v>
      </c>
      <c r="G785" s="63">
        <f t="shared" si="52"/>
        <v>26.5</v>
      </c>
      <c r="H785" s="95">
        <v>15238.99</v>
      </c>
      <c r="I785" s="97">
        <f t="shared" si="53"/>
        <v>403833.23499999999</v>
      </c>
    </row>
    <row r="786" spans="1:9" ht="45" hidden="1" outlineLevel="2">
      <c r="A786" s="93" t="s">
        <v>95</v>
      </c>
      <c r="B786" s="93" t="s">
        <v>81</v>
      </c>
      <c r="D786" s="63" t="s">
        <v>200</v>
      </c>
      <c r="E786" s="93" t="s">
        <v>67</v>
      </c>
      <c r="F786" s="96">
        <v>1991</v>
      </c>
      <c r="G786" s="63">
        <f t="shared" si="52"/>
        <v>25.5</v>
      </c>
      <c r="H786" s="95">
        <v>30405.97</v>
      </c>
      <c r="I786" s="97">
        <f t="shared" si="53"/>
        <v>775352.23499999999</v>
      </c>
    </row>
    <row r="787" spans="1:9" ht="45" hidden="1" outlineLevel="2">
      <c r="A787" s="93" t="s">
        <v>95</v>
      </c>
      <c r="B787" s="93" t="s">
        <v>85</v>
      </c>
      <c r="D787" s="63" t="s">
        <v>200</v>
      </c>
      <c r="E787" s="93" t="s">
        <v>67</v>
      </c>
      <c r="F787" s="96">
        <v>1991</v>
      </c>
      <c r="G787" s="63">
        <f t="shared" si="52"/>
        <v>25.5</v>
      </c>
      <c r="H787" s="95">
        <v>945.93</v>
      </c>
      <c r="I787" s="97">
        <f t="shared" si="53"/>
        <v>24121.215</v>
      </c>
    </row>
    <row r="788" spans="1:9" ht="45" hidden="1" outlineLevel="2">
      <c r="A788" s="93" t="s">
        <v>95</v>
      </c>
      <c r="B788" s="93" t="s">
        <v>81</v>
      </c>
      <c r="D788" s="63" t="s">
        <v>200</v>
      </c>
      <c r="E788" s="93" t="s">
        <v>67</v>
      </c>
      <c r="F788" s="96">
        <v>1992</v>
      </c>
      <c r="G788" s="63">
        <f t="shared" si="52"/>
        <v>24.5</v>
      </c>
      <c r="H788" s="95">
        <v>144111.6</v>
      </c>
      <c r="I788" s="97">
        <f t="shared" si="53"/>
        <v>3530734.2</v>
      </c>
    </row>
    <row r="789" spans="1:9" ht="45" hidden="1" outlineLevel="2">
      <c r="A789" s="93" t="s">
        <v>95</v>
      </c>
      <c r="B789" s="93" t="s">
        <v>85</v>
      </c>
      <c r="D789" s="63" t="s">
        <v>200</v>
      </c>
      <c r="E789" s="93" t="s">
        <v>67</v>
      </c>
      <c r="F789" s="96">
        <v>1992</v>
      </c>
      <c r="G789" s="63">
        <f t="shared" si="52"/>
        <v>24.5</v>
      </c>
      <c r="H789" s="95">
        <v>47577.08</v>
      </c>
      <c r="I789" s="97">
        <f t="shared" si="53"/>
        <v>1165638.46</v>
      </c>
    </row>
    <row r="790" spans="1:9" ht="45" hidden="1" outlineLevel="2">
      <c r="A790" s="93" t="s">
        <v>95</v>
      </c>
      <c r="B790" s="93" t="s">
        <v>81</v>
      </c>
      <c r="D790" s="63" t="s">
        <v>200</v>
      </c>
      <c r="E790" s="93" t="s">
        <v>67</v>
      </c>
      <c r="F790" s="96">
        <v>1993</v>
      </c>
      <c r="G790" s="63">
        <f t="shared" si="52"/>
        <v>23.5</v>
      </c>
      <c r="H790" s="95">
        <v>31678.959999999999</v>
      </c>
      <c r="I790" s="97">
        <f t="shared" si="53"/>
        <v>744455.55999999994</v>
      </c>
    </row>
    <row r="791" spans="1:9" ht="45" hidden="1" outlineLevel="2">
      <c r="A791" s="93" t="s">
        <v>95</v>
      </c>
      <c r="B791" s="93" t="s">
        <v>84</v>
      </c>
      <c r="D791" s="63" t="s">
        <v>200</v>
      </c>
      <c r="E791" s="93" t="s">
        <v>67</v>
      </c>
      <c r="F791" s="96">
        <v>1993</v>
      </c>
      <c r="G791" s="63">
        <f t="shared" si="52"/>
        <v>23.5</v>
      </c>
      <c r="H791" s="95">
        <v>927.54</v>
      </c>
      <c r="I791" s="97">
        <f t="shared" si="53"/>
        <v>21797.19</v>
      </c>
    </row>
    <row r="792" spans="1:9" ht="45" hidden="1" outlineLevel="2">
      <c r="A792" s="93" t="s">
        <v>95</v>
      </c>
      <c r="B792" s="93" t="s">
        <v>81</v>
      </c>
      <c r="D792" s="63" t="s">
        <v>200</v>
      </c>
      <c r="E792" s="93" t="s">
        <v>67</v>
      </c>
      <c r="F792" s="96">
        <v>1994</v>
      </c>
      <c r="G792" s="63">
        <f t="shared" si="52"/>
        <v>22.5</v>
      </c>
      <c r="H792" s="95">
        <v>7556891.8600000003</v>
      </c>
      <c r="I792" s="97">
        <f t="shared" si="53"/>
        <v>170030066.84999999</v>
      </c>
    </row>
    <row r="793" spans="1:9" ht="45" hidden="1" outlineLevel="2">
      <c r="A793" s="93" t="s">
        <v>95</v>
      </c>
      <c r="B793" s="93" t="s">
        <v>85</v>
      </c>
      <c r="D793" s="63" t="s">
        <v>200</v>
      </c>
      <c r="E793" s="93" t="s">
        <v>67</v>
      </c>
      <c r="F793" s="96">
        <v>1994</v>
      </c>
      <c r="G793" s="63">
        <f t="shared" si="52"/>
        <v>22.5</v>
      </c>
      <c r="H793" s="95">
        <v>443773.28</v>
      </c>
      <c r="I793" s="97">
        <f t="shared" si="53"/>
        <v>9984898.8000000007</v>
      </c>
    </row>
    <row r="794" spans="1:9" ht="45" hidden="1" outlineLevel="2">
      <c r="A794" s="93" t="s">
        <v>95</v>
      </c>
      <c r="B794" s="93" t="s">
        <v>81</v>
      </c>
      <c r="D794" s="63" t="s">
        <v>200</v>
      </c>
      <c r="E794" s="93" t="s">
        <v>67</v>
      </c>
      <c r="F794" s="96">
        <v>1995</v>
      </c>
      <c r="G794" s="63">
        <f t="shared" si="52"/>
        <v>21.5</v>
      </c>
      <c r="H794" s="95">
        <v>159411</v>
      </c>
      <c r="I794" s="97">
        <f t="shared" si="53"/>
        <v>3427336.5</v>
      </c>
    </row>
    <row r="795" spans="1:9" ht="45" hidden="1" outlineLevel="2">
      <c r="A795" s="93" t="s">
        <v>95</v>
      </c>
      <c r="B795" s="93" t="s">
        <v>84</v>
      </c>
      <c r="D795" s="63" t="s">
        <v>200</v>
      </c>
      <c r="E795" s="93" t="s">
        <v>67</v>
      </c>
      <c r="F795" s="96">
        <v>1995</v>
      </c>
      <c r="G795" s="63">
        <f t="shared" si="52"/>
        <v>21.5</v>
      </c>
      <c r="H795" s="95">
        <v>4291.05</v>
      </c>
      <c r="I795" s="97">
        <f t="shared" si="53"/>
        <v>92257.574999999997</v>
      </c>
    </row>
    <row r="796" spans="1:9" ht="45" hidden="1" outlineLevel="2">
      <c r="A796" s="93" t="s">
        <v>95</v>
      </c>
      <c r="B796" s="93" t="s">
        <v>81</v>
      </c>
      <c r="D796" s="63" t="s">
        <v>200</v>
      </c>
      <c r="E796" s="93" t="s">
        <v>67</v>
      </c>
      <c r="F796" s="96">
        <v>1996</v>
      </c>
      <c r="G796" s="63">
        <f t="shared" si="52"/>
        <v>20.5</v>
      </c>
      <c r="H796" s="95">
        <v>347416.41</v>
      </c>
      <c r="I796" s="97">
        <f t="shared" si="53"/>
        <v>7122036.4049999993</v>
      </c>
    </row>
    <row r="797" spans="1:9" ht="45" hidden="1" outlineLevel="2">
      <c r="A797" s="93" t="s">
        <v>95</v>
      </c>
      <c r="B797" s="93" t="s">
        <v>81</v>
      </c>
      <c r="D797" s="63" t="s">
        <v>200</v>
      </c>
      <c r="E797" s="93" t="s">
        <v>67</v>
      </c>
      <c r="F797" s="96">
        <v>1997</v>
      </c>
      <c r="G797" s="63">
        <f t="shared" si="52"/>
        <v>19.5</v>
      </c>
      <c r="H797" s="95">
        <v>4903.37</v>
      </c>
      <c r="I797" s="97">
        <f t="shared" si="53"/>
        <v>95615.714999999997</v>
      </c>
    </row>
    <row r="798" spans="1:9" ht="45" hidden="1" outlineLevel="2">
      <c r="A798" s="93" t="s">
        <v>95</v>
      </c>
      <c r="B798" s="93" t="s">
        <v>81</v>
      </c>
      <c r="D798" s="63" t="s">
        <v>200</v>
      </c>
      <c r="E798" s="93" t="s">
        <v>67</v>
      </c>
      <c r="F798" s="96">
        <v>1998</v>
      </c>
      <c r="G798" s="63">
        <f t="shared" ref="G798:G829" si="54">2016.5-F798</f>
        <v>18.5</v>
      </c>
      <c r="H798" s="95">
        <v>13122.06</v>
      </c>
      <c r="I798" s="97">
        <f t="shared" ref="I798:I829" si="55">+G798*H798</f>
        <v>242758.11</v>
      </c>
    </row>
    <row r="799" spans="1:9" ht="45" hidden="1" outlineLevel="2">
      <c r="A799" s="93" t="s">
        <v>95</v>
      </c>
      <c r="B799" s="93" t="s">
        <v>84</v>
      </c>
      <c r="D799" s="63" t="s">
        <v>200</v>
      </c>
      <c r="E799" s="93" t="s">
        <v>67</v>
      </c>
      <c r="F799" s="96">
        <v>1998</v>
      </c>
      <c r="G799" s="63">
        <f t="shared" si="54"/>
        <v>18.5</v>
      </c>
      <c r="H799" s="95">
        <v>2097.4499999999998</v>
      </c>
      <c r="I799" s="97">
        <f t="shared" si="55"/>
        <v>38802.824999999997</v>
      </c>
    </row>
    <row r="800" spans="1:9" ht="45" hidden="1" outlineLevel="2">
      <c r="A800" s="93" t="s">
        <v>95</v>
      </c>
      <c r="B800" s="93" t="s">
        <v>85</v>
      </c>
      <c r="D800" s="63" t="s">
        <v>200</v>
      </c>
      <c r="E800" s="93" t="s">
        <v>67</v>
      </c>
      <c r="F800" s="96">
        <v>1998</v>
      </c>
      <c r="G800" s="63">
        <f t="shared" si="54"/>
        <v>18.5</v>
      </c>
      <c r="H800" s="95">
        <v>1757.17</v>
      </c>
      <c r="I800" s="97">
        <f t="shared" si="55"/>
        <v>32507.645</v>
      </c>
    </row>
    <row r="801" spans="1:9" ht="45" hidden="1" outlineLevel="2">
      <c r="A801" s="93" t="s">
        <v>95</v>
      </c>
      <c r="B801" s="93" t="s">
        <v>81</v>
      </c>
      <c r="D801" s="63" t="s">
        <v>200</v>
      </c>
      <c r="E801" s="93" t="s">
        <v>67</v>
      </c>
      <c r="F801" s="96">
        <v>1999</v>
      </c>
      <c r="G801" s="63">
        <f t="shared" si="54"/>
        <v>17.5</v>
      </c>
      <c r="H801" s="95">
        <v>186043.71</v>
      </c>
      <c r="I801" s="97">
        <f t="shared" si="55"/>
        <v>3255764.9249999998</v>
      </c>
    </row>
    <row r="802" spans="1:9" ht="45" hidden="1" outlineLevel="2">
      <c r="A802" s="93" t="s">
        <v>95</v>
      </c>
      <c r="B802" s="93" t="s">
        <v>84</v>
      </c>
      <c r="D802" s="63" t="s">
        <v>200</v>
      </c>
      <c r="E802" s="93" t="s">
        <v>67</v>
      </c>
      <c r="F802" s="96">
        <v>1999</v>
      </c>
      <c r="G802" s="63">
        <f t="shared" si="54"/>
        <v>17.5</v>
      </c>
      <c r="H802" s="95">
        <v>1093.1600000000001</v>
      </c>
      <c r="I802" s="97">
        <f t="shared" si="55"/>
        <v>19130.300000000003</v>
      </c>
    </row>
    <row r="803" spans="1:9" ht="45" hidden="1" outlineLevel="2">
      <c r="A803" s="93" t="s">
        <v>95</v>
      </c>
      <c r="B803" s="93" t="s">
        <v>81</v>
      </c>
      <c r="D803" s="63" t="s">
        <v>200</v>
      </c>
      <c r="E803" s="93" t="s">
        <v>67</v>
      </c>
      <c r="F803" s="96">
        <v>2000</v>
      </c>
      <c r="G803" s="63">
        <f t="shared" si="54"/>
        <v>16.5</v>
      </c>
      <c r="H803" s="95">
        <v>69054.240000000005</v>
      </c>
      <c r="I803" s="97">
        <f t="shared" si="55"/>
        <v>1139394.9600000002</v>
      </c>
    </row>
    <row r="804" spans="1:9" ht="45" hidden="1" outlineLevel="2">
      <c r="A804" s="93" t="s">
        <v>95</v>
      </c>
      <c r="B804" s="93" t="s">
        <v>84</v>
      </c>
      <c r="D804" s="63" t="s">
        <v>200</v>
      </c>
      <c r="E804" s="93" t="s">
        <v>67</v>
      </c>
      <c r="F804" s="96">
        <v>2001</v>
      </c>
      <c r="G804" s="63">
        <f t="shared" si="54"/>
        <v>15.5</v>
      </c>
      <c r="H804" s="95">
        <v>651406.51</v>
      </c>
      <c r="I804" s="97">
        <f t="shared" si="55"/>
        <v>10096800.904999999</v>
      </c>
    </row>
    <row r="805" spans="1:9" ht="45" hidden="1" outlineLevel="2">
      <c r="A805" s="93" t="s">
        <v>95</v>
      </c>
      <c r="B805" s="93" t="s">
        <v>85</v>
      </c>
      <c r="D805" s="63" t="s">
        <v>200</v>
      </c>
      <c r="E805" s="93" t="s">
        <v>67</v>
      </c>
      <c r="F805" s="96">
        <v>2001</v>
      </c>
      <c r="G805" s="63">
        <f t="shared" si="54"/>
        <v>15.5</v>
      </c>
      <c r="H805" s="95">
        <v>123313.01</v>
      </c>
      <c r="I805" s="97">
        <f t="shared" si="55"/>
        <v>1911351.655</v>
      </c>
    </row>
    <row r="806" spans="1:9" ht="45" hidden="1" outlineLevel="2">
      <c r="A806" s="93" t="s">
        <v>95</v>
      </c>
      <c r="B806" s="93" t="s">
        <v>81</v>
      </c>
      <c r="D806" s="63" t="s">
        <v>200</v>
      </c>
      <c r="E806" s="93" t="s">
        <v>67</v>
      </c>
      <c r="F806" s="96">
        <v>2002</v>
      </c>
      <c r="G806" s="63">
        <f t="shared" si="54"/>
        <v>14.5</v>
      </c>
      <c r="H806" s="95">
        <v>47577.56</v>
      </c>
      <c r="I806" s="97">
        <f t="shared" si="55"/>
        <v>689874.62</v>
      </c>
    </row>
    <row r="807" spans="1:9" ht="45" hidden="1" outlineLevel="2">
      <c r="A807" s="93" t="s">
        <v>95</v>
      </c>
      <c r="B807" s="93" t="s">
        <v>81</v>
      </c>
      <c r="D807" s="63" t="s">
        <v>200</v>
      </c>
      <c r="E807" s="93" t="s">
        <v>67</v>
      </c>
      <c r="F807" s="96">
        <v>2003</v>
      </c>
      <c r="G807" s="63">
        <f t="shared" si="54"/>
        <v>13.5</v>
      </c>
      <c r="H807" s="95">
        <v>284224</v>
      </c>
      <c r="I807" s="97">
        <f t="shared" si="55"/>
        <v>3837024</v>
      </c>
    </row>
    <row r="808" spans="1:9" ht="45" hidden="1" outlineLevel="2">
      <c r="A808" s="93" t="s">
        <v>95</v>
      </c>
      <c r="B808" s="93" t="s">
        <v>84</v>
      </c>
      <c r="D808" s="63" t="s">
        <v>200</v>
      </c>
      <c r="E808" s="93" t="s">
        <v>67</v>
      </c>
      <c r="F808" s="96">
        <v>2003</v>
      </c>
      <c r="G808" s="63">
        <f t="shared" si="54"/>
        <v>13.5</v>
      </c>
      <c r="H808" s="95">
        <v>114722.78</v>
      </c>
      <c r="I808" s="97">
        <f t="shared" si="55"/>
        <v>1548757.53</v>
      </c>
    </row>
    <row r="809" spans="1:9" ht="45" hidden="1" outlineLevel="2">
      <c r="A809" s="93" t="s">
        <v>95</v>
      </c>
      <c r="B809" s="93" t="s">
        <v>81</v>
      </c>
      <c r="D809" s="63" t="s">
        <v>200</v>
      </c>
      <c r="E809" s="93" t="s">
        <v>67</v>
      </c>
      <c r="F809" s="96">
        <v>2004</v>
      </c>
      <c r="G809" s="63">
        <f t="shared" si="54"/>
        <v>12.5</v>
      </c>
      <c r="H809" s="95">
        <v>98741.24</v>
      </c>
      <c r="I809" s="97">
        <f t="shared" si="55"/>
        <v>1234265.5</v>
      </c>
    </row>
    <row r="810" spans="1:9" ht="45" hidden="1" outlineLevel="2">
      <c r="A810" s="93" t="s">
        <v>95</v>
      </c>
      <c r="B810" s="93" t="s">
        <v>84</v>
      </c>
      <c r="D810" s="63" t="s">
        <v>200</v>
      </c>
      <c r="E810" s="93" t="s">
        <v>67</v>
      </c>
      <c r="F810" s="96">
        <v>2004</v>
      </c>
      <c r="G810" s="63">
        <f t="shared" si="54"/>
        <v>12.5</v>
      </c>
      <c r="H810" s="95">
        <v>881251.7</v>
      </c>
      <c r="I810" s="97">
        <f t="shared" si="55"/>
        <v>11015646.25</v>
      </c>
    </row>
    <row r="811" spans="1:9" ht="45" hidden="1" outlineLevel="2">
      <c r="A811" s="93" t="s">
        <v>95</v>
      </c>
      <c r="B811" s="93" t="s">
        <v>85</v>
      </c>
      <c r="D811" s="63" t="s">
        <v>200</v>
      </c>
      <c r="E811" s="93" t="s">
        <v>67</v>
      </c>
      <c r="F811" s="96">
        <v>2004</v>
      </c>
      <c r="G811" s="63">
        <f t="shared" si="54"/>
        <v>12.5</v>
      </c>
      <c r="H811" s="95">
        <v>60387.51</v>
      </c>
      <c r="I811" s="97">
        <f t="shared" si="55"/>
        <v>754843.875</v>
      </c>
    </row>
    <row r="812" spans="1:9" ht="45" hidden="1" outlineLevel="2">
      <c r="A812" s="93" t="s">
        <v>95</v>
      </c>
      <c r="B812" s="93" t="s">
        <v>81</v>
      </c>
      <c r="D812" s="63" t="s">
        <v>200</v>
      </c>
      <c r="E812" s="93" t="s">
        <v>67</v>
      </c>
      <c r="F812" s="96">
        <v>2005</v>
      </c>
      <c r="G812" s="63">
        <f t="shared" si="54"/>
        <v>11.5</v>
      </c>
      <c r="H812" s="95">
        <v>500598.27</v>
      </c>
      <c r="I812" s="97">
        <f t="shared" si="55"/>
        <v>5756880.1050000004</v>
      </c>
    </row>
    <row r="813" spans="1:9" ht="45" hidden="1" outlineLevel="2">
      <c r="A813" s="93" t="s">
        <v>95</v>
      </c>
      <c r="B813" s="93" t="s">
        <v>85</v>
      </c>
      <c r="D813" s="63" t="s">
        <v>200</v>
      </c>
      <c r="E813" s="93" t="s">
        <v>67</v>
      </c>
      <c r="F813" s="96">
        <v>2005</v>
      </c>
      <c r="G813" s="63">
        <f t="shared" si="54"/>
        <v>11.5</v>
      </c>
      <c r="H813" s="95">
        <v>2538.89</v>
      </c>
      <c r="I813" s="97">
        <f t="shared" si="55"/>
        <v>29197.234999999997</v>
      </c>
    </row>
    <row r="814" spans="1:9" ht="45" hidden="1" outlineLevel="2">
      <c r="A814" s="93" t="s">
        <v>95</v>
      </c>
      <c r="B814" s="93" t="s">
        <v>81</v>
      </c>
      <c r="D814" s="63" t="s">
        <v>200</v>
      </c>
      <c r="E814" s="93" t="s">
        <v>67</v>
      </c>
      <c r="F814" s="96">
        <v>2006</v>
      </c>
      <c r="G814" s="63">
        <f t="shared" si="54"/>
        <v>10.5</v>
      </c>
      <c r="H814" s="95">
        <v>594471.44999999995</v>
      </c>
      <c r="I814" s="97">
        <f t="shared" si="55"/>
        <v>6241950.2249999996</v>
      </c>
    </row>
    <row r="815" spans="1:9" ht="45" hidden="1" outlineLevel="2">
      <c r="A815" s="93" t="s">
        <v>95</v>
      </c>
      <c r="B815" s="93" t="s">
        <v>85</v>
      </c>
      <c r="D815" s="63" t="s">
        <v>200</v>
      </c>
      <c r="E815" s="93" t="s">
        <v>67</v>
      </c>
      <c r="F815" s="96">
        <v>2006</v>
      </c>
      <c r="G815" s="63">
        <f t="shared" si="54"/>
        <v>10.5</v>
      </c>
      <c r="H815" s="95">
        <v>7961.85</v>
      </c>
      <c r="I815" s="97">
        <f t="shared" si="55"/>
        <v>83599.425000000003</v>
      </c>
    </row>
    <row r="816" spans="1:9" ht="45" hidden="1" outlineLevel="2">
      <c r="A816" s="93" t="s">
        <v>95</v>
      </c>
      <c r="B816" s="93" t="s">
        <v>81</v>
      </c>
      <c r="D816" s="63" t="s">
        <v>200</v>
      </c>
      <c r="E816" s="93" t="s">
        <v>67</v>
      </c>
      <c r="F816" s="96">
        <v>2007</v>
      </c>
      <c r="G816" s="63">
        <f t="shared" si="54"/>
        <v>9.5</v>
      </c>
      <c r="H816" s="95">
        <v>15691.12</v>
      </c>
      <c r="I816" s="97">
        <f t="shared" si="55"/>
        <v>149065.64000000001</v>
      </c>
    </row>
    <row r="817" spans="1:9" ht="45" hidden="1" outlineLevel="2">
      <c r="A817" s="93" t="s">
        <v>95</v>
      </c>
      <c r="B817" s="93" t="s">
        <v>84</v>
      </c>
      <c r="D817" s="63" t="s">
        <v>200</v>
      </c>
      <c r="E817" s="93" t="s">
        <v>67</v>
      </c>
      <c r="F817" s="96">
        <v>2007</v>
      </c>
      <c r="G817" s="63">
        <f t="shared" si="54"/>
        <v>9.5</v>
      </c>
      <c r="H817" s="95">
        <v>2247.19</v>
      </c>
      <c r="I817" s="97">
        <f t="shared" si="55"/>
        <v>21348.305</v>
      </c>
    </row>
    <row r="818" spans="1:9" ht="45" hidden="1" outlineLevel="2">
      <c r="A818" s="93" t="s">
        <v>95</v>
      </c>
      <c r="B818" s="93" t="s">
        <v>85</v>
      </c>
      <c r="D818" s="63" t="s">
        <v>200</v>
      </c>
      <c r="E818" s="93" t="s">
        <v>67</v>
      </c>
      <c r="F818" s="96">
        <v>2007</v>
      </c>
      <c r="G818" s="63">
        <f t="shared" si="54"/>
        <v>9.5</v>
      </c>
      <c r="H818" s="95">
        <v>65080.27</v>
      </c>
      <c r="I818" s="97">
        <f t="shared" si="55"/>
        <v>618262.56499999994</v>
      </c>
    </row>
    <row r="819" spans="1:9" ht="45" hidden="1" outlineLevel="2">
      <c r="A819" s="93" t="s">
        <v>95</v>
      </c>
      <c r="B819" s="93" t="s">
        <v>81</v>
      </c>
      <c r="D819" s="63" t="s">
        <v>200</v>
      </c>
      <c r="E819" s="93" t="s">
        <v>67</v>
      </c>
      <c r="F819" s="96">
        <v>2008</v>
      </c>
      <c r="G819" s="63">
        <f t="shared" si="54"/>
        <v>8.5</v>
      </c>
      <c r="H819" s="95">
        <v>238378.75</v>
      </c>
      <c r="I819" s="97">
        <f t="shared" si="55"/>
        <v>2026219.375</v>
      </c>
    </row>
    <row r="820" spans="1:9" ht="45" hidden="1" outlineLevel="2">
      <c r="A820" s="93" t="s">
        <v>95</v>
      </c>
      <c r="B820" s="93" t="s">
        <v>84</v>
      </c>
      <c r="D820" s="63" t="s">
        <v>200</v>
      </c>
      <c r="E820" s="93" t="s">
        <v>67</v>
      </c>
      <c r="F820" s="96">
        <v>2008</v>
      </c>
      <c r="G820" s="63">
        <f t="shared" si="54"/>
        <v>8.5</v>
      </c>
      <c r="H820" s="95">
        <v>4344.1000000000004</v>
      </c>
      <c r="I820" s="97">
        <f t="shared" si="55"/>
        <v>36924.850000000006</v>
      </c>
    </row>
    <row r="821" spans="1:9" ht="45" hidden="1" outlineLevel="2">
      <c r="A821" s="93" t="s">
        <v>95</v>
      </c>
      <c r="B821" s="93" t="s">
        <v>81</v>
      </c>
      <c r="D821" s="63" t="s">
        <v>200</v>
      </c>
      <c r="E821" s="93" t="s">
        <v>67</v>
      </c>
      <c r="F821" s="96">
        <v>2009</v>
      </c>
      <c r="G821" s="63">
        <f t="shared" si="54"/>
        <v>7.5</v>
      </c>
      <c r="H821" s="95">
        <v>26129.5</v>
      </c>
      <c r="I821" s="97">
        <f t="shared" si="55"/>
        <v>195971.25</v>
      </c>
    </row>
    <row r="822" spans="1:9" ht="45" hidden="1" outlineLevel="2">
      <c r="A822" s="93" t="s">
        <v>95</v>
      </c>
      <c r="B822" s="93" t="s">
        <v>84</v>
      </c>
      <c r="D822" s="63" t="s">
        <v>200</v>
      </c>
      <c r="E822" s="93" t="s">
        <v>67</v>
      </c>
      <c r="F822" s="96">
        <v>2009</v>
      </c>
      <c r="G822" s="63">
        <f t="shared" si="54"/>
        <v>7.5</v>
      </c>
      <c r="H822" s="95">
        <v>2211.9499999999998</v>
      </c>
      <c r="I822" s="97">
        <f t="shared" si="55"/>
        <v>16589.625</v>
      </c>
    </row>
    <row r="823" spans="1:9" ht="45" hidden="1" outlineLevel="2">
      <c r="A823" s="93" t="s">
        <v>95</v>
      </c>
      <c r="B823" s="93" t="s">
        <v>85</v>
      </c>
      <c r="D823" s="63" t="s">
        <v>200</v>
      </c>
      <c r="E823" s="93" t="s">
        <v>67</v>
      </c>
      <c r="F823" s="96">
        <v>2009</v>
      </c>
      <c r="G823" s="63">
        <f t="shared" si="54"/>
        <v>7.5</v>
      </c>
      <c r="H823" s="95">
        <v>13129.7</v>
      </c>
      <c r="I823" s="97">
        <f t="shared" si="55"/>
        <v>98472.75</v>
      </c>
    </row>
    <row r="824" spans="1:9" ht="45" hidden="1" outlineLevel="2">
      <c r="A824" s="93" t="s">
        <v>95</v>
      </c>
      <c r="B824" s="93" t="s">
        <v>81</v>
      </c>
      <c r="D824" s="63" t="s">
        <v>200</v>
      </c>
      <c r="E824" s="93" t="s">
        <v>67</v>
      </c>
      <c r="F824" s="96">
        <v>2010</v>
      </c>
      <c r="G824" s="63">
        <f t="shared" si="54"/>
        <v>6.5</v>
      </c>
      <c r="H824" s="95">
        <v>85786.02</v>
      </c>
      <c r="I824" s="97">
        <f t="shared" si="55"/>
        <v>557609.13</v>
      </c>
    </row>
    <row r="825" spans="1:9" ht="45" hidden="1" outlineLevel="2">
      <c r="A825" s="93" t="s">
        <v>95</v>
      </c>
      <c r="B825" s="93" t="s">
        <v>81</v>
      </c>
      <c r="D825" s="63" t="s">
        <v>200</v>
      </c>
      <c r="E825" s="93" t="s">
        <v>67</v>
      </c>
      <c r="F825" s="96">
        <v>2011</v>
      </c>
      <c r="G825" s="63">
        <f t="shared" si="54"/>
        <v>5.5</v>
      </c>
      <c r="H825" s="95">
        <v>922546.11</v>
      </c>
      <c r="I825" s="97">
        <f t="shared" si="55"/>
        <v>5074003.6049999995</v>
      </c>
    </row>
    <row r="826" spans="1:9" ht="45" hidden="1" outlineLevel="2">
      <c r="A826" s="93" t="s">
        <v>95</v>
      </c>
      <c r="B826" s="93" t="s">
        <v>81</v>
      </c>
      <c r="D826" s="63" t="s">
        <v>200</v>
      </c>
      <c r="E826" s="93" t="s">
        <v>67</v>
      </c>
      <c r="F826" s="96">
        <v>2012</v>
      </c>
      <c r="G826" s="63">
        <f t="shared" si="54"/>
        <v>4.5</v>
      </c>
      <c r="H826" s="95">
        <v>825892.07</v>
      </c>
      <c r="I826" s="97">
        <f t="shared" si="55"/>
        <v>3716514.3149999999</v>
      </c>
    </row>
    <row r="827" spans="1:9" ht="45" hidden="1" outlineLevel="2">
      <c r="A827" s="93" t="s">
        <v>95</v>
      </c>
      <c r="B827" s="93" t="s">
        <v>85</v>
      </c>
      <c r="D827" s="63" t="s">
        <v>200</v>
      </c>
      <c r="E827" s="93" t="s">
        <v>67</v>
      </c>
      <c r="F827" s="96">
        <v>2012</v>
      </c>
      <c r="G827" s="63">
        <f t="shared" si="54"/>
        <v>4.5</v>
      </c>
      <c r="H827" s="95">
        <v>6000.49</v>
      </c>
      <c r="I827" s="97">
        <f t="shared" si="55"/>
        <v>27002.204999999998</v>
      </c>
    </row>
    <row r="828" spans="1:9" ht="45" hidden="1" outlineLevel="2">
      <c r="A828" s="93" t="s">
        <v>95</v>
      </c>
      <c r="B828" s="93" t="s">
        <v>81</v>
      </c>
      <c r="D828" s="63" t="s">
        <v>200</v>
      </c>
      <c r="E828" s="93" t="s">
        <v>67</v>
      </c>
      <c r="F828" s="96">
        <v>2013</v>
      </c>
      <c r="G828" s="63">
        <f t="shared" si="54"/>
        <v>3.5</v>
      </c>
      <c r="H828" s="95">
        <v>847403.4</v>
      </c>
      <c r="I828" s="97">
        <f t="shared" si="55"/>
        <v>2965911.9</v>
      </c>
    </row>
    <row r="829" spans="1:9" ht="45" hidden="1" outlineLevel="2">
      <c r="A829" s="93" t="s">
        <v>95</v>
      </c>
      <c r="B829" s="93" t="s">
        <v>84</v>
      </c>
      <c r="D829" s="63" t="s">
        <v>200</v>
      </c>
      <c r="E829" s="93" t="s">
        <v>67</v>
      </c>
      <c r="F829" s="96">
        <v>2013</v>
      </c>
      <c r="G829" s="63">
        <f t="shared" si="54"/>
        <v>3.5</v>
      </c>
      <c r="H829" s="95">
        <v>234763.87</v>
      </c>
      <c r="I829" s="97">
        <f t="shared" si="55"/>
        <v>821673.54499999993</v>
      </c>
    </row>
    <row r="830" spans="1:9" ht="45" hidden="1" outlineLevel="2">
      <c r="A830" s="93" t="s">
        <v>95</v>
      </c>
      <c r="B830" s="93" t="s">
        <v>81</v>
      </c>
      <c r="D830" s="63" t="s">
        <v>200</v>
      </c>
      <c r="E830" s="93" t="s">
        <v>67</v>
      </c>
      <c r="F830" s="96">
        <v>2014</v>
      </c>
      <c r="G830" s="63">
        <f t="shared" ref="G830:G837" si="56">2016.5-F830</f>
        <v>2.5</v>
      </c>
      <c r="H830" s="95">
        <v>248345.64</v>
      </c>
      <c r="I830" s="97">
        <f t="shared" ref="I830:I837" si="57">+G830*H830</f>
        <v>620864.10000000009</v>
      </c>
    </row>
    <row r="831" spans="1:9" ht="45" hidden="1" outlineLevel="2">
      <c r="A831" s="93" t="s">
        <v>95</v>
      </c>
      <c r="B831" s="93" t="s">
        <v>84</v>
      </c>
      <c r="D831" s="63" t="s">
        <v>200</v>
      </c>
      <c r="E831" s="93" t="s">
        <v>67</v>
      </c>
      <c r="F831" s="96">
        <v>2014</v>
      </c>
      <c r="G831" s="63">
        <f t="shared" si="56"/>
        <v>2.5</v>
      </c>
      <c r="H831" s="95">
        <v>1072.0899999999999</v>
      </c>
      <c r="I831" s="97">
        <f t="shared" si="57"/>
        <v>2680.2249999999999</v>
      </c>
    </row>
    <row r="832" spans="1:9" ht="45" hidden="1" outlineLevel="2">
      <c r="A832" s="93" t="s">
        <v>95</v>
      </c>
      <c r="B832" s="93" t="s">
        <v>81</v>
      </c>
      <c r="D832" s="63" t="s">
        <v>200</v>
      </c>
      <c r="E832" s="93" t="s">
        <v>67</v>
      </c>
      <c r="F832" s="96">
        <v>2015</v>
      </c>
      <c r="G832" s="63">
        <f t="shared" si="56"/>
        <v>1.5</v>
      </c>
      <c r="H832" s="95">
        <v>146443277.11000001</v>
      </c>
      <c r="I832" s="97">
        <f t="shared" si="57"/>
        <v>219664915.66500002</v>
      </c>
    </row>
    <row r="833" spans="1:10" ht="45" hidden="1" outlineLevel="2">
      <c r="A833" s="93" t="s">
        <v>95</v>
      </c>
      <c r="B833" s="93" t="s">
        <v>84</v>
      </c>
      <c r="D833" s="63" t="s">
        <v>200</v>
      </c>
      <c r="E833" s="93" t="s">
        <v>67</v>
      </c>
      <c r="F833" s="96">
        <v>2015</v>
      </c>
      <c r="G833" s="63">
        <f t="shared" si="56"/>
        <v>1.5</v>
      </c>
      <c r="H833" s="95">
        <v>20112.96</v>
      </c>
      <c r="I833" s="97">
        <f t="shared" si="57"/>
        <v>30169.439999999999</v>
      </c>
    </row>
    <row r="834" spans="1:10" ht="45" hidden="1" outlineLevel="2">
      <c r="A834" s="93" t="s">
        <v>95</v>
      </c>
      <c r="B834" s="93" t="s">
        <v>85</v>
      </c>
      <c r="D834" s="63" t="s">
        <v>200</v>
      </c>
      <c r="E834" s="93" t="s">
        <v>67</v>
      </c>
      <c r="F834" s="96">
        <v>2015</v>
      </c>
      <c r="G834" s="63">
        <f t="shared" si="56"/>
        <v>1.5</v>
      </c>
      <c r="H834" s="95">
        <v>0</v>
      </c>
      <c r="I834" s="97">
        <f t="shared" si="57"/>
        <v>0</v>
      </c>
    </row>
    <row r="835" spans="1:10" ht="45" hidden="1" outlineLevel="2">
      <c r="A835" s="93" t="s">
        <v>95</v>
      </c>
      <c r="B835" s="93" t="s">
        <v>81</v>
      </c>
      <c r="D835" s="63" t="s">
        <v>200</v>
      </c>
      <c r="E835" s="93" t="s">
        <v>67</v>
      </c>
      <c r="F835" s="96">
        <v>2016</v>
      </c>
      <c r="G835" s="63">
        <f t="shared" si="56"/>
        <v>0.5</v>
      </c>
      <c r="H835" s="95">
        <v>1021019.15</v>
      </c>
      <c r="I835" s="97">
        <f t="shared" si="57"/>
        <v>510509.57500000001</v>
      </c>
    </row>
    <row r="836" spans="1:10" ht="45" hidden="1" outlineLevel="2">
      <c r="A836" s="93" t="s">
        <v>95</v>
      </c>
      <c r="B836" s="93" t="s">
        <v>84</v>
      </c>
      <c r="D836" s="63" t="s">
        <v>200</v>
      </c>
      <c r="E836" s="93" t="s">
        <v>67</v>
      </c>
      <c r="F836" s="96">
        <v>2016</v>
      </c>
      <c r="G836" s="63">
        <f t="shared" si="56"/>
        <v>0.5</v>
      </c>
      <c r="H836" s="95">
        <v>70581.64</v>
      </c>
      <c r="I836" s="97">
        <f t="shared" si="57"/>
        <v>35290.82</v>
      </c>
    </row>
    <row r="837" spans="1:10" ht="45" hidden="1" outlineLevel="2">
      <c r="A837" s="93" t="s">
        <v>95</v>
      </c>
      <c r="B837" s="93" t="s">
        <v>85</v>
      </c>
      <c r="D837" s="63" t="s">
        <v>200</v>
      </c>
      <c r="E837" s="93" t="s">
        <v>67</v>
      </c>
      <c r="F837" s="96">
        <v>2016</v>
      </c>
      <c r="G837" s="63">
        <f t="shared" si="56"/>
        <v>0.5</v>
      </c>
      <c r="H837" s="95">
        <v>33523.99</v>
      </c>
      <c r="I837" s="97">
        <f t="shared" si="57"/>
        <v>16761.994999999999</v>
      </c>
    </row>
    <row r="838" spans="1:10" s="63" customFormat="1" ht="30" outlineLevel="1" collapsed="1">
      <c r="A838" s="26" t="str">
        <f>+A837</f>
        <v>Daniel</v>
      </c>
      <c r="B838" s="94"/>
      <c r="C838" s="26"/>
      <c r="D838" s="26" t="str">
        <f>+D837</f>
        <v>Daniel Common</v>
      </c>
      <c r="E838" s="94" t="s">
        <v>202</v>
      </c>
      <c r="F838" s="96"/>
      <c r="H838" s="95">
        <f>SUBTOTAL(9,H766:H837)</f>
        <v>182680843.82000002</v>
      </c>
      <c r="I838" s="97">
        <f>SUBTOTAL(9,I766:I837)</f>
        <v>1213473683.8699999</v>
      </c>
      <c r="J838" s="64">
        <f>+I838/H838</f>
        <v>6.6425885631755985</v>
      </c>
    </row>
    <row r="839" spans="1:10" ht="45" hidden="1" outlineLevel="2">
      <c r="A839" s="93" t="s">
        <v>95</v>
      </c>
      <c r="B839" s="93" t="s">
        <v>81</v>
      </c>
      <c r="D839" s="63" t="s">
        <v>200</v>
      </c>
      <c r="E839" s="93" t="s">
        <v>68</v>
      </c>
      <c r="F839" s="96">
        <v>1977</v>
      </c>
      <c r="G839" s="63">
        <f t="shared" ref="G839:G853" si="58">2016.5-F839</f>
        <v>39.5</v>
      </c>
      <c r="H839" s="95">
        <v>1701019.65</v>
      </c>
      <c r="I839" s="97">
        <f t="shared" ref="I839:I853" si="59">+G839*H839</f>
        <v>67190276.174999997</v>
      </c>
    </row>
    <row r="840" spans="1:10" ht="45" hidden="1" outlineLevel="2">
      <c r="A840" s="93" t="s">
        <v>95</v>
      </c>
      <c r="B840" s="93" t="s">
        <v>81</v>
      </c>
      <c r="D840" s="63" t="s">
        <v>200</v>
      </c>
      <c r="E840" s="93" t="s">
        <v>68</v>
      </c>
      <c r="F840" s="96">
        <v>1978</v>
      </c>
      <c r="G840" s="63">
        <f t="shared" si="58"/>
        <v>38.5</v>
      </c>
      <c r="H840" s="95">
        <v>20422.96</v>
      </c>
      <c r="I840" s="97">
        <f t="shared" si="59"/>
        <v>786283.96</v>
      </c>
    </row>
    <row r="841" spans="1:10" ht="45" hidden="1" outlineLevel="2">
      <c r="A841" s="93" t="s">
        <v>95</v>
      </c>
      <c r="B841" s="93" t="s">
        <v>81</v>
      </c>
      <c r="D841" s="63" t="s">
        <v>200</v>
      </c>
      <c r="E841" s="93" t="s">
        <v>68</v>
      </c>
      <c r="F841" s="96">
        <v>1981</v>
      </c>
      <c r="G841" s="63">
        <f t="shared" si="58"/>
        <v>35.5</v>
      </c>
      <c r="H841" s="95">
        <v>820416.15</v>
      </c>
      <c r="I841" s="97">
        <f t="shared" si="59"/>
        <v>29124773.324999999</v>
      </c>
    </row>
    <row r="842" spans="1:10" ht="45" hidden="1" outlineLevel="2">
      <c r="A842" s="93" t="s">
        <v>95</v>
      </c>
      <c r="B842" s="93" t="s">
        <v>81</v>
      </c>
      <c r="D842" s="63" t="s">
        <v>200</v>
      </c>
      <c r="E842" s="93" t="s">
        <v>68</v>
      </c>
      <c r="F842" s="96">
        <v>1985</v>
      </c>
      <c r="G842" s="63">
        <f t="shared" si="58"/>
        <v>31.5</v>
      </c>
      <c r="H842" s="95">
        <v>13541.93</v>
      </c>
      <c r="I842" s="97">
        <f t="shared" si="59"/>
        <v>426570.79499999998</v>
      </c>
    </row>
    <row r="843" spans="1:10" ht="45" hidden="1" outlineLevel="2">
      <c r="A843" s="93" t="s">
        <v>95</v>
      </c>
      <c r="B843" s="93" t="s">
        <v>81</v>
      </c>
      <c r="D843" s="63" t="s">
        <v>200</v>
      </c>
      <c r="E843" s="93" t="s">
        <v>68</v>
      </c>
      <c r="F843" s="96">
        <v>1990</v>
      </c>
      <c r="G843" s="63">
        <f t="shared" si="58"/>
        <v>26.5</v>
      </c>
      <c r="H843" s="95">
        <v>23279.52</v>
      </c>
      <c r="I843" s="97">
        <f t="shared" si="59"/>
        <v>616907.28</v>
      </c>
    </row>
    <row r="844" spans="1:10" ht="45" hidden="1" outlineLevel="2">
      <c r="A844" s="93" t="s">
        <v>95</v>
      </c>
      <c r="B844" s="93" t="s">
        <v>81</v>
      </c>
      <c r="D844" s="63" t="s">
        <v>200</v>
      </c>
      <c r="E844" s="93" t="s">
        <v>68</v>
      </c>
      <c r="F844" s="96">
        <v>1991</v>
      </c>
      <c r="G844" s="63">
        <f t="shared" si="58"/>
        <v>25.5</v>
      </c>
      <c r="H844" s="95">
        <v>1981.87</v>
      </c>
      <c r="I844" s="97">
        <f t="shared" si="59"/>
        <v>50537.684999999998</v>
      </c>
    </row>
    <row r="845" spans="1:10" ht="45" hidden="1" outlineLevel="2">
      <c r="A845" s="93" t="s">
        <v>95</v>
      </c>
      <c r="B845" s="93" t="s">
        <v>81</v>
      </c>
      <c r="D845" s="63" t="s">
        <v>200</v>
      </c>
      <c r="E845" s="93" t="s">
        <v>68</v>
      </c>
      <c r="F845" s="96">
        <v>1995</v>
      </c>
      <c r="G845" s="63">
        <f t="shared" si="58"/>
        <v>21.5</v>
      </c>
      <c r="H845" s="95">
        <v>64656.43</v>
      </c>
      <c r="I845" s="97">
        <f t="shared" si="59"/>
        <v>1390113.2450000001</v>
      </c>
    </row>
    <row r="846" spans="1:10" ht="45" hidden="1" outlineLevel="2">
      <c r="A846" s="93" t="s">
        <v>95</v>
      </c>
      <c r="B846" s="93" t="s">
        <v>81</v>
      </c>
      <c r="D846" s="63" t="s">
        <v>200</v>
      </c>
      <c r="E846" s="93" t="s">
        <v>68</v>
      </c>
      <c r="F846" s="96">
        <v>1998</v>
      </c>
      <c r="G846" s="63">
        <f t="shared" si="58"/>
        <v>18.5</v>
      </c>
      <c r="H846" s="95">
        <v>1106.6199999999999</v>
      </c>
      <c r="I846" s="97">
        <f t="shared" si="59"/>
        <v>20472.469999999998</v>
      </c>
    </row>
    <row r="847" spans="1:10" ht="45" hidden="1" outlineLevel="2">
      <c r="A847" s="93" t="s">
        <v>95</v>
      </c>
      <c r="B847" s="93" t="s">
        <v>81</v>
      </c>
      <c r="D847" s="63" t="s">
        <v>200</v>
      </c>
      <c r="E847" s="93" t="s">
        <v>68</v>
      </c>
      <c r="F847" s="96">
        <v>2001</v>
      </c>
      <c r="G847" s="63">
        <f t="shared" si="58"/>
        <v>15.5</v>
      </c>
      <c r="H847" s="95">
        <v>26538.22</v>
      </c>
      <c r="I847" s="97">
        <f t="shared" si="59"/>
        <v>411342.41000000003</v>
      </c>
    </row>
    <row r="848" spans="1:10" ht="45" hidden="1" outlineLevel="2">
      <c r="A848" s="93" t="s">
        <v>95</v>
      </c>
      <c r="B848" s="93" t="s">
        <v>81</v>
      </c>
      <c r="D848" s="63" t="s">
        <v>200</v>
      </c>
      <c r="E848" s="93" t="s">
        <v>68</v>
      </c>
      <c r="F848" s="96">
        <v>2003</v>
      </c>
      <c r="G848" s="63">
        <f t="shared" si="58"/>
        <v>13.5</v>
      </c>
      <c r="H848" s="95">
        <v>16153.76</v>
      </c>
      <c r="I848" s="97">
        <f t="shared" si="59"/>
        <v>218075.76</v>
      </c>
    </row>
    <row r="849" spans="1:10" ht="45" hidden="1" outlineLevel="2">
      <c r="A849" s="93" t="s">
        <v>95</v>
      </c>
      <c r="B849" s="93" t="s">
        <v>81</v>
      </c>
      <c r="D849" s="63" t="s">
        <v>200</v>
      </c>
      <c r="E849" s="93" t="s">
        <v>68</v>
      </c>
      <c r="F849" s="96">
        <v>2012</v>
      </c>
      <c r="G849" s="63">
        <f t="shared" si="58"/>
        <v>4.5</v>
      </c>
      <c r="H849" s="95">
        <v>170640.21</v>
      </c>
      <c r="I849" s="97">
        <f t="shared" si="59"/>
        <v>767880.94499999995</v>
      </c>
    </row>
    <row r="850" spans="1:10" ht="45" hidden="1" outlineLevel="2">
      <c r="A850" s="93" t="s">
        <v>95</v>
      </c>
      <c r="B850" s="93" t="s">
        <v>81</v>
      </c>
      <c r="D850" s="63" t="s">
        <v>200</v>
      </c>
      <c r="E850" s="93" t="s">
        <v>68</v>
      </c>
      <c r="F850" s="96">
        <v>2013</v>
      </c>
      <c r="G850" s="63">
        <f t="shared" si="58"/>
        <v>3.5</v>
      </c>
      <c r="H850" s="95">
        <v>143701.6</v>
      </c>
      <c r="I850" s="97">
        <f t="shared" si="59"/>
        <v>502955.60000000003</v>
      </c>
    </row>
    <row r="851" spans="1:10" ht="45" hidden="1" outlineLevel="2">
      <c r="A851" s="93" t="s">
        <v>95</v>
      </c>
      <c r="B851" s="93" t="s">
        <v>81</v>
      </c>
      <c r="D851" s="63" t="s">
        <v>200</v>
      </c>
      <c r="E851" s="93" t="s">
        <v>68</v>
      </c>
      <c r="F851" s="96">
        <v>2015</v>
      </c>
      <c r="G851" s="63">
        <f t="shared" si="58"/>
        <v>1.5</v>
      </c>
      <c r="H851" s="95">
        <v>192346.62</v>
      </c>
      <c r="I851" s="97">
        <f t="shared" si="59"/>
        <v>288519.93</v>
      </c>
    </row>
    <row r="852" spans="1:10" ht="45" hidden="1" outlineLevel="2">
      <c r="A852" s="93" t="s">
        <v>95</v>
      </c>
      <c r="B852" s="93" t="s">
        <v>85</v>
      </c>
      <c r="D852" s="63" t="s">
        <v>200</v>
      </c>
      <c r="E852" s="93" t="s">
        <v>68</v>
      </c>
      <c r="F852" s="96">
        <v>2015</v>
      </c>
      <c r="G852" s="63">
        <f t="shared" si="58"/>
        <v>1.5</v>
      </c>
      <c r="H852" s="95">
        <v>14338.83</v>
      </c>
      <c r="I852" s="97">
        <f t="shared" si="59"/>
        <v>21508.244999999999</v>
      </c>
    </row>
    <row r="853" spans="1:10" ht="45" hidden="1" outlineLevel="2">
      <c r="A853" s="93" t="s">
        <v>95</v>
      </c>
      <c r="B853" s="93" t="s">
        <v>81</v>
      </c>
      <c r="D853" s="63" t="s">
        <v>200</v>
      </c>
      <c r="E853" s="93" t="s">
        <v>68</v>
      </c>
      <c r="F853" s="96">
        <v>2016</v>
      </c>
      <c r="G853" s="63">
        <f t="shared" si="58"/>
        <v>0.5</v>
      </c>
      <c r="H853" s="95">
        <v>272946.28000000003</v>
      </c>
      <c r="I853" s="97">
        <f t="shared" si="59"/>
        <v>136473.14000000001</v>
      </c>
    </row>
    <row r="854" spans="1:10" s="63" customFormat="1" ht="30" outlineLevel="1" collapsed="1">
      <c r="A854" s="26" t="str">
        <f>+A853</f>
        <v>Daniel</v>
      </c>
      <c r="B854" s="94"/>
      <c r="C854" s="26"/>
      <c r="D854" s="26" t="str">
        <f>+D853</f>
        <v>Daniel Common</v>
      </c>
      <c r="E854" s="94" t="s">
        <v>203</v>
      </c>
      <c r="F854" s="96"/>
      <c r="H854" s="95">
        <f>SUBTOTAL(9,H839:H853)</f>
        <v>3483090.6500000004</v>
      </c>
      <c r="I854" s="97">
        <f>SUBTOTAL(9,I839:I853)</f>
        <v>101952690.965</v>
      </c>
      <c r="J854" s="64">
        <f>+I854/H854</f>
        <v>29.270754398826799</v>
      </c>
    </row>
    <row r="855" spans="1:10" ht="45" hidden="1" outlineLevel="2">
      <c r="A855" s="93" t="s">
        <v>95</v>
      </c>
      <c r="B855" s="93" t="s">
        <v>81</v>
      </c>
      <c r="D855" s="63" t="s">
        <v>200</v>
      </c>
      <c r="E855" s="93" t="s">
        <v>69</v>
      </c>
      <c r="F855" s="96">
        <v>1977</v>
      </c>
      <c r="G855" s="63">
        <f t="shared" ref="G855:G878" si="60">2016.5-F855</f>
        <v>39.5</v>
      </c>
      <c r="H855" s="95">
        <v>108961.5</v>
      </c>
      <c r="I855" s="97">
        <f t="shared" ref="I855:I878" si="61">+G855*H855</f>
        <v>4303979.25</v>
      </c>
    </row>
    <row r="856" spans="1:10" ht="45" hidden="1" outlineLevel="2">
      <c r="A856" s="93" t="s">
        <v>95</v>
      </c>
      <c r="B856" s="93" t="s">
        <v>81</v>
      </c>
      <c r="D856" s="63" t="s">
        <v>200</v>
      </c>
      <c r="E856" s="93" t="s">
        <v>69</v>
      </c>
      <c r="F856" s="96">
        <v>1983</v>
      </c>
      <c r="G856" s="63">
        <f t="shared" si="60"/>
        <v>33.5</v>
      </c>
      <c r="H856" s="95">
        <v>26140.23</v>
      </c>
      <c r="I856" s="97">
        <f t="shared" si="61"/>
        <v>875697.70499999996</v>
      </c>
    </row>
    <row r="857" spans="1:10" ht="45" hidden="1" outlineLevel="2">
      <c r="A857" s="93" t="s">
        <v>95</v>
      </c>
      <c r="B857" s="93" t="s">
        <v>81</v>
      </c>
      <c r="D857" s="63" t="s">
        <v>200</v>
      </c>
      <c r="E857" s="93" t="s">
        <v>69</v>
      </c>
      <c r="F857" s="96">
        <v>1984</v>
      </c>
      <c r="G857" s="63">
        <f t="shared" si="60"/>
        <v>32.5</v>
      </c>
      <c r="H857" s="95">
        <v>31013.49</v>
      </c>
      <c r="I857" s="97">
        <f t="shared" si="61"/>
        <v>1007938.425</v>
      </c>
    </row>
    <row r="858" spans="1:10" ht="45" hidden="1" outlineLevel="2">
      <c r="A858" s="93" t="s">
        <v>95</v>
      </c>
      <c r="B858" s="93" t="s">
        <v>81</v>
      </c>
      <c r="D858" s="63" t="s">
        <v>200</v>
      </c>
      <c r="E858" s="93" t="s">
        <v>69</v>
      </c>
      <c r="F858" s="96">
        <v>1986</v>
      </c>
      <c r="G858" s="63">
        <f t="shared" si="60"/>
        <v>30.5</v>
      </c>
      <c r="H858" s="95">
        <v>161845.94</v>
      </c>
      <c r="I858" s="97">
        <f t="shared" si="61"/>
        <v>4936301.17</v>
      </c>
    </row>
    <row r="859" spans="1:10" ht="45" hidden="1" outlineLevel="2">
      <c r="A859" s="93" t="s">
        <v>95</v>
      </c>
      <c r="B859" s="93" t="s">
        <v>81</v>
      </c>
      <c r="D859" s="63" t="s">
        <v>200</v>
      </c>
      <c r="E859" s="93" t="s">
        <v>69</v>
      </c>
      <c r="F859" s="96">
        <v>1994</v>
      </c>
      <c r="G859" s="63">
        <f t="shared" si="60"/>
        <v>22.5</v>
      </c>
      <c r="H859" s="95">
        <v>200243.43</v>
      </c>
      <c r="I859" s="97">
        <f t="shared" si="61"/>
        <v>4505477.1749999998</v>
      </c>
    </row>
    <row r="860" spans="1:10" ht="45" hidden="1" outlineLevel="2">
      <c r="A860" s="93" t="s">
        <v>95</v>
      </c>
      <c r="B860" s="93" t="s">
        <v>81</v>
      </c>
      <c r="D860" s="63" t="s">
        <v>200</v>
      </c>
      <c r="E860" s="93" t="s">
        <v>69</v>
      </c>
      <c r="F860" s="96">
        <v>1996</v>
      </c>
      <c r="G860" s="63">
        <f t="shared" si="60"/>
        <v>20.5</v>
      </c>
      <c r="H860" s="95">
        <v>194552.63</v>
      </c>
      <c r="I860" s="97">
        <f t="shared" si="61"/>
        <v>3988328.915</v>
      </c>
    </row>
    <row r="861" spans="1:10" ht="45" hidden="1" outlineLevel="2">
      <c r="A861" s="93" t="s">
        <v>95</v>
      </c>
      <c r="B861" s="93" t="s">
        <v>81</v>
      </c>
      <c r="D861" s="63" t="s">
        <v>200</v>
      </c>
      <c r="E861" s="93" t="s">
        <v>69</v>
      </c>
      <c r="F861" s="96">
        <v>2001</v>
      </c>
      <c r="G861" s="63">
        <f t="shared" si="60"/>
        <v>15.5</v>
      </c>
      <c r="H861" s="95">
        <v>178122.3</v>
      </c>
      <c r="I861" s="97">
        <f t="shared" si="61"/>
        <v>2760895.65</v>
      </c>
    </row>
    <row r="862" spans="1:10" ht="45" hidden="1" outlineLevel="2">
      <c r="A862" s="93" t="s">
        <v>95</v>
      </c>
      <c r="B862" s="93" t="s">
        <v>84</v>
      </c>
      <c r="D862" s="63" t="s">
        <v>200</v>
      </c>
      <c r="E862" s="93" t="s">
        <v>69</v>
      </c>
      <c r="F862" s="96">
        <v>2001</v>
      </c>
      <c r="G862" s="63">
        <f t="shared" si="60"/>
        <v>15.5</v>
      </c>
      <c r="H862" s="95">
        <v>13583.03</v>
      </c>
      <c r="I862" s="97">
        <f t="shared" si="61"/>
        <v>210536.965</v>
      </c>
    </row>
    <row r="863" spans="1:10" ht="45" hidden="1" outlineLevel="2">
      <c r="A863" s="93" t="s">
        <v>95</v>
      </c>
      <c r="B863" s="93" t="s">
        <v>81</v>
      </c>
      <c r="D863" s="63" t="s">
        <v>200</v>
      </c>
      <c r="E863" s="93" t="s">
        <v>69</v>
      </c>
      <c r="F863" s="96">
        <v>2003</v>
      </c>
      <c r="G863" s="63">
        <f t="shared" si="60"/>
        <v>13.5</v>
      </c>
      <c r="H863" s="95">
        <v>5362.74</v>
      </c>
      <c r="I863" s="97">
        <f t="shared" si="61"/>
        <v>72396.989999999991</v>
      </c>
    </row>
    <row r="864" spans="1:10" ht="45" hidden="1" outlineLevel="2">
      <c r="A864" s="93" t="s">
        <v>95</v>
      </c>
      <c r="B864" s="93" t="s">
        <v>85</v>
      </c>
      <c r="D864" s="63" t="s">
        <v>200</v>
      </c>
      <c r="E864" s="93" t="s">
        <v>69</v>
      </c>
      <c r="F864" s="96">
        <v>2003</v>
      </c>
      <c r="G864" s="63">
        <f t="shared" si="60"/>
        <v>13.5</v>
      </c>
      <c r="H864" s="95">
        <v>44924.35</v>
      </c>
      <c r="I864" s="97">
        <f t="shared" si="61"/>
        <v>606478.72499999998</v>
      </c>
    </row>
    <row r="865" spans="1:10" ht="45" hidden="1" outlineLevel="2">
      <c r="A865" s="93" t="s">
        <v>95</v>
      </c>
      <c r="B865" s="93" t="s">
        <v>81</v>
      </c>
      <c r="D865" s="63" t="s">
        <v>200</v>
      </c>
      <c r="E865" s="93" t="s">
        <v>69</v>
      </c>
      <c r="F865" s="96">
        <v>2006</v>
      </c>
      <c r="G865" s="63">
        <f t="shared" si="60"/>
        <v>10.5</v>
      </c>
      <c r="H865" s="95">
        <v>35253.08</v>
      </c>
      <c r="I865" s="97">
        <f t="shared" si="61"/>
        <v>370157.34</v>
      </c>
    </row>
    <row r="866" spans="1:10" ht="45" hidden="1" outlineLevel="2">
      <c r="A866" s="93" t="s">
        <v>95</v>
      </c>
      <c r="B866" s="93" t="s">
        <v>81</v>
      </c>
      <c r="D866" s="63" t="s">
        <v>200</v>
      </c>
      <c r="E866" s="93" t="s">
        <v>69</v>
      </c>
      <c r="F866" s="96">
        <v>2007</v>
      </c>
      <c r="G866" s="63">
        <f t="shared" si="60"/>
        <v>9.5</v>
      </c>
      <c r="H866" s="95">
        <v>3901.55</v>
      </c>
      <c r="I866" s="97">
        <f t="shared" si="61"/>
        <v>37064.724999999999</v>
      </c>
    </row>
    <row r="867" spans="1:10" ht="45" hidden="1" outlineLevel="2">
      <c r="A867" s="93" t="s">
        <v>95</v>
      </c>
      <c r="B867" s="93" t="s">
        <v>81</v>
      </c>
      <c r="D867" s="63" t="s">
        <v>200</v>
      </c>
      <c r="E867" s="93" t="s">
        <v>69</v>
      </c>
      <c r="F867" s="96">
        <v>2008</v>
      </c>
      <c r="G867" s="63">
        <f t="shared" si="60"/>
        <v>8.5</v>
      </c>
      <c r="H867" s="95">
        <v>8265.14</v>
      </c>
      <c r="I867" s="97">
        <f t="shared" si="61"/>
        <v>70253.69</v>
      </c>
    </row>
    <row r="868" spans="1:10" ht="45" hidden="1" outlineLevel="2">
      <c r="A868" s="93" t="s">
        <v>95</v>
      </c>
      <c r="B868" s="93" t="s">
        <v>81</v>
      </c>
      <c r="D868" s="63" t="s">
        <v>200</v>
      </c>
      <c r="E868" s="93" t="s">
        <v>69</v>
      </c>
      <c r="F868" s="96">
        <v>2009</v>
      </c>
      <c r="G868" s="63">
        <f t="shared" si="60"/>
        <v>7.5</v>
      </c>
      <c r="H868" s="95">
        <v>47680</v>
      </c>
      <c r="I868" s="97">
        <f t="shared" si="61"/>
        <v>357600</v>
      </c>
    </row>
    <row r="869" spans="1:10" ht="45" hidden="1" outlineLevel="2">
      <c r="A869" s="93" t="s">
        <v>95</v>
      </c>
      <c r="B869" s="93" t="s">
        <v>85</v>
      </c>
      <c r="D869" s="63" t="s">
        <v>200</v>
      </c>
      <c r="E869" s="93" t="s">
        <v>69</v>
      </c>
      <c r="F869" s="96">
        <v>2009</v>
      </c>
      <c r="G869" s="63">
        <f t="shared" si="60"/>
        <v>7.5</v>
      </c>
      <c r="H869" s="95">
        <v>79617.22</v>
      </c>
      <c r="I869" s="97">
        <f t="shared" si="61"/>
        <v>597129.15</v>
      </c>
    </row>
    <row r="870" spans="1:10" ht="45" hidden="1" outlineLevel="2">
      <c r="A870" s="93" t="s">
        <v>95</v>
      </c>
      <c r="B870" s="93" t="s">
        <v>81</v>
      </c>
      <c r="D870" s="63" t="s">
        <v>200</v>
      </c>
      <c r="E870" s="93" t="s">
        <v>69</v>
      </c>
      <c r="F870" s="96">
        <v>2010</v>
      </c>
      <c r="G870" s="63">
        <f t="shared" si="60"/>
        <v>6.5</v>
      </c>
      <c r="H870" s="95">
        <v>68012.149999999994</v>
      </c>
      <c r="I870" s="97">
        <f t="shared" si="61"/>
        <v>442078.97499999998</v>
      </c>
    </row>
    <row r="871" spans="1:10" ht="45" hidden="1" outlineLevel="2">
      <c r="A871" s="93" t="s">
        <v>95</v>
      </c>
      <c r="B871" s="93" t="s">
        <v>81</v>
      </c>
      <c r="D871" s="63" t="s">
        <v>200</v>
      </c>
      <c r="E871" s="93" t="s">
        <v>69</v>
      </c>
      <c r="F871" s="96">
        <v>2011</v>
      </c>
      <c r="G871" s="63">
        <f t="shared" si="60"/>
        <v>5.5</v>
      </c>
      <c r="H871" s="95">
        <v>12522.41</v>
      </c>
      <c r="I871" s="97">
        <f t="shared" si="61"/>
        <v>68873.255000000005</v>
      </c>
    </row>
    <row r="872" spans="1:10" ht="45" hidden="1" outlineLevel="2">
      <c r="A872" s="93" t="s">
        <v>95</v>
      </c>
      <c r="B872" s="93" t="s">
        <v>81</v>
      </c>
      <c r="D872" s="63" t="s">
        <v>200</v>
      </c>
      <c r="E872" s="93" t="s">
        <v>69</v>
      </c>
      <c r="F872" s="96">
        <v>2012</v>
      </c>
      <c r="G872" s="63">
        <f t="shared" si="60"/>
        <v>4.5</v>
      </c>
      <c r="H872" s="95">
        <v>28767.88</v>
      </c>
      <c r="I872" s="97">
        <f t="shared" si="61"/>
        <v>129455.46</v>
      </c>
    </row>
    <row r="873" spans="1:10" ht="45" hidden="1" outlineLevel="2">
      <c r="A873" s="93" t="s">
        <v>95</v>
      </c>
      <c r="B873" s="93" t="s">
        <v>81</v>
      </c>
      <c r="D873" s="63" t="s">
        <v>200</v>
      </c>
      <c r="E873" s="93" t="s">
        <v>69</v>
      </c>
      <c r="F873" s="96">
        <v>2013</v>
      </c>
      <c r="G873" s="63">
        <f t="shared" si="60"/>
        <v>3.5</v>
      </c>
      <c r="H873" s="95">
        <v>7616</v>
      </c>
      <c r="I873" s="97">
        <f t="shared" si="61"/>
        <v>26656</v>
      </c>
    </row>
    <row r="874" spans="1:10" ht="45" hidden="1" outlineLevel="2">
      <c r="A874" s="93" t="s">
        <v>95</v>
      </c>
      <c r="B874" s="93" t="s">
        <v>81</v>
      </c>
      <c r="D874" s="63" t="s">
        <v>200</v>
      </c>
      <c r="E874" s="93" t="s">
        <v>69</v>
      </c>
      <c r="F874" s="96">
        <v>2014</v>
      </c>
      <c r="G874" s="63">
        <f t="shared" si="60"/>
        <v>2.5</v>
      </c>
      <c r="H874" s="95">
        <v>17157.47</v>
      </c>
      <c r="I874" s="97">
        <f t="shared" si="61"/>
        <v>42893.675000000003</v>
      </c>
    </row>
    <row r="875" spans="1:10" ht="45" hidden="1" outlineLevel="2">
      <c r="A875" s="93" t="s">
        <v>95</v>
      </c>
      <c r="B875" s="93" t="s">
        <v>81</v>
      </c>
      <c r="D875" s="63" t="s">
        <v>200</v>
      </c>
      <c r="E875" s="93" t="s">
        <v>69</v>
      </c>
      <c r="F875" s="96">
        <v>2015</v>
      </c>
      <c r="G875" s="63">
        <f t="shared" si="60"/>
        <v>1.5</v>
      </c>
      <c r="H875" s="95">
        <v>16211601.970000001</v>
      </c>
      <c r="I875" s="97">
        <f t="shared" si="61"/>
        <v>24317402.955000002</v>
      </c>
    </row>
    <row r="876" spans="1:10" ht="45" hidden="1" outlineLevel="2">
      <c r="A876" s="93" t="s">
        <v>95</v>
      </c>
      <c r="B876" s="93" t="s">
        <v>81</v>
      </c>
      <c r="D876" s="63" t="s">
        <v>200</v>
      </c>
      <c r="E876" s="93" t="s">
        <v>69</v>
      </c>
      <c r="F876" s="96">
        <v>2016</v>
      </c>
      <c r="G876" s="63">
        <f t="shared" si="60"/>
        <v>0.5</v>
      </c>
      <c r="H876" s="95">
        <v>60137.279999999999</v>
      </c>
      <c r="I876" s="97">
        <f t="shared" si="61"/>
        <v>30068.639999999999</v>
      </c>
    </row>
    <row r="877" spans="1:10" ht="45" hidden="1" outlineLevel="2">
      <c r="A877" s="93" t="s">
        <v>95</v>
      </c>
      <c r="B877" s="93" t="s">
        <v>84</v>
      </c>
      <c r="D877" s="63" t="s">
        <v>200</v>
      </c>
      <c r="E877" s="93" t="s">
        <v>69</v>
      </c>
      <c r="F877" s="96">
        <v>2016</v>
      </c>
      <c r="G877" s="63">
        <f t="shared" si="60"/>
        <v>0.5</v>
      </c>
      <c r="H877" s="95">
        <v>766.58</v>
      </c>
      <c r="I877" s="97">
        <f t="shared" si="61"/>
        <v>383.29</v>
      </c>
    </row>
    <row r="878" spans="1:10" ht="45" hidden="1" outlineLevel="2">
      <c r="A878" s="93" t="s">
        <v>95</v>
      </c>
      <c r="B878" s="93" t="s">
        <v>85</v>
      </c>
      <c r="D878" s="63" t="s">
        <v>200</v>
      </c>
      <c r="E878" s="93" t="s">
        <v>69</v>
      </c>
      <c r="F878" s="96">
        <v>2016</v>
      </c>
      <c r="G878" s="63">
        <f t="shared" si="60"/>
        <v>0.5</v>
      </c>
      <c r="H878" s="95">
        <v>6624.63</v>
      </c>
      <c r="I878" s="97">
        <f t="shared" si="61"/>
        <v>3312.3150000000001</v>
      </c>
    </row>
    <row r="879" spans="1:10" s="63" customFormat="1" ht="30" outlineLevel="1" collapsed="1">
      <c r="A879" s="26" t="str">
        <f>+A878</f>
        <v>Daniel</v>
      </c>
      <c r="B879" s="94"/>
      <c r="C879" s="26"/>
      <c r="D879" s="26" t="str">
        <f>+D878</f>
        <v>Daniel Common</v>
      </c>
      <c r="E879" s="94" t="s">
        <v>204</v>
      </c>
      <c r="F879" s="96"/>
      <c r="H879" s="95">
        <f>SUBTOTAL(9,H855:H878)</f>
        <v>17552673</v>
      </c>
      <c r="I879" s="97">
        <f>SUBTOTAL(9,I855:I878)</f>
        <v>49761360.440000005</v>
      </c>
      <c r="J879" s="64">
        <f>+I879/H879</f>
        <v>2.8349733650253728</v>
      </c>
    </row>
    <row r="880" spans="1:10" ht="45" hidden="1" outlineLevel="2">
      <c r="A880" s="93" t="s">
        <v>95</v>
      </c>
      <c r="B880" s="93" t="s">
        <v>81</v>
      </c>
      <c r="D880" s="63" t="s">
        <v>200</v>
      </c>
      <c r="E880" s="93" t="s">
        <v>75</v>
      </c>
      <c r="F880" s="96">
        <v>1977</v>
      </c>
      <c r="G880" s="63">
        <f t="shared" ref="G880:G901" si="62">2016.5-F880</f>
        <v>39.5</v>
      </c>
      <c r="H880" s="95">
        <v>8164.9</v>
      </c>
      <c r="I880" s="97">
        <f t="shared" ref="I880:I901" si="63">+G880*H880</f>
        <v>322513.55</v>
      </c>
    </row>
    <row r="881" spans="1:9" ht="45" hidden="1" outlineLevel="2">
      <c r="A881" s="93" t="s">
        <v>95</v>
      </c>
      <c r="B881" s="93" t="s">
        <v>81</v>
      </c>
      <c r="D881" s="63" t="s">
        <v>200</v>
      </c>
      <c r="E881" s="93" t="s">
        <v>75</v>
      </c>
      <c r="F881" s="96">
        <v>1980</v>
      </c>
      <c r="G881" s="63">
        <f t="shared" si="62"/>
        <v>36.5</v>
      </c>
      <c r="H881" s="95">
        <v>138528.95999999999</v>
      </c>
      <c r="I881" s="97">
        <f t="shared" si="63"/>
        <v>5056307.04</v>
      </c>
    </row>
    <row r="882" spans="1:9" ht="45" hidden="1" outlineLevel="2">
      <c r="A882" s="93" t="s">
        <v>95</v>
      </c>
      <c r="B882" s="93" t="s">
        <v>81</v>
      </c>
      <c r="D882" s="63" t="s">
        <v>200</v>
      </c>
      <c r="E882" s="93" t="s">
        <v>75</v>
      </c>
      <c r="F882" s="96">
        <v>1981</v>
      </c>
      <c r="G882" s="63">
        <f t="shared" si="62"/>
        <v>35.5</v>
      </c>
      <c r="H882" s="95">
        <v>450943.83</v>
      </c>
      <c r="I882" s="97">
        <f t="shared" si="63"/>
        <v>16008505.965</v>
      </c>
    </row>
    <row r="883" spans="1:9" ht="45" hidden="1" outlineLevel="2">
      <c r="A883" s="93" t="s">
        <v>95</v>
      </c>
      <c r="B883" s="93" t="s">
        <v>81</v>
      </c>
      <c r="D883" s="63" t="s">
        <v>200</v>
      </c>
      <c r="E883" s="93" t="s">
        <v>75</v>
      </c>
      <c r="F883" s="96">
        <v>1983</v>
      </c>
      <c r="G883" s="63">
        <f t="shared" si="62"/>
        <v>33.5</v>
      </c>
      <c r="H883" s="95">
        <v>448339.91</v>
      </c>
      <c r="I883" s="97">
        <f t="shared" si="63"/>
        <v>15019386.984999999</v>
      </c>
    </row>
    <row r="884" spans="1:9" ht="45" hidden="1" outlineLevel="2">
      <c r="A884" s="93" t="s">
        <v>95</v>
      </c>
      <c r="B884" s="93" t="s">
        <v>81</v>
      </c>
      <c r="D884" s="63" t="s">
        <v>200</v>
      </c>
      <c r="E884" s="93" t="s">
        <v>75</v>
      </c>
      <c r="F884" s="96">
        <v>1984</v>
      </c>
      <c r="G884" s="63">
        <f t="shared" si="62"/>
        <v>32.5</v>
      </c>
      <c r="H884" s="95">
        <v>53463.71</v>
      </c>
      <c r="I884" s="97">
        <f t="shared" si="63"/>
        <v>1737570.575</v>
      </c>
    </row>
    <row r="885" spans="1:9" ht="45" hidden="1" outlineLevel="2">
      <c r="A885" s="93" t="s">
        <v>95</v>
      </c>
      <c r="B885" s="93" t="s">
        <v>81</v>
      </c>
      <c r="D885" s="63" t="s">
        <v>200</v>
      </c>
      <c r="E885" s="93" t="s">
        <v>75</v>
      </c>
      <c r="F885" s="96">
        <v>1986</v>
      </c>
      <c r="G885" s="63">
        <f t="shared" si="62"/>
        <v>30.5</v>
      </c>
      <c r="H885" s="95">
        <v>140022.39000000001</v>
      </c>
      <c r="I885" s="97">
        <f t="shared" si="63"/>
        <v>4270682.8950000005</v>
      </c>
    </row>
    <row r="886" spans="1:9" ht="45" hidden="1" outlineLevel="2">
      <c r="A886" s="93" t="s">
        <v>95</v>
      </c>
      <c r="B886" s="93" t="s">
        <v>81</v>
      </c>
      <c r="D886" s="63" t="s">
        <v>200</v>
      </c>
      <c r="E886" s="93" t="s">
        <v>75</v>
      </c>
      <c r="F886" s="96">
        <v>1987</v>
      </c>
      <c r="G886" s="63">
        <f t="shared" si="62"/>
        <v>29.5</v>
      </c>
      <c r="H886" s="95">
        <v>565100.35</v>
      </c>
      <c r="I886" s="97">
        <f t="shared" si="63"/>
        <v>16670460.324999999</v>
      </c>
    </row>
    <row r="887" spans="1:9" ht="45" hidden="1" outlineLevel="2">
      <c r="A887" s="93" t="s">
        <v>95</v>
      </c>
      <c r="B887" s="93" t="s">
        <v>85</v>
      </c>
      <c r="D887" s="63" t="s">
        <v>200</v>
      </c>
      <c r="E887" s="93" t="s">
        <v>75</v>
      </c>
      <c r="F887" s="96">
        <v>2001</v>
      </c>
      <c r="G887" s="63">
        <f t="shared" si="62"/>
        <v>15.5</v>
      </c>
      <c r="H887" s="95">
        <v>100392.68</v>
      </c>
      <c r="I887" s="97">
        <f t="shared" si="63"/>
        <v>1556086.5399999998</v>
      </c>
    </row>
    <row r="888" spans="1:9" ht="45" hidden="1" outlineLevel="2">
      <c r="A888" s="93" t="s">
        <v>95</v>
      </c>
      <c r="B888" s="93" t="s">
        <v>85</v>
      </c>
      <c r="D888" s="63" t="s">
        <v>200</v>
      </c>
      <c r="E888" s="93" t="s">
        <v>75</v>
      </c>
      <c r="F888" s="96">
        <v>2003</v>
      </c>
      <c r="G888" s="63">
        <f t="shared" si="62"/>
        <v>13.5</v>
      </c>
      <c r="H888" s="95">
        <v>78258.33</v>
      </c>
      <c r="I888" s="97">
        <f t="shared" si="63"/>
        <v>1056487.4550000001</v>
      </c>
    </row>
    <row r="889" spans="1:9" ht="45" hidden="1" outlineLevel="2">
      <c r="A889" s="93" t="s">
        <v>95</v>
      </c>
      <c r="B889" s="93" t="s">
        <v>81</v>
      </c>
      <c r="D889" s="63" t="s">
        <v>200</v>
      </c>
      <c r="E889" s="93" t="s">
        <v>75</v>
      </c>
      <c r="F889" s="96">
        <v>2004</v>
      </c>
      <c r="G889" s="63">
        <f t="shared" si="62"/>
        <v>12.5</v>
      </c>
      <c r="H889" s="95">
        <v>9383.76</v>
      </c>
      <c r="I889" s="97">
        <f t="shared" si="63"/>
        <v>117297</v>
      </c>
    </row>
    <row r="890" spans="1:9" ht="45" hidden="1" outlineLevel="2">
      <c r="A890" s="93" t="s">
        <v>95</v>
      </c>
      <c r="B890" s="93" t="s">
        <v>85</v>
      </c>
      <c r="D890" s="63" t="s">
        <v>200</v>
      </c>
      <c r="E890" s="93" t="s">
        <v>75</v>
      </c>
      <c r="F890" s="96">
        <v>2004</v>
      </c>
      <c r="G890" s="63">
        <f t="shared" si="62"/>
        <v>12.5</v>
      </c>
      <c r="H890" s="95">
        <v>184898.5</v>
      </c>
      <c r="I890" s="97">
        <f t="shared" si="63"/>
        <v>2311231.25</v>
      </c>
    </row>
    <row r="891" spans="1:9" ht="45" hidden="1" outlineLevel="2">
      <c r="A891" s="93" t="s">
        <v>95</v>
      </c>
      <c r="B891" s="93" t="s">
        <v>85</v>
      </c>
      <c r="D891" s="63" t="s">
        <v>200</v>
      </c>
      <c r="E891" s="93" t="s">
        <v>75</v>
      </c>
      <c r="F891" s="96">
        <v>2005</v>
      </c>
      <c r="G891" s="63">
        <f t="shared" si="62"/>
        <v>11.5</v>
      </c>
      <c r="H891" s="95">
        <v>942996.3</v>
      </c>
      <c r="I891" s="97">
        <f t="shared" si="63"/>
        <v>10844457.450000001</v>
      </c>
    </row>
    <row r="892" spans="1:9" ht="45" hidden="1" outlineLevel="2">
      <c r="A892" s="93" t="s">
        <v>95</v>
      </c>
      <c r="B892" s="93" t="s">
        <v>85</v>
      </c>
      <c r="D892" s="63" t="s">
        <v>200</v>
      </c>
      <c r="E892" s="93" t="s">
        <v>75</v>
      </c>
      <c r="F892" s="96">
        <v>2006</v>
      </c>
      <c r="G892" s="63">
        <f t="shared" si="62"/>
        <v>10.5</v>
      </c>
      <c r="H892" s="95">
        <v>9261.02</v>
      </c>
      <c r="I892" s="97">
        <f t="shared" si="63"/>
        <v>97240.71</v>
      </c>
    </row>
    <row r="893" spans="1:9" ht="45" hidden="1" outlineLevel="2">
      <c r="A893" s="93" t="s">
        <v>95</v>
      </c>
      <c r="B893" s="93" t="s">
        <v>85</v>
      </c>
      <c r="D893" s="63" t="s">
        <v>200</v>
      </c>
      <c r="E893" s="93" t="s">
        <v>75</v>
      </c>
      <c r="F893" s="96">
        <v>2009</v>
      </c>
      <c r="G893" s="63">
        <f t="shared" si="62"/>
        <v>7.5</v>
      </c>
      <c r="H893" s="95">
        <v>3858.75</v>
      </c>
      <c r="I893" s="97">
        <f t="shared" si="63"/>
        <v>28940.625</v>
      </c>
    </row>
    <row r="894" spans="1:9" ht="45" hidden="1" outlineLevel="2">
      <c r="A894" s="93" t="s">
        <v>95</v>
      </c>
      <c r="B894" s="93" t="s">
        <v>81</v>
      </c>
      <c r="D894" s="63" t="s">
        <v>200</v>
      </c>
      <c r="E894" s="93" t="s">
        <v>75</v>
      </c>
      <c r="F894" s="96">
        <v>2011</v>
      </c>
      <c r="G894" s="63">
        <f t="shared" si="62"/>
        <v>5.5</v>
      </c>
      <c r="H894" s="95">
        <v>62274.39</v>
      </c>
      <c r="I894" s="97">
        <f t="shared" si="63"/>
        <v>342509.14500000002</v>
      </c>
    </row>
    <row r="895" spans="1:9" ht="45" hidden="1" outlineLevel="2">
      <c r="A895" s="93" t="s">
        <v>95</v>
      </c>
      <c r="B895" s="93" t="s">
        <v>85</v>
      </c>
      <c r="D895" s="63" t="s">
        <v>200</v>
      </c>
      <c r="E895" s="93" t="s">
        <v>75</v>
      </c>
      <c r="F895" s="96">
        <v>2013</v>
      </c>
      <c r="G895" s="63">
        <f t="shared" si="62"/>
        <v>3.5</v>
      </c>
      <c r="H895" s="95">
        <v>7327.11</v>
      </c>
      <c r="I895" s="97">
        <f t="shared" si="63"/>
        <v>25644.884999999998</v>
      </c>
    </row>
    <row r="896" spans="1:9" ht="45" hidden="1" outlineLevel="2">
      <c r="A896" s="93" t="s">
        <v>95</v>
      </c>
      <c r="B896" s="93" t="s">
        <v>84</v>
      </c>
      <c r="D896" s="63" t="s">
        <v>200</v>
      </c>
      <c r="E896" s="93" t="s">
        <v>75</v>
      </c>
      <c r="F896" s="96">
        <v>2014</v>
      </c>
      <c r="G896" s="63">
        <f t="shared" si="62"/>
        <v>2.5</v>
      </c>
      <c r="H896" s="95">
        <v>12439.29</v>
      </c>
      <c r="I896" s="97">
        <f t="shared" si="63"/>
        <v>31098.225000000002</v>
      </c>
    </row>
    <row r="897" spans="1:10" ht="45" hidden="1" outlineLevel="2">
      <c r="A897" s="93" t="s">
        <v>95</v>
      </c>
      <c r="B897" s="93" t="s">
        <v>81</v>
      </c>
      <c r="D897" s="63" t="s">
        <v>200</v>
      </c>
      <c r="E897" s="93" t="s">
        <v>75</v>
      </c>
      <c r="F897" s="96">
        <v>2015</v>
      </c>
      <c r="G897" s="63">
        <f t="shared" si="62"/>
        <v>1.5</v>
      </c>
      <c r="H897" s="95">
        <v>131888.12</v>
      </c>
      <c r="I897" s="97">
        <f t="shared" si="63"/>
        <v>197832.18</v>
      </c>
    </row>
    <row r="898" spans="1:10" ht="45" hidden="1" outlineLevel="2">
      <c r="A898" s="93" t="s">
        <v>95</v>
      </c>
      <c r="B898" s="93" t="s">
        <v>84</v>
      </c>
      <c r="D898" s="63" t="s">
        <v>200</v>
      </c>
      <c r="E898" s="93" t="s">
        <v>75</v>
      </c>
      <c r="F898" s="96">
        <v>2015</v>
      </c>
      <c r="G898" s="63">
        <f t="shared" si="62"/>
        <v>1.5</v>
      </c>
      <c r="H898" s="95">
        <v>0.28999999999999998</v>
      </c>
      <c r="I898" s="97">
        <f t="shared" si="63"/>
        <v>0.43499999999999994</v>
      </c>
    </row>
    <row r="899" spans="1:10" ht="45" hidden="1" outlineLevel="2">
      <c r="A899" s="93" t="s">
        <v>95</v>
      </c>
      <c r="B899" s="93" t="s">
        <v>85</v>
      </c>
      <c r="D899" s="63" t="s">
        <v>200</v>
      </c>
      <c r="E899" s="93" t="s">
        <v>75</v>
      </c>
      <c r="F899" s="96">
        <v>2015</v>
      </c>
      <c r="G899" s="63">
        <f t="shared" si="62"/>
        <v>1.5</v>
      </c>
      <c r="H899" s="95">
        <v>138462.35</v>
      </c>
      <c r="I899" s="97">
        <f t="shared" si="63"/>
        <v>207693.52500000002</v>
      </c>
    </row>
    <row r="900" spans="1:10" ht="45" hidden="1" outlineLevel="2">
      <c r="A900" s="93" t="s">
        <v>95</v>
      </c>
      <c r="B900" s="93" t="s">
        <v>81</v>
      </c>
      <c r="D900" s="63" t="s">
        <v>200</v>
      </c>
      <c r="E900" s="93" t="s">
        <v>75</v>
      </c>
      <c r="F900" s="96">
        <v>2016</v>
      </c>
      <c r="G900" s="63">
        <f t="shared" si="62"/>
        <v>0.5</v>
      </c>
      <c r="H900" s="95">
        <v>758216.35</v>
      </c>
      <c r="I900" s="97">
        <f t="shared" si="63"/>
        <v>379108.17499999999</v>
      </c>
    </row>
    <row r="901" spans="1:10" ht="45" hidden="1" outlineLevel="2">
      <c r="A901" s="93" t="s">
        <v>95</v>
      </c>
      <c r="B901" s="93" t="s">
        <v>85</v>
      </c>
      <c r="D901" s="63" t="s">
        <v>200</v>
      </c>
      <c r="E901" s="93" t="s">
        <v>75</v>
      </c>
      <c r="F901" s="96">
        <v>2016</v>
      </c>
      <c r="G901" s="63">
        <f t="shared" si="62"/>
        <v>0.5</v>
      </c>
      <c r="H901" s="95">
        <v>440264.32</v>
      </c>
      <c r="I901" s="97">
        <f t="shared" si="63"/>
        <v>220132.16</v>
      </c>
    </row>
    <row r="902" spans="1:10" s="63" customFormat="1" ht="30" outlineLevel="1" collapsed="1">
      <c r="A902" s="26" t="str">
        <f>+A901</f>
        <v>Daniel</v>
      </c>
      <c r="B902" s="94"/>
      <c r="C902" s="26"/>
      <c r="D902" s="26" t="str">
        <f>+D901</f>
        <v>Daniel Common</v>
      </c>
      <c r="E902" s="94" t="s">
        <v>206</v>
      </c>
      <c r="F902" s="96"/>
      <c r="H902" s="95">
        <f>SUBTOTAL(9,H880:H901)</f>
        <v>4684485.6100000003</v>
      </c>
      <c r="I902" s="97">
        <f>SUBTOTAL(9,I880:I901)</f>
        <v>76501187.094999999</v>
      </c>
      <c r="J902" s="64">
        <f>+I902/H902</f>
        <v>16.330755063414529</v>
      </c>
    </row>
    <row r="903" spans="1:10" ht="45" hidden="1" outlineLevel="2">
      <c r="A903" s="93" t="s">
        <v>95</v>
      </c>
      <c r="B903" s="93" t="s">
        <v>81</v>
      </c>
      <c r="D903" s="98" t="s">
        <v>191</v>
      </c>
      <c r="E903" s="93" t="s">
        <v>82</v>
      </c>
      <c r="F903" s="96">
        <v>1977</v>
      </c>
      <c r="G903" s="63">
        <f>2016.5-F903</f>
        <v>39.5</v>
      </c>
      <c r="H903" s="95">
        <v>77160.27</v>
      </c>
      <c r="I903" s="97">
        <f>+G903*H903</f>
        <v>3047830.665</v>
      </c>
    </row>
    <row r="904" spans="1:10" s="63" customFormat="1" outlineLevel="1" collapsed="1">
      <c r="A904" s="26" t="str">
        <f>+A903</f>
        <v>Daniel</v>
      </c>
      <c r="B904" s="94"/>
      <c r="C904" s="26"/>
      <c r="D904" s="26" t="str">
        <f>+D903</f>
        <v>Daniel Easement</v>
      </c>
      <c r="E904" s="94" t="s">
        <v>207</v>
      </c>
      <c r="F904" s="96"/>
      <c r="H904" s="95">
        <f>SUBTOTAL(9,H903:H903)</f>
        <v>77160.27</v>
      </c>
      <c r="I904" s="97">
        <f>SUBTOTAL(9,I903:I903)</f>
        <v>3047830.665</v>
      </c>
      <c r="J904" s="64">
        <f>+I904/H904</f>
        <v>39.5</v>
      </c>
    </row>
    <row r="905" spans="1:10" ht="45" hidden="1" outlineLevel="2">
      <c r="A905" s="93" t="s">
        <v>96</v>
      </c>
      <c r="B905" s="93" t="s">
        <v>87</v>
      </c>
      <c r="D905" s="63" t="s">
        <v>96</v>
      </c>
      <c r="E905" s="93" t="s">
        <v>72</v>
      </c>
      <c r="F905" s="96">
        <v>1982</v>
      </c>
      <c r="G905" s="63">
        <f t="shared" ref="G905:G942" si="64">2016.5-F905</f>
        <v>34.5</v>
      </c>
      <c r="H905" s="95">
        <v>7476889.7800000003</v>
      </c>
      <c r="I905" s="97">
        <f t="shared" ref="I905:I942" si="65">+G905*H905</f>
        <v>257952697.41</v>
      </c>
    </row>
    <row r="906" spans="1:10" ht="45" hidden="1" outlineLevel="2">
      <c r="A906" s="93" t="s">
        <v>96</v>
      </c>
      <c r="B906" s="93" t="s">
        <v>87</v>
      </c>
      <c r="D906" s="63" t="s">
        <v>96</v>
      </c>
      <c r="E906" s="93" t="s">
        <v>72</v>
      </c>
      <c r="F906" s="96">
        <v>1984</v>
      </c>
      <c r="G906" s="63">
        <f t="shared" si="64"/>
        <v>32.5</v>
      </c>
      <c r="H906" s="95">
        <v>92200.2</v>
      </c>
      <c r="I906" s="97">
        <f t="shared" si="65"/>
        <v>2996506.5</v>
      </c>
    </row>
    <row r="907" spans="1:10" ht="45" hidden="1" outlineLevel="2">
      <c r="A907" s="93" t="s">
        <v>96</v>
      </c>
      <c r="B907" s="93" t="s">
        <v>86</v>
      </c>
      <c r="D907" s="63" t="s">
        <v>96</v>
      </c>
      <c r="E907" s="93" t="s">
        <v>72</v>
      </c>
      <c r="F907" s="96">
        <v>1987</v>
      </c>
      <c r="G907" s="63">
        <f t="shared" si="64"/>
        <v>29.5</v>
      </c>
      <c r="H907" s="95">
        <v>23390.49</v>
      </c>
      <c r="I907" s="97">
        <f t="shared" si="65"/>
        <v>690019.45500000007</v>
      </c>
    </row>
    <row r="908" spans="1:10" ht="45" hidden="1" outlineLevel="2">
      <c r="A908" s="93" t="s">
        <v>96</v>
      </c>
      <c r="B908" s="93" t="s">
        <v>87</v>
      </c>
      <c r="D908" s="63" t="s">
        <v>96</v>
      </c>
      <c r="E908" s="93" t="s">
        <v>72</v>
      </c>
      <c r="F908" s="96">
        <v>1987</v>
      </c>
      <c r="G908" s="63">
        <f t="shared" si="64"/>
        <v>29.5</v>
      </c>
      <c r="H908" s="95">
        <v>1128328.01</v>
      </c>
      <c r="I908" s="97">
        <f t="shared" si="65"/>
        <v>33285676.295000002</v>
      </c>
    </row>
    <row r="909" spans="1:10" ht="30" hidden="1" outlineLevel="2">
      <c r="A909" s="93" t="s">
        <v>96</v>
      </c>
      <c r="B909" s="93" t="s">
        <v>88</v>
      </c>
      <c r="D909" s="63" t="s">
        <v>96</v>
      </c>
      <c r="E909" s="93" t="s">
        <v>72</v>
      </c>
      <c r="F909" s="96">
        <v>1987</v>
      </c>
      <c r="G909" s="63">
        <f t="shared" si="64"/>
        <v>29.5</v>
      </c>
      <c r="H909" s="95">
        <v>19711482.57</v>
      </c>
      <c r="I909" s="97">
        <f t="shared" si="65"/>
        <v>581488735.81500006</v>
      </c>
    </row>
    <row r="910" spans="1:10" ht="45" hidden="1" outlineLevel="2">
      <c r="A910" s="93" t="s">
        <v>96</v>
      </c>
      <c r="B910" s="93" t="s">
        <v>87</v>
      </c>
      <c r="D910" s="63" t="s">
        <v>96</v>
      </c>
      <c r="E910" s="93" t="s">
        <v>72</v>
      </c>
      <c r="F910" s="96">
        <v>1988</v>
      </c>
      <c r="G910" s="63">
        <f t="shared" si="64"/>
        <v>28.5</v>
      </c>
      <c r="H910" s="95">
        <v>464234.56</v>
      </c>
      <c r="I910" s="97">
        <f t="shared" si="65"/>
        <v>13230684.959999999</v>
      </c>
    </row>
    <row r="911" spans="1:10" ht="45" hidden="1" outlineLevel="2">
      <c r="A911" s="93" t="s">
        <v>96</v>
      </c>
      <c r="B911" s="93" t="s">
        <v>87</v>
      </c>
      <c r="D911" s="63" t="s">
        <v>96</v>
      </c>
      <c r="E911" s="93" t="s">
        <v>72</v>
      </c>
      <c r="F911" s="96">
        <v>1989</v>
      </c>
      <c r="G911" s="63">
        <f t="shared" si="64"/>
        <v>27.5</v>
      </c>
      <c r="H911" s="95">
        <v>74067.95</v>
      </c>
      <c r="I911" s="97">
        <f t="shared" si="65"/>
        <v>2036868.625</v>
      </c>
    </row>
    <row r="912" spans="1:10" ht="45" hidden="1" outlineLevel="2">
      <c r="A912" s="93" t="s">
        <v>96</v>
      </c>
      <c r="B912" s="93" t="s">
        <v>87</v>
      </c>
      <c r="D912" s="63" t="s">
        <v>96</v>
      </c>
      <c r="E912" s="93" t="s">
        <v>72</v>
      </c>
      <c r="F912" s="96">
        <v>1990</v>
      </c>
      <c r="G912" s="63">
        <f t="shared" si="64"/>
        <v>26.5</v>
      </c>
      <c r="H912" s="95">
        <v>3073.93</v>
      </c>
      <c r="I912" s="97">
        <f t="shared" si="65"/>
        <v>81459.14499999999</v>
      </c>
    </row>
    <row r="913" spans="1:9" ht="45" hidden="1" outlineLevel="2">
      <c r="A913" s="93" t="s">
        <v>96</v>
      </c>
      <c r="B913" s="93" t="s">
        <v>87</v>
      </c>
      <c r="D913" s="63" t="s">
        <v>96</v>
      </c>
      <c r="E913" s="93" t="s">
        <v>72</v>
      </c>
      <c r="F913" s="96">
        <v>1991</v>
      </c>
      <c r="G913" s="63">
        <f t="shared" si="64"/>
        <v>25.5</v>
      </c>
      <c r="H913" s="95">
        <v>14611.42</v>
      </c>
      <c r="I913" s="97">
        <f t="shared" si="65"/>
        <v>372591.21</v>
      </c>
    </row>
    <row r="914" spans="1:9" ht="45" hidden="1" outlineLevel="2">
      <c r="A914" s="93" t="s">
        <v>96</v>
      </c>
      <c r="B914" s="93" t="s">
        <v>87</v>
      </c>
      <c r="D914" s="63" t="s">
        <v>96</v>
      </c>
      <c r="E914" s="93" t="s">
        <v>72</v>
      </c>
      <c r="F914" s="96">
        <v>1992</v>
      </c>
      <c r="G914" s="63">
        <f t="shared" si="64"/>
        <v>24.5</v>
      </c>
      <c r="H914" s="95">
        <v>1912.5</v>
      </c>
      <c r="I914" s="97">
        <f t="shared" si="65"/>
        <v>46856.25</v>
      </c>
    </row>
    <row r="915" spans="1:9" ht="45" hidden="1" outlineLevel="2">
      <c r="A915" s="93" t="s">
        <v>96</v>
      </c>
      <c r="B915" s="93" t="s">
        <v>87</v>
      </c>
      <c r="D915" s="63" t="s">
        <v>96</v>
      </c>
      <c r="E915" s="93" t="s">
        <v>72</v>
      </c>
      <c r="F915" s="96">
        <v>1993</v>
      </c>
      <c r="G915" s="63">
        <f t="shared" si="64"/>
        <v>23.5</v>
      </c>
      <c r="H915" s="95">
        <v>2.91</v>
      </c>
      <c r="I915" s="97">
        <f t="shared" si="65"/>
        <v>68.385000000000005</v>
      </c>
    </row>
    <row r="916" spans="1:9" ht="45" hidden="1" outlineLevel="2">
      <c r="A916" s="93" t="s">
        <v>96</v>
      </c>
      <c r="B916" s="93" t="s">
        <v>87</v>
      </c>
      <c r="D916" s="63" t="s">
        <v>96</v>
      </c>
      <c r="E916" s="93" t="s">
        <v>72</v>
      </c>
      <c r="F916" s="96">
        <v>1995</v>
      </c>
      <c r="G916" s="63">
        <f t="shared" si="64"/>
        <v>21.5</v>
      </c>
      <c r="H916" s="95">
        <v>244370.4</v>
      </c>
      <c r="I916" s="97">
        <f t="shared" si="65"/>
        <v>5253963.5999999996</v>
      </c>
    </row>
    <row r="917" spans="1:9" ht="45" hidden="1" outlineLevel="2">
      <c r="A917" s="93" t="s">
        <v>96</v>
      </c>
      <c r="B917" s="93" t="s">
        <v>86</v>
      </c>
      <c r="D917" s="63" t="s">
        <v>96</v>
      </c>
      <c r="E917" s="93" t="s">
        <v>72</v>
      </c>
      <c r="F917" s="96">
        <v>1996</v>
      </c>
      <c r="G917" s="63">
        <f t="shared" si="64"/>
        <v>20.5</v>
      </c>
      <c r="H917" s="95">
        <v>498.1</v>
      </c>
      <c r="I917" s="97">
        <f t="shared" si="65"/>
        <v>10211.050000000001</v>
      </c>
    </row>
    <row r="918" spans="1:9" ht="45" hidden="1" outlineLevel="2">
      <c r="A918" s="93" t="s">
        <v>96</v>
      </c>
      <c r="B918" s="93" t="s">
        <v>87</v>
      </c>
      <c r="D918" s="63" t="s">
        <v>96</v>
      </c>
      <c r="E918" s="93" t="s">
        <v>72</v>
      </c>
      <c r="F918" s="96">
        <v>1997</v>
      </c>
      <c r="G918" s="63">
        <f t="shared" si="64"/>
        <v>19.5</v>
      </c>
      <c r="H918" s="95">
        <v>11237.71</v>
      </c>
      <c r="I918" s="97">
        <f t="shared" si="65"/>
        <v>219135.34499999997</v>
      </c>
    </row>
    <row r="919" spans="1:9" ht="45" hidden="1" outlineLevel="2">
      <c r="A919" s="93" t="s">
        <v>96</v>
      </c>
      <c r="B919" s="93" t="s">
        <v>87</v>
      </c>
      <c r="D919" s="63" t="s">
        <v>96</v>
      </c>
      <c r="E919" s="93" t="s">
        <v>72</v>
      </c>
      <c r="F919" s="96">
        <v>1999</v>
      </c>
      <c r="G919" s="63">
        <f t="shared" si="64"/>
        <v>17.5</v>
      </c>
      <c r="H919" s="95">
        <v>58749.69</v>
      </c>
      <c r="I919" s="97">
        <f t="shared" si="65"/>
        <v>1028119.5750000001</v>
      </c>
    </row>
    <row r="920" spans="1:9" ht="45" hidden="1" outlineLevel="2">
      <c r="A920" s="93" t="s">
        <v>96</v>
      </c>
      <c r="B920" s="93" t="s">
        <v>86</v>
      </c>
      <c r="D920" s="63" t="s">
        <v>96</v>
      </c>
      <c r="E920" s="93" t="s">
        <v>72</v>
      </c>
      <c r="F920" s="96">
        <v>2000</v>
      </c>
      <c r="G920" s="63">
        <f t="shared" si="64"/>
        <v>16.5</v>
      </c>
      <c r="H920" s="95">
        <v>1012.62</v>
      </c>
      <c r="I920" s="97">
        <f t="shared" si="65"/>
        <v>16708.23</v>
      </c>
    </row>
    <row r="921" spans="1:9" ht="45" hidden="1" outlineLevel="2">
      <c r="A921" s="93" t="s">
        <v>96</v>
      </c>
      <c r="B921" s="93" t="s">
        <v>87</v>
      </c>
      <c r="D921" s="63" t="s">
        <v>96</v>
      </c>
      <c r="E921" s="93" t="s">
        <v>72</v>
      </c>
      <c r="F921" s="96">
        <v>2002</v>
      </c>
      <c r="G921" s="63">
        <f t="shared" si="64"/>
        <v>14.5</v>
      </c>
      <c r="H921" s="95">
        <v>53699.92</v>
      </c>
      <c r="I921" s="97">
        <f t="shared" si="65"/>
        <v>778648.84</v>
      </c>
    </row>
    <row r="922" spans="1:9" ht="45" hidden="1" outlineLevel="2">
      <c r="A922" s="93" t="s">
        <v>96</v>
      </c>
      <c r="B922" s="93" t="s">
        <v>87</v>
      </c>
      <c r="D922" s="63" t="s">
        <v>96</v>
      </c>
      <c r="E922" s="93" t="s">
        <v>72</v>
      </c>
      <c r="F922" s="96">
        <v>2003</v>
      </c>
      <c r="G922" s="63">
        <f t="shared" si="64"/>
        <v>13.5</v>
      </c>
      <c r="H922" s="95">
        <v>12626.95</v>
      </c>
      <c r="I922" s="97">
        <f t="shared" si="65"/>
        <v>170463.82500000001</v>
      </c>
    </row>
    <row r="923" spans="1:9" ht="30" hidden="1" outlineLevel="2">
      <c r="A923" s="93" t="s">
        <v>96</v>
      </c>
      <c r="B923" s="93" t="s">
        <v>88</v>
      </c>
      <c r="D923" s="63" t="s">
        <v>96</v>
      </c>
      <c r="E923" s="93" t="s">
        <v>72</v>
      </c>
      <c r="F923" s="96">
        <v>2005</v>
      </c>
      <c r="G923" s="63">
        <f t="shared" si="64"/>
        <v>11.5</v>
      </c>
      <c r="H923" s="95">
        <v>3000.87</v>
      </c>
      <c r="I923" s="97">
        <f t="shared" si="65"/>
        <v>34510.004999999997</v>
      </c>
    </row>
    <row r="924" spans="1:9" ht="45" hidden="1" outlineLevel="2">
      <c r="A924" s="93" t="s">
        <v>96</v>
      </c>
      <c r="B924" s="93" t="s">
        <v>87</v>
      </c>
      <c r="D924" s="63" t="s">
        <v>96</v>
      </c>
      <c r="E924" s="93" t="s">
        <v>72</v>
      </c>
      <c r="F924" s="96">
        <v>2006</v>
      </c>
      <c r="G924" s="63">
        <f t="shared" si="64"/>
        <v>10.5</v>
      </c>
      <c r="H924" s="95">
        <v>9337.2900000000009</v>
      </c>
      <c r="I924" s="97">
        <f t="shared" si="65"/>
        <v>98041.545000000013</v>
      </c>
    </row>
    <row r="925" spans="1:9" ht="45" hidden="1" outlineLevel="2">
      <c r="A925" s="93" t="s">
        <v>96</v>
      </c>
      <c r="B925" s="93" t="s">
        <v>87</v>
      </c>
      <c r="D925" s="63" t="s">
        <v>96</v>
      </c>
      <c r="E925" s="93" t="s">
        <v>72</v>
      </c>
      <c r="F925" s="96">
        <v>2007</v>
      </c>
      <c r="G925" s="63">
        <f t="shared" si="64"/>
        <v>9.5</v>
      </c>
      <c r="H925" s="95">
        <v>6404.82</v>
      </c>
      <c r="I925" s="97">
        <f t="shared" si="65"/>
        <v>60845.789999999994</v>
      </c>
    </row>
    <row r="926" spans="1:9" ht="45" hidden="1" outlineLevel="2">
      <c r="A926" s="93" t="s">
        <v>96</v>
      </c>
      <c r="B926" s="93" t="s">
        <v>87</v>
      </c>
      <c r="D926" s="63" t="s">
        <v>96</v>
      </c>
      <c r="E926" s="93" t="s">
        <v>72</v>
      </c>
      <c r="F926" s="96">
        <v>2008</v>
      </c>
      <c r="G926" s="63">
        <f t="shared" si="64"/>
        <v>8.5</v>
      </c>
      <c r="H926" s="95">
        <v>11769.11</v>
      </c>
      <c r="I926" s="97">
        <f t="shared" si="65"/>
        <v>100037.435</v>
      </c>
    </row>
    <row r="927" spans="1:9" ht="30" hidden="1" outlineLevel="2">
      <c r="A927" s="93" t="s">
        <v>96</v>
      </c>
      <c r="B927" s="93" t="s">
        <v>88</v>
      </c>
      <c r="D927" s="63" t="s">
        <v>96</v>
      </c>
      <c r="E927" s="93" t="s">
        <v>72</v>
      </c>
      <c r="F927" s="96">
        <v>2008</v>
      </c>
      <c r="G927" s="63">
        <f t="shared" si="64"/>
        <v>8.5</v>
      </c>
      <c r="H927" s="95">
        <v>16405.669999999998</v>
      </c>
      <c r="I927" s="97">
        <f t="shared" si="65"/>
        <v>139448.19499999998</v>
      </c>
    </row>
    <row r="928" spans="1:9" ht="45" hidden="1" outlineLevel="2">
      <c r="A928" s="93" t="s">
        <v>96</v>
      </c>
      <c r="B928" s="93" t="s">
        <v>87</v>
      </c>
      <c r="D928" s="63" t="s">
        <v>96</v>
      </c>
      <c r="E928" s="93" t="s">
        <v>72</v>
      </c>
      <c r="F928" s="96">
        <v>2009</v>
      </c>
      <c r="G928" s="63">
        <f t="shared" si="64"/>
        <v>7.5</v>
      </c>
      <c r="H928" s="95">
        <v>510131.75</v>
      </c>
      <c r="I928" s="97">
        <f t="shared" si="65"/>
        <v>3825988.125</v>
      </c>
    </row>
    <row r="929" spans="1:10" ht="30" hidden="1" outlineLevel="2">
      <c r="A929" s="93" t="s">
        <v>96</v>
      </c>
      <c r="B929" s="93" t="s">
        <v>88</v>
      </c>
      <c r="D929" s="63" t="s">
        <v>96</v>
      </c>
      <c r="E929" s="93" t="s">
        <v>72</v>
      </c>
      <c r="F929" s="96">
        <v>2010</v>
      </c>
      <c r="G929" s="63">
        <f t="shared" si="64"/>
        <v>6.5</v>
      </c>
      <c r="H929" s="95">
        <v>15467.89</v>
      </c>
      <c r="I929" s="97">
        <f t="shared" si="65"/>
        <v>100541.285</v>
      </c>
    </row>
    <row r="930" spans="1:10" ht="45" hidden="1" outlineLevel="2">
      <c r="A930" s="93" t="s">
        <v>96</v>
      </c>
      <c r="B930" s="93" t="s">
        <v>86</v>
      </c>
      <c r="D930" s="63" t="s">
        <v>96</v>
      </c>
      <c r="E930" s="93" t="s">
        <v>72</v>
      </c>
      <c r="F930" s="96">
        <v>2011</v>
      </c>
      <c r="G930" s="63">
        <f t="shared" si="64"/>
        <v>5.5</v>
      </c>
      <c r="H930" s="95">
        <v>633166.5</v>
      </c>
      <c r="I930" s="97">
        <f t="shared" si="65"/>
        <v>3482415.75</v>
      </c>
    </row>
    <row r="931" spans="1:10" ht="45" hidden="1" outlineLevel="2">
      <c r="A931" s="93" t="s">
        <v>96</v>
      </c>
      <c r="B931" s="93" t="s">
        <v>87</v>
      </c>
      <c r="D931" s="63" t="s">
        <v>96</v>
      </c>
      <c r="E931" s="93" t="s">
        <v>72</v>
      </c>
      <c r="F931" s="96">
        <v>2011</v>
      </c>
      <c r="G931" s="63">
        <f t="shared" si="64"/>
        <v>5.5</v>
      </c>
      <c r="H931" s="95">
        <v>644238.68999999994</v>
      </c>
      <c r="I931" s="97">
        <f t="shared" si="65"/>
        <v>3543312.7949999999</v>
      </c>
    </row>
    <row r="932" spans="1:10" ht="30" hidden="1" outlineLevel="2">
      <c r="A932" s="93" t="s">
        <v>96</v>
      </c>
      <c r="B932" s="93" t="s">
        <v>88</v>
      </c>
      <c r="D932" s="63" t="s">
        <v>96</v>
      </c>
      <c r="E932" s="93" t="s">
        <v>72</v>
      </c>
      <c r="F932" s="96">
        <v>2011</v>
      </c>
      <c r="G932" s="63">
        <f t="shared" si="64"/>
        <v>5.5</v>
      </c>
      <c r="H932" s="95">
        <v>4515820.2300000004</v>
      </c>
      <c r="I932" s="97">
        <f t="shared" si="65"/>
        <v>24837011.265000001</v>
      </c>
    </row>
    <row r="933" spans="1:10" ht="45" hidden="1" outlineLevel="2">
      <c r="A933" s="93" t="s">
        <v>96</v>
      </c>
      <c r="B933" s="93" t="s">
        <v>86</v>
      </c>
      <c r="D933" s="63" t="s">
        <v>96</v>
      </c>
      <c r="E933" s="93" t="s">
        <v>72</v>
      </c>
      <c r="F933" s="96">
        <v>2013</v>
      </c>
      <c r="G933" s="63">
        <f t="shared" si="64"/>
        <v>3.5</v>
      </c>
      <c r="H933" s="95">
        <v>49994.06</v>
      </c>
      <c r="I933" s="97">
        <f t="shared" si="65"/>
        <v>174979.21</v>
      </c>
    </row>
    <row r="934" spans="1:10" ht="45" hidden="1" outlineLevel="2">
      <c r="A934" s="93" t="s">
        <v>96</v>
      </c>
      <c r="B934" s="93" t="s">
        <v>87</v>
      </c>
      <c r="D934" s="63" t="s">
        <v>96</v>
      </c>
      <c r="E934" s="93" t="s">
        <v>72</v>
      </c>
      <c r="F934" s="96">
        <v>2013</v>
      </c>
      <c r="G934" s="63">
        <f t="shared" si="64"/>
        <v>3.5</v>
      </c>
      <c r="H934" s="95">
        <v>75458.61</v>
      </c>
      <c r="I934" s="97">
        <f t="shared" si="65"/>
        <v>264105.13500000001</v>
      </c>
    </row>
    <row r="935" spans="1:10" ht="30" hidden="1" outlineLevel="2">
      <c r="A935" s="93" t="s">
        <v>96</v>
      </c>
      <c r="B935" s="93" t="s">
        <v>88</v>
      </c>
      <c r="D935" s="63" t="s">
        <v>96</v>
      </c>
      <c r="E935" s="93" t="s">
        <v>72</v>
      </c>
      <c r="F935" s="96">
        <v>2013</v>
      </c>
      <c r="G935" s="63">
        <f t="shared" si="64"/>
        <v>3.5</v>
      </c>
      <c r="H935" s="95">
        <v>47580.26</v>
      </c>
      <c r="I935" s="97">
        <f t="shared" si="65"/>
        <v>166530.91</v>
      </c>
    </row>
    <row r="936" spans="1:10" ht="45" hidden="1" outlineLevel="2">
      <c r="A936" s="93" t="s">
        <v>96</v>
      </c>
      <c r="B936" s="93" t="s">
        <v>86</v>
      </c>
      <c r="D936" s="63" t="s">
        <v>96</v>
      </c>
      <c r="E936" s="93" t="s">
        <v>72</v>
      </c>
      <c r="F936" s="96">
        <v>2014</v>
      </c>
      <c r="G936" s="63">
        <f t="shared" si="64"/>
        <v>2.5</v>
      </c>
      <c r="H936" s="95">
        <v>653404.13</v>
      </c>
      <c r="I936" s="97">
        <f t="shared" si="65"/>
        <v>1633510.325</v>
      </c>
    </row>
    <row r="937" spans="1:10" ht="45" hidden="1" outlineLevel="2">
      <c r="A937" s="93" t="s">
        <v>96</v>
      </c>
      <c r="B937" s="93" t="s">
        <v>87</v>
      </c>
      <c r="D937" s="63" t="s">
        <v>96</v>
      </c>
      <c r="E937" s="93" t="s">
        <v>72</v>
      </c>
      <c r="F937" s="96">
        <v>2014</v>
      </c>
      <c r="G937" s="63">
        <f t="shared" si="64"/>
        <v>2.5</v>
      </c>
      <c r="H937" s="95">
        <v>618172.96</v>
      </c>
      <c r="I937" s="97">
        <f t="shared" si="65"/>
        <v>1545432.4</v>
      </c>
    </row>
    <row r="938" spans="1:10" ht="30" hidden="1" outlineLevel="2">
      <c r="A938" s="93" t="s">
        <v>96</v>
      </c>
      <c r="B938" s="93" t="s">
        <v>88</v>
      </c>
      <c r="D938" s="63" t="s">
        <v>96</v>
      </c>
      <c r="E938" s="93" t="s">
        <v>72</v>
      </c>
      <c r="F938" s="96">
        <v>2014</v>
      </c>
      <c r="G938" s="63">
        <f t="shared" si="64"/>
        <v>2.5</v>
      </c>
      <c r="H938" s="95">
        <v>340769.32</v>
      </c>
      <c r="I938" s="97">
        <f t="shared" si="65"/>
        <v>851923.3</v>
      </c>
    </row>
    <row r="939" spans="1:10" ht="30" hidden="1" outlineLevel="2">
      <c r="A939" s="93" t="s">
        <v>96</v>
      </c>
      <c r="B939" s="93" t="s">
        <v>88</v>
      </c>
      <c r="D939" s="63" t="s">
        <v>96</v>
      </c>
      <c r="E939" s="93" t="s">
        <v>72</v>
      </c>
      <c r="F939" s="96">
        <v>2015</v>
      </c>
      <c r="G939" s="63">
        <f t="shared" si="64"/>
        <v>1.5</v>
      </c>
      <c r="H939" s="95">
        <v>26416.47</v>
      </c>
      <c r="I939" s="97">
        <f t="shared" si="65"/>
        <v>39624.705000000002</v>
      </c>
    </row>
    <row r="940" spans="1:10" ht="45" hidden="1" outlineLevel="2">
      <c r="A940" s="93" t="s">
        <v>96</v>
      </c>
      <c r="B940" s="93" t="s">
        <v>86</v>
      </c>
      <c r="D940" s="63" t="s">
        <v>96</v>
      </c>
      <c r="E940" s="93" t="s">
        <v>72</v>
      </c>
      <c r="F940" s="96">
        <v>2016</v>
      </c>
      <c r="G940" s="63">
        <f t="shared" si="64"/>
        <v>0.5</v>
      </c>
      <c r="H940" s="95">
        <v>4474.05</v>
      </c>
      <c r="I940" s="97">
        <f t="shared" si="65"/>
        <v>2237.0250000000001</v>
      </c>
    </row>
    <row r="941" spans="1:10" ht="45" hidden="1" outlineLevel="2">
      <c r="A941" s="93" t="s">
        <v>96</v>
      </c>
      <c r="B941" s="93" t="s">
        <v>87</v>
      </c>
      <c r="D941" s="63" t="s">
        <v>96</v>
      </c>
      <c r="E941" s="93" t="s">
        <v>72</v>
      </c>
      <c r="F941" s="96">
        <v>2016</v>
      </c>
      <c r="G941" s="63">
        <f t="shared" si="64"/>
        <v>0.5</v>
      </c>
      <c r="H941" s="95">
        <v>75177.05</v>
      </c>
      <c r="I941" s="97">
        <f t="shared" si="65"/>
        <v>37588.525000000001</v>
      </c>
    </row>
    <row r="942" spans="1:10" ht="30" hidden="1" outlineLevel="2">
      <c r="A942" s="93" t="s">
        <v>96</v>
      </c>
      <c r="B942" s="93" t="s">
        <v>88</v>
      </c>
      <c r="D942" s="63" t="s">
        <v>96</v>
      </c>
      <c r="E942" s="93" t="s">
        <v>72</v>
      </c>
      <c r="F942" s="96">
        <v>2016</v>
      </c>
      <c r="G942" s="63">
        <f t="shared" si="64"/>
        <v>0.5</v>
      </c>
      <c r="H942" s="95">
        <v>136181.1905</v>
      </c>
      <c r="I942" s="97">
        <f t="shared" si="65"/>
        <v>68090.595249999998</v>
      </c>
    </row>
    <row r="943" spans="1:10" s="63" customFormat="1" ht="30" outlineLevel="1" collapsed="1">
      <c r="A943" s="26" t="str">
        <f>+A942</f>
        <v>Scherer</v>
      </c>
      <c r="B943" s="94"/>
      <c r="C943" s="26"/>
      <c r="D943" s="26" t="str">
        <f>+D942</f>
        <v>Scherer</v>
      </c>
      <c r="E943" s="94" t="s">
        <v>205</v>
      </c>
      <c r="F943" s="96"/>
      <c r="H943" s="95">
        <f>SUBTOTAL(9,H905:H942)</f>
        <v>37765760.630500004</v>
      </c>
      <c r="I943" s="97">
        <f>SUBTOTAL(9,I905:I942)</f>
        <v>940665588.83525014</v>
      </c>
      <c r="J943" s="63">
        <f>+I943/H943</f>
        <v>24.90789469431629</v>
      </c>
    </row>
    <row r="944" spans="1:10" ht="45" hidden="1" outlineLevel="2">
      <c r="A944" s="93" t="s">
        <v>96</v>
      </c>
      <c r="B944" s="93" t="s">
        <v>87</v>
      </c>
      <c r="D944" s="63" t="s">
        <v>96</v>
      </c>
      <c r="E944" s="93" t="s">
        <v>67</v>
      </c>
      <c r="F944" s="96">
        <v>1982</v>
      </c>
      <c r="G944" s="63">
        <f t="shared" ref="G944:G975" si="66">2016.5-F944</f>
        <v>34.5</v>
      </c>
      <c r="H944" s="95">
        <v>4974774.82</v>
      </c>
      <c r="I944" s="97">
        <f t="shared" ref="I944:I975" si="67">+G944*H944</f>
        <v>171629731.29000002</v>
      </c>
    </row>
    <row r="945" spans="1:9" ht="45" hidden="1" outlineLevel="2">
      <c r="A945" s="93" t="s">
        <v>96</v>
      </c>
      <c r="B945" s="93" t="s">
        <v>87</v>
      </c>
      <c r="D945" s="63" t="s">
        <v>96</v>
      </c>
      <c r="E945" s="93" t="s">
        <v>67</v>
      </c>
      <c r="F945" s="96">
        <v>1984</v>
      </c>
      <c r="G945" s="63">
        <f t="shared" si="66"/>
        <v>32.5</v>
      </c>
      <c r="H945" s="95">
        <v>285131.32</v>
      </c>
      <c r="I945" s="97">
        <f t="shared" si="67"/>
        <v>9266767.9000000004</v>
      </c>
    </row>
    <row r="946" spans="1:9" ht="45" hidden="1" outlineLevel="2">
      <c r="A946" s="93" t="s">
        <v>96</v>
      </c>
      <c r="B946" s="93" t="s">
        <v>87</v>
      </c>
      <c r="D946" s="63" t="s">
        <v>96</v>
      </c>
      <c r="E946" s="93" t="s">
        <v>67</v>
      </c>
      <c r="F946" s="96">
        <v>1986</v>
      </c>
      <c r="G946" s="63">
        <f t="shared" si="66"/>
        <v>30.5</v>
      </c>
      <c r="H946" s="95">
        <v>3106.29</v>
      </c>
      <c r="I946" s="97">
        <f t="shared" si="67"/>
        <v>94741.845000000001</v>
      </c>
    </row>
    <row r="947" spans="1:9" ht="45" hidden="1" outlineLevel="2">
      <c r="A947" s="93" t="s">
        <v>96</v>
      </c>
      <c r="B947" s="93" t="s">
        <v>86</v>
      </c>
      <c r="D947" s="63" t="s">
        <v>96</v>
      </c>
      <c r="E947" s="93" t="s">
        <v>67</v>
      </c>
      <c r="F947" s="96">
        <v>1987</v>
      </c>
      <c r="G947" s="63">
        <f t="shared" si="66"/>
        <v>29.5</v>
      </c>
      <c r="H947" s="95">
        <v>3978841.81</v>
      </c>
      <c r="I947" s="97">
        <f t="shared" si="67"/>
        <v>117375833.395</v>
      </c>
    </row>
    <row r="948" spans="1:9" ht="45" hidden="1" outlineLevel="2">
      <c r="A948" s="93" t="s">
        <v>96</v>
      </c>
      <c r="B948" s="93" t="s">
        <v>87</v>
      </c>
      <c r="D948" s="63" t="s">
        <v>96</v>
      </c>
      <c r="E948" s="93" t="s">
        <v>67</v>
      </c>
      <c r="F948" s="96">
        <v>1987</v>
      </c>
      <c r="G948" s="63">
        <f t="shared" si="66"/>
        <v>29.5</v>
      </c>
      <c r="H948" s="95">
        <v>805434.34</v>
      </c>
      <c r="I948" s="97">
        <f t="shared" si="67"/>
        <v>23760313.029999997</v>
      </c>
    </row>
    <row r="949" spans="1:9" ht="30" hidden="1" outlineLevel="2">
      <c r="A949" s="93" t="s">
        <v>96</v>
      </c>
      <c r="B949" s="93" t="s">
        <v>88</v>
      </c>
      <c r="D949" s="63" t="s">
        <v>96</v>
      </c>
      <c r="E949" s="93" t="s">
        <v>67</v>
      </c>
      <c r="F949" s="96">
        <v>1987</v>
      </c>
      <c r="G949" s="63">
        <f t="shared" si="66"/>
        <v>29.5</v>
      </c>
      <c r="H949" s="95">
        <v>77100587.200000003</v>
      </c>
      <c r="I949" s="97">
        <f t="shared" si="67"/>
        <v>2274467322.4000001</v>
      </c>
    </row>
    <row r="950" spans="1:9" ht="45" hidden="1" outlineLevel="2">
      <c r="A950" s="93" t="s">
        <v>96</v>
      </c>
      <c r="B950" s="93" t="s">
        <v>87</v>
      </c>
      <c r="D950" s="63" t="s">
        <v>96</v>
      </c>
      <c r="E950" s="93" t="s">
        <v>67</v>
      </c>
      <c r="F950" s="96">
        <v>1988</v>
      </c>
      <c r="G950" s="63">
        <f t="shared" si="66"/>
        <v>28.5</v>
      </c>
      <c r="H950" s="95">
        <v>38431.760000000002</v>
      </c>
      <c r="I950" s="97">
        <f t="shared" si="67"/>
        <v>1095305.1600000001</v>
      </c>
    </row>
    <row r="951" spans="1:9" ht="30" hidden="1" outlineLevel="2">
      <c r="A951" s="93" t="s">
        <v>96</v>
      </c>
      <c r="B951" s="93" t="s">
        <v>88</v>
      </c>
      <c r="D951" s="63" t="s">
        <v>96</v>
      </c>
      <c r="E951" s="93" t="s">
        <v>67</v>
      </c>
      <c r="F951" s="96">
        <v>1988</v>
      </c>
      <c r="G951" s="63">
        <f t="shared" si="66"/>
        <v>28.5</v>
      </c>
      <c r="H951" s="95">
        <v>989.04</v>
      </c>
      <c r="I951" s="97">
        <f t="shared" si="67"/>
        <v>28187.64</v>
      </c>
    </row>
    <row r="952" spans="1:9" ht="45" hidden="1" outlineLevel="2">
      <c r="A952" s="93" t="s">
        <v>96</v>
      </c>
      <c r="B952" s="93" t="s">
        <v>87</v>
      </c>
      <c r="D952" s="63" t="s">
        <v>96</v>
      </c>
      <c r="E952" s="93" t="s">
        <v>67</v>
      </c>
      <c r="F952" s="96">
        <v>1989</v>
      </c>
      <c r="G952" s="63">
        <f t="shared" si="66"/>
        <v>27.5</v>
      </c>
      <c r="H952" s="95">
        <v>56168.2</v>
      </c>
      <c r="I952" s="97">
        <f t="shared" si="67"/>
        <v>1544625.5</v>
      </c>
    </row>
    <row r="953" spans="1:9" ht="30" hidden="1" outlineLevel="2">
      <c r="A953" s="93" t="s">
        <v>96</v>
      </c>
      <c r="B953" s="93" t="s">
        <v>88</v>
      </c>
      <c r="D953" s="63" t="s">
        <v>96</v>
      </c>
      <c r="E953" s="93" t="s">
        <v>67</v>
      </c>
      <c r="F953" s="96">
        <v>1990</v>
      </c>
      <c r="G953" s="63">
        <f t="shared" si="66"/>
        <v>26.5</v>
      </c>
      <c r="H953" s="95">
        <v>92038.29</v>
      </c>
      <c r="I953" s="97">
        <f t="shared" si="67"/>
        <v>2439014.6850000001</v>
      </c>
    </row>
    <row r="954" spans="1:9" ht="45" hidden="1" outlineLevel="2">
      <c r="A954" s="93" t="s">
        <v>96</v>
      </c>
      <c r="B954" s="93" t="s">
        <v>87</v>
      </c>
      <c r="D954" s="63" t="s">
        <v>96</v>
      </c>
      <c r="E954" s="93" t="s">
        <v>67</v>
      </c>
      <c r="F954" s="96">
        <v>1991</v>
      </c>
      <c r="G954" s="63">
        <f t="shared" si="66"/>
        <v>25.5</v>
      </c>
      <c r="H954" s="95">
        <v>13360.62</v>
      </c>
      <c r="I954" s="97">
        <f t="shared" si="67"/>
        <v>340695.81</v>
      </c>
    </row>
    <row r="955" spans="1:9" ht="45" hidden="1" outlineLevel="2">
      <c r="A955" s="93" t="s">
        <v>96</v>
      </c>
      <c r="B955" s="93" t="s">
        <v>87</v>
      </c>
      <c r="D955" s="63" t="s">
        <v>96</v>
      </c>
      <c r="E955" s="93" t="s">
        <v>67</v>
      </c>
      <c r="F955" s="96">
        <v>1992</v>
      </c>
      <c r="G955" s="63">
        <f t="shared" si="66"/>
        <v>24.5</v>
      </c>
      <c r="H955" s="95">
        <v>802.01</v>
      </c>
      <c r="I955" s="97">
        <f t="shared" si="67"/>
        <v>19649.244999999999</v>
      </c>
    </row>
    <row r="956" spans="1:9" ht="30" hidden="1" outlineLevel="2">
      <c r="A956" s="93" t="s">
        <v>96</v>
      </c>
      <c r="B956" s="93" t="s">
        <v>88</v>
      </c>
      <c r="D956" s="63" t="s">
        <v>96</v>
      </c>
      <c r="E956" s="93" t="s">
        <v>67</v>
      </c>
      <c r="F956" s="96">
        <v>1992</v>
      </c>
      <c r="G956" s="63">
        <f t="shared" si="66"/>
        <v>24.5</v>
      </c>
      <c r="H956" s="95">
        <v>194.8</v>
      </c>
      <c r="I956" s="97">
        <f t="shared" si="67"/>
        <v>4772.6000000000004</v>
      </c>
    </row>
    <row r="957" spans="1:9" ht="45" hidden="1" outlineLevel="2">
      <c r="A957" s="93" t="s">
        <v>96</v>
      </c>
      <c r="B957" s="93" t="s">
        <v>87</v>
      </c>
      <c r="D957" s="63" t="s">
        <v>96</v>
      </c>
      <c r="E957" s="93" t="s">
        <v>67</v>
      </c>
      <c r="F957" s="96">
        <v>1993</v>
      </c>
      <c r="G957" s="63">
        <f t="shared" si="66"/>
        <v>23.5</v>
      </c>
      <c r="H957" s="95">
        <v>1827.5</v>
      </c>
      <c r="I957" s="97">
        <f t="shared" si="67"/>
        <v>42946.25</v>
      </c>
    </row>
    <row r="958" spans="1:9" ht="45" hidden="1" outlineLevel="2">
      <c r="A958" s="93" t="s">
        <v>96</v>
      </c>
      <c r="B958" s="93" t="s">
        <v>87</v>
      </c>
      <c r="D958" s="63" t="s">
        <v>96</v>
      </c>
      <c r="E958" s="93" t="s">
        <v>67</v>
      </c>
      <c r="F958" s="96">
        <v>1994</v>
      </c>
      <c r="G958" s="63">
        <f t="shared" si="66"/>
        <v>22.5</v>
      </c>
      <c r="H958" s="95">
        <v>230131.39</v>
      </c>
      <c r="I958" s="97">
        <f t="shared" si="67"/>
        <v>5177956.2750000004</v>
      </c>
    </row>
    <row r="959" spans="1:9" ht="30" hidden="1" outlineLevel="2">
      <c r="A959" s="93" t="s">
        <v>96</v>
      </c>
      <c r="B959" s="93" t="s">
        <v>88</v>
      </c>
      <c r="D959" s="63" t="s">
        <v>96</v>
      </c>
      <c r="E959" s="93" t="s">
        <v>67</v>
      </c>
      <c r="F959" s="96">
        <v>1994</v>
      </c>
      <c r="G959" s="63">
        <f t="shared" si="66"/>
        <v>22.5</v>
      </c>
      <c r="H959" s="95">
        <v>5606.15</v>
      </c>
      <c r="I959" s="97">
        <f t="shared" si="67"/>
        <v>126138.37499999999</v>
      </c>
    </row>
    <row r="960" spans="1:9" ht="45" hidden="1" outlineLevel="2">
      <c r="A960" s="93" t="s">
        <v>96</v>
      </c>
      <c r="B960" s="93" t="s">
        <v>86</v>
      </c>
      <c r="D960" s="63" t="s">
        <v>96</v>
      </c>
      <c r="E960" s="93" t="s">
        <v>67</v>
      </c>
      <c r="F960" s="96">
        <v>1995</v>
      </c>
      <c r="G960" s="63">
        <f t="shared" si="66"/>
        <v>21.5</v>
      </c>
      <c r="H960" s="95">
        <v>103249.51</v>
      </c>
      <c r="I960" s="97">
        <f t="shared" si="67"/>
        <v>2219864.4649999999</v>
      </c>
    </row>
    <row r="961" spans="1:9" ht="45" hidden="1" outlineLevel="2">
      <c r="A961" s="93" t="s">
        <v>96</v>
      </c>
      <c r="B961" s="93" t="s">
        <v>87</v>
      </c>
      <c r="D961" s="63" t="s">
        <v>96</v>
      </c>
      <c r="E961" s="93" t="s">
        <v>67</v>
      </c>
      <c r="F961" s="96">
        <v>1995</v>
      </c>
      <c r="G961" s="63">
        <f t="shared" si="66"/>
        <v>21.5</v>
      </c>
      <c r="H961" s="95">
        <v>62096.89</v>
      </c>
      <c r="I961" s="97">
        <f t="shared" si="67"/>
        <v>1335083.135</v>
      </c>
    </row>
    <row r="962" spans="1:9" ht="30" hidden="1" outlineLevel="2">
      <c r="A962" s="93" t="s">
        <v>96</v>
      </c>
      <c r="B962" s="93" t="s">
        <v>88</v>
      </c>
      <c r="D962" s="63" t="s">
        <v>96</v>
      </c>
      <c r="E962" s="93" t="s">
        <v>67</v>
      </c>
      <c r="F962" s="96">
        <v>1995</v>
      </c>
      <c r="G962" s="63">
        <f t="shared" si="66"/>
        <v>21.5</v>
      </c>
      <c r="H962" s="95">
        <v>189509.82</v>
      </c>
      <c r="I962" s="97">
        <f t="shared" si="67"/>
        <v>4074461.1300000004</v>
      </c>
    </row>
    <row r="963" spans="1:9" ht="30" hidden="1" outlineLevel="2">
      <c r="A963" s="93" t="s">
        <v>96</v>
      </c>
      <c r="B963" s="93" t="s">
        <v>88</v>
      </c>
      <c r="D963" s="63" t="s">
        <v>96</v>
      </c>
      <c r="E963" s="93" t="s">
        <v>67</v>
      </c>
      <c r="F963" s="96">
        <v>1996</v>
      </c>
      <c r="G963" s="63">
        <f t="shared" si="66"/>
        <v>20.5</v>
      </c>
      <c r="H963" s="95">
        <v>81682.570000000007</v>
      </c>
      <c r="I963" s="97">
        <f t="shared" si="67"/>
        <v>1674492.6850000001</v>
      </c>
    </row>
    <row r="964" spans="1:9" ht="30" hidden="1" outlineLevel="2">
      <c r="A964" s="93" t="s">
        <v>96</v>
      </c>
      <c r="B964" s="93" t="s">
        <v>88</v>
      </c>
      <c r="D964" s="63" t="s">
        <v>96</v>
      </c>
      <c r="E964" s="93" t="s">
        <v>67</v>
      </c>
      <c r="F964" s="96">
        <v>1997</v>
      </c>
      <c r="G964" s="63">
        <f t="shared" si="66"/>
        <v>19.5</v>
      </c>
      <c r="H964" s="95">
        <v>258995.42</v>
      </c>
      <c r="I964" s="97">
        <f t="shared" si="67"/>
        <v>5050410.6900000004</v>
      </c>
    </row>
    <row r="965" spans="1:9" ht="45" hidden="1" outlineLevel="2">
      <c r="A965" s="93" t="s">
        <v>96</v>
      </c>
      <c r="B965" s="93" t="s">
        <v>86</v>
      </c>
      <c r="D965" s="63" t="s">
        <v>96</v>
      </c>
      <c r="E965" s="93" t="s">
        <v>67</v>
      </c>
      <c r="F965" s="96">
        <v>1998</v>
      </c>
      <c r="G965" s="63">
        <f t="shared" si="66"/>
        <v>18.5</v>
      </c>
      <c r="H965" s="95">
        <v>2906.11</v>
      </c>
      <c r="I965" s="97">
        <f t="shared" si="67"/>
        <v>53763.035000000003</v>
      </c>
    </row>
    <row r="966" spans="1:9" ht="45" hidden="1" outlineLevel="2">
      <c r="A966" s="93" t="s">
        <v>96</v>
      </c>
      <c r="B966" s="93" t="s">
        <v>87</v>
      </c>
      <c r="D966" s="63" t="s">
        <v>96</v>
      </c>
      <c r="E966" s="93" t="s">
        <v>67</v>
      </c>
      <c r="F966" s="96">
        <v>1998</v>
      </c>
      <c r="G966" s="63">
        <f t="shared" si="66"/>
        <v>18.5</v>
      </c>
      <c r="H966" s="95">
        <v>8488.82</v>
      </c>
      <c r="I966" s="97">
        <f t="shared" si="67"/>
        <v>157043.16999999998</v>
      </c>
    </row>
    <row r="967" spans="1:9" ht="30" hidden="1" outlineLevel="2">
      <c r="A967" s="93" t="s">
        <v>96</v>
      </c>
      <c r="B967" s="93" t="s">
        <v>88</v>
      </c>
      <c r="D967" s="63" t="s">
        <v>96</v>
      </c>
      <c r="E967" s="93" t="s">
        <v>67</v>
      </c>
      <c r="F967" s="96">
        <v>1998</v>
      </c>
      <c r="G967" s="63">
        <f t="shared" si="66"/>
        <v>18.5</v>
      </c>
      <c r="H967" s="95">
        <v>32820.46</v>
      </c>
      <c r="I967" s="97">
        <f t="shared" si="67"/>
        <v>607178.51</v>
      </c>
    </row>
    <row r="968" spans="1:9" ht="45" hidden="1" outlineLevel="2">
      <c r="A968" s="93" t="s">
        <v>96</v>
      </c>
      <c r="B968" s="93" t="s">
        <v>86</v>
      </c>
      <c r="D968" s="63" t="s">
        <v>96</v>
      </c>
      <c r="E968" s="93" t="s">
        <v>67</v>
      </c>
      <c r="F968" s="96">
        <v>1999</v>
      </c>
      <c r="G968" s="63">
        <f t="shared" si="66"/>
        <v>17.5</v>
      </c>
      <c r="H968" s="95">
        <v>43397.58</v>
      </c>
      <c r="I968" s="97">
        <f t="shared" si="67"/>
        <v>759457.65</v>
      </c>
    </row>
    <row r="969" spans="1:9" ht="45" hidden="1" outlineLevel="2">
      <c r="A969" s="93" t="s">
        <v>96</v>
      </c>
      <c r="B969" s="93" t="s">
        <v>87</v>
      </c>
      <c r="D969" s="63" t="s">
        <v>96</v>
      </c>
      <c r="E969" s="93" t="s">
        <v>67</v>
      </c>
      <c r="F969" s="96">
        <v>1999</v>
      </c>
      <c r="G969" s="63">
        <f t="shared" si="66"/>
        <v>17.5</v>
      </c>
      <c r="H969" s="95">
        <v>378.67</v>
      </c>
      <c r="I969" s="97">
        <f t="shared" si="67"/>
        <v>6626.7250000000004</v>
      </c>
    </row>
    <row r="970" spans="1:9" ht="30" hidden="1" outlineLevel="2">
      <c r="A970" s="93" t="s">
        <v>96</v>
      </c>
      <c r="B970" s="93" t="s">
        <v>88</v>
      </c>
      <c r="D970" s="63" t="s">
        <v>96</v>
      </c>
      <c r="E970" s="93" t="s">
        <v>67</v>
      </c>
      <c r="F970" s="96">
        <v>1999</v>
      </c>
      <c r="G970" s="63">
        <f t="shared" si="66"/>
        <v>17.5</v>
      </c>
      <c r="H970" s="95">
        <v>495585.54</v>
      </c>
      <c r="I970" s="97">
        <f t="shared" si="67"/>
        <v>8672746.9499999993</v>
      </c>
    </row>
    <row r="971" spans="1:9" ht="45" hidden="1" outlineLevel="2">
      <c r="A971" s="93" t="s">
        <v>96</v>
      </c>
      <c r="B971" s="93" t="s">
        <v>86</v>
      </c>
      <c r="D971" s="63" t="s">
        <v>96</v>
      </c>
      <c r="E971" s="93" t="s">
        <v>67</v>
      </c>
      <c r="F971" s="96">
        <v>2000</v>
      </c>
      <c r="G971" s="63">
        <f t="shared" si="66"/>
        <v>16.5</v>
      </c>
      <c r="H971" s="95">
        <v>58150.59</v>
      </c>
      <c r="I971" s="97">
        <f t="shared" si="67"/>
        <v>959484.73499999999</v>
      </c>
    </row>
    <row r="972" spans="1:9" ht="30" hidden="1" outlineLevel="2">
      <c r="A972" s="93" t="s">
        <v>96</v>
      </c>
      <c r="B972" s="93" t="s">
        <v>88</v>
      </c>
      <c r="D972" s="63" t="s">
        <v>96</v>
      </c>
      <c r="E972" s="93" t="s">
        <v>67</v>
      </c>
      <c r="F972" s="96">
        <v>2000</v>
      </c>
      <c r="G972" s="63">
        <f t="shared" si="66"/>
        <v>16.5</v>
      </c>
      <c r="H972" s="95">
        <v>428160.16</v>
      </c>
      <c r="I972" s="97">
        <f t="shared" si="67"/>
        <v>7064642.6399999997</v>
      </c>
    </row>
    <row r="973" spans="1:9" ht="45" hidden="1" outlineLevel="2">
      <c r="A973" s="93" t="s">
        <v>96</v>
      </c>
      <c r="B973" s="93" t="s">
        <v>86</v>
      </c>
      <c r="D973" s="63" t="s">
        <v>96</v>
      </c>
      <c r="E973" s="93" t="s">
        <v>67</v>
      </c>
      <c r="F973" s="96">
        <v>2001</v>
      </c>
      <c r="G973" s="63">
        <f t="shared" si="66"/>
        <v>15.5</v>
      </c>
      <c r="H973" s="95">
        <v>19862.32</v>
      </c>
      <c r="I973" s="97">
        <f t="shared" si="67"/>
        <v>307865.96000000002</v>
      </c>
    </row>
    <row r="974" spans="1:9" ht="45" hidden="1" outlineLevel="2">
      <c r="A974" s="93" t="s">
        <v>96</v>
      </c>
      <c r="B974" s="93" t="s">
        <v>87</v>
      </c>
      <c r="D974" s="63" t="s">
        <v>96</v>
      </c>
      <c r="E974" s="93" t="s">
        <v>67</v>
      </c>
      <c r="F974" s="96">
        <v>2001</v>
      </c>
      <c r="G974" s="63">
        <f t="shared" si="66"/>
        <v>15.5</v>
      </c>
      <c r="H974" s="95">
        <v>16700.599999999999</v>
      </c>
      <c r="I974" s="97">
        <f t="shared" si="67"/>
        <v>258859.3</v>
      </c>
    </row>
    <row r="975" spans="1:9" ht="30" hidden="1" outlineLevel="2">
      <c r="A975" s="93" t="s">
        <v>96</v>
      </c>
      <c r="B975" s="93" t="s">
        <v>88</v>
      </c>
      <c r="D975" s="63" t="s">
        <v>96</v>
      </c>
      <c r="E975" s="93" t="s">
        <v>67</v>
      </c>
      <c r="F975" s="96">
        <v>2001</v>
      </c>
      <c r="G975" s="63">
        <f t="shared" si="66"/>
        <v>15.5</v>
      </c>
      <c r="H975" s="95">
        <v>1341.99</v>
      </c>
      <c r="I975" s="97">
        <f t="shared" si="67"/>
        <v>20800.845000000001</v>
      </c>
    </row>
    <row r="976" spans="1:9" ht="45" hidden="1" outlineLevel="2">
      <c r="A976" s="93" t="s">
        <v>96</v>
      </c>
      <c r="B976" s="93" t="s">
        <v>86</v>
      </c>
      <c r="D976" s="63" t="s">
        <v>96</v>
      </c>
      <c r="E976" s="93" t="s">
        <v>67</v>
      </c>
      <c r="F976" s="96">
        <v>2002</v>
      </c>
      <c r="G976" s="63">
        <f t="shared" ref="G976:G1007" si="68">2016.5-F976</f>
        <v>14.5</v>
      </c>
      <c r="H976" s="95">
        <v>277264.40999999997</v>
      </c>
      <c r="I976" s="97">
        <f t="shared" ref="I976:I1007" si="69">+G976*H976</f>
        <v>4020333.9449999998</v>
      </c>
    </row>
    <row r="977" spans="1:9" ht="45" hidden="1" outlineLevel="2">
      <c r="A977" s="93" t="s">
        <v>96</v>
      </c>
      <c r="B977" s="93" t="s">
        <v>87</v>
      </c>
      <c r="D977" s="63" t="s">
        <v>96</v>
      </c>
      <c r="E977" s="93" t="s">
        <v>67</v>
      </c>
      <c r="F977" s="96">
        <v>2002</v>
      </c>
      <c r="G977" s="63">
        <f t="shared" si="68"/>
        <v>14.5</v>
      </c>
      <c r="H977" s="95">
        <v>47463.7</v>
      </c>
      <c r="I977" s="97">
        <f t="shared" si="69"/>
        <v>688223.64999999991</v>
      </c>
    </row>
    <row r="978" spans="1:9" ht="30" hidden="1" outlineLevel="2">
      <c r="A978" s="93" t="s">
        <v>96</v>
      </c>
      <c r="B978" s="93" t="s">
        <v>88</v>
      </c>
      <c r="D978" s="63" t="s">
        <v>96</v>
      </c>
      <c r="E978" s="93" t="s">
        <v>67</v>
      </c>
      <c r="F978" s="96">
        <v>2002</v>
      </c>
      <c r="G978" s="63">
        <f t="shared" si="68"/>
        <v>14.5</v>
      </c>
      <c r="H978" s="95">
        <v>2508598.7599999998</v>
      </c>
      <c r="I978" s="97">
        <f t="shared" si="69"/>
        <v>36374682.019999996</v>
      </c>
    </row>
    <row r="979" spans="1:9" ht="45" hidden="1" outlineLevel="2">
      <c r="A979" s="93" t="s">
        <v>96</v>
      </c>
      <c r="B979" s="93" t="s">
        <v>86</v>
      </c>
      <c r="D979" s="63" t="s">
        <v>96</v>
      </c>
      <c r="E979" s="93" t="s">
        <v>67</v>
      </c>
      <c r="F979" s="96">
        <v>2003</v>
      </c>
      <c r="G979" s="63">
        <f t="shared" si="68"/>
        <v>13.5</v>
      </c>
      <c r="H979" s="95">
        <v>1146.8900000000001</v>
      </c>
      <c r="I979" s="97">
        <f t="shared" si="69"/>
        <v>15483.015000000001</v>
      </c>
    </row>
    <row r="980" spans="1:9" ht="45" hidden="1" outlineLevel="2">
      <c r="A980" s="93" t="s">
        <v>96</v>
      </c>
      <c r="B980" s="93" t="s">
        <v>87</v>
      </c>
      <c r="D980" s="63" t="s">
        <v>96</v>
      </c>
      <c r="E980" s="93" t="s">
        <v>67</v>
      </c>
      <c r="F980" s="96">
        <v>2003</v>
      </c>
      <c r="G980" s="63">
        <f t="shared" si="68"/>
        <v>13.5</v>
      </c>
      <c r="H980" s="95">
        <v>1122800.22</v>
      </c>
      <c r="I980" s="97">
        <f t="shared" si="69"/>
        <v>15157802.969999999</v>
      </c>
    </row>
    <row r="981" spans="1:9" ht="30" hidden="1" outlineLevel="2">
      <c r="A981" s="93" t="s">
        <v>96</v>
      </c>
      <c r="B981" s="93" t="s">
        <v>88</v>
      </c>
      <c r="D981" s="63" t="s">
        <v>96</v>
      </c>
      <c r="E981" s="93" t="s">
        <v>67</v>
      </c>
      <c r="F981" s="96">
        <v>2003</v>
      </c>
      <c r="G981" s="63">
        <f t="shared" si="68"/>
        <v>13.5</v>
      </c>
      <c r="H981" s="95">
        <v>75186.98</v>
      </c>
      <c r="I981" s="97">
        <f t="shared" si="69"/>
        <v>1015024.23</v>
      </c>
    </row>
    <row r="982" spans="1:9" ht="45" hidden="1" outlineLevel="2">
      <c r="A982" s="93" t="s">
        <v>96</v>
      </c>
      <c r="B982" s="93" t="s">
        <v>86</v>
      </c>
      <c r="D982" s="63" t="s">
        <v>96</v>
      </c>
      <c r="E982" s="93" t="s">
        <v>67</v>
      </c>
      <c r="F982" s="96">
        <v>2004</v>
      </c>
      <c r="G982" s="63">
        <f t="shared" si="68"/>
        <v>12.5</v>
      </c>
      <c r="H982" s="95">
        <v>164560.19</v>
      </c>
      <c r="I982" s="97">
        <f t="shared" si="69"/>
        <v>2057002.375</v>
      </c>
    </row>
    <row r="983" spans="1:9" ht="45" hidden="1" outlineLevel="2">
      <c r="A983" s="93" t="s">
        <v>96</v>
      </c>
      <c r="B983" s="93" t="s">
        <v>87</v>
      </c>
      <c r="D983" s="63" t="s">
        <v>96</v>
      </c>
      <c r="E983" s="93" t="s">
        <v>67</v>
      </c>
      <c r="F983" s="96">
        <v>2004</v>
      </c>
      <c r="G983" s="63">
        <f t="shared" si="68"/>
        <v>12.5</v>
      </c>
      <c r="H983" s="95">
        <v>121489.02</v>
      </c>
      <c r="I983" s="97">
        <f t="shared" si="69"/>
        <v>1518612.75</v>
      </c>
    </row>
    <row r="984" spans="1:9" ht="30" hidden="1" outlineLevel="2">
      <c r="A984" s="93" t="s">
        <v>96</v>
      </c>
      <c r="B984" s="93" t="s">
        <v>88</v>
      </c>
      <c r="D984" s="63" t="s">
        <v>96</v>
      </c>
      <c r="E984" s="93" t="s">
        <v>67</v>
      </c>
      <c r="F984" s="96">
        <v>2004</v>
      </c>
      <c r="G984" s="63">
        <f t="shared" si="68"/>
        <v>12.5</v>
      </c>
      <c r="H984" s="95">
        <v>532745.98</v>
      </c>
      <c r="I984" s="97">
        <f t="shared" si="69"/>
        <v>6659324.75</v>
      </c>
    </row>
    <row r="985" spans="1:9" ht="45" hidden="1" outlineLevel="2">
      <c r="A985" s="93" t="s">
        <v>96</v>
      </c>
      <c r="B985" s="93" t="s">
        <v>86</v>
      </c>
      <c r="D985" s="63" t="s">
        <v>96</v>
      </c>
      <c r="E985" s="93" t="s">
        <v>67</v>
      </c>
      <c r="F985" s="96">
        <v>2005</v>
      </c>
      <c r="G985" s="63">
        <f t="shared" si="68"/>
        <v>11.5</v>
      </c>
      <c r="H985" s="95">
        <v>198008.22</v>
      </c>
      <c r="I985" s="97">
        <f t="shared" si="69"/>
        <v>2277094.5299999998</v>
      </c>
    </row>
    <row r="986" spans="1:9" ht="45" hidden="1" outlineLevel="2">
      <c r="A986" s="93" t="s">
        <v>96</v>
      </c>
      <c r="B986" s="93" t="s">
        <v>87</v>
      </c>
      <c r="D986" s="63" t="s">
        <v>96</v>
      </c>
      <c r="E986" s="93" t="s">
        <v>67</v>
      </c>
      <c r="F986" s="96">
        <v>2005</v>
      </c>
      <c r="G986" s="63">
        <f t="shared" si="68"/>
        <v>11.5</v>
      </c>
      <c r="H986" s="95">
        <v>121873.59</v>
      </c>
      <c r="I986" s="97">
        <f t="shared" si="69"/>
        <v>1401546.2849999999</v>
      </c>
    </row>
    <row r="987" spans="1:9" ht="30" hidden="1" outlineLevel="2">
      <c r="A987" s="93" t="s">
        <v>96</v>
      </c>
      <c r="B987" s="93" t="s">
        <v>88</v>
      </c>
      <c r="D987" s="63" t="s">
        <v>96</v>
      </c>
      <c r="E987" s="93" t="s">
        <v>67</v>
      </c>
      <c r="F987" s="96">
        <v>2005</v>
      </c>
      <c r="G987" s="63">
        <f t="shared" si="68"/>
        <v>11.5</v>
      </c>
      <c r="H987" s="95">
        <v>268662.23</v>
      </c>
      <c r="I987" s="97">
        <f t="shared" si="69"/>
        <v>3089615.6449999996</v>
      </c>
    </row>
    <row r="988" spans="1:9" ht="45" hidden="1" outlineLevel="2">
      <c r="A988" s="93" t="s">
        <v>96</v>
      </c>
      <c r="B988" s="93" t="s">
        <v>86</v>
      </c>
      <c r="D988" s="63" t="s">
        <v>96</v>
      </c>
      <c r="E988" s="93" t="s">
        <v>67</v>
      </c>
      <c r="F988" s="96">
        <v>2006</v>
      </c>
      <c r="G988" s="63">
        <f t="shared" si="68"/>
        <v>10.5</v>
      </c>
      <c r="H988" s="95">
        <v>39865.910000000003</v>
      </c>
      <c r="I988" s="97">
        <f t="shared" si="69"/>
        <v>418592.05500000005</v>
      </c>
    </row>
    <row r="989" spans="1:9" ht="45" hidden="1" outlineLevel="2">
      <c r="A989" s="93" t="s">
        <v>96</v>
      </c>
      <c r="B989" s="93" t="s">
        <v>87</v>
      </c>
      <c r="D989" s="63" t="s">
        <v>96</v>
      </c>
      <c r="E989" s="93" t="s">
        <v>67</v>
      </c>
      <c r="F989" s="96">
        <v>2006</v>
      </c>
      <c r="G989" s="63">
        <f t="shared" si="68"/>
        <v>10.5</v>
      </c>
      <c r="H989" s="95">
        <v>213050.08</v>
      </c>
      <c r="I989" s="97">
        <f t="shared" si="69"/>
        <v>2237025.84</v>
      </c>
    </row>
    <row r="990" spans="1:9" ht="30" hidden="1" outlineLevel="2">
      <c r="A990" s="93" t="s">
        <v>96</v>
      </c>
      <c r="B990" s="93" t="s">
        <v>88</v>
      </c>
      <c r="D990" s="63" t="s">
        <v>96</v>
      </c>
      <c r="E990" s="93" t="s">
        <v>67</v>
      </c>
      <c r="F990" s="96">
        <v>2006</v>
      </c>
      <c r="G990" s="63">
        <f t="shared" si="68"/>
        <v>10.5</v>
      </c>
      <c r="H990" s="95">
        <v>507082.07</v>
      </c>
      <c r="I990" s="97">
        <f t="shared" si="69"/>
        <v>5324361.7350000003</v>
      </c>
    </row>
    <row r="991" spans="1:9" ht="45" hidden="1" outlineLevel="2">
      <c r="A991" s="93" t="s">
        <v>96</v>
      </c>
      <c r="B991" s="93" t="s">
        <v>86</v>
      </c>
      <c r="D991" s="63" t="s">
        <v>96</v>
      </c>
      <c r="E991" s="93" t="s">
        <v>67</v>
      </c>
      <c r="F991" s="96">
        <v>2007</v>
      </c>
      <c r="G991" s="63">
        <f t="shared" si="68"/>
        <v>9.5</v>
      </c>
      <c r="H991" s="95">
        <v>1841.65</v>
      </c>
      <c r="I991" s="97">
        <f t="shared" si="69"/>
        <v>17495.674999999999</v>
      </c>
    </row>
    <row r="992" spans="1:9" ht="45" hidden="1" outlineLevel="2">
      <c r="A992" s="93" t="s">
        <v>96</v>
      </c>
      <c r="B992" s="93" t="s">
        <v>87</v>
      </c>
      <c r="D992" s="63" t="s">
        <v>96</v>
      </c>
      <c r="E992" s="93" t="s">
        <v>67</v>
      </c>
      <c r="F992" s="96">
        <v>2007</v>
      </c>
      <c r="G992" s="63">
        <f t="shared" si="68"/>
        <v>9.5</v>
      </c>
      <c r="H992" s="95">
        <v>72385.350000000006</v>
      </c>
      <c r="I992" s="97">
        <f t="shared" si="69"/>
        <v>687660.82500000007</v>
      </c>
    </row>
    <row r="993" spans="1:9" ht="30" hidden="1" outlineLevel="2">
      <c r="A993" s="93" t="s">
        <v>96</v>
      </c>
      <c r="B993" s="93" t="s">
        <v>88</v>
      </c>
      <c r="D993" s="63" t="s">
        <v>96</v>
      </c>
      <c r="E993" s="93" t="s">
        <v>67</v>
      </c>
      <c r="F993" s="96">
        <v>2007</v>
      </c>
      <c r="G993" s="63">
        <f t="shared" si="68"/>
        <v>9.5</v>
      </c>
      <c r="H993" s="95">
        <v>94278.38</v>
      </c>
      <c r="I993" s="97">
        <f t="shared" si="69"/>
        <v>895644.6100000001</v>
      </c>
    </row>
    <row r="994" spans="1:9" ht="45" hidden="1" outlineLevel="2">
      <c r="A994" s="93" t="s">
        <v>96</v>
      </c>
      <c r="B994" s="93" t="s">
        <v>86</v>
      </c>
      <c r="D994" s="63" t="s">
        <v>96</v>
      </c>
      <c r="E994" s="93" t="s">
        <v>67</v>
      </c>
      <c r="F994" s="96">
        <v>2008</v>
      </c>
      <c r="G994" s="63">
        <f t="shared" si="68"/>
        <v>8.5</v>
      </c>
      <c r="H994" s="95">
        <v>21240.45</v>
      </c>
      <c r="I994" s="97">
        <f t="shared" si="69"/>
        <v>180543.82500000001</v>
      </c>
    </row>
    <row r="995" spans="1:9" ht="45" hidden="1" outlineLevel="2">
      <c r="A995" s="93" t="s">
        <v>96</v>
      </c>
      <c r="B995" s="93" t="s">
        <v>87</v>
      </c>
      <c r="D995" s="63" t="s">
        <v>96</v>
      </c>
      <c r="E995" s="93" t="s">
        <v>67</v>
      </c>
      <c r="F995" s="96">
        <v>2008</v>
      </c>
      <c r="G995" s="63">
        <f t="shared" si="68"/>
        <v>8.5</v>
      </c>
      <c r="H995" s="95">
        <v>267265.86</v>
      </c>
      <c r="I995" s="97">
        <f t="shared" si="69"/>
        <v>2271759.81</v>
      </c>
    </row>
    <row r="996" spans="1:9" ht="30" hidden="1" outlineLevel="2">
      <c r="A996" s="93" t="s">
        <v>96</v>
      </c>
      <c r="B996" s="93" t="s">
        <v>88</v>
      </c>
      <c r="D996" s="63" t="s">
        <v>96</v>
      </c>
      <c r="E996" s="93" t="s">
        <v>67</v>
      </c>
      <c r="F996" s="96">
        <v>2008</v>
      </c>
      <c r="G996" s="63">
        <f t="shared" si="68"/>
        <v>8.5</v>
      </c>
      <c r="H996" s="95">
        <v>471951.42</v>
      </c>
      <c r="I996" s="97">
        <f t="shared" si="69"/>
        <v>4011587.07</v>
      </c>
    </row>
    <row r="997" spans="1:9" ht="45" hidden="1" outlineLevel="2">
      <c r="A997" s="93" t="s">
        <v>96</v>
      </c>
      <c r="B997" s="93" t="s">
        <v>86</v>
      </c>
      <c r="D997" s="63" t="s">
        <v>96</v>
      </c>
      <c r="E997" s="93" t="s">
        <v>67</v>
      </c>
      <c r="F997" s="96">
        <v>2009</v>
      </c>
      <c r="G997" s="63">
        <f t="shared" si="68"/>
        <v>7.5</v>
      </c>
      <c r="H997" s="95">
        <v>662702.22</v>
      </c>
      <c r="I997" s="97">
        <f t="shared" si="69"/>
        <v>4970266.6499999994</v>
      </c>
    </row>
    <row r="998" spans="1:9" ht="45" hidden="1" outlineLevel="2">
      <c r="A998" s="93" t="s">
        <v>96</v>
      </c>
      <c r="B998" s="93" t="s">
        <v>87</v>
      </c>
      <c r="D998" s="63" t="s">
        <v>96</v>
      </c>
      <c r="E998" s="93" t="s">
        <v>67</v>
      </c>
      <c r="F998" s="96">
        <v>2009</v>
      </c>
      <c r="G998" s="63">
        <f t="shared" si="68"/>
        <v>7.5</v>
      </c>
      <c r="H998" s="95">
        <v>809515.8</v>
      </c>
      <c r="I998" s="97">
        <f t="shared" si="69"/>
        <v>6071368.5</v>
      </c>
    </row>
    <row r="999" spans="1:9" ht="30" hidden="1" outlineLevel="2">
      <c r="A999" s="93" t="s">
        <v>96</v>
      </c>
      <c r="B999" s="93" t="s">
        <v>88</v>
      </c>
      <c r="D999" s="63" t="s">
        <v>96</v>
      </c>
      <c r="E999" s="93" t="s">
        <v>67</v>
      </c>
      <c r="F999" s="96">
        <v>2009</v>
      </c>
      <c r="G999" s="63">
        <f t="shared" si="68"/>
        <v>7.5</v>
      </c>
      <c r="H999" s="95">
        <v>50051536.310000002</v>
      </c>
      <c r="I999" s="97">
        <f t="shared" si="69"/>
        <v>375386522.32500005</v>
      </c>
    </row>
    <row r="1000" spans="1:9" ht="45" hidden="1" outlineLevel="2">
      <c r="A1000" s="93" t="s">
        <v>96</v>
      </c>
      <c r="B1000" s="93" t="s">
        <v>86</v>
      </c>
      <c r="D1000" s="63" t="s">
        <v>96</v>
      </c>
      <c r="E1000" s="93" t="s">
        <v>67</v>
      </c>
      <c r="F1000" s="96">
        <v>2010</v>
      </c>
      <c r="G1000" s="63">
        <f t="shared" si="68"/>
        <v>6.5</v>
      </c>
      <c r="H1000" s="95">
        <v>135404.5</v>
      </c>
      <c r="I1000" s="97">
        <f t="shared" si="69"/>
        <v>880129.25</v>
      </c>
    </row>
    <row r="1001" spans="1:9" ht="45" hidden="1" outlineLevel="2">
      <c r="A1001" s="93" t="s">
        <v>96</v>
      </c>
      <c r="B1001" s="93" t="s">
        <v>87</v>
      </c>
      <c r="D1001" s="63" t="s">
        <v>96</v>
      </c>
      <c r="E1001" s="93" t="s">
        <v>67</v>
      </c>
      <c r="F1001" s="96">
        <v>2010</v>
      </c>
      <c r="G1001" s="63">
        <f t="shared" si="68"/>
        <v>6.5</v>
      </c>
      <c r="H1001" s="95">
        <v>1680582.07</v>
      </c>
      <c r="I1001" s="97">
        <f t="shared" si="69"/>
        <v>10923783.455</v>
      </c>
    </row>
    <row r="1002" spans="1:9" ht="30" hidden="1" outlineLevel="2">
      <c r="A1002" s="93" t="s">
        <v>96</v>
      </c>
      <c r="B1002" s="93" t="s">
        <v>88</v>
      </c>
      <c r="D1002" s="63" t="s">
        <v>96</v>
      </c>
      <c r="E1002" s="93" t="s">
        <v>67</v>
      </c>
      <c r="F1002" s="96">
        <v>2010</v>
      </c>
      <c r="G1002" s="63">
        <f t="shared" si="68"/>
        <v>6.5</v>
      </c>
      <c r="H1002" s="95">
        <v>46042738.270000003</v>
      </c>
      <c r="I1002" s="97">
        <f t="shared" si="69"/>
        <v>299277798.755</v>
      </c>
    </row>
    <row r="1003" spans="1:9" ht="45" hidden="1" outlineLevel="2">
      <c r="A1003" s="93" t="s">
        <v>96</v>
      </c>
      <c r="B1003" s="93" t="s">
        <v>86</v>
      </c>
      <c r="D1003" s="63" t="s">
        <v>96</v>
      </c>
      <c r="E1003" s="93" t="s">
        <v>67</v>
      </c>
      <c r="F1003" s="96">
        <v>2011</v>
      </c>
      <c r="G1003" s="63">
        <f t="shared" si="68"/>
        <v>5.5</v>
      </c>
      <c r="H1003" s="95">
        <v>8133075.9199999999</v>
      </c>
      <c r="I1003" s="97">
        <f t="shared" si="69"/>
        <v>44731917.560000002</v>
      </c>
    </row>
    <row r="1004" spans="1:9" ht="45" hidden="1" outlineLevel="2">
      <c r="A1004" s="93" t="s">
        <v>96</v>
      </c>
      <c r="B1004" s="93" t="s">
        <v>87</v>
      </c>
      <c r="D1004" s="63" t="s">
        <v>96</v>
      </c>
      <c r="E1004" s="93" t="s">
        <v>67</v>
      </c>
      <c r="F1004" s="96">
        <v>2011</v>
      </c>
      <c r="G1004" s="63">
        <f t="shared" si="68"/>
        <v>5.5</v>
      </c>
      <c r="H1004" s="95">
        <v>10437275.51</v>
      </c>
      <c r="I1004" s="97">
        <f t="shared" si="69"/>
        <v>57405015.305</v>
      </c>
    </row>
    <row r="1005" spans="1:9" ht="30" hidden="1" outlineLevel="2">
      <c r="A1005" s="93" t="s">
        <v>96</v>
      </c>
      <c r="B1005" s="93" t="s">
        <v>88</v>
      </c>
      <c r="D1005" s="63" t="s">
        <v>96</v>
      </c>
      <c r="E1005" s="93" t="s">
        <v>67</v>
      </c>
      <c r="F1005" s="96">
        <v>2011</v>
      </c>
      <c r="G1005" s="63">
        <f t="shared" si="68"/>
        <v>5.5</v>
      </c>
      <c r="H1005" s="95">
        <v>47562404.060000002</v>
      </c>
      <c r="I1005" s="97">
        <f t="shared" si="69"/>
        <v>261593222.33000001</v>
      </c>
    </row>
    <row r="1006" spans="1:9" ht="45" hidden="1" outlineLevel="2">
      <c r="A1006" s="93" t="s">
        <v>96</v>
      </c>
      <c r="B1006" s="93" t="s">
        <v>86</v>
      </c>
      <c r="D1006" s="63" t="s">
        <v>96</v>
      </c>
      <c r="E1006" s="93" t="s">
        <v>67</v>
      </c>
      <c r="F1006" s="96">
        <v>2012</v>
      </c>
      <c r="G1006" s="63">
        <f t="shared" si="68"/>
        <v>4.5</v>
      </c>
      <c r="H1006" s="95">
        <v>12317.51</v>
      </c>
      <c r="I1006" s="97">
        <f t="shared" si="69"/>
        <v>55428.794999999998</v>
      </c>
    </row>
    <row r="1007" spans="1:9" ht="45" hidden="1" outlineLevel="2">
      <c r="A1007" s="93" t="s">
        <v>96</v>
      </c>
      <c r="B1007" s="93" t="s">
        <v>86</v>
      </c>
      <c r="D1007" s="63" t="s">
        <v>96</v>
      </c>
      <c r="E1007" s="93" t="s">
        <v>67</v>
      </c>
      <c r="F1007" s="96">
        <v>2013</v>
      </c>
      <c r="G1007" s="63">
        <f t="shared" si="68"/>
        <v>3.5</v>
      </c>
      <c r="H1007" s="95">
        <v>248167.96</v>
      </c>
      <c r="I1007" s="97">
        <f t="shared" si="69"/>
        <v>868587.86</v>
      </c>
    </row>
    <row r="1008" spans="1:9" ht="45" hidden="1" outlineLevel="2">
      <c r="A1008" s="93" t="s">
        <v>96</v>
      </c>
      <c r="B1008" s="93" t="s">
        <v>87</v>
      </c>
      <c r="D1008" s="63" t="s">
        <v>96</v>
      </c>
      <c r="E1008" s="93" t="s">
        <v>67</v>
      </c>
      <c r="F1008" s="96">
        <v>2013</v>
      </c>
      <c r="G1008" s="63">
        <f t="shared" ref="G1008:G1017" si="70">2016.5-F1008</f>
        <v>3.5</v>
      </c>
      <c r="H1008" s="95">
        <v>1990850.22</v>
      </c>
      <c r="I1008" s="97">
        <f t="shared" ref="I1008:I1017" si="71">+G1008*H1008</f>
        <v>6967975.7699999996</v>
      </c>
    </row>
    <row r="1009" spans="1:10" ht="30" hidden="1" outlineLevel="2">
      <c r="A1009" s="93" t="s">
        <v>96</v>
      </c>
      <c r="B1009" s="93" t="s">
        <v>88</v>
      </c>
      <c r="D1009" s="63" t="s">
        <v>96</v>
      </c>
      <c r="E1009" s="93" t="s">
        <v>67</v>
      </c>
      <c r="F1009" s="96">
        <v>2013</v>
      </c>
      <c r="G1009" s="63">
        <f t="shared" si="70"/>
        <v>3.5</v>
      </c>
      <c r="H1009" s="95">
        <v>4344779.93</v>
      </c>
      <c r="I1009" s="97">
        <f t="shared" si="71"/>
        <v>15206729.754999999</v>
      </c>
    </row>
    <row r="1010" spans="1:10" ht="45" hidden="1" outlineLevel="2">
      <c r="A1010" s="93" t="s">
        <v>96</v>
      </c>
      <c r="B1010" s="93" t="s">
        <v>86</v>
      </c>
      <c r="D1010" s="63" t="s">
        <v>96</v>
      </c>
      <c r="E1010" s="93" t="s">
        <v>67</v>
      </c>
      <c r="F1010" s="96">
        <v>2014</v>
      </c>
      <c r="G1010" s="63">
        <f t="shared" si="70"/>
        <v>2.5</v>
      </c>
      <c r="H1010" s="95">
        <v>40503.269999999997</v>
      </c>
      <c r="I1010" s="97">
        <f t="shared" si="71"/>
        <v>101258.17499999999</v>
      </c>
    </row>
    <row r="1011" spans="1:10" ht="45" hidden="1" outlineLevel="2">
      <c r="A1011" s="93" t="s">
        <v>96</v>
      </c>
      <c r="B1011" s="93" t="s">
        <v>87</v>
      </c>
      <c r="D1011" s="63" t="s">
        <v>96</v>
      </c>
      <c r="E1011" s="93" t="s">
        <v>67</v>
      </c>
      <c r="F1011" s="96">
        <v>2014</v>
      </c>
      <c r="G1011" s="63">
        <f t="shared" si="70"/>
        <v>2.5</v>
      </c>
      <c r="H1011" s="95">
        <v>238782.42</v>
      </c>
      <c r="I1011" s="97">
        <f t="shared" si="71"/>
        <v>596956.05000000005</v>
      </c>
    </row>
    <row r="1012" spans="1:10" ht="30" hidden="1" outlineLevel="2">
      <c r="A1012" s="93" t="s">
        <v>96</v>
      </c>
      <c r="B1012" s="93" t="s">
        <v>88</v>
      </c>
      <c r="D1012" s="63" t="s">
        <v>96</v>
      </c>
      <c r="E1012" s="93" t="s">
        <v>67</v>
      </c>
      <c r="F1012" s="96">
        <v>2014</v>
      </c>
      <c r="G1012" s="63">
        <f t="shared" si="70"/>
        <v>2.5</v>
      </c>
      <c r="H1012" s="95">
        <v>4252885.3600000003</v>
      </c>
      <c r="I1012" s="97">
        <f t="shared" si="71"/>
        <v>10632213.4</v>
      </c>
    </row>
    <row r="1013" spans="1:10" ht="45" hidden="1" outlineLevel="2">
      <c r="A1013" s="93" t="s">
        <v>96</v>
      </c>
      <c r="B1013" s="93" t="s">
        <v>87</v>
      </c>
      <c r="D1013" s="63" t="s">
        <v>96</v>
      </c>
      <c r="E1013" s="93" t="s">
        <v>67</v>
      </c>
      <c r="F1013" s="96">
        <v>2015</v>
      </c>
      <c r="G1013" s="63">
        <f t="shared" si="70"/>
        <v>1.5</v>
      </c>
      <c r="H1013" s="95">
        <v>371258.85</v>
      </c>
      <c r="I1013" s="97">
        <f t="shared" si="71"/>
        <v>556888.27499999991</v>
      </c>
    </row>
    <row r="1014" spans="1:10" ht="30" hidden="1" outlineLevel="2">
      <c r="A1014" s="93" t="s">
        <v>96</v>
      </c>
      <c r="B1014" s="93" t="s">
        <v>88</v>
      </c>
      <c r="D1014" s="63" t="s">
        <v>96</v>
      </c>
      <c r="E1014" s="93" t="s">
        <v>67</v>
      </c>
      <c r="F1014" s="96">
        <v>2015</v>
      </c>
      <c r="G1014" s="63">
        <f t="shared" si="70"/>
        <v>1.5</v>
      </c>
      <c r="H1014" s="95">
        <v>8489866.2200000007</v>
      </c>
      <c r="I1014" s="97">
        <f t="shared" si="71"/>
        <v>12734799.330000002</v>
      </c>
    </row>
    <row r="1015" spans="1:10" ht="45" hidden="1" outlineLevel="2">
      <c r="A1015" s="93" t="s">
        <v>96</v>
      </c>
      <c r="B1015" s="93" t="s">
        <v>86</v>
      </c>
      <c r="D1015" s="63" t="s">
        <v>96</v>
      </c>
      <c r="E1015" s="93" t="s">
        <v>67</v>
      </c>
      <c r="F1015" s="96">
        <v>2016</v>
      </c>
      <c r="G1015" s="63">
        <f t="shared" si="70"/>
        <v>0.5</v>
      </c>
      <c r="H1015" s="95">
        <v>21001.98</v>
      </c>
      <c r="I1015" s="97">
        <f t="shared" si="71"/>
        <v>10500.99</v>
      </c>
    </row>
    <row r="1016" spans="1:10" ht="45" hidden="1" outlineLevel="2">
      <c r="A1016" s="93" t="s">
        <v>96</v>
      </c>
      <c r="B1016" s="93" t="s">
        <v>87</v>
      </c>
      <c r="D1016" s="63" t="s">
        <v>96</v>
      </c>
      <c r="E1016" s="93" t="s">
        <v>67</v>
      </c>
      <c r="F1016" s="96">
        <v>2016</v>
      </c>
      <c r="G1016" s="63">
        <f t="shared" si="70"/>
        <v>0.5</v>
      </c>
      <c r="H1016" s="95">
        <v>39005.42</v>
      </c>
      <c r="I1016" s="97">
        <f t="shared" si="71"/>
        <v>19502.71</v>
      </c>
    </row>
    <row r="1017" spans="1:10" ht="30" hidden="1" outlineLevel="2">
      <c r="A1017" s="93" t="s">
        <v>96</v>
      </c>
      <c r="B1017" s="93" t="s">
        <v>88</v>
      </c>
      <c r="D1017" s="63" t="s">
        <v>96</v>
      </c>
      <c r="E1017" s="93" t="s">
        <v>67</v>
      </c>
      <c r="F1017" s="96">
        <v>2016</v>
      </c>
      <c r="G1017" s="63">
        <f t="shared" si="70"/>
        <v>0.5</v>
      </c>
      <c r="H1017" s="95">
        <v>803321.76</v>
      </c>
      <c r="I1017" s="97">
        <f t="shared" si="71"/>
        <v>401660.88</v>
      </c>
    </row>
    <row r="1018" spans="1:10" s="63" customFormat="1" ht="30" outlineLevel="1" collapsed="1">
      <c r="A1018" s="26" t="str">
        <f>+A1017</f>
        <v>Scherer</v>
      </c>
      <c r="B1018" s="94"/>
      <c r="C1018" s="26"/>
      <c r="D1018" s="26" t="str">
        <f>+D1017</f>
        <v>Scherer</v>
      </c>
      <c r="E1018" s="94" t="s">
        <v>202</v>
      </c>
      <c r="F1018" s="96"/>
      <c r="H1018" s="95">
        <f>SUBTOTAL(9,H944:H1017)</f>
        <v>282887489.51000005</v>
      </c>
      <c r="I1018" s="97">
        <f>SUBTOTAL(9,I944:I1017)</f>
        <v>3840348726.7550011</v>
      </c>
      <c r="J1018" s="63">
        <f>+I1018/H1018</f>
        <v>13.575533981396674</v>
      </c>
    </row>
    <row r="1019" spans="1:10" ht="45" hidden="1" outlineLevel="2">
      <c r="A1019" s="93" t="s">
        <v>96</v>
      </c>
      <c r="B1019" s="93" t="s">
        <v>87</v>
      </c>
      <c r="D1019" s="63" t="s">
        <v>96</v>
      </c>
      <c r="E1019" s="93" t="s">
        <v>68</v>
      </c>
      <c r="F1019" s="96">
        <v>1982</v>
      </c>
      <c r="G1019" s="63">
        <f t="shared" ref="G1019:G1042" si="72">2016.5-F1019</f>
        <v>34.5</v>
      </c>
      <c r="H1019" s="95">
        <v>925593.24</v>
      </c>
      <c r="I1019" s="97">
        <f t="shared" ref="I1019:I1042" si="73">+G1019*H1019</f>
        <v>31932966.780000001</v>
      </c>
    </row>
    <row r="1020" spans="1:10" ht="45" hidden="1" outlineLevel="2">
      <c r="A1020" s="93" t="s">
        <v>96</v>
      </c>
      <c r="B1020" s="93" t="s">
        <v>87</v>
      </c>
      <c r="D1020" s="63" t="s">
        <v>96</v>
      </c>
      <c r="E1020" s="93" t="s">
        <v>68</v>
      </c>
      <c r="F1020" s="96">
        <v>1984</v>
      </c>
      <c r="G1020" s="63">
        <f t="shared" si="72"/>
        <v>32.5</v>
      </c>
      <c r="H1020" s="95">
        <v>116850.28</v>
      </c>
      <c r="I1020" s="97">
        <f t="shared" si="73"/>
        <v>3797634.1</v>
      </c>
    </row>
    <row r="1021" spans="1:10" ht="45" hidden="1" outlineLevel="2">
      <c r="A1021" s="93" t="s">
        <v>96</v>
      </c>
      <c r="B1021" s="93" t="s">
        <v>86</v>
      </c>
      <c r="D1021" s="63" t="s">
        <v>96</v>
      </c>
      <c r="E1021" s="93" t="s">
        <v>68</v>
      </c>
      <c r="F1021" s="96">
        <v>1987</v>
      </c>
      <c r="G1021" s="63">
        <f t="shared" si="72"/>
        <v>29.5</v>
      </c>
      <c r="H1021" s="95">
        <v>94520.34</v>
      </c>
      <c r="I1021" s="97">
        <f t="shared" si="73"/>
        <v>2788350.03</v>
      </c>
    </row>
    <row r="1022" spans="1:10" ht="45" hidden="1" outlineLevel="2">
      <c r="A1022" s="93" t="s">
        <v>96</v>
      </c>
      <c r="B1022" s="93" t="s">
        <v>87</v>
      </c>
      <c r="D1022" s="63" t="s">
        <v>96</v>
      </c>
      <c r="E1022" s="93" t="s">
        <v>68</v>
      </c>
      <c r="F1022" s="96">
        <v>1987</v>
      </c>
      <c r="G1022" s="63">
        <f t="shared" si="72"/>
        <v>29.5</v>
      </c>
      <c r="H1022" s="95">
        <v>149438.99</v>
      </c>
      <c r="I1022" s="97">
        <f t="shared" si="73"/>
        <v>4408450.2050000001</v>
      </c>
    </row>
    <row r="1023" spans="1:10" ht="30" hidden="1" outlineLevel="2">
      <c r="A1023" s="93" t="s">
        <v>96</v>
      </c>
      <c r="B1023" s="93" t="s">
        <v>88</v>
      </c>
      <c r="D1023" s="63" t="s">
        <v>96</v>
      </c>
      <c r="E1023" s="93" t="s">
        <v>68</v>
      </c>
      <c r="F1023" s="96">
        <v>1987</v>
      </c>
      <c r="G1023" s="63">
        <f t="shared" si="72"/>
        <v>29.5</v>
      </c>
      <c r="H1023" s="95">
        <v>33481584.800000001</v>
      </c>
      <c r="I1023" s="97">
        <f t="shared" si="73"/>
        <v>987706751.60000002</v>
      </c>
    </row>
    <row r="1024" spans="1:10" ht="45" hidden="1" outlineLevel="2">
      <c r="A1024" s="93" t="s">
        <v>96</v>
      </c>
      <c r="B1024" s="93" t="s">
        <v>87</v>
      </c>
      <c r="D1024" s="63" t="s">
        <v>96</v>
      </c>
      <c r="E1024" s="93" t="s">
        <v>68</v>
      </c>
      <c r="F1024" s="96">
        <v>1988</v>
      </c>
      <c r="G1024" s="63">
        <f t="shared" si="72"/>
        <v>28.5</v>
      </c>
      <c r="H1024" s="95">
        <v>36077.74</v>
      </c>
      <c r="I1024" s="97">
        <f t="shared" si="73"/>
        <v>1028215.59</v>
      </c>
    </row>
    <row r="1025" spans="1:9" ht="45" hidden="1" outlineLevel="2">
      <c r="A1025" s="93" t="s">
        <v>96</v>
      </c>
      <c r="B1025" s="93" t="s">
        <v>87</v>
      </c>
      <c r="D1025" s="63" t="s">
        <v>96</v>
      </c>
      <c r="E1025" s="93" t="s">
        <v>68</v>
      </c>
      <c r="F1025" s="96">
        <v>1989</v>
      </c>
      <c r="G1025" s="63">
        <f t="shared" si="72"/>
        <v>27.5</v>
      </c>
      <c r="H1025" s="95">
        <v>9704.4599999999991</v>
      </c>
      <c r="I1025" s="97">
        <f t="shared" si="73"/>
        <v>266872.64999999997</v>
      </c>
    </row>
    <row r="1026" spans="1:9" ht="45" hidden="1" outlineLevel="2">
      <c r="A1026" s="93" t="s">
        <v>96</v>
      </c>
      <c r="B1026" s="93" t="s">
        <v>87</v>
      </c>
      <c r="D1026" s="63" t="s">
        <v>96</v>
      </c>
      <c r="E1026" s="93" t="s">
        <v>68</v>
      </c>
      <c r="F1026" s="96">
        <v>1992</v>
      </c>
      <c r="G1026" s="63">
        <f t="shared" si="72"/>
        <v>24.5</v>
      </c>
      <c r="H1026" s="95">
        <v>480.56</v>
      </c>
      <c r="I1026" s="97">
        <f t="shared" si="73"/>
        <v>11773.72</v>
      </c>
    </row>
    <row r="1027" spans="1:9" ht="45" hidden="1" outlineLevel="2">
      <c r="A1027" s="93" t="s">
        <v>96</v>
      </c>
      <c r="B1027" s="93" t="s">
        <v>87</v>
      </c>
      <c r="D1027" s="63" t="s">
        <v>96</v>
      </c>
      <c r="E1027" s="93" t="s">
        <v>68</v>
      </c>
      <c r="F1027" s="96">
        <v>1995</v>
      </c>
      <c r="G1027" s="63">
        <f t="shared" si="72"/>
        <v>21.5</v>
      </c>
      <c r="H1027" s="95">
        <v>222.45</v>
      </c>
      <c r="I1027" s="97">
        <f t="shared" si="73"/>
        <v>4782.6750000000002</v>
      </c>
    </row>
    <row r="1028" spans="1:9" ht="30" hidden="1" outlineLevel="2">
      <c r="A1028" s="93" t="s">
        <v>96</v>
      </c>
      <c r="B1028" s="93" t="s">
        <v>88</v>
      </c>
      <c r="D1028" s="63" t="s">
        <v>96</v>
      </c>
      <c r="E1028" s="93" t="s">
        <v>68</v>
      </c>
      <c r="F1028" s="96">
        <v>1996</v>
      </c>
      <c r="G1028" s="63">
        <f t="shared" si="72"/>
        <v>20.5</v>
      </c>
      <c r="H1028" s="95">
        <v>3314.64</v>
      </c>
      <c r="I1028" s="97">
        <f t="shared" si="73"/>
        <v>67950.12</v>
      </c>
    </row>
    <row r="1029" spans="1:9" ht="30" hidden="1" outlineLevel="2">
      <c r="A1029" s="93" t="s">
        <v>96</v>
      </c>
      <c r="B1029" s="93" t="s">
        <v>88</v>
      </c>
      <c r="D1029" s="63" t="s">
        <v>96</v>
      </c>
      <c r="E1029" s="93" t="s">
        <v>68</v>
      </c>
      <c r="F1029" s="96">
        <v>1997</v>
      </c>
      <c r="G1029" s="63">
        <f t="shared" si="72"/>
        <v>19.5</v>
      </c>
      <c r="H1029" s="95">
        <v>13623.38</v>
      </c>
      <c r="I1029" s="97">
        <f t="shared" si="73"/>
        <v>265655.90999999997</v>
      </c>
    </row>
    <row r="1030" spans="1:9" ht="30" hidden="1" outlineLevel="2">
      <c r="A1030" s="93" t="s">
        <v>96</v>
      </c>
      <c r="B1030" s="93" t="s">
        <v>88</v>
      </c>
      <c r="D1030" s="63" t="s">
        <v>96</v>
      </c>
      <c r="E1030" s="93" t="s">
        <v>68</v>
      </c>
      <c r="F1030" s="96">
        <v>2002</v>
      </c>
      <c r="G1030" s="63">
        <f t="shared" si="72"/>
        <v>14.5</v>
      </c>
      <c r="H1030" s="95">
        <v>14162.01</v>
      </c>
      <c r="I1030" s="97">
        <f t="shared" si="73"/>
        <v>205349.14499999999</v>
      </c>
    </row>
    <row r="1031" spans="1:9" ht="30" hidden="1" outlineLevel="2">
      <c r="A1031" s="93" t="s">
        <v>96</v>
      </c>
      <c r="B1031" s="93" t="s">
        <v>88</v>
      </c>
      <c r="D1031" s="63" t="s">
        <v>96</v>
      </c>
      <c r="E1031" s="93" t="s">
        <v>68</v>
      </c>
      <c r="F1031" s="96">
        <v>2003</v>
      </c>
      <c r="G1031" s="63">
        <f t="shared" si="72"/>
        <v>13.5</v>
      </c>
      <c r="H1031" s="95">
        <v>64696.55</v>
      </c>
      <c r="I1031" s="97">
        <f t="shared" si="73"/>
        <v>873403.42500000005</v>
      </c>
    </row>
    <row r="1032" spans="1:9" ht="30" hidden="1" outlineLevel="2">
      <c r="A1032" s="93" t="s">
        <v>96</v>
      </c>
      <c r="B1032" s="93" t="s">
        <v>88</v>
      </c>
      <c r="D1032" s="63" t="s">
        <v>96</v>
      </c>
      <c r="E1032" s="93" t="s">
        <v>68</v>
      </c>
      <c r="F1032" s="96">
        <v>2004</v>
      </c>
      <c r="G1032" s="63">
        <f t="shared" si="72"/>
        <v>12.5</v>
      </c>
      <c r="H1032" s="95">
        <v>75558.12</v>
      </c>
      <c r="I1032" s="97">
        <f t="shared" si="73"/>
        <v>944476.5</v>
      </c>
    </row>
    <row r="1033" spans="1:9" ht="30" hidden="1" outlineLevel="2">
      <c r="A1033" s="93" t="s">
        <v>96</v>
      </c>
      <c r="B1033" s="93" t="s">
        <v>88</v>
      </c>
      <c r="D1033" s="63" t="s">
        <v>96</v>
      </c>
      <c r="E1033" s="93" t="s">
        <v>68</v>
      </c>
      <c r="F1033" s="96">
        <v>2005</v>
      </c>
      <c r="G1033" s="63">
        <f t="shared" si="72"/>
        <v>11.5</v>
      </c>
      <c r="H1033" s="95">
        <v>13604.72</v>
      </c>
      <c r="I1033" s="97">
        <f t="shared" si="73"/>
        <v>156454.28</v>
      </c>
    </row>
    <row r="1034" spans="1:9" ht="30" hidden="1" outlineLevel="2">
      <c r="A1034" s="93" t="s">
        <v>96</v>
      </c>
      <c r="B1034" s="93" t="s">
        <v>88</v>
      </c>
      <c r="D1034" s="63" t="s">
        <v>96</v>
      </c>
      <c r="E1034" s="93" t="s">
        <v>68</v>
      </c>
      <c r="F1034" s="96">
        <v>2006</v>
      </c>
      <c r="G1034" s="63">
        <f t="shared" si="72"/>
        <v>10.5</v>
      </c>
      <c r="H1034" s="95">
        <v>206424.83</v>
      </c>
      <c r="I1034" s="97">
        <f t="shared" si="73"/>
        <v>2167460.7149999999</v>
      </c>
    </row>
    <row r="1035" spans="1:9" ht="30" hidden="1" outlineLevel="2">
      <c r="A1035" s="93" t="s">
        <v>96</v>
      </c>
      <c r="B1035" s="93" t="s">
        <v>88</v>
      </c>
      <c r="D1035" s="63" t="s">
        <v>96</v>
      </c>
      <c r="E1035" s="93" t="s">
        <v>68</v>
      </c>
      <c r="F1035" s="96">
        <v>2011</v>
      </c>
      <c r="G1035" s="63">
        <f t="shared" si="72"/>
        <v>5.5</v>
      </c>
      <c r="H1035" s="95">
        <v>62627.58</v>
      </c>
      <c r="I1035" s="97">
        <f t="shared" si="73"/>
        <v>344451.69</v>
      </c>
    </row>
    <row r="1036" spans="1:9" ht="30" hidden="1" outlineLevel="2">
      <c r="A1036" s="93" t="s">
        <v>96</v>
      </c>
      <c r="B1036" s="93" t="s">
        <v>88</v>
      </c>
      <c r="D1036" s="63" t="s">
        <v>96</v>
      </c>
      <c r="E1036" s="93" t="s">
        <v>68</v>
      </c>
      <c r="F1036" s="96">
        <v>2012</v>
      </c>
      <c r="G1036" s="63">
        <f t="shared" si="72"/>
        <v>4.5</v>
      </c>
      <c r="H1036" s="95">
        <v>1882949.58</v>
      </c>
      <c r="I1036" s="97">
        <f t="shared" si="73"/>
        <v>8473273.1099999994</v>
      </c>
    </row>
    <row r="1037" spans="1:9" ht="30" hidden="1" outlineLevel="2">
      <c r="A1037" s="93" t="s">
        <v>96</v>
      </c>
      <c r="B1037" s="93" t="s">
        <v>88</v>
      </c>
      <c r="D1037" s="63" t="s">
        <v>96</v>
      </c>
      <c r="E1037" s="93" t="s">
        <v>68</v>
      </c>
      <c r="F1037" s="96">
        <v>2013</v>
      </c>
      <c r="G1037" s="63">
        <f t="shared" si="72"/>
        <v>3.5</v>
      </c>
      <c r="H1037" s="95">
        <v>407030.55</v>
      </c>
      <c r="I1037" s="97">
        <f t="shared" si="73"/>
        <v>1424606.925</v>
      </c>
    </row>
    <row r="1038" spans="1:9" ht="45" hidden="1" outlineLevel="2">
      <c r="A1038" s="93" t="s">
        <v>96</v>
      </c>
      <c r="B1038" s="93" t="s">
        <v>87</v>
      </c>
      <c r="D1038" s="63" t="s">
        <v>96</v>
      </c>
      <c r="E1038" s="93" t="s">
        <v>68</v>
      </c>
      <c r="F1038" s="96">
        <v>2014</v>
      </c>
      <c r="G1038" s="63">
        <f t="shared" si="72"/>
        <v>2.5</v>
      </c>
      <c r="H1038" s="95">
        <v>16064.93</v>
      </c>
      <c r="I1038" s="97">
        <f t="shared" si="73"/>
        <v>40162.324999999997</v>
      </c>
    </row>
    <row r="1039" spans="1:9" ht="30" hidden="1" outlineLevel="2">
      <c r="A1039" s="93" t="s">
        <v>96</v>
      </c>
      <c r="B1039" s="93" t="s">
        <v>88</v>
      </c>
      <c r="D1039" s="63" t="s">
        <v>96</v>
      </c>
      <c r="E1039" s="93" t="s">
        <v>68</v>
      </c>
      <c r="F1039" s="96">
        <v>2015</v>
      </c>
      <c r="G1039" s="63">
        <f t="shared" si="72"/>
        <v>1.5</v>
      </c>
      <c r="H1039" s="95">
        <v>379213.28</v>
      </c>
      <c r="I1039" s="97">
        <f t="shared" si="73"/>
        <v>568819.92000000004</v>
      </c>
    </row>
    <row r="1040" spans="1:9" ht="45" hidden="1" outlineLevel="2">
      <c r="A1040" s="93" t="s">
        <v>96</v>
      </c>
      <c r="B1040" s="93" t="s">
        <v>86</v>
      </c>
      <c r="D1040" s="63" t="s">
        <v>96</v>
      </c>
      <c r="E1040" s="93" t="s">
        <v>68</v>
      </c>
      <c r="F1040" s="96">
        <v>2016</v>
      </c>
      <c r="G1040" s="63">
        <f t="shared" si="72"/>
        <v>0.5</v>
      </c>
      <c r="H1040" s="95">
        <v>1707.62</v>
      </c>
      <c r="I1040" s="97">
        <f t="shared" si="73"/>
        <v>853.81</v>
      </c>
    </row>
    <row r="1041" spans="1:10" ht="45" hidden="1" outlineLevel="2">
      <c r="A1041" s="93" t="s">
        <v>96</v>
      </c>
      <c r="B1041" s="93" t="s">
        <v>87</v>
      </c>
      <c r="D1041" s="63" t="s">
        <v>96</v>
      </c>
      <c r="E1041" s="93" t="s">
        <v>68</v>
      </c>
      <c r="F1041" s="96">
        <v>2016</v>
      </c>
      <c r="G1041" s="63">
        <f t="shared" si="72"/>
        <v>0.5</v>
      </c>
      <c r="H1041" s="95">
        <v>22608.89</v>
      </c>
      <c r="I1041" s="97">
        <f t="shared" si="73"/>
        <v>11304.445</v>
      </c>
    </row>
    <row r="1042" spans="1:10" ht="30" hidden="1" outlineLevel="2">
      <c r="A1042" s="93" t="s">
        <v>96</v>
      </c>
      <c r="B1042" s="93" t="s">
        <v>88</v>
      </c>
      <c r="D1042" s="63" t="s">
        <v>96</v>
      </c>
      <c r="E1042" s="93" t="s">
        <v>68</v>
      </c>
      <c r="F1042" s="96">
        <v>2016</v>
      </c>
      <c r="G1042" s="63">
        <f t="shared" si="72"/>
        <v>0.5</v>
      </c>
      <c r="H1042" s="95">
        <v>623180.35</v>
      </c>
      <c r="I1042" s="97">
        <f t="shared" si="73"/>
        <v>311590.17499999999</v>
      </c>
    </row>
    <row r="1043" spans="1:10" s="63" customFormat="1" ht="30" outlineLevel="1" collapsed="1">
      <c r="A1043" s="26" t="str">
        <f>+A1042</f>
        <v>Scherer</v>
      </c>
      <c r="B1043" s="94"/>
      <c r="C1043" s="26"/>
      <c r="D1043" s="26" t="str">
        <f>+D1042</f>
        <v>Scherer</v>
      </c>
      <c r="E1043" s="94" t="s">
        <v>203</v>
      </c>
      <c r="F1043" s="96"/>
      <c r="H1043" s="95">
        <f>SUBTOTAL(9,H1019:H1042)</f>
        <v>38601239.889999993</v>
      </c>
      <c r="I1043" s="97">
        <f>SUBTOTAL(9,I1019:I1042)</f>
        <v>1047801609.8449999</v>
      </c>
      <c r="J1043" s="63">
        <f>+I1043/H1043</f>
        <v>27.144247512019493</v>
      </c>
    </row>
    <row r="1044" spans="1:10" ht="45" hidden="1" outlineLevel="2">
      <c r="A1044" s="93" t="s">
        <v>96</v>
      </c>
      <c r="B1044" s="93" t="s">
        <v>87</v>
      </c>
      <c r="D1044" s="63" t="s">
        <v>96</v>
      </c>
      <c r="E1044" s="93" t="s">
        <v>69</v>
      </c>
      <c r="F1044" s="96">
        <v>1982</v>
      </c>
      <c r="G1044" s="63">
        <f t="shared" ref="G1044:G1085" si="74">2016.5-F1044</f>
        <v>34.5</v>
      </c>
      <c r="H1044" s="95">
        <v>266602.15999999997</v>
      </c>
      <c r="I1044" s="97">
        <f t="shared" ref="I1044:I1085" si="75">+G1044*H1044</f>
        <v>9197774.5199999996</v>
      </c>
    </row>
    <row r="1045" spans="1:10" ht="45" hidden="1" outlineLevel="2">
      <c r="A1045" s="93" t="s">
        <v>96</v>
      </c>
      <c r="B1045" s="93" t="s">
        <v>87</v>
      </c>
      <c r="D1045" s="63" t="s">
        <v>96</v>
      </c>
      <c r="E1045" s="93" t="s">
        <v>69</v>
      </c>
      <c r="F1045" s="96">
        <v>1983</v>
      </c>
      <c r="G1045" s="63">
        <f t="shared" si="74"/>
        <v>33.5</v>
      </c>
      <c r="H1045" s="95">
        <v>4710.6099999999997</v>
      </c>
      <c r="I1045" s="97">
        <f t="shared" si="75"/>
        <v>157805.435</v>
      </c>
    </row>
    <row r="1046" spans="1:10" ht="45" hidden="1" outlineLevel="2">
      <c r="A1046" s="93" t="s">
        <v>96</v>
      </c>
      <c r="B1046" s="93" t="s">
        <v>87</v>
      </c>
      <c r="D1046" s="63" t="s">
        <v>96</v>
      </c>
      <c r="E1046" s="93" t="s">
        <v>69</v>
      </c>
      <c r="F1046" s="96">
        <v>1984</v>
      </c>
      <c r="G1046" s="63">
        <f t="shared" si="74"/>
        <v>32.5</v>
      </c>
      <c r="H1046" s="95">
        <v>33808.720000000001</v>
      </c>
      <c r="I1046" s="97">
        <f t="shared" si="75"/>
        <v>1098783.4000000001</v>
      </c>
    </row>
    <row r="1047" spans="1:10" ht="45" hidden="1" outlineLevel="2">
      <c r="A1047" s="93" t="s">
        <v>96</v>
      </c>
      <c r="B1047" s="93" t="s">
        <v>86</v>
      </c>
      <c r="D1047" s="63" t="s">
        <v>96</v>
      </c>
      <c r="E1047" s="93" t="s">
        <v>69</v>
      </c>
      <c r="F1047" s="96">
        <v>1987</v>
      </c>
      <c r="G1047" s="63">
        <f t="shared" si="74"/>
        <v>29.5</v>
      </c>
      <c r="H1047" s="95">
        <v>73882.14</v>
      </c>
      <c r="I1047" s="97">
        <f t="shared" si="75"/>
        <v>2179523.13</v>
      </c>
    </row>
    <row r="1048" spans="1:10" ht="45" hidden="1" outlineLevel="2">
      <c r="A1048" s="93" t="s">
        <v>96</v>
      </c>
      <c r="B1048" s="93" t="s">
        <v>87</v>
      </c>
      <c r="D1048" s="63" t="s">
        <v>96</v>
      </c>
      <c r="E1048" s="93" t="s">
        <v>69</v>
      </c>
      <c r="F1048" s="96">
        <v>1987</v>
      </c>
      <c r="G1048" s="63">
        <f t="shared" si="74"/>
        <v>29.5</v>
      </c>
      <c r="H1048" s="95">
        <v>44995.19</v>
      </c>
      <c r="I1048" s="97">
        <f t="shared" si="75"/>
        <v>1327358.105</v>
      </c>
    </row>
    <row r="1049" spans="1:10" ht="30" hidden="1" outlineLevel="2">
      <c r="A1049" s="93" t="s">
        <v>96</v>
      </c>
      <c r="B1049" s="93" t="s">
        <v>88</v>
      </c>
      <c r="D1049" s="63" t="s">
        <v>96</v>
      </c>
      <c r="E1049" s="93" t="s">
        <v>69</v>
      </c>
      <c r="F1049" s="96">
        <v>1987</v>
      </c>
      <c r="G1049" s="63">
        <f t="shared" si="74"/>
        <v>29.5</v>
      </c>
      <c r="H1049" s="95">
        <v>7803871.5499999998</v>
      </c>
      <c r="I1049" s="97">
        <f t="shared" si="75"/>
        <v>230214210.72499999</v>
      </c>
    </row>
    <row r="1050" spans="1:10" ht="45" hidden="1" outlineLevel="2">
      <c r="A1050" s="93" t="s">
        <v>96</v>
      </c>
      <c r="B1050" s="93" t="s">
        <v>87</v>
      </c>
      <c r="D1050" s="63" t="s">
        <v>96</v>
      </c>
      <c r="E1050" s="93" t="s">
        <v>69</v>
      </c>
      <c r="F1050" s="96">
        <v>1988</v>
      </c>
      <c r="G1050" s="63">
        <f t="shared" si="74"/>
        <v>28.5</v>
      </c>
      <c r="H1050" s="95">
        <v>9192.48</v>
      </c>
      <c r="I1050" s="97">
        <f t="shared" si="75"/>
        <v>261985.68</v>
      </c>
    </row>
    <row r="1051" spans="1:10" ht="30" hidden="1" outlineLevel="2">
      <c r="A1051" s="93" t="s">
        <v>96</v>
      </c>
      <c r="B1051" s="93" t="s">
        <v>88</v>
      </c>
      <c r="D1051" s="63" t="s">
        <v>96</v>
      </c>
      <c r="E1051" s="93" t="s">
        <v>69</v>
      </c>
      <c r="F1051" s="96">
        <v>1988</v>
      </c>
      <c r="G1051" s="63">
        <f t="shared" si="74"/>
        <v>28.5</v>
      </c>
      <c r="H1051" s="95">
        <v>868.55</v>
      </c>
      <c r="I1051" s="97">
        <f t="shared" si="75"/>
        <v>24753.674999999999</v>
      </c>
    </row>
    <row r="1052" spans="1:10" ht="45" hidden="1" outlineLevel="2">
      <c r="A1052" s="93" t="s">
        <v>96</v>
      </c>
      <c r="B1052" s="93" t="s">
        <v>87</v>
      </c>
      <c r="D1052" s="63" t="s">
        <v>96</v>
      </c>
      <c r="E1052" s="93" t="s">
        <v>69</v>
      </c>
      <c r="F1052" s="96">
        <v>1989</v>
      </c>
      <c r="G1052" s="63">
        <f t="shared" si="74"/>
        <v>27.5</v>
      </c>
      <c r="H1052" s="95">
        <v>2940.74</v>
      </c>
      <c r="I1052" s="97">
        <f t="shared" si="75"/>
        <v>80870.349999999991</v>
      </c>
    </row>
    <row r="1053" spans="1:10" ht="45" hidden="1" outlineLevel="2">
      <c r="A1053" s="93" t="s">
        <v>96</v>
      </c>
      <c r="B1053" s="93" t="s">
        <v>87</v>
      </c>
      <c r="D1053" s="63" t="s">
        <v>96</v>
      </c>
      <c r="E1053" s="93" t="s">
        <v>69</v>
      </c>
      <c r="F1053" s="96">
        <v>1990</v>
      </c>
      <c r="G1053" s="63">
        <f t="shared" si="74"/>
        <v>26.5</v>
      </c>
      <c r="H1053" s="95">
        <v>5235.7700000000004</v>
      </c>
      <c r="I1053" s="97">
        <f t="shared" si="75"/>
        <v>138747.905</v>
      </c>
    </row>
    <row r="1054" spans="1:10" ht="45" hidden="1" outlineLevel="2">
      <c r="A1054" s="93" t="s">
        <v>96</v>
      </c>
      <c r="B1054" s="93" t="s">
        <v>87</v>
      </c>
      <c r="D1054" s="63" t="s">
        <v>96</v>
      </c>
      <c r="E1054" s="93" t="s">
        <v>69</v>
      </c>
      <c r="F1054" s="96">
        <v>1991</v>
      </c>
      <c r="G1054" s="63">
        <f t="shared" si="74"/>
        <v>25.5</v>
      </c>
      <c r="H1054" s="95">
        <v>6082.16</v>
      </c>
      <c r="I1054" s="97">
        <f t="shared" si="75"/>
        <v>155095.07999999999</v>
      </c>
    </row>
    <row r="1055" spans="1:10" ht="30" hidden="1" outlineLevel="2">
      <c r="A1055" s="93" t="s">
        <v>96</v>
      </c>
      <c r="B1055" s="93" t="s">
        <v>88</v>
      </c>
      <c r="D1055" s="63" t="s">
        <v>96</v>
      </c>
      <c r="E1055" s="93" t="s">
        <v>69</v>
      </c>
      <c r="F1055" s="96">
        <v>1991</v>
      </c>
      <c r="G1055" s="63">
        <f t="shared" si="74"/>
        <v>25.5</v>
      </c>
      <c r="H1055" s="95">
        <v>19294.509999999998</v>
      </c>
      <c r="I1055" s="97">
        <f t="shared" si="75"/>
        <v>492010.00499999995</v>
      </c>
    </row>
    <row r="1056" spans="1:10" ht="30" hidden="1" outlineLevel="2">
      <c r="A1056" s="93" t="s">
        <v>96</v>
      </c>
      <c r="B1056" s="93" t="s">
        <v>88</v>
      </c>
      <c r="D1056" s="63" t="s">
        <v>96</v>
      </c>
      <c r="E1056" s="93" t="s">
        <v>69</v>
      </c>
      <c r="F1056" s="96">
        <v>1993</v>
      </c>
      <c r="G1056" s="63">
        <f t="shared" si="74"/>
        <v>23.5</v>
      </c>
      <c r="H1056" s="95">
        <v>1231.1300000000001</v>
      </c>
      <c r="I1056" s="97">
        <f t="shared" si="75"/>
        <v>28931.555000000004</v>
      </c>
    </row>
    <row r="1057" spans="1:9" ht="30" hidden="1" outlineLevel="2">
      <c r="A1057" s="93" t="s">
        <v>96</v>
      </c>
      <c r="B1057" s="93" t="s">
        <v>88</v>
      </c>
      <c r="D1057" s="63" t="s">
        <v>96</v>
      </c>
      <c r="E1057" s="93" t="s">
        <v>69</v>
      </c>
      <c r="F1057" s="96">
        <v>1994</v>
      </c>
      <c r="G1057" s="63">
        <f t="shared" si="74"/>
        <v>22.5</v>
      </c>
      <c r="H1057" s="95">
        <v>5369.76</v>
      </c>
      <c r="I1057" s="97">
        <f t="shared" si="75"/>
        <v>120819.6</v>
      </c>
    </row>
    <row r="1058" spans="1:9" ht="30" hidden="1" outlineLevel="2">
      <c r="A1058" s="93" t="s">
        <v>96</v>
      </c>
      <c r="B1058" s="93" t="s">
        <v>88</v>
      </c>
      <c r="D1058" s="63" t="s">
        <v>96</v>
      </c>
      <c r="E1058" s="93" t="s">
        <v>69</v>
      </c>
      <c r="F1058" s="96">
        <v>1997</v>
      </c>
      <c r="G1058" s="63">
        <f t="shared" si="74"/>
        <v>19.5</v>
      </c>
      <c r="H1058" s="95">
        <v>609.03</v>
      </c>
      <c r="I1058" s="97">
        <f t="shared" si="75"/>
        <v>11876.084999999999</v>
      </c>
    </row>
    <row r="1059" spans="1:9" ht="45" hidden="1" outlineLevel="2">
      <c r="A1059" s="93" t="s">
        <v>96</v>
      </c>
      <c r="B1059" s="93" t="s">
        <v>87</v>
      </c>
      <c r="D1059" s="63" t="s">
        <v>96</v>
      </c>
      <c r="E1059" s="93" t="s">
        <v>69</v>
      </c>
      <c r="F1059" s="96">
        <v>1998</v>
      </c>
      <c r="G1059" s="63">
        <f t="shared" si="74"/>
        <v>18.5</v>
      </c>
      <c r="H1059" s="95">
        <v>939.41</v>
      </c>
      <c r="I1059" s="97">
        <f t="shared" si="75"/>
        <v>17379.084999999999</v>
      </c>
    </row>
    <row r="1060" spans="1:9" ht="45" hidden="1" outlineLevel="2">
      <c r="A1060" s="93" t="s">
        <v>96</v>
      </c>
      <c r="B1060" s="93" t="s">
        <v>87</v>
      </c>
      <c r="D1060" s="63" t="s">
        <v>96</v>
      </c>
      <c r="E1060" s="93" t="s">
        <v>69</v>
      </c>
      <c r="F1060" s="96">
        <v>2000</v>
      </c>
      <c r="G1060" s="63">
        <f t="shared" si="74"/>
        <v>16.5</v>
      </c>
      <c r="H1060" s="95">
        <v>5918.73</v>
      </c>
      <c r="I1060" s="97">
        <f t="shared" si="75"/>
        <v>97659.044999999998</v>
      </c>
    </row>
    <row r="1061" spans="1:9" ht="30" hidden="1" outlineLevel="2">
      <c r="A1061" s="93" t="s">
        <v>96</v>
      </c>
      <c r="B1061" s="93" t="s">
        <v>88</v>
      </c>
      <c r="D1061" s="63" t="s">
        <v>96</v>
      </c>
      <c r="E1061" s="93" t="s">
        <v>69</v>
      </c>
      <c r="F1061" s="96">
        <v>2002</v>
      </c>
      <c r="G1061" s="63">
        <f t="shared" si="74"/>
        <v>14.5</v>
      </c>
      <c r="H1061" s="95">
        <v>3265.58</v>
      </c>
      <c r="I1061" s="97">
        <f t="shared" si="75"/>
        <v>47350.909999999996</v>
      </c>
    </row>
    <row r="1062" spans="1:9" ht="45" hidden="1" outlineLevel="2">
      <c r="A1062" s="93" t="s">
        <v>96</v>
      </c>
      <c r="B1062" s="93" t="s">
        <v>86</v>
      </c>
      <c r="D1062" s="63" t="s">
        <v>96</v>
      </c>
      <c r="E1062" s="93" t="s">
        <v>69</v>
      </c>
      <c r="F1062" s="96">
        <v>2003</v>
      </c>
      <c r="G1062" s="63">
        <f t="shared" si="74"/>
        <v>13.5</v>
      </c>
      <c r="H1062" s="95">
        <v>21648.25</v>
      </c>
      <c r="I1062" s="97">
        <f t="shared" si="75"/>
        <v>292251.375</v>
      </c>
    </row>
    <row r="1063" spans="1:9" ht="30" hidden="1" outlineLevel="2">
      <c r="A1063" s="93" t="s">
        <v>96</v>
      </c>
      <c r="B1063" s="93" t="s">
        <v>88</v>
      </c>
      <c r="D1063" s="63" t="s">
        <v>96</v>
      </c>
      <c r="E1063" s="93" t="s">
        <v>69</v>
      </c>
      <c r="F1063" s="96">
        <v>2003</v>
      </c>
      <c r="G1063" s="63">
        <f t="shared" si="74"/>
        <v>13.5</v>
      </c>
      <c r="H1063" s="95">
        <v>17213.84</v>
      </c>
      <c r="I1063" s="97">
        <f t="shared" si="75"/>
        <v>232386.84</v>
      </c>
    </row>
    <row r="1064" spans="1:9" ht="30" hidden="1" outlineLevel="2">
      <c r="A1064" s="93" t="s">
        <v>96</v>
      </c>
      <c r="B1064" s="93" t="s">
        <v>88</v>
      </c>
      <c r="D1064" s="63" t="s">
        <v>96</v>
      </c>
      <c r="E1064" s="93" t="s">
        <v>69</v>
      </c>
      <c r="F1064" s="96">
        <v>2004</v>
      </c>
      <c r="G1064" s="63">
        <f t="shared" si="74"/>
        <v>12.5</v>
      </c>
      <c r="H1064" s="95">
        <v>143658.10999999999</v>
      </c>
      <c r="I1064" s="97">
        <f t="shared" si="75"/>
        <v>1795726.3749999998</v>
      </c>
    </row>
    <row r="1065" spans="1:9" ht="30" hidden="1" outlineLevel="2">
      <c r="A1065" s="93" t="s">
        <v>96</v>
      </c>
      <c r="B1065" s="93" t="s">
        <v>88</v>
      </c>
      <c r="D1065" s="63" t="s">
        <v>96</v>
      </c>
      <c r="E1065" s="93" t="s">
        <v>69</v>
      </c>
      <c r="F1065" s="96">
        <v>2005</v>
      </c>
      <c r="G1065" s="63">
        <f t="shared" si="74"/>
        <v>11.5</v>
      </c>
      <c r="H1065" s="95">
        <v>33249.82</v>
      </c>
      <c r="I1065" s="97">
        <f t="shared" si="75"/>
        <v>382372.93</v>
      </c>
    </row>
    <row r="1066" spans="1:9" ht="45" hidden="1" outlineLevel="2">
      <c r="A1066" s="93" t="s">
        <v>96</v>
      </c>
      <c r="B1066" s="93" t="s">
        <v>87</v>
      </c>
      <c r="D1066" s="63" t="s">
        <v>96</v>
      </c>
      <c r="E1066" s="93" t="s">
        <v>69</v>
      </c>
      <c r="F1066" s="96">
        <v>2006</v>
      </c>
      <c r="G1066" s="63">
        <f t="shared" si="74"/>
        <v>10.5</v>
      </c>
      <c r="H1066" s="95">
        <v>4511.43</v>
      </c>
      <c r="I1066" s="97">
        <f t="shared" si="75"/>
        <v>47370.014999999999</v>
      </c>
    </row>
    <row r="1067" spans="1:9" ht="30" hidden="1" outlineLevel="2">
      <c r="A1067" s="93" t="s">
        <v>96</v>
      </c>
      <c r="B1067" s="93" t="s">
        <v>88</v>
      </c>
      <c r="D1067" s="63" t="s">
        <v>96</v>
      </c>
      <c r="E1067" s="93" t="s">
        <v>69</v>
      </c>
      <c r="F1067" s="96">
        <v>2006</v>
      </c>
      <c r="G1067" s="63">
        <f t="shared" si="74"/>
        <v>10.5</v>
      </c>
      <c r="H1067" s="95">
        <v>492171.02</v>
      </c>
      <c r="I1067" s="97">
        <f t="shared" si="75"/>
        <v>5167795.71</v>
      </c>
    </row>
    <row r="1068" spans="1:9" ht="30" hidden="1" outlineLevel="2">
      <c r="A1068" s="93" t="s">
        <v>96</v>
      </c>
      <c r="B1068" s="93" t="s">
        <v>88</v>
      </c>
      <c r="D1068" s="63" t="s">
        <v>96</v>
      </c>
      <c r="E1068" s="93" t="s">
        <v>69</v>
      </c>
      <c r="F1068" s="96">
        <v>2007</v>
      </c>
      <c r="G1068" s="63">
        <f t="shared" si="74"/>
        <v>9.5</v>
      </c>
      <c r="H1068" s="95">
        <v>86146.84</v>
      </c>
      <c r="I1068" s="97">
        <f t="shared" si="75"/>
        <v>818394.98</v>
      </c>
    </row>
    <row r="1069" spans="1:9" ht="30" hidden="1" outlineLevel="2">
      <c r="A1069" s="93" t="s">
        <v>96</v>
      </c>
      <c r="B1069" s="93" t="s">
        <v>88</v>
      </c>
      <c r="D1069" s="63" t="s">
        <v>96</v>
      </c>
      <c r="E1069" s="93" t="s">
        <v>69</v>
      </c>
      <c r="F1069" s="96">
        <v>2008</v>
      </c>
      <c r="G1069" s="63">
        <f t="shared" si="74"/>
        <v>8.5</v>
      </c>
      <c r="H1069" s="95">
        <v>14483.61</v>
      </c>
      <c r="I1069" s="97">
        <f t="shared" si="75"/>
        <v>123110.685</v>
      </c>
    </row>
    <row r="1070" spans="1:9" ht="45" hidden="1" outlineLevel="2">
      <c r="A1070" s="93" t="s">
        <v>96</v>
      </c>
      <c r="B1070" s="93" t="s">
        <v>86</v>
      </c>
      <c r="D1070" s="63" t="s">
        <v>96</v>
      </c>
      <c r="E1070" s="93" t="s">
        <v>69</v>
      </c>
      <c r="F1070" s="96">
        <v>2009</v>
      </c>
      <c r="G1070" s="63">
        <f t="shared" si="74"/>
        <v>7.5</v>
      </c>
      <c r="H1070" s="95">
        <v>4031.41</v>
      </c>
      <c r="I1070" s="97">
        <f t="shared" si="75"/>
        <v>30235.574999999997</v>
      </c>
    </row>
    <row r="1071" spans="1:9" ht="30" hidden="1" outlineLevel="2">
      <c r="A1071" s="93" t="s">
        <v>96</v>
      </c>
      <c r="B1071" s="93" t="s">
        <v>88</v>
      </c>
      <c r="D1071" s="63" t="s">
        <v>96</v>
      </c>
      <c r="E1071" s="93" t="s">
        <v>69</v>
      </c>
      <c r="F1071" s="96">
        <v>2009</v>
      </c>
      <c r="G1071" s="63">
        <f t="shared" si="74"/>
        <v>7.5</v>
      </c>
      <c r="H1071" s="95">
        <v>55326.87</v>
      </c>
      <c r="I1071" s="97">
        <f t="shared" si="75"/>
        <v>414951.52500000002</v>
      </c>
    </row>
    <row r="1072" spans="1:9" ht="45" hidden="1" outlineLevel="2">
      <c r="A1072" s="93" t="s">
        <v>96</v>
      </c>
      <c r="B1072" s="93" t="s">
        <v>86</v>
      </c>
      <c r="D1072" s="63" t="s">
        <v>96</v>
      </c>
      <c r="E1072" s="93" t="s">
        <v>69</v>
      </c>
      <c r="F1072" s="96">
        <v>2010</v>
      </c>
      <c r="G1072" s="63">
        <f t="shared" si="74"/>
        <v>6.5</v>
      </c>
      <c r="H1072" s="95">
        <v>268203.8</v>
      </c>
      <c r="I1072" s="97">
        <f t="shared" si="75"/>
        <v>1743324.7</v>
      </c>
    </row>
    <row r="1073" spans="1:10" ht="45" hidden="1" outlineLevel="2">
      <c r="A1073" s="93" t="s">
        <v>96</v>
      </c>
      <c r="B1073" s="93" t="s">
        <v>87</v>
      </c>
      <c r="D1073" s="63" t="s">
        <v>96</v>
      </c>
      <c r="E1073" s="93" t="s">
        <v>69</v>
      </c>
      <c r="F1073" s="96">
        <v>2010</v>
      </c>
      <c r="G1073" s="63">
        <f t="shared" si="74"/>
        <v>6.5</v>
      </c>
      <c r="H1073" s="95">
        <v>641.74</v>
      </c>
      <c r="I1073" s="97">
        <f t="shared" si="75"/>
        <v>4171.3100000000004</v>
      </c>
    </row>
    <row r="1074" spans="1:10" ht="45" hidden="1" outlineLevel="2">
      <c r="A1074" s="93" t="s">
        <v>96</v>
      </c>
      <c r="B1074" s="93" t="s">
        <v>86</v>
      </c>
      <c r="D1074" s="63" t="s">
        <v>96</v>
      </c>
      <c r="E1074" s="93" t="s">
        <v>69</v>
      </c>
      <c r="F1074" s="96">
        <v>2011</v>
      </c>
      <c r="G1074" s="63">
        <f t="shared" si="74"/>
        <v>5.5</v>
      </c>
      <c r="H1074" s="95">
        <v>83482.429999999993</v>
      </c>
      <c r="I1074" s="97">
        <f t="shared" si="75"/>
        <v>459153.36499999999</v>
      </c>
    </row>
    <row r="1075" spans="1:10" ht="30" hidden="1" outlineLevel="2">
      <c r="A1075" s="93" t="s">
        <v>96</v>
      </c>
      <c r="B1075" s="93" t="s">
        <v>88</v>
      </c>
      <c r="D1075" s="63" t="s">
        <v>96</v>
      </c>
      <c r="E1075" s="93" t="s">
        <v>69</v>
      </c>
      <c r="F1075" s="96">
        <v>2011</v>
      </c>
      <c r="G1075" s="63">
        <f t="shared" si="74"/>
        <v>5.5</v>
      </c>
      <c r="H1075" s="95">
        <v>5519365.1500000004</v>
      </c>
      <c r="I1075" s="97">
        <f t="shared" si="75"/>
        <v>30356508.325000003</v>
      </c>
    </row>
    <row r="1076" spans="1:10" ht="45" hidden="1" outlineLevel="2">
      <c r="A1076" s="93" t="s">
        <v>96</v>
      </c>
      <c r="B1076" s="93" t="s">
        <v>86</v>
      </c>
      <c r="D1076" s="63" t="s">
        <v>96</v>
      </c>
      <c r="E1076" s="93" t="s">
        <v>69</v>
      </c>
      <c r="F1076" s="96">
        <v>2013</v>
      </c>
      <c r="G1076" s="63">
        <f t="shared" si="74"/>
        <v>3.5</v>
      </c>
      <c r="H1076" s="95">
        <v>302094.55</v>
      </c>
      <c r="I1076" s="97">
        <f t="shared" si="75"/>
        <v>1057330.925</v>
      </c>
    </row>
    <row r="1077" spans="1:10" ht="45" hidden="1" outlineLevel="2">
      <c r="A1077" s="93" t="s">
        <v>96</v>
      </c>
      <c r="B1077" s="93" t="s">
        <v>87</v>
      </c>
      <c r="D1077" s="63" t="s">
        <v>96</v>
      </c>
      <c r="E1077" s="93" t="s">
        <v>69</v>
      </c>
      <c r="F1077" s="96">
        <v>2013</v>
      </c>
      <c r="G1077" s="63">
        <f t="shared" si="74"/>
        <v>3.5</v>
      </c>
      <c r="H1077" s="95">
        <v>109224.38</v>
      </c>
      <c r="I1077" s="97">
        <f t="shared" si="75"/>
        <v>382285.33</v>
      </c>
    </row>
    <row r="1078" spans="1:10" ht="30" hidden="1" outlineLevel="2">
      <c r="A1078" s="93" t="s">
        <v>96</v>
      </c>
      <c r="B1078" s="93" t="s">
        <v>88</v>
      </c>
      <c r="D1078" s="63" t="s">
        <v>96</v>
      </c>
      <c r="E1078" s="93" t="s">
        <v>69</v>
      </c>
      <c r="F1078" s="96">
        <v>2013</v>
      </c>
      <c r="G1078" s="63">
        <f t="shared" si="74"/>
        <v>3.5</v>
      </c>
      <c r="H1078" s="95">
        <v>81686.38</v>
      </c>
      <c r="I1078" s="97">
        <f t="shared" si="75"/>
        <v>285902.33</v>
      </c>
    </row>
    <row r="1079" spans="1:10" ht="45" hidden="1" outlineLevel="2">
      <c r="A1079" s="93" t="s">
        <v>96</v>
      </c>
      <c r="B1079" s="93" t="s">
        <v>86</v>
      </c>
      <c r="D1079" s="63" t="s">
        <v>96</v>
      </c>
      <c r="E1079" s="93" t="s">
        <v>69</v>
      </c>
      <c r="F1079" s="96">
        <v>2014</v>
      </c>
      <c r="G1079" s="63">
        <f t="shared" si="74"/>
        <v>2.5</v>
      </c>
      <c r="H1079" s="95">
        <v>142740.32</v>
      </c>
      <c r="I1079" s="97">
        <f t="shared" si="75"/>
        <v>356850.80000000005</v>
      </c>
    </row>
    <row r="1080" spans="1:10" ht="45" hidden="1" outlineLevel="2">
      <c r="A1080" s="93" t="s">
        <v>96</v>
      </c>
      <c r="B1080" s="93" t="s">
        <v>87</v>
      </c>
      <c r="D1080" s="63" t="s">
        <v>96</v>
      </c>
      <c r="E1080" s="93" t="s">
        <v>69</v>
      </c>
      <c r="F1080" s="96">
        <v>2014</v>
      </c>
      <c r="G1080" s="63">
        <f t="shared" si="74"/>
        <v>2.5</v>
      </c>
      <c r="H1080" s="95">
        <v>0.01</v>
      </c>
      <c r="I1080" s="97">
        <f t="shared" si="75"/>
        <v>2.5000000000000001E-2</v>
      </c>
    </row>
    <row r="1081" spans="1:10" ht="30" hidden="1" outlineLevel="2">
      <c r="A1081" s="93" t="s">
        <v>96</v>
      </c>
      <c r="B1081" s="93" t="s">
        <v>88</v>
      </c>
      <c r="D1081" s="63" t="s">
        <v>96</v>
      </c>
      <c r="E1081" s="93" t="s">
        <v>69</v>
      </c>
      <c r="F1081" s="96">
        <v>2014</v>
      </c>
      <c r="G1081" s="63">
        <f t="shared" si="74"/>
        <v>2.5</v>
      </c>
      <c r="H1081" s="95">
        <v>72601.100000000006</v>
      </c>
      <c r="I1081" s="97">
        <f t="shared" si="75"/>
        <v>181502.75</v>
      </c>
    </row>
    <row r="1082" spans="1:10" ht="30" hidden="1" outlineLevel="2">
      <c r="A1082" s="93" t="s">
        <v>96</v>
      </c>
      <c r="B1082" s="93" t="s">
        <v>88</v>
      </c>
      <c r="D1082" s="63" t="s">
        <v>96</v>
      </c>
      <c r="E1082" s="93" t="s">
        <v>69</v>
      </c>
      <c r="F1082" s="96">
        <v>2015</v>
      </c>
      <c r="G1082" s="63">
        <f t="shared" si="74"/>
        <v>1.5</v>
      </c>
      <c r="H1082" s="95">
        <v>78881.72</v>
      </c>
      <c r="I1082" s="97">
        <f t="shared" si="75"/>
        <v>118322.58</v>
      </c>
    </row>
    <row r="1083" spans="1:10" ht="45" hidden="1" outlineLevel="2">
      <c r="A1083" s="93" t="s">
        <v>96</v>
      </c>
      <c r="B1083" s="93" t="s">
        <v>86</v>
      </c>
      <c r="D1083" s="63" t="s">
        <v>96</v>
      </c>
      <c r="E1083" s="93" t="s">
        <v>69</v>
      </c>
      <c r="F1083" s="96">
        <v>2016</v>
      </c>
      <c r="G1083" s="63">
        <f t="shared" si="74"/>
        <v>0.5</v>
      </c>
      <c r="H1083" s="95">
        <v>8930.16</v>
      </c>
      <c r="I1083" s="97">
        <f t="shared" si="75"/>
        <v>4465.08</v>
      </c>
    </row>
    <row r="1084" spans="1:10" ht="45" hidden="1" outlineLevel="2">
      <c r="A1084" s="93" t="s">
        <v>96</v>
      </c>
      <c r="B1084" s="93" t="s">
        <v>87</v>
      </c>
      <c r="D1084" s="63" t="s">
        <v>96</v>
      </c>
      <c r="E1084" s="93" t="s">
        <v>69</v>
      </c>
      <c r="F1084" s="96">
        <v>2016</v>
      </c>
      <c r="G1084" s="63">
        <f t="shared" si="74"/>
        <v>0.5</v>
      </c>
      <c r="H1084" s="95">
        <v>8930.16</v>
      </c>
      <c r="I1084" s="97">
        <f t="shared" si="75"/>
        <v>4465.08</v>
      </c>
    </row>
    <row r="1085" spans="1:10" ht="30" hidden="1" outlineLevel="2">
      <c r="A1085" s="93" t="s">
        <v>96</v>
      </c>
      <c r="B1085" s="93" t="s">
        <v>88</v>
      </c>
      <c r="D1085" s="63" t="s">
        <v>96</v>
      </c>
      <c r="E1085" s="93" t="s">
        <v>69</v>
      </c>
      <c r="F1085" s="96">
        <v>2016</v>
      </c>
      <c r="G1085" s="63">
        <f t="shared" si="74"/>
        <v>0.5</v>
      </c>
      <c r="H1085" s="95">
        <v>198573.11</v>
      </c>
      <c r="I1085" s="97">
        <f t="shared" si="75"/>
        <v>99286.554999999993</v>
      </c>
    </row>
    <row r="1086" spans="1:10" s="63" customFormat="1" ht="30" outlineLevel="1" collapsed="1">
      <c r="A1086" s="26" t="str">
        <f>+A1085</f>
        <v>Scherer</v>
      </c>
      <c r="B1086" s="94"/>
      <c r="C1086" s="26"/>
      <c r="D1086" s="26" t="str">
        <f>+D1085</f>
        <v>Scherer</v>
      </c>
      <c r="E1086" s="94" t="s">
        <v>204</v>
      </c>
      <c r="F1086" s="96"/>
      <c r="H1086" s="95">
        <f>SUBTOTAL(9,H1044:H1085)</f>
        <v>16036614.430000002</v>
      </c>
      <c r="I1086" s="97">
        <f>SUBTOTAL(9,I1044:I1085)</f>
        <v>290011099.45499992</v>
      </c>
      <c r="J1086" s="63">
        <f>+I1086/H1086</f>
        <v>18.084309548059633</v>
      </c>
    </row>
    <row r="1087" spans="1:10" ht="45" hidden="1" outlineLevel="2">
      <c r="A1087" s="93" t="s">
        <v>96</v>
      </c>
      <c r="B1087" s="93" t="s">
        <v>87</v>
      </c>
      <c r="D1087" s="63" t="s">
        <v>96</v>
      </c>
      <c r="E1087" s="93" t="s">
        <v>75</v>
      </c>
      <c r="F1087" s="96">
        <v>1982</v>
      </c>
      <c r="G1087" s="63">
        <f t="shared" ref="G1087:G1123" si="76">2016.5-F1087</f>
        <v>34.5</v>
      </c>
      <c r="H1087" s="95">
        <v>299115.78999999998</v>
      </c>
      <c r="I1087" s="97">
        <f t="shared" ref="I1087:I1123" si="77">+G1087*H1087</f>
        <v>10319494.754999999</v>
      </c>
    </row>
    <row r="1088" spans="1:10" ht="45" hidden="1" outlineLevel="2">
      <c r="A1088" s="93" t="s">
        <v>96</v>
      </c>
      <c r="B1088" s="93" t="s">
        <v>87</v>
      </c>
      <c r="D1088" s="63" t="s">
        <v>96</v>
      </c>
      <c r="E1088" s="93" t="s">
        <v>75</v>
      </c>
      <c r="F1088" s="96">
        <v>1984</v>
      </c>
      <c r="G1088" s="63">
        <f t="shared" si="76"/>
        <v>32.5</v>
      </c>
      <c r="H1088" s="95">
        <v>145854.81</v>
      </c>
      <c r="I1088" s="97">
        <f t="shared" si="77"/>
        <v>4740281.3250000002</v>
      </c>
    </row>
    <row r="1089" spans="1:9" ht="45" hidden="1" outlineLevel="2">
      <c r="A1089" s="93" t="s">
        <v>96</v>
      </c>
      <c r="B1089" s="93" t="s">
        <v>87</v>
      </c>
      <c r="D1089" s="63" t="s">
        <v>96</v>
      </c>
      <c r="E1089" s="93" t="s">
        <v>75</v>
      </c>
      <c r="F1089" s="96">
        <v>1985</v>
      </c>
      <c r="G1089" s="63">
        <f t="shared" si="76"/>
        <v>31.5</v>
      </c>
      <c r="H1089" s="95">
        <v>202.52</v>
      </c>
      <c r="I1089" s="97">
        <f t="shared" si="77"/>
        <v>6379.38</v>
      </c>
    </row>
    <row r="1090" spans="1:9" ht="45" hidden="1" outlineLevel="2">
      <c r="A1090" s="93" t="s">
        <v>96</v>
      </c>
      <c r="B1090" s="93" t="s">
        <v>87</v>
      </c>
      <c r="D1090" s="63" t="s">
        <v>96</v>
      </c>
      <c r="E1090" s="93" t="s">
        <v>75</v>
      </c>
      <c r="F1090" s="96">
        <v>1986</v>
      </c>
      <c r="G1090" s="63">
        <f t="shared" si="76"/>
        <v>30.5</v>
      </c>
      <c r="H1090" s="95">
        <v>800.16</v>
      </c>
      <c r="I1090" s="97">
        <f t="shared" si="77"/>
        <v>24404.879999999997</v>
      </c>
    </row>
    <row r="1091" spans="1:9" ht="45" hidden="1" outlineLevel="2">
      <c r="A1091" s="93" t="s">
        <v>96</v>
      </c>
      <c r="B1091" s="93" t="s">
        <v>87</v>
      </c>
      <c r="D1091" s="63" t="s">
        <v>96</v>
      </c>
      <c r="E1091" s="93" t="s">
        <v>75</v>
      </c>
      <c r="F1091" s="96">
        <v>1987</v>
      </c>
      <c r="G1091" s="63">
        <f t="shared" si="76"/>
        <v>29.5</v>
      </c>
      <c r="H1091" s="95">
        <v>3773566.82</v>
      </c>
      <c r="I1091" s="97">
        <f t="shared" si="77"/>
        <v>111320221.19</v>
      </c>
    </row>
    <row r="1092" spans="1:9" ht="30" hidden="1" outlineLevel="2">
      <c r="A1092" s="93" t="s">
        <v>96</v>
      </c>
      <c r="B1092" s="93" t="s">
        <v>88</v>
      </c>
      <c r="D1092" s="63" t="s">
        <v>96</v>
      </c>
      <c r="E1092" s="93" t="s">
        <v>75</v>
      </c>
      <c r="F1092" s="96">
        <v>1987</v>
      </c>
      <c r="G1092" s="63">
        <f t="shared" si="76"/>
        <v>29.5</v>
      </c>
      <c r="H1092" s="95">
        <v>504352.21</v>
      </c>
      <c r="I1092" s="97">
        <f t="shared" si="77"/>
        <v>14878390.195</v>
      </c>
    </row>
    <row r="1093" spans="1:9" ht="45" hidden="1" outlineLevel="2">
      <c r="A1093" s="93" t="s">
        <v>96</v>
      </c>
      <c r="B1093" s="93" t="s">
        <v>87</v>
      </c>
      <c r="D1093" s="63" t="s">
        <v>96</v>
      </c>
      <c r="E1093" s="93" t="s">
        <v>75</v>
      </c>
      <c r="F1093" s="96">
        <v>1988</v>
      </c>
      <c r="G1093" s="63">
        <f t="shared" si="76"/>
        <v>28.5</v>
      </c>
      <c r="H1093" s="95">
        <v>660.69</v>
      </c>
      <c r="I1093" s="97">
        <f t="shared" si="77"/>
        <v>18829.665000000001</v>
      </c>
    </row>
    <row r="1094" spans="1:9" ht="45" hidden="1" outlineLevel="2">
      <c r="A1094" s="93" t="s">
        <v>96</v>
      </c>
      <c r="B1094" s="93" t="s">
        <v>87</v>
      </c>
      <c r="D1094" s="63" t="s">
        <v>96</v>
      </c>
      <c r="E1094" s="93" t="s">
        <v>75</v>
      </c>
      <c r="F1094" s="96">
        <v>1989</v>
      </c>
      <c r="G1094" s="63">
        <f t="shared" si="76"/>
        <v>27.5</v>
      </c>
      <c r="H1094" s="95">
        <v>7368.42</v>
      </c>
      <c r="I1094" s="97">
        <f t="shared" si="77"/>
        <v>202631.55</v>
      </c>
    </row>
    <row r="1095" spans="1:9" ht="30" hidden="1" outlineLevel="2">
      <c r="A1095" s="93" t="s">
        <v>96</v>
      </c>
      <c r="B1095" s="93" t="s">
        <v>88</v>
      </c>
      <c r="D1095" s="63" t="s">
        <v>96</v>
      </c>
      <c r="E1095" s="93" t="s">
        <v>75</v>
      </c>
      <c r="F1095" s="96">
        <v>1989</v>
      </c>
      <c r="G1095" s="63">
        <f t="shared" si="76"/>
        <v>27.5</v>
      </c>
      <c r="H1095" s="95">
        <v>496416.09</v>
      </c>
      <c r="I1095" s="97">
        <f t="shared" si="77"/>
        <v>13651442.475000001</v>
      </c>
    </row>
    <row r="1096" spans="1:9" ht="45" hidden="1" outlineLevel="2">
      <c r="A1096" s="93" t="s">
        <v>96</v>
      </c>
      <c r="B1096" s="93" t="s">
        <v>87</v>
      </c>
      <c r="D1096" s="63" t="s">
        <v>96</v>
      </c>
      <c r="E1096" s="93" t="s">
        <v>75</v>
      </c>
      <c r="F1096" s="96">
        <v>1990</v>
      </c>
      <c r="G1096" s="63">
        <f t="shared" si="76"/>
        <v>26.5</v>
      </c>
      <c r="H1096" s="95">
        <v>1826.59</v>
      </c>
      <c r="I1096" s="97">
        <f t="shared" si="77"/>
        <v>48404.634999999995</v>
      </c>
    </row>
    <row r="1097" spans="1:9" ht="45" hidden="1" outlineLevel="2">
      <c r="A1097" s="93" t="s">
        <v>96</v>
      </c>
      <c r="B1097" s="93" t="s">
        <v>87</v>
      </c>
      <c r="D1097" s="63" t="s">
        <v>96</v>
      </c>
      <c r="E1097" s="93" t="s">
        <v>75</v>
      </c>
      <c r="F1097" s="96">
        <v>1991</v>
      </c>
      <c r="G1097" s="63">
        <f t="shared" si="76"/>
        <v>25.5</v>
      </c>
      <c r="H1097" s="95">
        <v>2945.32</v>
      </c>
      <c r="I1097" s="97">
        <f t="shared" si="77"/>
        <v>75105.66</v>
      </c>
    </row>
    <row r="1098" spans="1:9" ht="45" hidden="1" outlineLevel="2">
      <c r="A1098" s="93" t="s">
        <v>96</v>
      </c>
      <c r="B1098" s="93" t="s">
        <v>87</v>
      </c>
      <c r="D1098" s="63" t="s">
        <v>96</v>
      </c>
      <c r="E1098" s="93" t="s">
        <v>75</v>
      </c>
      <c r="F1098" s="96">
        <v>1992</v>
      </c>
      <c r="G1098" s="63">
        <f t="shared" si="76"/>
        <v>24.5</v>
      </c>
      <c r="H1098" s="95">
        <v>966.19</v>
      </c>
      <c r="I1098" s="97">
        <f t="shared" si="77"/>
        <v>23671.655000000002</v>
      </c>
    </row>
    <row r="1099" spans="1:9" ht="45" hidden="1" outlineLevel="2">
      <c r="A1099" s="93" t="s">
        <v>96</v>
      </c>
      <c r="B1099" s="93" t="s">
        <v>87</v>
      </c>
      <c r="D1099" s="63" t="s">
        <v>96</v>
      </c>
      <c r="E1099" s="93" t="s">
        <v>75</v>
      </c>
      <c r="F1099" s="96">
        <v>1993</v>
      </c>
      <c r="G1099" s="63">
        <f t="shared" si="76"/>
        <v>23.5</v>
      </c>
      <c r="H1099" s="95">
        <v>2117.56</v>
      </c>
      <c r="I1099" s="97">
        <f t="shared" si="77"/>
        <v>49762.659999999996</v>
      </c>
    </row>
    <row r="1100" spans="1:9" ht="45" hidden="1" outlineLevel="2">
      <c r="A1100" s="93" t="s">
        <v>96</v>
      </c>
      <c r="B1100" s="93" t="s">
        <v>87</v>
      </c>
      <c r="D1100" s="63" t="s">
        <v>96</v>
      </c>
      <c r="E1100" s="93" t="s">
        <v>75</v>
      </c>
      <c r="F1100" s="96">
        <v>1994</v>
      </c>
      <c r="G1100" s="63">
        <f t="shared" si="76"/>
        <v>22.5</v>
      </c>
      <c r="H1100" s="95">
        <v>6967.88</v>
      </c>
      <c r="I1100" s="97">
        <f t="shared" si="77"/>
        <v>156777.29999999999</v>
      </c>
    </row>
    <row r="1101" spans="1:9" ht="30" hidden="1" outlineLevel="2">
      <c r="A1101" s="93" t="s">
        <v>96</v>
      </c>
      <c r="B1101" s="93" t="s">
        <v>88</v>
      </c>
      <c r="D1101" s="63" t="s">
        <v>96</v>
      </c>
      <c r="E1101" s="93" t="s">
        <v>75</v>
      </c>
      <c r="F1101" s="96">
        <v>1995</v>
      </c>
      <c r="G1101" s="63">
        <f t="shared" si="76"/>
        <v>21.5</v>
      </c>
      <c r="H1101" s="95">
        <v>12902.64</v>
      </c>
      <c r="I1101" s="97">
        <f t="shared" si="77"/>
        <v>277406.76</v>
      </c>
    </row>
    <row r="1102" spans="1:9" ht="45" hidden="1" outlineLevel="2">
      <c r="A1102" s="93" t="s">
        <v>96</v>
      </c>
      <c r="B1102" s="93" t="s">
        <v>87</v>
      </c>
      <c r="D1102" s="63" t="s">
        <v>96</v>
      </c>
      <c r="E1102" s="93" t="s">
        <v>75</v>
      </c>
      <c r="F1102" s="96">
        <v>1997</v>
      </c>
      <c r="G1102" s="63">
        <f t="shared" si="76"/>
        <v>19.5</v>
      </c>
      <c r="H1102" s="95">
        <v>76.8</v>
      </c>
      <c r="I1102" s="97">
        <f t="shared" si="77"/>
        <v>1497.6</v>
      </c>
    </row>
    <row r="1103" spans="1:9" ht="45" hidden="1" outlineLevel="2">
      <c r="A1103" s="93" t="s">
        <v>96</v>
      </c>
      <c r="B1103" s="93" t="s">
        <v>87</v>
      </c>
      <c r="D1103" s="63" t="s">
        <v>96</v>
      </c>
      <c r="E1103" s="93" t="s">
        <v>75</v>
      </c>
      <c r="F1103" s="96">
        <v>1999</v>
      </c>
      <c r="G1103" s="63">
        <f t="shared" si="76"/>
        <v>17.5</v>
      </c>
      <c r="H1103" s="95">
        <v>3766.6</v>
      </c>
      <c r="I1103" s="97">
        <f t="shared" si="77"/>
        <v>65915.5</v>
      </c>
    </row>
    <row r="1104" spans="1:9" ht="45" hidden="1" outlineLevel="2">
      <c r="A1104" s="93" t="s">
        <v>96</v>
      </c>
      <c r="B1104" s="93" t="s">
        <v>87</v>
      </c>
      <c r="D1104" s="63" t="s">
        <v>96</v>
      </c>
      <c r="E1104" s="93" t="s">
        <v>75</v>
      </c>
      <c r="F1104" s="96">
        <v>2001</v>
      </c>
      <c r="G1104" s="63">
        <f t="shared" si="76"/>
        <v>15.5</v>
      </c>
      <c r="H1104" s="95">
        <v>10092.98</v>
      </c>
      <c r="I1104" s="97">
        <f t="shared" si="77"/>
        <v>156441.19</v>
      </c>
    </row>
    <row r="1105" spans="1:9" ht="45" hidden="1" outlineLevel="2">
      <c r="A1105" s="93" t="s">
        <v>96</v>
      </c>
      <c r="B1105" s="93" t="s">
        <v>87</v>
      </c>
      <c r="D1105" s="63" t="s">
        <v>96</v>
      </c>
      <c r="E1105" s="93" t="s">
        <v>75</v>
      </c>
      <c r="F1105" s="96">
        <v>2002</v>
      </c>
      <c r="G1105" s="63">
        <f t="shared" si="76"/>
        <v>14.5</v>
      </c>
      <c r="H1105" s="95">
        <v>4402.1000000000004</v>
      </c>
      <c r="I1105" s="97">
        <f t="shared" si="77"/>
        <v>63830.450000000004</v>
      </c>
    </row>
    <row r="1106" spans="1:9" ht="45" hidden="1" outlineLevel="2">
      <c r="A1106" s="93" t="s">
        <v>96</v>
      </c>
      <c r="B1106" s="93" t="s">
        <v>87</v>
      </c>
      <c r="D1106" s="63" t="s">
        <v>96</v>
      </c>
      <c r="E1106" s="93" t="s">
        <v>75</v>
      </c>
      <c r="F1106" s="96">
        <v>2003</v>
      </c>
      <c r="G1106" s="63">
        <f t="shared" si="76"/>
        <v>13.5</v>
      </c>
      <c r="H1106" s="95">
        <v>14642.34</v>
      </c>
      <c r="I1106" s="97">
        <f t="shared" si="77"/>
        <v>197671.59</v>
      </c>
    </row>
    <row r="1107" spans="1:9" ht="30" hidden="1" outlineLevel="2">
      <c r="A1107" s="93" t="s">
        <v>96</v>
      </c>
      <c r="B1107" s="93" t="s">
        <v>88</v>
      </c>
      <c r="D1107" s="63" t="s">
        <v>96</v>
      </c>
      <c r="E1107" s="93" t="s">
        <v>75</v>
      </c>
      <c r="F1107" s="96">
        <v>2003</v>
      </c>
      <c r="G1107" s="63">
        <f t="shared" si="76"/>
        <v>13.5</v>
      </c>
      <c r="H1107" s="95">
        <v>10110.92</v>
      </c>
      <c r="I1107" s="97">
        <f t="shared" si="77"/>
        <v>136497.42000000001</v>
      </c>
    </row>
    <row r="1108" spans="1:9" ht="45" hidden="1" outlineLevel="2">
      <c r="A1108" s="93" t="s">
        <v>96</v>
      </c>
      <c r="B1108" s="93" t="s">
        <v>87</v>
      </c>
      <c r="D1108" s="63" t="s">
        <v>96</v>
      </c>
      <c r="E1108" s="93" t="s">
        <v>75</v>
      </c>
      <c r="F1108" s="96">
        <v>2004</v>
      </c>
      <c r="G1108" s="63">
        <f t="shared" si="76"/>
        <v>12.5</v>
      </c>
      <c r="H1108" s="95">
        <v>9759.7199999999993</v>
      </c>
      <c r="I1108" s="97">
        <f t="shared" si="77"/>
        <v>121996.49999999999</v>
      </c>
    </row>
    <row r="1109" spans="1:9" ht="45" hidden="1" outlineLevel="2">
      <c r="A1109" s="93" t="s">
        <v>96</v>
      </c>
      <c r="B1109" s="93" t="s">
        <v>87</v>
      </c>
      <c r="D1109" s="63" t="s">
        <v>96</v>
      </c>
      <c r="E1109" s="93" t="s">
        <v>75</v>
      </c>
      <c r="F1109" s="96">
        <v>2005</v>
      </c>
      <c r="G1109" s="63">
        <f t="shared" si="76"/>
        <v>11.5</v>
      </c>
      <c r="H1109" s="95">
        <v>21261.25</v>
      </c>
      <c r="I1109" s="97">
        <f t="shared" si="77"/>
        <v>244504.375</v>
      </c>
    </row>
    <row r="1110" spans="1:9" ht="45" hidden="1" outlineLevel="2">
      <c r="A1110" s="93" t="s">
        <v>96</v>
      </c>
      <c r="B1110" s="93" t="s">
        <v>87</v>
      </c>
      <c r="D1110" s="63" t="s">
        <v>96</v>
      </c>
      <c r="E1110" s="93" t="s">
        <v>75</v>
      </c>
      <c r="F1110" s="96">
        <v>2006</v>
      </c>
      <c r="G1110" s="63">
        <f t="shared" si="76"/>
        <v>10.5</v>
      </c>
      <c r="H1110" s="95">
        <v>11227.95</v>
      </c>
      <c r="I1110" s="97">
        <f t="shared" si="77"/>
        <v>117893.47500000001</v>
      </c>
    </row>
    <row r="1111" spans="1:9" ht="45" hidden="1" outlineLevel="2">
      <c r="A1111" s="93" t="s">
        <v>96</v>
      </c>
      <c r="B1111" s="93" t="s">
        <v>87</v>
      </c>
      <c r="D1111" s="63" t="s">
        <v>96</v>
      </c>
      <c r="E1111" s="93" t="s">
        <v>75</v>
      </c>
      <c r="F1111" s="96">
        <v>2007</v>
      </c>
      <c r="G1111" s="63">
        <f t="shared" si="76"/>
        <v>9.5</v>
      </c>
      <c r="H1111" s="95">
        <v>6040.66</v>
      </c>
      <c r="I1111" s="97">
        <f t="shared" si="77"/>
        <v>57386.27</v>
      </c>
    </row>
    <row r="1112" spans="1:9" ht="45" hidden="1" outlineLevel="2">
      <c r="A1112" s="93" t="s">
        <v>96</v>
      </c>
      <c r="B1112" s="93" t="s">
        <v>87</v>
      </c>
      <c r="D1112" s="63" t="s">
        <v>96</v>
      </c>
      <c r="E1112" s="93" t="s">
        <v>75</v>
      </c>
      <c r="F1112" s="96">
        <v>2008</v>
      </c>
      <c r="G1112" s="63">
        <f t="shared" si="76"/>
        <v>8.5</v>
      </c>
      <c r="H1112" s="95">
        <v>8494.89</v>
      </c>
      <c r="I1112" s="97">
        <f t="shared" si="77"/>
        <v>72206.565000000002</v>
      </c>
    </row>
    <row r="1113" spans="1:9" ht="30" hidden="1" outlineLevel="2">
      <c r="A1113" s="93" t="s">
        <v>96</v>
      </c>
      <c r="B1113" s="93" t="s">
        <v>88</v>
      </c>
      <c r="D1113" s="63" t="s">
        <v>96</v>
      </c>
      <c r="E1113" s="93" t="s">
        <v>75</v>
      </c>
      <c r="F1113" s="96">
        <v>2008</v>
      </c>
      <c r="G1113" s="63">
        <f t="shared" si="76"/>
        <v>8.5</v>
      </c>
      <c r="H1113" s="95">
        <v>48246.239999999998</v>
      </c>
      <c r="I1113" s="97">
        <f t="shared" si="77"/>
        <v>410093.04</v>
      </c>
    </row>
    <row r="1114" spans="1:9" ht="45" hidden="1" outlineLevel="2">
      <c r="A1114" s="93" t="s">
        <v>96</v>
      </c>
      <c r="B1114" s="93" t="s">
        <v>87</v>
      </c>
      <c r="D1114" s="63" t="s">
        <v>96</v>
      </c>
      <c r="E1114" s="93" t="s">
        <v>75</v>
      </c>
      <c r="F1114" s="96">
        <v>2011</v>
      </c>
      <c r="G1114" s="63">
        <f t="shared" si="76"/>
        <v>5.5</v>
      </c>
      <c r="H1114" s="95">
        <f>6703.06+15500.02</f>
        <v>22203.08</v>
      </c>
      <c r="I1114" s="97">
        <f t="shared" si="77"/>
        <v>122116.94</v>
      </c>
    </row>
    <row r="1115" spans="1:9" ht="30" hidden="1" outlineLevel="2">
      <c r="A1115" s="93" t="s">
        <v>96</v>
      </c>
      <c r="B1115" s="93" t="s">
        <v>88</v>
      </c>
      <c r="D1115" s="63" t="s">
        <v>96</v>
      </c>
      <c r="E1115" s="93" t="s">
        <v>75</v>
      </c>
      <c r="F1115" s="96">
        <v>2011</v>
      </c>
      <c r="G1115" s="63">
        <f t="shared" si="76"/>
        <v>5.5</v>
      </c>
      <c r="H1115" s="95">
        <v>126626.79</v>
      </c>
      <c r="I1115" s="97">
        <f t="shared" si="77"/>
        <v>696447.34499999997</v>
      </c>
    </row>
    <row r="1116" spans="1:9" ht="45" hidden="1" outlineLevel="2">
      <c r="A1116" s="93" t="s">
        <v>96</v>
      </c>
      <c r="B1116" s="93" t="s">
        <v>86</v>
      </c>
      <c r="D1116" s="63" t="s">
        <v>96</v>
      </c>
      <c r="E1116" s="93" t="s">
        <v>75</v>
      </c>
      <c r="F1116" s="96">
        <v>2013</v>
      </c>
      <c r="G1116" s="63">
        <f t="shared" si="76"/>
        <v>3.5</v>
      </c>
      <c r="H1116" s="95">
        <v>4456.03</v>
      </c>
      <c r="I1116" s="97">
        <f t="shared" si="77"/>
        <v>15596.105</v>
      </c>
    </row>
    <row r="1117" spans="1:9" ht="45" hidden="1" outlineLevel="2">
      <c r="A1117" s="93" t="s">
        <v>96</v>
      </c>
      <c r="B1117" s="93" t="s">
        <v>87</v>
      </c>
      <c r="D1117" s="63" t="s">
        <v>96</v>
      </c>
      <c r="E1117" s="93" t="s">
        <v>75</v>
      </c>
      <c r="F1117" s="96">
        <v>2013</v>
      </c>
      <c r="G1117" s="63">
        <f t="shared" si="76"/>
        <v>3.5</v>
      </c>
      <c r="H1117" s="95">
        <v>104390.39</v>
      </c>
      <c r="I1117" s="97">
        <f t="shared" si="77"/>
        <v>365366.36499999999</v>
      </c>
    </row>
    <row r="1118" spans="1:9" ht="45" hidden="1" outlineLevel="2">
      <c r="A1118" s="93" t="s">
        <v>96</v>
      </c>
      <c r="B1118" s="93" t="s">
        <v>86</v>
      </c>
      <c r="D1118" s="63" t="s">
        <v>96</v>
      </c>
      <c r="E1118" s="93" t="s">
        <v>75</v>
      </c>
      <c r="F1118" s="96">
        <v>2014</v>
      </c>
      <c r="G1118" s="63">
        <f t="shared" si="76"/>
        <v>2.5</v>
      </c>
      <c r="H1118" s="95">
        <v>2957.58</v>
      </c>
      <c r="I1118" s="97">
        <f t="shared" si="77"/>
        <v>7393.95</v>
      </c>
    </row>
    <row r="1119" spans="1:9" ht="45" hidden="1" outlineLevel="2">
      <c r="A1119" s="93" t="s">
        <v>96</v>
      </c>
      <c r="B1119" s="93" t="s">
        <v>87</v>
      </c>
      <c r="D1119" s="63" t="s">
        <v>96</v>
      </c>
      <c r="E1119" s="93" t="s">
        <v>75</v>
      </c>
      <c r="F1119" s="96">
        <v>2014</v>
      </c>
      <c r="G1119" s="63">
        <f t="shared" si="76"/>
        <v>2.5</v>
      </c>
      <c r="H1119" s="95">
        <v>5848.15</v>
      </c>
      <c r="I1119" s="97">
        <f t="shared" si="77"/>
        <v>14620.375</v>
      </c>
    </row>
    <row r="1120" spans="1:9" ht="45" hidden="1" outlineLevel="2">
      <c r="A1120" s="93" t="s">
        <v>96</v>
      </c>
      <c r="B1120" s="93" t="s">
        <v>86</v>
      </c>
      <c r="D1120" s="63" t="s">
        <v>96</v>
      </c>
      <c r="E1120" s="93" t="s">
        <v>75</v>
      </c>
      <c r="F1120" s="96">
        <v>2015</v>
      </c>
      <c r="G1120" s="63">
        <f t="shared" si="76"/>
        <v>1.5</v>
      </c>
      <c r="H1120" s="95">
        <v>22015.3</v>
      </c>
      <c r="I1120" s="97">
        <f t="shared" si="77"/>
        <v>33022.949999999997</v>
      </c>
    </row>
    <row r="1121" spans="1:12" ht="45" hidden="1" outlineLevel="2">
      <c r="A1121" s="93" t="s">
        <v>96</v>
      </c>
      <c r="B1121" s="93" t="s">
        <v>86</v>
      </c>
      <c r="D1121" s="63" t="s">
        <v>96</v>
      </c>
      <c r="E1121" s="93" t="s">
        <v>75</v>
      </c>
      <c r="F1121" s="96">
        <v>2016</v>
      </c>
      <c r="G1121" s="63">
        <f t="shared" si="76"/>
        <v>0.5</v>
      </c>
      <c r="H1121" s="95">
        <v>222.37</v>
      </c>
      <c r="I1121" s="97">
        <f t="shared" si="77"/>
        <v>111.185</v>
      </c>
    </row>
    <row r="1122" spans="1:12" ht="45" hidden="1" outlineLevel="2">
      <c r="A1122" s="93" t="s">
        <v>96</v>
      </c>
      <c r="B1122" s="93" t="s">
        <v>87</v>
      </c>
      <c r="D1122" s="63" t="s">
        <v>96</v>
      </c>
      <c r="E1122" s="93" t="s">
        <v>75</v>
      </c>
      <c r="F1122" s="96">
        <v>2016</v>
      </c>
      <c r="G1122" s="63">
        <f t="shared" si="76"/>
        <v>0.5</v>
      </c>
      <c r="H1122" s="95">
        <v>173294.6</v>
      </c>
      <c r="I1122" s="97">
        <f t="shared" si="77"/>
        <v>86647.3</v>
      </c>
    </row>
    <row r="1123" spans="1:12" ht="30" hidden="1" outlineLevel="2">
      <c r="A1123" s="93" t="s">
        <v>96</v>
      </c>
      <c r="B1123" s="93" t="s">
        <v>88</v>
      </c>
      <c r="D1123" t="s">
        <v>96</v>
      </c>
      <c r="E1123" s="93" t="s">
        <v>75</v>
      </c>
      <c r="F1123" s="96">
        <v>2016</v>
      </c>
      <c r="G1123" s="63">
        <f t="shared" si="76"/>
        <v>0.5</v>
      </c>
      <c r="H1123" s="95">
        <v>42315.32</v>
      </c>
      <c r="I1123" s="97">
        <f t="shared" si="77"/>
        <v>21157.66</v>
      </c>
    </row>
    <row r="1124" spans="1:12" s="63" customFormat="1" ht="30" outlineLevel="1" collapsed="1">
      <c r="A1124" s="26" t="str">
        <f>+A1123</f>
        <v>Scherer</v>
      </c>
      <c r="B1124" s="94"/>
      <c r="C1124" s="26"/>
      <c r="D1124" s="26" t="str">
        <f>+D1123</f>
        <v>Scherer</v>
      </c>
      <c r="E1124" s="94" t="s">
        <v>206</v>
      </c>
      <c r="F1124" s="96"/>
      <c r="H1124" s="95">
        <f>SUBTOTAL(9,H1087:H1123)</f>
        <v>5908515.7499999991</v>
      </c>
      <c r="I1124" s="97">
        <f>SUBTOTAL(9,I1087:I1123)</f>
        <v>158801618.23499992</v>
      </c>
      <c r="J1124" s="63">
        <f>+I1124/H1124</f>
        <v>26.876736045765799</v>
      </c>
      <c r="L1124" s="92"/>
    </row>
    <row r="1125" spans="1:12" ht="45" hidden="1" outlineLevel="2">
      <c r="A1125" s="93" t="s">
        <v>94</v>
      </c>
      <c r="B1125" s="93" t="s">
        <v>78</v>
      </c>
      <c r="D1125" s="63" t="s">
        <v>94</v>
      </c>
      <c r="E1125" s="93" t="s">
        <v>72</v>
      </c>
      <c r="F1125" s="96">
        <v>1953</v>
      </c>
      <c r="G1125" s="63">
        <f t="shared" ref="G1125:G1164" si="78">2016.5-F1125</f>
        <v>63.5</v>
      </c>
      <c r="H1125" s="95">
        <v>929724.49</v>
      </c>
      <c r="I1125" s="97">
        <f t="shared" ref="I1125:I1164" si="79">+G1125*H1125</f>
        <v>59037505.115000002</v>
      </c>
    </row>
    <row r="1126" spans="1:12" ht="45" hidden="1" outlineLevel="2">
      <c r="A1126" s="93" t="s">
        <v>94</v>
      </c>
      <c r="B1126" s="93" t="s">
        <v>78</v>
      </c>
      <c r="D1126" s="63" t="s">
        <v>94</v>
      </c>
      <c r="E1126" s="93" t="s">
        <v>72</v>
      </c>
      <c r="F1126" s="96">
        <v>1954</v>
      </c>
      <c r="G1126" s="63">
        <f t="shared" si="78"/>
        <v>62.5</v>
      </c>
      <c r="H1126" s="95">
        <v>110344.78</v>
      </c>
      <c r="I1126" s="97">
        <f t="shared" si="79"/>
        <v>6896548.75</v>
      </c>
    </row>
    <row r="1127" spans="1:12" ht="45" hidden="1" outlineLevel="2">
      <c r="A1127" s="93" t="s">
        <v>94</v>
      </c>
      <c r="B1127" s="93" t="s">
        <v>78</v>
      </c>
      <c r="D1127" s="63" t="s">
        <v>94</v>
      </c>
      <c r="E1127" s="93" t="s">
        <v>72</v>
      </c>
      <c r="F1127" s="96">
        <v>1955</v>
      </c>
      <c r="G1127" s="63">
        <f t="shared" si="78"/>
        <v>61.5</v>
      </c>
      <c r="H1127" s="95">
        <v>15049.44</v>
      </c>
      <c r="I1127" s="97">
        <f t="shared" si="79"/>
        <v>925540.56</v>
      </c>
    </row>
    <row r="1128" spans="1:12" ht="45" hidden="1" outlineLevel="2">
      <c r="A1128" s="93" t="s">
        <v>94</v>
      </c>
      <c r="B1128" s="93" t="s">
        <v>78</v>
      </c>
      <c r="D1128" s="63" t="s">
        <v>94</v>
      </c>
      <c r="E1128" s="93" t="s">
        <v>72</v>
      </c>
      <c r="F1128" s="96">
        <v>1956</v>
      </c>
      <c r="G1128" s="63">
        <f t="shared" si="78"/>
        <v>60.5</v>
      </c>
      <c r="H1128" s="95">
        <v>6140.23</v>
      </c>
      <c r="I1128" s="97">
        <f t="shared" si="79"/>
        <v>371483.91499999998</v>
      </c>
    </row>
    <row r="1129" spans="1:12" ht="45" hidden="1" outlineLevel="2">
      <c r="A1129" s="93" t="s">
        <v>94</v>
      </c>
      <c r="B1129" s="93" t="s">
        <v>78</v>
      </c>
      <c r="D1129" s="63" t="s">
        <v>94</v>
      </c>
      <c r="E1129" s="93" t="s">
        <v>72</v>
      </c>
      <c r="F1129" s="96">
        <v>1962</v>
      </c>
      <c r="G1129" s="63">
        <f t="shared" si="78"/>
        <v>54.5</v>
      </c>
      <c r="H1129" s="95">
        <v>914.62</v>
      </c>
      <c r="I1129" s="97">
        <f t="shared" si="79"/>
        <v>49846.79</v>
      </c>
    </row>
    <row r="1130" spans="1:12" ht="45" hidden="1" outlineLevel="2">
      <c r="A1130" s="93" t="s">
        <v>94</v>
      </c>
      <c r="B1130" s="93" t="s">
        <v>78</v>
      </c>
      <c r="D1130" s="63" t="s">
        <v>94</v>
      </c>
      <c r="E1130" s="93" t="s">
        <v>72</v>
      </c>
      <c r="F1130" s="96">
        <v>1963</v>
      </c>
      <c r="G1130" s="63">
        <f t="shared" si="78"/>
        <v>53.5</v>
      </c>
      <c r="H1130" s="95">
        <v>1403.68</v>
      </c>
      <c r="I1130" s="97">
        <f t="shared" si="79"/>
        <v>75096.88</v>
      </c>
    </row>
    <row r="1131" spans="1:12" ht="45" hidden="1" outlineLevel="2">
      <c r="A1131" s="93" t="s">
        <v>94</v>
      </c>
      <c r="B1131" s="93" t="s">
        <v>78</v>
      </c>
      <c r="D1131" s="63" t="s">
        <v>94</v>
      </c>
      <c r="E1131" s="93" t="s">
        <v>72</v>
      </c>
      <c r="F1131" s="96">
        <v>1964</v>
      </c>
      <c r="G1131" s="63">
        <f t="shared" si="78"/>
        <v>52.5</v>
      </c>
      <c r="H1131" s="95">
        <v>3278.47</v>
      </c>
      <c r="I1131" s="97">
        <f t="shared" si="79"/>
        <v>172119.67499999999</v>
      </c>
    </row>
    <row r="1132" spans="1:12" ht="45" hidden="1" outlineLevel="2">
      <c r="A1132" s="93" t="s">
        <v>94</v>
      </c>
      <c r="B1132" s="93" t="s">
        <v>78</v>
      </c>
      <c r="D1132" s="63" t="s">
        <v>94</v>
      </c>
      <c r="E1132" s="93" t="s">
        <v>72</v>
      </c>
      <c r="F1132" s="96">
        <v>1967</v>
      </c>
      <c r="G1132" s="63">
        <f t="shared" si="78"/>
        <v>49.5</v>
      </c>
      <c r="H1132" s="95">
        <v>543.27</v>
      </c>
      <c r="I1132" s="97">
        <f t="shared" si="79"/>
        <v>26891.864999999998</v>
      </c>
    </row>
    <row r="1133" spans="1:12" ht="45" hidden="1" outlineLevel="2">
      <c r="A1133" s="93" t="s">
        <v>94</v>
      </c>
      <c r="B1133" s="93" t="s">
        <v>78</v>
      </c>
      <c r="D1133" s="63" t="s">
        <v>94</v>
      </c>
      <c r="E1133" s="93" t="s">
        <v>72</v>
      </c>
      <c r="F1133" s="96">
        <v>1969</v>
      </c>
      <c r="G1133" s="63">
        <f t="shared" si="78"/>
        <v>47.5</v>
      </c>
      <c r="H1133" s="95">
        <v>200.69</v>
      </c>
      <c r="I1133" s="97">
        <f t="shared" si="79"/>
        <v>9532.7749999999996</v>
      </c>
    </row>
    <row r="1134" spans="1:12" ht="45" hidden="1" outlineLevel="2">
      <c r="A1134" s="93" t="s">
        <v>94</v>
      </c>
      <c r="B1134" s="93" t="s">
        <v>78</v>
      </c>
      <c r="D1134" s="63" t="s">
        <v>94</v>
      </c>
      <c r="E1134" s="93" t="s">
        <v>72</v>
      </c>
      <c r="F1134" s="96">
        <v>1972</v>
      </c>
      <c r="G1134" s="63">
        <f t="shared" si="78"/>
        <v>44.5</v>
      </c>
      <c r="H1134" s="95">
        <v>13055.25</v>
      </c>
      <c r="I1134" s="97">
        <f t="shared" si="79"/>
        <v>580958.625</v>
      </c>
    </row>
    <row r="1135" spans="1:12" ht="45" hidden="1" outlineLevel="2">
      <c r="A1135" s="93" t="s">
        <v>94</v>
      </c>
      <c r="B1135" s="93" t="s">
        <v>78</v>
      </c>
      <c r="D1135" s="63" t="s">
        <v>94</v>
      </c>
      <c r="E1135" s="93" t="s">
        <v>72</v>
      </c>
      <c r="F1135" s="96">
        <v>1974</v>
      </c>
      <c r="G1135" s="63">
        <f t="shared" si="78"/>
        <v>42.5</v>
      </c>
      <c r="H1135" s="95">
        <v>28790.41</v>
      </c>
      <c r="I1135" s="97">
        <f t="shared" si="79"/>
        <v>1223592.425</v>
      </c>
    </row>
    <row r="1136" spans="1:12" ht="45" hidden="1" outlineLevel="2">
      <c r="A1136" s="93" t="s">
        <v>94</v>
      </c>
      <c r="B1136" s="93" t="s">
        <v>78</v>
      </c>
      <c r="D1136" s="63" t="s">
        <v>94</v>
      </c>
      <c r="E1136" s="93" t="s">
        <v>72</v>
      </c>
      <c r="F1136" s="96">
        <v>1975</v>
      </c>
      <c r="G1136" s="63">
        <f t="shared" si="78"/>
        <v>41.5</v>
      </c>
      <c r="H1136" s="95">
        <v>142566.32999999999</v>
      </c>
      <c r="I1136" s="97">
        <f t="shared" si="79"/>
        <v>5916502.6949999994</v>
      </c>
    </row>
    <row r="1137" spans="1:9" ht="45" hidden="1" outlineLevel="2">
      <c r="A1137" s="93" t="s">
        <v>94</v>
      </c>
      <c r="B1137" s="93" t="s">
        <v>78</v>
      </c>
      <c r="D1137" s="63" t="s">
        <v>94</v>
      </c>
      <c r="E1137" s="93" t="s">
        <v>72</v>
      </c>
      <c r="F1137" s="96">
        <v>1976</v>
      </c>
      <c r="G1137" s="63">
        <f t="shared" si="78"/>
        <v>40.5</v>
      </c>
      <c r="H1137" s="95">
        <v>1794.76</v>
      </c>
      <c r="I1137" s="97">
        <f t="shared" si="79"/>
        <v>72687.78</v>
      </c>
    </row>
    <row r="1138" spans="1:9" ht="45" hidden="1" outlineLevel="2">
      <c r="A1138" s="93" t="s">
        <v>94</v>
      </c>
      <c r="B1138" s="93" t="s">
        <v>78</v>
      </c>
      <c r="D1138" s="63" t="s">
        <v>94</v>
      </c>
      <c r="E1138" s="93" t="s">
        <v>72</v>
      </c>
      <c r="F1138" s="96">
        <v>1977</v>
      </c>
      <c r="G1138" s="63">
        <f t="shared" si="78"/>
        <v>39.5</v>
      </c>
      <c r="H1138" s="95">
        <v>72.900000000000006</v>
      </c>
      <c r="I1138" s="97">
        <f t="shared" si="79"/>
        <v>2879.55</v>
      </c>
    </row>
    <row r="1139" spans="1:9" ht="45" hidden="1" outlineLevel="2">
      <c r="A1139" s="93" t="s">
        <v>94</v>
      </c>
      <c r="B1139" s="93" t="s">
        <v>78</v>
      </c>
      <c r="D1139" s="63" t="s">
        <v>94</v>
      </c>
      <c r="E1139" s="93" t="s">
        <v>72</v>
      </c>
      <c r="F1139" s="96">
        <v>1979</v>
      </c>
      <c r="G1139" s="63">
        <f t="shared" si="78"/>
        <v>37.5</v>
      </c>
      <c r="H1139" s="95">
        <v>183557.66</v>
      </c>
      <c r="I1139" s="97">
        <f t="shared" si="79"/>
        <v>6883412.25</v>
      </c>
    </row>
    <row r="1140" spans="1:9" ht="45" hidden="1" outlineLevel="2">
      <c r="A1140" s="93" t="s">
        <v>94</v>
      </c>
      <c r="B1140" s="93" t="s">
        <v>78</v>
      </c>
      <c r="D1140" s="63" t="s">
        <v>94</v>
      </c>
      <c r="E1140" s="93" t="s">
        <v>72</v>
      </c>
      <c r="F1140" s="96">
        <v>1980</v>
      </c>
      <c r="G1140" s="63">
        <f t="shared" si="78"/>
        <v>36.5</v>
      </c>
      <c r="H1140" s="95">
        <v>577452.99</v>
      </c>
      <c r="I1140" s="97">
        <f t="shared" si="79"/>
        <v>21077034.134999998</v>
      </c>
    </row>
    <row r="1141" spans="1:9" ht="45" hidden="1" outlineLevel="2">
      <c r="A1141" s="93" t="s">
        <v>94</v>
      </c>
      <c r="B1141" s="93" t="s">
        <v>78</v>
      </c>
      <c r="D1141" s="63" t="s">
        <v>94</v>
      </c>
      <c r="E1141" s="93" t="s">
        <v>72</v>
      </c>
      <c r="F1141" s="96">
        <v>1981</v>
      </c>
      <c r="G1141" s="63">
        <f t="shared" si="78"/>
        <v>35.5</v>
      </c>
      <c r="H1141" s="95">
        <v>107622.59</v>
      </c>
      <c r="I1141" s="97">
        <f t="shared" si="79"/>
        <v>3820601.9449999998</v>
      </c>
    </row>
    <row r="1142" spans="1:9" ht="45" hidden="1" outlineLevel="2">
      <c r="A1142" s="93" t="s">
        <v>94</v>
      </c>
      <c r="B1142" s="93" t="s">
        <v>78</v>
      </c>
      <c r="D1142" s="63" t="s">
        <v>94</v>
      </c>
      <c r="E1142" s="93" t="s">
        <v>72</v>
      </c>
      <c r="F1142" s="96">
        <v>1982</v>
      </c>
      <c r="G1142" s="63">
        <f t="shared" si="78"/>
        <v>34.5</v>
      </c>
      <c r="H1142" s="95">
        <v>10240.27</v>
      </c>
      <c r="I1142" s="97">
        <f t="shared" si="79"/>
        <v>353289.315</v>
      </c>
    </row>
    <row r="1143" spans="1:9" ht="45" hidden="1" outlineLevel="2">
      <c r="A1143" s="93" t="s">
        <v>94</v>
      </c>
      <c r="B1143" s="93" t="s">
        <v>78</v>
      </c>
      <c r="D1143" s="63" t="s">
        <v>94</v>
      </c>
      <c r="E1143" s="93" t="s">
        <v>72</v>
      </c>
      <c r="F1143" s="96">
        <v>1983</v>
      </c>
      <c r="G1143" s="63">
        <f t="shared" si="78"/>
        <v>33.5</v>
      </c>
      <c r="H1143" s="95">
        <v>298205.33</v>
      </c>
      <c r="I1143" s="97">
        <f t="shared" si="79"/>
        <v>9989878.5549999997</v>
      </c>
    </row>
    <row r="1144" spans="1:9" ht="45" hidden="1" outlineLevel="2">
      <c r="A1144" s="93" t="s">
        <v>94</v>
      </c>
      <c r="B1144" s="93" t="s">
        <v>78</v>
      </c>
      <c r="D1144" s="63" t="s">
        <v>94</v>
      </c>
      <c r="E1144" s="93" t="s">
        <v>72</v>
      </c>
      <c r="F1144" s="96">
        <v>1984</v>
      </c>
      <c r="G1144" s="63">
        <f t="shared" si="78"/>
        <v>32.5</v>
      </c>
      <c r="H1144" s="95">
        <v>125112.43</v>
      </c>
      <c r="I1144" s="97">
        <f t="shared" si="79"/>
        <v>4066153.9749999996</v>
      </c>
    </row>
    <row r="1145" spans="1:9" ht="45" hidden="1" outlineLevel="2">
      <c r="A1145" s="93" t="s">
        <v>94</v>
      </c>
      <c r="B1145" s="93" t="s">
        <v>78</v>
      </c>
      <c r="D1145" s="63" t="s">
        <v>94</v>
      </c>
      <c r="E1145" s="93" t="s">
        <v>72</v>
      </c>
      <c r="F1145" s="96">
        <v>1985</v>
      </c>
      <c r="G1145" s="63">
        <f t="shared" si="78"/>
        <v>31.5</v>
      </c>
      <c r="H1145" s="95">
        <v>2908.52</v>
      </c>
      <c r="I1145" s="97">
        <f t="shared" si="79"/>
        <v>91618.38</v>
      </c>
    </row>
    <row r="1146" spans="1:9" ht="45" hidden="1" outlineLevel="2">
      <c r="A1146" s="93" t="s">
        <v>94</v>
      </c>
      <c r="B1146" s="93" t="s">
        <v>78</v>
      </c>
      <c r="D1146" s="63" t="s">
        <v>94</v>
      </c>
      <c r="E1146" s="93" t="s">
        <v>72</v>
      </c>
      <c r="F1146" s="96">
        <v>1986</v>
      </c>
      <c r="G1146" s="63">
        <f t="shared" si="78"/>
        <v>30.5</v>
      </c>
      <c r="H1146" s="95">
        <v>67106.59</v>
      </c>
      <c r="I1146" s="97">
        <f t="shared" si="79"/>
        <v>2046750.9949999999</v>
      </c>
    </row>
    <row r="1147" spans="1:9" ht="45" hidden="1" outlineLevel="2">
      <c r="A1147" s="93" t="s">
        <v>94</v>
      </c>
      <c r="B1147" s="93" t="s">
        <v>78</v>
      </c>
      <c r="D1147" s="63" t="s">
        <v>94</v>
      </c>
      <c r="E1147" s="93" t="s">
        <v>72</v>
      </c>
      <c r="F1147" s="96">
        <v>1987</v>
      </c>
      <c r="G1147" s="63">
        <f t="shared" si="78"/>
        <v>29.5</v>
      </c>
      <c r="H1147" s="95">
        <v>63299.27</v>
      </c>
      <c r="I1147" s="97">
        <f t="shared" si="79"/>
        <v>1867328.4649999999</v>
      </c>
    </row>
    <row r="1148" spans="1:9" ht="45" hidden="1" outlineLevel="2">
      <c r="A1148" s="93" t="s">
        <v>94</v>
      </c>
      <c r="B1148" s="93" t="s">
        <v>78</v>
      </c>
      <c r="D1148" s="63" t="s">
        <v>94</v>
      </c>
      <c r="E1148" s="93" t="s">
        <v>72</v>
      </c>
      <c r="F1148" s="96">
        <v>1989</v>
      </c>
      <c r="G1148" s="63">
        <f t="shared" si="78"/>
        <v>27.5</v>
      </c>
      <c r="H1148" s="95">
        <v>198899.63</v>
      </c>
      <c r="I1148" s="97">
        <f t="shared" si="79"/>
        <v>5469739.8250000002</v>
      </c>
    </row>
    <row r="1149" spans="1:9" ht="45" hidden="1" outlineLevel="2">
      <c r="A1149" s="93" t="s">
        <v>94</v>
      </c>
      <c r="B1149" s="93" t="s">
        <v>78</v>
      </c>
      <c r="D1149" s="63" t="s">
        <v>94</v>
      </c>
      <c r="E1149" s="93" t="s">
        <v>72</v>
      </c>
      <c r="F1149" s="96">
        <v>1990</v>
      </c>
      <c r="G1149" s="63">
        <f t="shared" si="78"/>
        <v>26.5</v>
      </c>
      <c r="H1149" s="95">
        <v>94636.86</v>
      </c>
      <c r="I1149" s="97">
        <f t="shared" si="79"/>
        <v>2507876.79</v>
      </c>
    </row>
    <row r="1150" spans="1:9" ht="45" hidden="1" outlineLevel="2">
      <c r="A1150" s="93" t="s">
        <v>94</v>
      </c>
      <c r="B1150" s="93" t="s">
        <v>78</v>
      </c>
      <c r="D1150" s="63" t="s">
        <v>94</v>
      </c>
      <c r="E1150" s="93" t="s">
        <v>72</v>
      </c>
      <c r="F1150" s="96">
        <v>1991</v>
      </c>
      <c r="G1150" s="63">
        <f t="shared" si="78"/>
        <v>25.5</v>
      </c>
      <c r="H1150" s="95">
        <v>145478.21</v>
      </c>
      <c r="I1150" s="97">
        <f t="shared" si="79"/>
        <v>3709694.355</v>
      </c>
    </row>
    <row r="1151" spans="1:9" ht="45" hidden="1" outlineLevel="2">
      <c r="A1151" s="93" t="s">
        <v>94</v>
      </c>
      <c r="B1151" s="93" t="s">
        <v>78</v>
      </c>
      <c r="D1151" s="63" t="s">
        <v>94</v>
      </c>
      <c r="E1151" s="93" t="s">
        <v>72</v>
      </c>
      <c r="F1151" s="96">
        <v>1992</v>
      </c>
      <c r="G1151" s="63">
        <f t="shared" si="78"/>
        <v>24.5</v>
      </c>
      <c r="H1151" s="95">
        <v>62920.84</v>
      </c>
      <c r="I1151" s="97">
        <f t="shared" si="79"/>
        <v>1541560.5799999998</v>
      </c>
    </row>
    <row r="1152" spans="1:9" ht="45" hidden="1" outlineLevel="2">
      <c r="A1152" s="93" t="s">
        <v>94</v>
      </c>
      <c r="B1152" s="93" t="s">
        <v>78</v>
      </c>
      <c r="D1152" s="63" t="s">
        <v>94</v>
      </c>
      <c r="E1152" s="93" t="s">
        <v>72</v>
      </c>
      <c r="F1152" s="96">
        <v>1993</v>
      </c>
      <c r="G1152" s="63">
        <f t="shared" si="78"/>
        <v>23.5</v>
      </c>
      <c r="H1152" s="95">
        <v>122632.42</v>
      </c>
      <c r="I1152" s="97">
        <f t="shared" si="79"/>
        <v>2881861.87</v>
      </c>
    </row>
    <row r="1153" spans="1:10" ht="45" hidden="1" outlineLevel="2">
      <c r="A1153" s="93" t="s">
        <v>94</v>
      </c>
      <c r="B1153" s="93" t="s">
        <v>78</v>
      </c>
      <c r="D1153" s="63" t="s">
        <v>94</v>
      </c>
      <c r="E1153" s="93" t="s">
        <v>72</v>
      </c>
      <c r="F1153" s="96">
        <v>1994</v>
      </c>
      <c r="G1153" s="63">
        <f t="shared" si="78"/>
        <v>22.5</v>
      </c>
      <c r="H1153" s="95">
        <v>37556.79</v>
      </c>
      <c r="I1153" s="97">
        <f t="shared" si="79"/>
        <v>845027.77500000002</v>
      </c>
    </row>
    <row r="1154" spans="1:10" ht="45" hidden="1" outlineLevel="2">
      <c r="A1154" s="93" t="s">
        <v>94</v>
      </c>
      <c r="B1154" s="93" t="s">
        <v>78</v>
      </c>
      <c r="D1154" s="63" t="s">
        <v>94</v>
      </c>
      <c r="E1154" s="93" t="s">
        <v>72</v>
      </c>
      <c r="F1154" s="96">
        <v>1995</v>
      </c>
      <c r="G1154" s="63">
        <f t="shared" si="78"/>
        <v>21.5</v>
      </c>
      <c r="H1154" s="95">
        <v>117191.02</v>
      </c>
      <c r="I1154" s="97">
        <f t="shared" si="79"/>
        <v>2519606.9300000002</v>
      </c>
    </row>
    <row r="1155" spans="1:10" ht="45" hidden="1" outlineLevel="2">
      <c r="A1155" s="93" t="s">
        <v>94</v>
      </c>
      <c r="B1155" s="93" t="s">
        <v>78</v>
      </c>
      <c r="D1155" s="63" t="s">
        <v>94</v>
      </c>
      <c r="E1155" s="93" t="s">
        <v>72</v>
      </c>
      <c r="F1155" s="96">
        <v>1998</v>
      </c>
      <c r="G1155" s="63">
        <f t="shared" si="78"/>
        <v>18.5</v>
      </c>
      <c r="H1155" s="95">
        <v>29276.15</v>
      </c>
      <c r="I1155" s="97">
        <f t="shared" si="79"/>
        <v>541608.77500000002</v>
      </c>
    </row>
    <row r="1156" spans="1:10" ht="45" hidden="1" outlineLevel="2">
      <c r="A1156" s="93" t="s">
        <v>94</v>
      </c>
      <c r="B1156" s="93" t="s">
        <v>78</v>
      </c>
      <c r="D1156" s="63" t="s">
        <v>94</v>
      </c>
      <c r="E1156" s="93" t="s">
        <v>72</v>
      </c>
      <c r="F1156" s="96">
        <v>1999</v>
      </c>
      <c r="G1156" s="63">
        <f t="shared" si="78"/>
        <v>17.5</v>
      </c>
      <c r="H1156" s="95">
        <v>609730.52</v>
      </c>
      <c r="I1156" s="97">
        <f t="shared" si="79"/>
        <v>10670284.1</v>
      </c>
    </row>
    <row r="1157" spans="1:10" ht="45" hidden="1" outlineLevel="2">
      <c r="A1157" s="93" t="s">
        <v>94</v>
      </c>
      <c r="B1157" s="93" t="s">
        <v>78</v>
      </c>
      <c r="D1157" s="63" t="s">
        <v>94</v>
      </c>
      <c r="E1157" s="93" t="s">
        <v>72</v>
      </c>
      <c r="F1157" s="96">
        <v>2000</v>
      </c>
      <c r="G1157" s="63">
        <f t="shared" si="78"/>
        <v>16.5</v>
      </c>
      <c r="H1157" s="95">
        <v>26793.66</v>
      </c>
      <c r="I1157" s="97">
        <f t="shared" si="79"/>
        <v>442095.39</v>
      </c>
    </row>
    <row r="1158" spans="1:10" ht="45" hidden="1" outlineLevel="2">
      <c r="A1158" s="93" t="s">
        <v>94</v>
      </c>
      <c r="B1158" s="93" t="s">
        <v>78</v>
      </c>
      <c r="D1158" s="63" t="s">
        <v>94</v>
      </c>
      <c r="E1158" s="93" t="s">
        <v>72</v>
      </c>
      <c r="F1158" s="96">
        <v>2001</v>
      </c>
      <c r="G1158" s="63">
        <f t="shared" si="78"/>
        <v>15.5</v>
      </c>
      <c r="H1158" s="95">
        <v>63756.21</v>
      </c>
      <c r="I1158" s="97">
        <f t="shared" si="79"/>
        <v>988221.255</v>
      </c>
    </row>
    <row r="1159" spans="1:10" ht="45" hidden="1" outlineLevel="2">
      <c r="A1159" s="93" t="s">
        <v>94</v>
      </c>
      <c r="B1159" s="93" t="s">
        <v>78</v>
      </c>
      <c r="D1159" s="63" t="s">
        <v>94</v>
      </c>
      <c r="E1159" s="93" t="s">
        <v>72</v>
      </c>
      <c r="F1159" s="96">
        <v>2007</v>
      </c>
      <c r="G1159" s="63">
        <f t="shared" si="78"/>
        <v>9.5</v>
      </c>
      <c r="H1159" s="95">
        <v>13177.22</v>
      </c>
      <c r="I1159" s="97">
        <f t="shared" si="79"/>
        <v>125183.59</v>
      </c>
    </row>
    <row r="1160" spans="1:10" ht="45" hidden="1" outlineLevel="2">
      <c r="A1160" s="93" t="s">
        <v>94</v>
      </c>
      <c r="B1160" s="93" t="s">
        <v>78</v>
      </c>
      <c r="D1160" s="63" t="s">
        <v>94</v>
      </c>
      <c r="E1160" s="93" t="s">
        <v>72</v>
      </c>
      <c r="F1160" s="96">
        <v>2008</v>
      </c>
      <c r="G1160" s="63">
        <f t="shared" si="78"/>
        <v>8.5</v>
      </c>
      <c r="H1160" s="95">
        <v>7140.22</v>
      </c>
      <c r="I1160" s="97">
        <f t="shared" si="79"/>
        <v>60691.87</v>
      </c>
    </row>
    <row r="1161" spans="1:10" ht="45" hidden="1" outlineLevel="2">
      <c r="A1161" s="93" t="s">
        <v>94</v>
      </c>
      <c r="B1161" s="93" t="s">
        <v>78</v>
      </c>
      <c r="D1161" s="63" t="s">
        <v>94</v>
      </c>
      <c r="E1161" s="93" t="s">
        <v>72</v>
      </c>
      <c r="F1161" s="96">
        <v>2009</v>
      </c>
      <c r="G1161" s="63">
        <f t="shared" si="78"/>
        <v>7.5</v>
      </c>
      <c r="H1161" s="95">
        <v>9902.86</v>
      </c>
      <c r="I1161" s="97">
        <f t="shared" si="79"/>
        <v>74271.450000000012</v>
      </c>
    </row>
    <row r="1162" spans="1:10" ht="45" hidden="1" outlineLevel="2">
      <c r="A1162" s="93" t="s">
        <v>94</v>
      </c>
      <c r="B1162" s="93" t="s">
        <v>78</v>
      </c>
      <c r="D1162" s="63" t="s">
        <v>94</v>
      </c>
      <c r="E1162" s="93" t="s">
        <v>72</v>
      </c>
      <c r="F1162" s="96">
        <v>2012</v>
      </c>
      <c r="G1162" s="63">
        <f t="shared" si="78"/>
        <v>4.5</v>
      </c>
      <c r="H1162" s="95">
        <v>29690.05</v>
      </c>
      <c r="I1162" s="97">
        <f t="shared" si="79"/>
        <v>133605.22500000001</v>
      </c>
    </row>
    <row r="1163" spans="1:10" ht="45" hidden="1" outlineLevel="2">
      <c r="A1163" s="93" t="s">
        <v>94</v>
      </c>
      <c r="B1163" s="93" t="s">
        <v>78</v>
      </c>
      <c r="D1163" s="63" t="s">
        <v>94</v>
      </c>
      <c r="E1163" s="93" t="s">
        <v>72</v>
      </c>
      <c r="F1163" s="96">
        <v>2014</v>
      </c>
      <c r="G1163" s="63">
        <f t="shared" si="78"/>
        <v>2.5</v>
      </c>
      <c r="H1163" s="95">
        <v>121560.1</v>
      </c>
      <c r="I1163" s="97">
        <f t="shared" si="79"/>
        <v>303900.25</v>
      </c>
    </row>
    <row r="1164" spans="1:10" ht="45" hidden="1" outlineLevel="2">
      <c r="A1164" s="93" t="s">
        <v>94</v>
      </c>
      <c r="B1164" s="93" t="s">
        <v>78</v>
      </c>
      <c r="D1164" s="63" t="s">
        <v>94</v>
      </c>
      <c r="E1164" s="93" t="s">
        <v>72</v>
      </c>
      <c r="F1164" s="96">
        <v>2015</v>
      </c>
      <c r="G1164" s="63">
        <f t="shared" si="78"/>
        <v>1.5</v>
      </c>
      <c r="H1164" s="95">
        <v>7100.75</v>
      </c>
      <c r="I1164" s="97">
        <f t="shared" si="79"/>
        <v>10651.125</v>
      </c>
    </row>
    <row r="1165" spans="1:10" s="63" customFormat="1" ht="30" outlineLevel="1" collapsed="1">
      <c r="A1165" s="26" t="str">
        <f>+A1164</f>
        <v>Scholz</v>
      </c>
      <c r="B1165" s="94"/>
      <c r="C1165" s="26"/>
      <c r="D1165" s="26" t="str">
        <f>+D1164</f>
        <v>Scholz</v>
      </c>
      <c r="E1165" s="94" t="s">
        <v>205</v>
      </c>
      <c r="F1165" s="96"/>
      <c r="H1165" s="95">
        <f>SUBTOTAL(9,H1125:H1164)</f>
        <v>4386828.4799999986</v>
      </c>
      <c r="I1165" s="97">
        <f>SUBTOTAL(9,I1125:I1164)</f>
        <v>158383136.56999999</v>
      </c>
      <c r="J1165" s="63">
        <f>+I1165/H1165</f>
        <v>36.104246448678118</v>
      </c>
    </row>
    <row r="1166" spans="1:10" ht="45" hidden="1" outlineLevel="2">
      <c r="A1166" s="93" t="s">
        <v>94</v>
      </c>
      <c r="B1166" s="93" t="s">
        <v>78</v>
      </c>
      <c r="D1166" s="63" t="s">
        <v>94</v>
      </c>
      <c r="E1166" s="93" t="s">
        <v>67</v>
      </c>
      <c r="F1166" s="96">
        <v>1992</v>
      </c>
      <c r="G1166" s="63">
        <f t="shared" ref="G1166:G1177" si="80">2016.5-F1166</f>
        <v>24.5</v>
      </c>
      <c r="H1166" s="95">
        <v>21386.02</v>
      </c>
      <c r="I1166" s="97">
        <f t="shared" ref="I1166:I1177" si="81">+G1166*H1166</f>
        <v>523957.49</v>
      </c>
    </row>
    <row r="1167" spans="1:10" ht="45" hidden="1" outlineLevel="2">
      <c r="A1167" s="93" t="s">
        <v>94</v>
      </c>
      <c r="B1167" s="93" t="s">
        <v>78</v>
      </c>
      <c r="D1167" s="63" t="s">
        <v>94</v>
      </c>
      <c r="E1167" s="93" t="s">
        <v>67</v>
      </c>
      <c r="F1167" s="96">
        <v>1993</v>
      </c>
      <c r="G1167" s="63">
        <f t="shared" si="80"/>
        <v>23.5</v>
      </c>
      <c r="H1167" s="95">
        <v>45836.82</v>
      </c>
      <c r="I1167" s="97">
        <f t="shared" si="81"/>
        <v>1077165.27</v>
      </c>
    </row>
    <row r="1168" spans="1:10" ht="45" hidden="1" outlineLevel="2">
      <c r="A1168" s="93" t="s">
        <v>94</v>
      </c>
      <c r="B1168" s="93" t="s">
        <v>78</v>
      </c>
      <c r="D1168" s="63" t="s">
        <v>94</v>
      </c>
      <c r="E1168" s="93" t="s">
        <v>67</v>
      </c>
      <c r="F1168" s="96">
        <v>1994</v>
      </c>
      <c r="G1168" s="63">
        <f t="shared" si="80"/>
        <v>22.5</v>
      </c>
      <c r="H1168" s="95">
        <v>48490.54</v>
      </c>
      <c r="I1168" s="97">
        <f t="shared" si="81"/>
        <v>1091037.1499999999</v>
      </c>
    </row>
    <row r="1169" spans="1:10" ht="45" hidden="1" outlineLevel="2">
      <c r="A1169" s="93" t="s">
        <v>94</v>
      </c>
      <c r="B1169" s="93" t="s">
        <v>78</v>
      </c>
      <c r="D1169" s="63" t="s">
        <v>94</v>
      </c>
      <c r="E1169" s="93" t="s">
        <v>67</v>
      </c>
      <c r="F1169" s="96">
        <v>2000</v>
      </c>
      <c r="G1169" s="63">
        <f t="shared" si="80"/>
        <v>16.5</v>
      </c>
      <c r="H1169" s="95">
        <v>15183.82</v>
      </c>
      <c r="I1169" s="97">
        <f t="shared" si="81"/>
        <v>250533.03</v>
      </c>
    </row>
    <row r="1170" spans="1:10" ht="45" hidden="1" outlineLevel="2">
      <c r="A1170" s="93" t="s">
        <v>94</v>
      </c>
      <c r="B1170" s="93" t="s">
        <v>78</v>
      </c>
      <c r="D1170" s="63" t="s">
        <v>94</v>
      </c>
      <c r="E1170" s="93" t="s">
        <v>67</v>
      </c>
      <c r="F1170" s="96">
        <v>2001</v>
      </c>
      <c r="G1170" s="63">
        <f t="shared" si="80"/>
        <v>15.5</v>
      </c>
      <c r="H1170" s="95">
        <v>9207.8799999999992</v>
      </c>
      <c r="I1170" s="97">
        <f t="shared" si="81"/>
        <v>142722.13999999998</v>
      </c>
    </row>
    <row r="1171" spans="1:10" ht="45" hidden="1" outlineLevel="2">
      <c r="A1171" s="93" t="s">
        <v>94</v>
      </c>
      <c r="B1171" s="93" t="s">
        <v>78</v>
      </c>
      <c r="D1171" s="63" t="s">
        <v>94</v>
      </c>
      <c r="E1171" s="93" t="s">
        <v>67</v>
      </c>
      <c r="F1171" s="96">
        <v>2002</v>
      </c>
      <c r="G1171" s="63">
        <f t="shared" si="80"/>
        <v>14.5</v>
      </c>
      <c r="H1171" s="95">
        <v>38743.01</v>
      </c>
      <c r="I1171" s="97">
        <f t="shared" si="81"/>
        <v>561773.64500000002</v>
      </c>
    </row>
    <row r="1172" spans="1:10" ht="45" hidden="1" outlineLevel="2">
      <c r="A1172" s="93" t="s">
        <v>94</v>
      </c>
      <c r="B1172" s="93" t="s">
        <v>78</v>
      </c>
      <c r="D1172" s="63" t="s">
        <v>94</v>
      </c>
      <c r="E1172" s="93" t="s">
        <v>67</v>
      </c>
      <c r="F1172" s="96">
        <v>2003</v>
      </c>
      <c r="G1172" s="63">
        <f t="shared" si="80"/>
        <v>13.5</v>
      </c>
      <c r="H1172" s="95">
        <v>49479.81</v>
      </c>
      <c r="I1172" s="97">
        <f t="shared" si="81"/>
        <v>667977.43499999994</v>
      </c>
    </row>
    <row r="1173" spans="1:10" ht="45" hidden="1" outlineLevel="2">
      <c r="A1173" s="93" t="s">
        <v>94</v>
      </c>
      <c r="B1173" s="93" t="s">
        <v>78</v>
      </c>
      <c r="D1173" s="63" t="s">
        <v>94</v>
      </c>
      <c r="E1173" s="93" t="s">
        <v>67</v>
      </c>
      <c r="F1173" s="96">
        <v>2004</v>
      </c>
      <c r="G1173" s="63">
        <f t="shared" si="80"/>
        <v>12.5</v>
      </c>
      <c r="H1173" s="95">
        <v>78435.61</v>
      </c>
      <c r="I1173" s="97">
        <f t="shared" si="81"/>
        <v>980445.125</v>
      </c>
    </row>
    <row r="1174" spans="1:10" ht="45" hidden="1" outlineLevel="2">
      <c r="A1174" s="93" t="s">
        <v>94</v>
      </c>
      <c r="B1174" s="93" t="s">
        <v>78</v>
      </c>
      <c r="D1174" s="63" t="s">
        <v>94</v>
      </c>
      <c r="E1174" s="93" t="s">
        <v>67</v>
      </c>
      <c r="F1174" s="96">
        <v>2005</v>
      </c>
      <c r="G1174" s="63">
        <f t="shared" si="80"/>
        <v>11.5</v>
      </c>
      <c r="H1174" s="95">
        <v>473075.43</v>
      </c>
      <c r="I1174" s="97">
        <f t="shared" si="81"/>
        <v>5440367.4450000003</v>
      </c>
    </row>
    <row r="1175" spans="1:10" ht="45" hidden="1" outlineLevel="2">
      <c r="A1175" s="93" t="s">
        <v>94</v>
      </c>
      <c r="B1175" s="93" t="s">
        <v>78</v>
      </c>
      <c r="D1175" s="63" t="s">
        <v>94</v>
      </c>
      <c r="E1175" s="93" t="s">
        <v>67</v>
      </c>
      <c r="F1175" s="96">
        <v>2008</v>
      </c>
      <c r="G1175" s="63">
        <f t="shared" si="80"/>
        <v>8.5</v>
      </c>
      <c r="H1175" s="95">
        <v>221178</v>
      </c>
      <c r="I1175" s="97">
        <f t="shared" si="81"/>
        <v>1880013</v>
      </c>
    </row>
    <row r="1176" spans="1:10" ht="45" hidden="1" outlineLevel="2">
      <c r="A1176" s="93" t="s">
        <v>94</v>
      </c>
      <c r="B1176" s="93" t="s">
        <v>78</v>
      </c>
      <c r="D1176" s="63" t="s">
        <v>94</v>
      </c>
      <c r="E1176" s="93" t="s">
        <v>67</v>
      </c>
      <c r="F1176" s="96">
        <v>2011</v>
      </c>
      <c r="G1176" s="63">
        <f t="shared" si="80"/>
        <v>5.5</v>
      </c>
      <c r="H1176" s="95">
        <v>24594.48</v>
      </c>
      <c r="I1176" s="97">
        <f t="shared" si="81"/>
        <v>135269.63999999998</v>
      </c>
    </row>
    <row r="1177" spans="1:10" ht="45" hidden="1" outlineLevel="2">
      <c r="A1177" s="93" t="s">
        <v>94</v>
      </c>
      <c r="B1177" s="93" t="s">
        <v>78</v>
      </c>
      <c r="D1177" s="63" t="s">
        <v>94</v>
      </c>
      <c r="E1177" s="93" t="s">
        <v>67</v>
      </c>
      <c r="F1177" s="96">
        <v>2014</v>
      </c>
      <c r="G1177" s="63">
        <f t="shared" si="80"/>
        <v>2.5</v>
      </c>
      <c r="H1177" s="95">
        <v>7581.33</v>
      </c>
      <c r="I1177" s="97">
        <f t="shared" si="81"/>
        <v>18953.325000000001</v>
      </c>
    </row>
    <row r="1178" spans="1:10" s="63" customFormat="1" ht="30" outlineLevel="1" collapsed="1">
      <c r="A1178" s="26" t="str">
        <f>+A1177</f>
        <v>Scholz</v>
      </c>
      <c r="B1178" s="94"/>
      <c r="C1178" s="26"/>
      <c r="D1178" s="26" t="str">
        <f>+D1177</f>
        <v>Scholz</v>
      </c>
      <c r="E1178" s="94" t="s">
        <v>202</v>
      </c>
      <c r="F1178" s="96"/>
      <c r="H1178" s="95">
        <f>SUBTOTAL(9,H1166:H1177)</f>
        <v>1033192.7499999999</v>
      </c>
      <c r="I1178" s="97">
        <f>SUBTOTAL(9,I1166:I1177)</f>
        <v>12770214.695</v>
      </c>
      <c r="J1178" s="63">
        <f>+I1178/H1178</f>
        <v>12.359953837268023</v>
      </c>
    </row>
    <row r="1179" spans="1:10" ht="45" hidden="1" outlineLevel="2">
      <c r="A1179" s="93" t="s">
        <v>94</v>
      </c>
      <c r="B1179" s="93" t="s">
        <v>78</v>
      </c>
      <c r="D1179" s="63" t="s">
        <v>94</v>
      </c>
      <c r="E1179" s="93" t="s">
        <v>68</v>
      </c>
      <c r="F1179" s="96">
        <v>1953</v>
      </c>
      <c r="G1179" s="63">
        <f t="shared" ref="G1179:G1196" si="82">2016.5-F1179</f>
        <v>63.5</v>
      </c>
      <c r="H1179" s="95">
        <v>713338.82</v>
      </c>
      <c r="I1179" s="97">
        <f t="shared" ref="I1179:I1196" si="83">+G1179*H1179</f>
        <v>45297015.07</v>
      </c>
    </row>
    <row r="1180" spans="1:10" ht="45" hidden="1" outlineLevel="2">
      <c r="A1180" s="93" t="s">
        <v>94</v>
      </c>
      <c r="B1180" s="93" t="s">
        <v>78</v>
      </c>
      <c r="D1180" s="63" t="s">
        <v>94</v>
      </c>
      <c r="E1180" s="93" t="s">
        <v>68</v>
      </c>
      <c r="F1180" s="96">
        <v>1954</v>
      </c>
      <c r="G1180" s="63">
        <f t="shared" si="82"/>
        <v>62.5</v>
      </c>
      <c r="H1180" s="95">
        <v>1708.65</v>
      </c>
      <c r="I1180" s="97">
        <f t="shared" si="83"/>
        <v>106790.625</v>
      </c>
    </row>
    <row r="1181" spans="1:10" ht="45" hidden="1" outlineLevel="2">
      <c r="A1181" s="93" t="s">
        <v>94</v>
      </c>
      <c r="B1181" s="93" t="s">
        <v>78</v>
      </c>
      <c r="D1181" s="63" t="s">
        <v>94</v>
      </c>
      <c r="E1181" s="93" t="s">
        <v>68</v>
      </c>
      <c r="F1181" s="96">
        <v>1955</v>
      </c>
      <c r="G1181" s="63">
        <f t="shared" si="82"/>
        <v>61.5</v>
      </c>
      <c r="H1181" s="95">
        <v>2933.99</v>
      </c>
      <c r="I1181" s="97">
        <f t="shared" si="83"/>
        <v>180440.38499999998</v>
      </c>
    </row>
    <row r="1182" spans="1:10" ht="45" hidden="1" outlineLevel="2">
      <c r="A1182" s="93" t="s">
        <v>94</v>
      </c>
      <c r="B1182" s="93" t="s">
        <v>78</v>
      </c>
      <c r="D1182" s="63" t="s">
        <v>94</v>
      </c>
      <c r="E1182" s="93" t="s">
        <v>68</v>
      </c>
      <c r="F1182" s="96">
        <v>1956</v>
      </c>
      <c r="G1182" s="63">
        <f t="shared" si="82"/>
        <v>60.5</v>
      </c>
      <c r="H1182" s="95">
        <v>4291.8100000000004</v>
      </c>
      <c r="I1182" s="97">
        <f t="shared" si="83"/>
        <v>259654.50500000003</v>
      </c>
    </row>
    <row r="1183" spans="1:10" ht="45" hidden="1" outlineLevel="2">
      <c r="A1183" s="93" t="s">
        <v>94</v>
      </c>
      <c r="B1183" s="93" t="s">
        <v>78</v>
      </c>
      <c r="D1183" s="63" t="s">
        <v>94</v>
      </c>
      <c r="E1183" s="93" t="s">
        <v>68</v>
      </c>
      <c r="F1183" s="96">
        <v>1971</v>
      </c>
      <c r="G1183" s="63">
        <f t="shared" si="82"/>
        <v>45.5</v>
      </c>
      <c r="H1183" s="95">
        <v>925.61</v>
      </c>
      <c r="I1183" s="97">
        <f t="shared" si="83"/>
        <v>42115.254999999997</v>
      </c>
    </row>
    <row r="1184" spans="1:10" ht="45" hidden="1" outlineLevel="2">
      <c r="A1184" s="93" t="s">
        <v>94</v>
      </c>
      <c r="B1184" s="93" t="s">
        <v>78</v>
      </c>
      <c r="D1184" s="63" t="s">
        <v>94</v>
      </c>
      <c r="E1184" s="93" t="s">
        <v>68</v>
      </c>
      <c r="F1184" s="96">
        <v>1972</v>
      </c>
      <c r="G1184" s="63">
        <f t="shared" si="82"/>
        <v>44.5</v>
      </c>
      <c r="H1184" s="95">
        <v>3168.93</v>
      </c>
      <c r="I1184" s="97">
        <f t="shared" si="83"/>
        <v>141017.38499999998</v>
      </c>
    </row>
    <row r="1185" spans="1:10" ht="45" hidden="1" outlineLevel="2">
      <c r="A1185" s="93" t="s">
        <v>94</v>
      </c>
      <c r="B1185" s="93" t="s">
        <v>78</v>
      </c>
      <c r="D1185" s="63" t="s">
        <v>94</v>
      </c>
      <c r="E1185" s="93" t="s">
        <v>68</v>
      </c>
      <c r="F1185" s="96">
        <v>1979</v>
      </c>
      <c r="G1185" s="63">
        <f t="shared" si="82"/>
        <v>37.5</v>
      </c>
      <c r="H1185" s="95">
        <v>28908.35</v>
      </c>
      <c r="I1185" s="97">
        <f t="shared" si="83"/>
        <v>1084063.125</v>
      </c>
    </row>
    <row r="1186" spans="1:10" ht="45" hidden="1" outlineLevel="2">
      <c r="A1186" s="93" t="s">
        <v>94</v>
      </c>
      <c r="B1186" s="93" t="s">
        <v>78</v>
      </c>
      <c r="D1186" s="63" t="s">
        <v>94</v>
      </c>
      <c r="E1186" s="93" t="s">
        <v>68</v>
      </c>
      <c r="F1186" s="96">
        <v>1984</v>
      </c>
      <c r="G1186" s="63">
        <f t="shared" si="82"/>
        <v>32.5</v>
      </c>
      <c r="H1186" s="95">
        <v>30259.74</v>
      </c>
      <c r="I1186" s="97">
        <f t="shared" si="83"/>
        <v>983441.55</v>
      </c>
    </row>
    <row r="1187" spans="1:10" ht="45" hidden="1" outlineLevel="2">
      <c r="A1187" s="93" t="s">
        <v>94</v>
      </c>
      <c r="B1187" s="93" t="s">
        <v>76</v>
      </c>
      <c r="D1187" s="63" t="s">
        <v>94</v>
      </c>
      <c r="E1187" s="93" t="s">
        <v>68</v>
      </c>
      <c r="F1187" s="96">
        <v>1992</v>
      </c>
      <c r="G1187" s="63">
        <f t="shared" si="82"/>
        <v>24.5</v>
      </c>
      <c r="H1187" s="95">
        <v>36700.15</v>
      </c>
      <c r="I1187" s="97">
        <f t="shared" si="83"/>
        <v>899153.67500000005</v>
      </c>
    </row>
    <row r="1188" spans="1:10" ht="45" hidden="1" outlineLevel="2">
      <c r="A1188" s="93" t="s">
        <v>94</v>
      </c>
      <c r="B1188" s="93" t="s">
        <v>76</v>
      </c>
      <c r="D1188" s="63" t="s">
        <v>94</v>
      </c>
      <c r="E1188" s="93" t="s">
        <v>68</v>
      </c>
      <c r="F1188" s="96">
        <v>1999</v>
      </c>
      <c r="G1188" s="63">
        <f t="shared" si="82"/>
        <v>17.5</v>
      </c>
      <c r="H1188" s="95">
        <v>152951.32999999999</v>
      </c>
      <c r="I1188" s="97">
        <f t="shared" si="83"/>
        <v>2676648.2749999999</v>
      </c>
    </row>
    <row r="1189" spans="1:10" ht="45" hidden="1" outlineLevel="2">
      <c r="A1189" s="93" t="s">
        <v>94</v>
      </c>
      <c r="B1189" s="93" t="s">
        <v>77</v>
      </c>
      <c r="D1189" s="63" t="s">
        <v>94</v>
      </c>
      <c r="E1189" s="93" t="s">
        <v>68</v>
      </c>
      <c r="F1189" s="96">
        <v>2000</v>
      </c>
      <c r="G1189" s="63">
        <f t="shared" si="82"/>
        <v>16.5</v>
      </c>
      <c r="H1189" s="95">
        <v>157926.04</v>
      </c>
      <c r="I1189" s="97">
        <f t="shared" si="83"/>
        <v>2605779.66</v>
      </c>
    </row>
    <row r="1190" spans="1:10" ht="45" hidden="1" outlineLevel="2">
      <c r="A1190" s="93" t="s">
        <v>94</v>
      </c>
      <c r="B1190" s="93" t="s">
        <v>76</v>
      </c>
      <c r="D1190" s="63" t="s">
        <v>94</v>
      </c>
      <c r="E1190" s="93" t="s">
        <v>68</v>
      </c>
      <c r="F1190" s="96">
        <v>2003</v>
      </c>
      <c r="G1190" s="63">
        <f t="shared" si="82"/>
        <v>13.5</v>
      </c>
      <c r="H1190" s="95">
        <v>11902.4</v>
      </c>
      <c r="I1190" s="97">
        <f t="shared" si="83"/>
        <v>160682.4</v>
      </c>
    </row>
    <row r="1191" spans="1:10" ht="45" hidden="1" outlineLevel="2">
      <c r="A1191" s="93" t="s">
        <v>94</v>
      </c>
      <c r="B1191" s="93" t="s">
        <v>77</v>
      </c>
      <c r="D1191" s="63" t="s">
        <v>94</v>
      </c>
      <c r="E1191" s="93" t="s">
        <v>68</v>
      </c>
      <c r="F1191" s="96">
        <v>2003</v>
      </c>
      <c r="G1191" s="63">
        <f t="shared" si="82"/>
        <v>13.5</v>
      </c>
      <c r="H1191" s="95">
        <v>11527.03</v>
      </c>
      <c r="I1191" s="97">
        <f t="shared" si="83"/>
        <v>155614.905</v>
      </c>
    </row>
    <row r="1192" spans="1:10" ht="45" hidden="1" outlineLevel="2">
      <c r="A1192" s="93" t="s">
        <v>94</v>
      </c>
      <c r="B1192" s="93" t="s">
        <v>78</v>
      </c>
      <c r="D1192" s="63" t="s">
        <v>94</v>
      </c>
      <c r="E1192" s="93" t="s">
        <v>68</v>
      </c>
      <c r="F1192" s="96">
        <v>2003</v>
      </c>
      <c r="G1192" s="63">
        <f t="shared" si="82"/>
        <v>13.5</v>
      </c>
      <c r="H1192" s="95">
        <v>11751.91</v>
      </c>
      <c r="I1192" s="97">
        <f t="shared" si="83"/>
        <v>158650.785</v>
      </c>
    </row>
    <row r="1193" spans="1:10" ht="45" hidden="1" outlineLevel="2">
      <c r="A1193" s="93" t="s">
        <v>94</v>
      </c>
      <c r="B1193" s="93" t="s">
        <v>78</v>
      </c>
      <c r="D1193" s="63" t="s">
        <v>94</v>
      </c>
      <c r="E1193" s="93" t="s">
        <v>68</v>
      </c>
      <c r="F1193" s="96">
        <v>2007</v>
      </c>
      <c r="G1193" s="63">
        <f t="shared" si="82"/>
        <v>9.5</v>
      </c>
      <c r="H1193" s="95">
        <v>13797.85</v>
      </c>
      <c r="I1193" s="97">
        <f t="shared" si="83"/>
        <v>131079.57500000001</v>
      </c>
    </row>
    <row r="1194" spans="1:10" ht="45" hidden="1" outlineLevel="2">
      <c r="A1194" s="93" t="s">
        <v>94</v>
      </c>
      <c r="B1194" s="93" t="s">
        <v>78</v>
      </c>
      <c r="D1194" s="63" t="s">
        <v>94</v>
      </c>
      <c r="E1194" s="93" t="s">
        <v>68</v>
      </c>
      <c r="F1194" s="96">
        <v>2008</v>
      </c>
      <c r="G1194" s="63">
        <f t="shared" si="82"/>
        <v>8.5</v>
      </c>
      <c r="H1194" s="95">
        <v>87911.84</v>
      </c>
      <c r="I1194" s="97">
        <f t="shared" si="83"/>
        <v>747250.64</v>
      </c>
    </row>
    <row r="1195" spans="1:10" ht="45" hidden="1" outlineLevel="2">
      <c r="A1195" s="93" t="s">
        <v>94</v>
      </c>
      <c r="B1195" s="93" t="s">
        <v>78</v>
      </c>
      <c r="D1195" s="63" t="s">
        <v>94</v>
      </c>
      <c r="E1195" s="93" t="s">
        <v>68</v>
      </c>
      <c r="F1195" s="96">
        <v>2009</v>
      </c>
      <c r="G1195" s="63">
        <f t="shared" si="82"/>
        <v>7.5</v>
      </c>
      <c r="H1195" s="95">
        <v>70414.080000000002</v>
      </c>
      <c r="I1195" s="97">
        <f t="shared" si="83"/>
        <v>528105.6</v>
      </c>
    </row>
    <row r="1196" spans="1:10" ht="45" hidden="1" outlineLevel="2">
      <c r="A1196" s="93" t="s">
        <v>94</v>
      </c>
      <c r="B1196" s="93" t="s">
        <v>78</v>
      </c>
      <c r="D1196" s="63" t="s">
        <v>94</v>
      </c>
      <c r="E1196" s="93" t="s">
        <v>68</v>
      </c>
      <c r="F1196" s="96">
        <v>2012</v>
      </c>
      <c r="G1196" s="63">
        <f t="shared" si="82"/>
        <v>4.5</v>
      </c>
      <c r="H1196" s="95">
        <v>37461.71</v>
      </c>
      <c r="I1196" s="97">
        <f t="shared" si="83"/>
        <v>168577.69500000001</v>
      </c>
    </row>
    <row r="1197" spans="1:10" s="63" customFormat="1" ht="30" outlineLevel="1" collapsed="1">
      <c r="A1197" s="26" t="str">
        <f>+A1196</f>
        <v>Scholz</v>
      </c>
      <c r="B1197" s="94"/>
      <c r="C1197" s="26"/>
      <c r="D1197" s="26" t="str">
        <f>+D1196</f>
        <v>Scholz</v>
      </c>
      <c r="E1197" s="94" t="s">
        <v>203</v>
      </c>
      <c r="F1197" s="96"/>
      <c r="H1197" s="95">
        <f>SUBTOTAL(9,H1179:H1196)</f>
        <v>1377880.24</v>
      </c>
      <c r="I1197" s="97">
        <f>SUBTOTAL(9,I1179:I1196)</f>
        <v>56326081.109999992</v>
      </c>
      <c r="J1197" s="63">
        <f>+I1197/H1197</f>
        <v>40.878793000181197</v>
      </c>
    </row>
    <row r="1198" spans="1:10" ht="45" hidden="1" outlineLevel="2">
      <c r="A1198" s="93" t="s">
        <v>94</v>
      </c>
      <c r="B1198" s="93" t="s">
        <v>78</v>
      </c>
      <c r="D1198" s="63" t="s">
        <v>94</v>
      </c>
      <c r="E1198" s="93" t="s">
        <v>69</v>
      </c>
      <c r="F1198" s="96">
        <v>1958</v>
      </c>
      <c r="G1198" s="63">
        <f t="shared" ref="G1198:G1228" si="84">2016.5-F1198</f>
        <v>58.5</v>
      </c>
      <c r="H1198" s="95">
        <v>7699.72</v>
      </c>
      <c r="I1198" s="97">
        <f t="shared" ref="I1198:I1228" si="85">+G1198*H1198</f>
        <v>450433.62</v>
      </c>
    </row>
    <row r="1199" spans="1:10" ht="45" hidden="1" outlineLevel="2">
      <c r="A1199" s="93" t="s">
        <v>94</v>
      </c>
      <c r="B1199" s="93" t="s">
        <v>78</v>
      </c>
      <c r="D1199" s="63" t="s">
        <v>94</v>
      </c>
      <c r="E1199" s="93" t="s">
        <v>69</v>
      </c>
      <c r="F1199" s="96">
        <v>1969</v>
      </c>
      <c r="G1199" s="63">
        <f t="shared" si="84"/>
        <v>47.5</v>
      </c>
      <c r="H1199" s="95">
        <v>4600.76</v>
      </c>
      <c r="I1199" s="97">
        <f t="shared" si="85"/>
        <v>218536.1</v>
      </c>
    </row>
    <row r="1200" spans="1:10" ht="45" hidden="1" outlineLevel="2">
      <c r="A1200" s="93" t="s">
        <v>94</v>
      </c>
      <c r="B1200" s="93" t="s">
        <v>78</v>
      </c>
      <c r="D1200" s="63" t="s">
        <v>94</v>
      </c>
      <c r="E1200" s="93" t="s">
        <v>69</v>
      </c>
      <c r="F1200" s="96">
        <v>1975</v>
      </c>
      <c r="G1200" s="63">
        <f t="shared" si="84"/>
        <v>41.5</v>
      </c>
      <c r="H1200" s="95">
        <v>325862.56</v>
      </c>
      <c r="I1200" s="97">
        <f t="shared" si="85"/>
        <v>13523296.24</v>
      </c>
    </row>
    <row r="1201" spans="1:9" ht="45" hidden="1" outlineLevel="2">
      <c r="A1201" s="93" t="s">
        <v>94</v>
      </c>
      <c r="B1201" s="93" t="s">
        <v>78</v>
      </c>
      <c r="D1201" s="63" t="s">
        <v>94</v>
      </c>
      <c r="E1201" s="93" t="s">
        <v>69</v>
      </c>
      <c r="F1201" s="96">
        <v>1976</v>
      </c>
      <c r="G1201" s="63">
        <f t="shared" si="84"/>
        <v>40.5</v>
      </c>
      <c r="H1201" s="95">
        <v>72238.67</v>
      </c>
      <c r="I1201" s="97">
        <f t="shared" si="85"/>
        <v>2925666.1349999998</v>
      </c>
    </row>
    <row r="1202" spans="1:9" ht="45" hidden="1" outlineLevel="2">
      <c r="A1202" s="93" t="s">
        <v>94</v>
      </c>
      <c r="B1202" s="93" t="s">
        <v>78</v>
      </c>
      <c r="D1202" s="63" t="s">
        <v>94</v>
      </c>
      <c r="E1202" s="93" t="s">
        <v>69</v>
      </c>
      <c r="F1202" s="96">
        <v>1977</v>
      </c>
      <c r="G1202" s="63">
        <f t="shared" si="84"/>
        <v>39.5</v>
      </c>
      <c r="H1202" s="95">
        <v>47105.8</v>
      </c>
      <c r="I1202" s="97">
        <f t="shared" si="85"/>
        <v>1860679.1</v>
      </c>
    </row>
    <row r="1203" spans="1:9" ht="45" hidden="1" outlineLevel="2">
      <c r="A1203" s="93" t="s">
        <v>94</v>
      </c>
      <c r="B1203" s="93" t="s">
        <v>78</v>
      </c>
      <c r="D1203" s="63" t="s">
        <v>94</v>
      </c>
      <c r="E1203" s="93" t="s">
        <v>69</v>
      </c>
      <c r="F1203" s="96">
        <v>1978</v>
      </c>
      <c r="G1203" s="63">
        <f t="shared" si="84"/>
        <v>38.5</v>
      </c>
      <c r="H1203" s="95">
        <v>5394.2</v>
      </c>
      <c r="I1203" s="97">
        <f t="shared" si="85"/>
        <v>207676.69999999998</v>
      </c>
    </row>
    <row r="1204" spans="1:9" ht="45" hidden="1" outlineLevel="2">
      <c r="A1204" s="93" t="s">
        <v>94</v>
      </c>
      <c r="B1204" s="93" t="s">
        <v>78</v>
      </c>
      <c r="D1204" s="63" t="s">
        <v>94</v>
      </c>
      <c r="E1204" s="93" t="s">
        <v>69</v>
      </c>
      <c r="F1204" s="96">
        <v>1979</v>
      </c>
      <c r="G1204" s="63">
        <f t="shared" si="84"/>
        <v>37.5</v>
      </c>
      <c r="H1204" s="95">
        <v>14676.83</v>
      </c>
      <c r="I1204" s="97">
        <f t="shared" si="85"/>
        <v>550381.125</v>
      </c>
    </row>
    <row r="1205" spans="1:9" ht="45" hidden="1" outlineLevel="2">
      <c r="A1205" s="93" t="s">
        <v>94</v>
      </c>
      <c r="B1205" s="93" t="s">
        <v>78</v>
      </c>
      <c r="D1205" s="63" t="s">
        <v>94</v>
      </c>
      <c r="E1205" s="93" t="s">
        <v>69</v>
      </c>
      <c r="F1205" s="96">
        <v>1980</v>
      </c>
      <c r="G1205" s="63">
        <f t="shared" si="84"/>
        <v>36.5</v>
      </c>
      <c r="H1205" s="95">
        <v>5455.98</v>
      </c>
      <c r="I1205" s="97">
        <f t="shared" si="85"/>
        <v>199143.27</v>
      </c>
    </row>
    <row r="1206" spans="1:9" ht="45" hidden="1" outlineLevel="2">
      <c r="A1206" s="93" t="s">
        <v>94</v>
      </c>
      <c r="B1206" s="93" t="s">
        <v>78</v>
      </c>
      <c r="D1206" s="63" t="s">
        <v>94</v>
      </c>
      <c r="E1206" s="93" t="s">
        <v>69</v>
      </c>
      <c r="F1206" s="96">
        <v>1981</v>
      </c>
      <c r="G1206" s="63">
        <f t="shared" si="84"/>
        <v>35.5</v>
      </c>
      <c r="H1206" s="95">
        <v>14020.65</v>
      </c>
      <c r="I1206" s="97">
        <f t="shared" si="85"/>
        <v>497733.07500000001</v>
      </c>
    </row>
    <row r="1207" spans="1:9" ht="45" hidden="1" outlineLevel="2">
      <c r="A1207" s="93" t="s">
        <v>94</v>
      </c>
      <c r="B1207" s="93" t="s">
        <v>78</v>
      </c>
      <c r="D1207" s="63" t="s">
        <v>94</v>
      </c>
      <c r="E1207" s="93" t="s">
        <v>69</v>
      </c>
      <c r="F1207" s="96">
        <v>1982</v>
      </c>
      <c r="G1207" s="63">
        <f t="shared" si="84"/>
        <v>34.5</v>
      </c>
      <c r="H1207" s="95">
        <v>35329.81</v>
      </c>
      <c r="I1207" s="97">
        <f t="shared" si="85"/>
        <v>1218878.4449999998</v>
      </c>
    </row>
    <row r="1208" spans="1:9" ht="45" hidden="1" outlineLevel="2">
      <c r="A1208" s="93" t="s">
        <v>94</v>
      </c>
      <c r="B1208" s="93" t="s">
        <v>78</v>
      </c>
      <c r="D1208" s="63" t="s">
        <v>94</v>
      </c>
      <c r="E1208" s="93" t="s">
        <v>69</v>
      </c>
      <c r="F1208" s="96">
        <v>1983</v>
      </c>
      <c r="G1208" s="63">
        <f t="shared" si="84"/>
        <v>33.5</v>
      </c>
      <c r="H1208" s="95">
        <v>2018.13</v>
      </c>
      <c r="I1208" s="97">
        <f t="shared" si="85"/>
        <v>67607.35500000001</v>
      </c>
    </row>
    <row r="1209" spans="1:9" ht="45" hidden="1" outlineLevel="2">
      <c r="A1209" s="93" t="s">
        <v>94</v>
      </c>
      <c r="B1209" s="93" t="s">
        <v>78</v>
      </c>
      <c r="D1209" s="63" t="s">
        <v>94</v>
      </c>
      <c r="E1209" s="93" t="s">
        <v>69</v>
      </c>
      <c r="F1209" s="96">
        <v>1984</v>
      </c>
      <c r="G1209" s="63">
        <f t="shared" si="84"/>
        <v>32.5</v>
      </c>
      <c r="H1209" s="95">
        <v>70628.81</v>
      </c>
      <c r="I1209" s="97">
        <f t="shared" si="85"/>
        <v>2295436.3249999997</v>
      </c>
    </row>
    <row r="1210" spans="1:9" ht="45" hidden="1" outlineLevel="2">
      <c r="A1210" s="93" t="s">
        <v>94</v>
      </c>
      <c r="B1210" s="93" t="s">
        <v>78</v>
      </c>
      <c r="D1210" s="63" t="s">
        <v>94</v>
      </c>
      <c r="E1210" s="93" t="s">
        <v>69</v>
      </c>
      <c r="F1210" s="96">
        <v>1985</v>
      </c>
      <c r="G1210" s="63">
        <f t="shared" si="84"/>
        <v>31.5</v>
      </c>
      <c r="H1210" s="95">
        <v>206196.58</v>
      </c>
      <c r="I1210" s="97">
        <f t="shared" si="85"/>
        <v>6495192.2699999996</v>
      </c>
    </row>
    <row r="1211" spans="1:9" ht="45" hidden="1" outlineLevel="2">
      <c r="A1211" s="93" t="s">
        <v>94</v>
      </c>
      <c r="B1211" s="93" t="s">
        <v>78</v>
      </c>
      <c r="D1211" s="63" t="s">
        <v>94</v>
      </c>
      <c r="E1211" s="93" t="s">
        <v>69</v>
      </c>
      <c r="F1211" s="96">
        <v>1986</v>
      </c>
      <c r="G1211" s="63">
        <f t="shared" si="84"/>
        <v>30.5</v>
      </c>
      <c r="H1211" s="95">
        <v>108353.41</v>
      </c>
      <c r="I1211" s="97">
        <f t="shared" si="85"/>
        <v>3304779.0049999999</v>
      </c>
    </row>
    <row r="1212" spans="1:9" ht="45" hidden="1" outlineLevel="2">
      <c r="A1212" s="93" t="s">
        <v>94</v>
      </c>
      <c r="B1212" s="93" t="s">
        <v>78</v>
      </c>
      <c r="D1212" s="63" t="s">
        <v>94</v>
      </c>
      <c r="E1212" s="93" t="s">
        <v>69</v>
      </c>
      <c r="F1212" s="96">
        <v>1987</v>
      </c>
      <c r="G1212" s="63">
        <f t="shared" si="84"/>
        <v>29.5</v>
      </c>
      <c r="H1212" s="95">
        <v>39067.29</v>
      </c>
      <c r="I1212" s="97">
        <f t="shared" si="85"/>
        <v>1152485.0549999999</v>
      </c>
    </row>
    <row r="1213" spans="1:9" ht="45" hidden="1" outlineLevel="2">
      <c r="A1213" s="93" t="s">
        <v>94</v>
      </c>
      <c r="B1213" s="93" t="s">
        <v>78</v>
      </c>
      <c r="D1213" s="63" t="s">
        <v>94</v>
      </c>
      <c r="E1213" s="93" t="s">
        <v>69</v>
      </c>
      <c r="F1213" s="96">
        <v>1988</v>
      </c>
      <c r="G1213" s="63">
        <f t="shared" si="84"/>
        <v>28.5</v>
      </c>
      <c r="H1213" s="95">
        <v>76782.600000000006</v>
      </c>
      <c r="I1213" s="97">
        <f t="shared" si="85"/>
        <v>2188304.1</v>
      </c>
    </row>
    <row r="1214" spans="1:9" ht="45" hidden="1" outlineLevel="2">
      <c r="A1214" s="93" t="s">
        <v>94</v>
      </c>
      <c r="B1214" s="93" t="s">
        <v>76</v>
      </c>
      <c r="D1214" s="63" t="s">
        <v>94</v>
      </c>
      <c r="E1214" s="93" t="s">
        <v>69</v>
      </c>
      <c r="F1214" s="96">
        <v>1989</v>
      </c>
      <c r="G1214" s="63">
        <f t="shared" si="84"/>
        <v>27.5</v>
      </c>
      <c r="H1214" s="95">
        <v>2637.07</v>
      </c>
      <c r="I1214" s="97">
        <f t="shared" si="85"/>
        <v>72519.425000000003</v>
      </c>
    </row>
    <row r="1215" spans="1:9" ht="45" hidden="1" outlineLevel="2">
      <c r="A1215" s="93" t="s">
        <v>94</v>
      </c>
      <c r="B1215" s="93" t="s">
        <v>78</v>
      </c>
      <c r="D1215" s="63" t="s">
        <v>94</v>
      </c>
      <c r="E1215" s="93" t="s">
        <v>69</v>
      </c>
      <c r="F1215" s="96">
        <v>1989</v>
      </c>
      <c r="G1215" s="63">
        <f t="shared" si="84"/>
        <v>27.5</v>
      </c>
      <c r="H1215" s="95">
        <v>228467.1</v>
      </c>
      <c r="I1215" s="97">
        <f t="shared" si="85"/>
        <v>6282845.25</v>
      </c>
    </row>
    <row r="1216" spans="1:9" ht="45" hidden="1" outlineLevel="2">
      <c r="A1216" s="93" t="s">
        <v>94</v>
      </c>
      <c r="B1216" s="93" t="s">
        <v>76</v>
      </c>
      <c r="D1216" s="63" t="s">
        <v>94</v>
      </c>
      <c r="E1216" s="93" t="s">
        <v>69</v>
      </c>
      <c r="F1216" s="96">
        <v>1990</v>
      </c>
      <c r="G1216" s="63">
        <f t="shared" si="84"/>
        <v>26.5</v>
      </c>
      <c r="H1216" s="95">
        <v>775.49</v>
      </c>
      <c r="I1216" s="97">
        <f t="shared" si="85"/>
        <v>20550.485000000001</v>
      </c>
    </row>
    <row r="1217" spans="1:10" ht="45" hidden="1" outlineLevel="2">
      <c r="A1217" s="93" t="s">
        <v>94</v>
      </c>
      <c r="B1217" s="93" t="s">
        <v>78</v>
      </c>
      <c r="D1217" s="63" t="s">
        <v>94</v>
      </c>
      <c r="E1217" s="93" t="s">
        <v>69</v>
      </c>
      <c r="F1217" s="96">
        <v>1992</v>
      </c>
      <c r="G1217" s="63">
        <f t="shared" si="84"/>
        <v>24.5</v>
      </c>
      <c r="H1217" s="95">
        <v>70692.02</v>
      </c>
      <c r="I1217" s="97">
        <f t="shared" si="85"/>
        <v>1731954.49</v>
      </c>
    </row>
    <row r="1218" spans="1:10" ht="45" hidden="1" outlineLevel="2">
      <c r="A1218" s="93" t="s">
        <v>94</v>
      </c>
      <c r="B1218" s="93" t="s">
        <v>76</v>
      </c>
      <c r="D1218" s="63" t="s">
        <v>94</v>
      </c>
      <c r="E1218" s="93" t="s">
        <v>69</v>
      </c>
      <c r="F1218" s="96">
        <v>1995</v>
      </c>
      <c r="G1218" s="63">
        <f t="shared" si="84"/>
        <v>21.5</v>
      </c>
      <c r="H1218" s="95">
        <v>1538.34</v>
      </c>
      <c r="I1218" s="97">
        <f t="shared" si="85"/>
        <v>33074.31</v>
      </c>
    </row>
    <row r="1219" spans="1:10" ht="45" hidden="1" outlineLevel="2">
      <c r="A1219" s="93" t="s">
        <v>94</v>
      </c>
      <c r="B1219" s="93" t="s">
        <v>78</v>
      </c>
      <c r="D1219" s="63" t="s">
        <v>94</v>
      </c>
      <c r="E1219" s="93" t="s">
        <v>69</v>
      </c>
      <c r="F1219" s="96">
        <v>1996</v>
      </c>
      <c r="G1219" s="63">
        <f t="shared" si="84"/>
        <v>20.5</v>
      </c>
      <c r="H1219" s="95">
        <v>17312.38</v>
      </c>
      <c r="I1219" s="97">
        <f t="shared" si="85"/>
        <v>354903.79000000004</v>
      </c>
    </row>
    <row r="1220" spans="1:10" ht="45" hidden="1" outlineLevel="2">
      <c r="A1220" s="93" t="s">
        <v>94</v>
      </c>
      <c r="B1220" s="93" t="s">
        <v>78</v>
      </c>
      <c r="D1220" s="63" t="s">
        <v>94</v>
      </c>
      <c r="E1220" s="93" t="s">
        <v>69</v>
      </c>
      <c r="F1220" s="96">
        <v>1999</v>
      </c>
      <c r="G1220" s="63">
        <f t="shared" si="84"/>
        <v>17.5</v>
      </c>
      <c r="H1220" s="95">
        <v>154183.51</v>
      </c>
      <c r="I1220" s="97">
        <f t="shared" si="85"/>
        <v>2698211.4250000003</v>
      </c>
    </row>
    <row r="1221" spans="1:10" ht="45" hidden="1" outlineLevel="2">
      <c r="A1221" s="93" t="s">
        <v>94</v>
      </c>
      <c r="B1221" s="93" t="s">
        <v>78</v>
      </c>
      <c r="D1221" s="63" t="s">
        <v>94</v>
      </c>
      <c r="E1221" s="93" t="s">
        <v>69</v>
      </c>
      <c r="F1221" s="96">
        <v>2001</v>
      </c>
      <c r="G1221" s="63">
        <f t="shared" si="84"/>
        <v>15.5</v>
      </c>
      <c r="H1221" s="95">
        <v>9388.99</v>
      </c>
      <c r="I1221" s="97">
        <f t="shared" si="85"/>
        <v>145529.345</v>
      </c>
    </row>
    <row r="1222" spans="1:10" ht="45" hidden="1" outlineLevel="2">
      <c r="A1222" s="93" t="s">
        <v>94</v>
      </c>
      <c r="B1222" s="93" t="s">
        <v>78</v>
      </c>
      <c r="D1222" s="63" t="s">
        <v>94</v>
      </c>
      <c r="E1222" s="93" t="s">
        <v>69</v>
      </c>
      <c r="F1222" s="96">
        <v>2002</v>
      </c>
      <c r="G1222" s="63">
        <f t="shared" si="84"/>
        <v>14.5</v>
      </c>
      <c r="H1222" s="95">
        <v>19978.86</v>
      </c>
      <c r="I1222" s="97">
        <f t="shared" si="85"/>
        <v>289693.47000000003</v>
      </c>
    </row>
    <row r="1223" spans="1:10" ht="45" hidden="1" outlineLevel="2">
      <c r="A1223" s="93" t="s">
        <v>94</v>
      </c>
      <c r="B1223" s="93" t="s">
        <v>78</v>
      </c>
      <c r="D1223" s="63" t="s">
        <v>94</v>
      </c>
      <c r="E1223" s="93" t="s">
        <v>69</v>
      </c>
      <c r="F1223" s="96">
        <v>2003</v>
      </c>
      <c r="G1223" s="63">
        <f t="shared" si="84"/>
        <v>13.5</v>
      </c>
      <c r="H1223" s="95">
        <v>27227.38</v>
      </c>
      <c r="I1223" s="97">
        <f t="shared" si="85"/>
        <v>367569.63</v>
      </c>
    </row>
    <row r="1224" spans="1:10" ht="45" hidden="1" outlineLevel="2">
      <c r="A1224" s="93" t="s">
        <v>94</v>
      </c>
      <c r="B1224" s="93" t="s">
        <v>76</v>
      </c>
      <c r="D1224" s="63" t="s">
        <v>94</v>
      </c>
      <c r="E1224" s="93" t="s">
        <v>69</v>
      </c>
      <c r="F1224" s="96">
        <v>2006</v>
      </c>
      <c r="G1224" s="63">
        <f t="shared" si="84"/>
        <v>10.5</v>
      </c>
      <c r="H1224" s="95">
        <v>27873.360000000001</v>
      </c>
      <c r="I1224" s="97">
        <f t="shared" si="85"/>
        <v>292670.28000000003</v>
      </c>
    </row>
    <row r="1225" spans="1:10" ht="45" hidden="1" outlineLevel="2">
      <c r="A1225" s="93" t="s">
        <v>94</v>
      </c>
      <c r="B1225" s="93" t="s">
        <v>77</v>
      </c>
      <c r="D1225" s="63" t="s">
        <v>94</v>
      </c>
      <c r="E1225" s="93" t="s">
        <v>69</v>
      </c>
      <c r="F1225" s="96">
        <v>2006</v>
      </c>
      <c r="G1225" s="63">
        <f t="shared" si="84"/>
        <v>10.5</v>
      </c>
      <c r="H1225" s="95">
        <v>34817.61</v>
      </c>
      <c r="I1225" s="97">
        <f t="shared" si="85"/>
        <v>365584.90500000003</v>
      </c>
    </row>
    <row r="1226" spans="1:10" ht="45" hidden="1" outlineLevel="2">
      <c r="A1226" s="93" t="s">
        <v>94</v>
      </c>
      <c r="B1226" s="93" t="s">
        <v>78</v>
      </c>
      <c r="D1226" s="63" t="s">
        <v>94</v>
      </c>
      <c r="E1226" s="93" t="s">
        <v>69</v>
      </c>
      <c r="F1226" s="96">
        <v>2007</v>
      </c>
      <c r="G1226" s="63">
        <f t="shared" si="84"/>
        <v>9.5</v>
      </c>
      <c r="H1226" s="95">
        <v>13168.41</v>
      </c>
      <c r="I1226" s="97">
        <f t="shared" si="85"/>
        <v>125099.895</v>
      </c>
    </row>
    <row r="1227" spans="1:10" ht="45" hidden="1" outlineLevel="2">
      <c r="A1227" s="93" t="s">
        <v>94</v>
      </c>
      <c r="B1227" s="93" t="s">
        <v>76</v>
      </c>
      <c r="D1227" s="63" t="s">
        <v>94</v>
      </c>
      <c r="E1227" s="93" t="s">
        <v>69</v>
      </c>
      <c r="F1227" s="96">
        <v>2011</v>
      </c>
      <c r="G1227" s="63">
        <f t="shared" si="84"/>
        <v>5.5</v>
      </c>
      <c r="H1227" s="95">
        <v>19150.11</v>
      </c>
      <c r="I1227" s="97">
        <f t="shared" si="85"/>
        <v>105325.60500000001</v>
      </c>
    </row>
    <row r="1228" spans="1:10" ht="45" hidden="1" outlineLevel="2">
      <c r="A1228" s="93" t="s">
        <v>94</v>
      </c>
      <c r="B1228" s="93" t="s">
        <v>78</v>
      </c>
      <c r="D1228" s="63" t="s">
        <v>94</v>
      </c>
      <c r="E1228" s="93" t="s">
        <v>69</v>
      </c>
      <c r="F1228" s="96">
        <v>2013</v>
      </c>
      <c r="G1228" s="63">
        <f t="shared" si="84"/>
        <v>3.5</v>
      </c>
      <c r="H1228" s="95">
        <v>20252.21</v>
      </c>
      <c r="I1228" s="97">
        <f t="shared" si="85"/>
        <v>70882.735000000001</v>
      </c>
    </row>
    <row r="1229" spans="1:10" s="63" customFormat="1" ht="30" outlineLevel="1" collapsed="1">
      <c r="A1229" s="26" t="str">
        <f>+A1228</f>
        <v>Scholz</v>
      </c>
      <c r="B1229" s="94"/>
      <c r="C1229" s="26"/>
      <c r="D1229" s="26" t="str">
        <f>+D1228</f>
        <v>Scholz</v>
      </c>
      <c r="E1229" s="94" t="s">
        <v>204</v>
      </c>
      <c r="F1229" s="96"/>
      <c r="H1229" s="95">
        <f>SUBTOTAL(9,H1198:H1228)</f>
        <v>1682894.6400000001</v>
      </c>
      <c r="I1229" s="97">
        <f>SUBTOTAL(9,I1198:I1228)</f>
        <v>50112642.960000001</v>
      </c>
      <c r="J1229" s="63">
        <f>+I1229/H1229</f>
        <v>29.777647256633962</v>
      </c>
    </row>
    <row r="1230" spans="1:10" ht="45" hidden="1" outlineLevel="2">
      <c r="A1230" s="93" t="s">
        <v>94</v>
      </c>
      <c r="B1230" s="93" t="s">
        <v>78</v>
      </c>
      <c r="D1230" s="63" t="s">
        <v>94</v>
      </c>
      <c r="E1230" s="93" t="s">
        <v>75</v>
      </c>
      <c r="F1230" s="96">
        <v>1975</v>
      </c>
      <c r="G1230" s="63">
        <f t="shared" ref="G1230:G1254" si="86">2016.5-F1230</f>
        <v>41.5</v>
      </c>
      <c r="H1230" s="95">
        <v>602.57000000000005</v>
      </c>
      <c r="I1230" s="97">
        <f t="shared" ref="I1230:I1254" si="87">+G1230*H1230</f>
        <v>25006.655000000002</v>
      </c>
    </row>
    <row r="1231" spans="1:10" ht="45" hidden="1" outlineLevel="2">
      <c r="A1231" s="93" t="s">
        <v>94</v>
      </c>
      <c r="B1231" s="93" t="s">
        <v>78</v>
      </c>
      <c r="D1231" s="63" t="s">
        <v>94</v>
      </c>
      <c r="E1231" s="93" t="s">
        <v>75</v>
      </c>
      <c r="F1231" s="96">
        <v>1976</v>
      </c>
      <c r="G1231" s="63">
        <f t="shared" si="86"/>
        <v>40.5</v>
      </c>
      <c r="H1231" s="95">
        <v>2777.33</v>
      </c>
      <c r="I1231" s="97">
        <f t="shared" si="87"/>
        <v>112481.86499999999</v>
      </c>
    </row>
    <row r="1232" spans="1:10" ht="45" hidden="1" outlineLevel="2">
      <c r="A1232" s="93" t="s">
        <v>94</v>
      </c>
      <c r="B1232" s="93" t="s">
        <v>78</v>
      </c>
      <c r="D1232" s="63" t="s">
        <v>94</v>
      </c>
      <c r="E1232" s="93" t="s">
        <v>75</v>
      </c>
      <c r="F1232" s="96">
        <v>1977</v>
      </c>
      <c r="G1232" s="63">
        <f t="shared" si="86"/>
        <v>39.5</v>
      </c>
      <c r="H1232" s="95">
        <v>83.74</v>
      </c>
      <c r="I1232" s="97">
        <f t="shared" si="87"/>
        <v>3307.73</v>
      </c>
    </row>
    <row r="1233" spans="1:9" ht="45" hidden="1" outlineLevel="2">
      <c r="A1233" s="93" t="s">
        <v>94</v>
      </c>
      <c r="B1233" s="93" t="s">
        <v>78</v>
      </c>
      <c r="D1233" s="63" t="s">
        <v>94</v>
      </c>
      <c r="E1233" s="93" t="s">
        <v>75</v>
      </c>
      <c r="F1233" s="96">
        <v>1980</v>
      </c>
      <c r="G1233" s="63">
        <f t="shared" si="86"/>
        <v>36.5</v>
      </c>
      <c r="H1233" s="95">
        <v>4948.57</v>
      </c>
      <c r="I1233" s="97">
        <f t="shared" si="87"/>
        <v>180622.80499999999</v>
      </c>
    </row>
    <row r="1234" spans="1:9" ht="45" hidden="1" outlineLevel="2">
      <c r="A1234" s="93" t="s">
        <v>94</v>
      </c>
      <c r="B1234" s="93" t="s">
        <v>78</v>
      </c>
      <c r="D1234" s="63" t="s">
        <v>94</v>
      </c>
      <c r="E1234" s="93" t="s">
        <v>75</v>
      </c>
      <c r="F1234" s="96">
        <v>1981</v>
      </c>
      <c r="G1234" s="63">
        <f t="shared" si="86"/>
        <v>35.5</v>
      </c>
      <c r="H1234" s="95">
        <v>348.91</v>
      </c>
      <c r="I1234" s="97">
        <f t="shared" si="87"/>
        <v>12386.305</v>
      </c>
    </row>
    <row r="1235" spans="1:9" ht="45" hidden="1" outlineLevel="2">
      <c r="A1235" s="93" t="s">
        <v>94</v>
      </c>
      <c r="B1235" s="93" t="s">
        <v>78</v>
      </c>
      <c r="D1235" s="63" t="s">
        <v>94</v>
      </c>
      <c r="E1235" s="93" t="s">
        <v>75</v>
      </c>
      <c r="F1235" s="96">
        <v>1982</v>
      </c>
      <c r="G1235" s="63">
        <f t="shared" si="86"/>
        <v>34.5</v>
      </c>
      <c r="H1235" s="95">
        <v>17116.48</v>
      </c>
      <c r="I1235" s="97">
        <f t="shared" si="87"/>
        <v>590518.55999999994</v>
      </c>
    </row>
    <row r="1236" spans="1:9" ht="45" hidden="1" outlineLevel="2">
      <c r="A1236" s="93" t="s">
        <v>94</v>
      </c>
      <c r="B1236" s="93" t="s">
        <v>78</v>
      </c>
      <c r="D1236" s="63" t="s">
        <v>94</v>
      </c>
      <c r="E1236" s="93" t="s">
        <v>75</v>
      </c>
      <c r="F1236" s="96">
        <v>1983</v>
      </c>
      <c r="G1236" s="63">
        <f t="shared" si="86"/>
        <v>33.5</v>
      </c>
      <c r="H1236" s="95">
        <v>4384.09</v>
      </c>
      <c r="I1236" s="97">
        <f t="shared" si="87"/>
        <v>146867.01500000001</v>
      </c>
    </row>
    <row r="1237" spans="1:9" ht="45" hidden="1" outlineLevel="2">
      <c r="A1237" s="93" t="s">
        <v>94</v>
      </c>
      <c r="B1237" s="93" t="s">
        <v>78</v>
      </c>
      <c r="D1237" s="63" t="s">
        <v>94</v>
      </c>
      <c r="E1237" s="93" t="s">
        <v>75</v>
      </c>
      <c r="F1237" s="96">
        <v>1984</v>
      </c>
      <c r="G1237" s="63">
        <f t="shared" si="86"/>
        <v>32.5</v>
      </c>
      <c r="H1237" s="95">
        <v>2251.37</v>
      </c>
      <c r="I1237" s="97">
        <f t="shared" si="87"/>
        <v>73169.524999999994</v>
      </c>
    </row>
    <row r="1238" spans="1:9" ht="45" hidden="1" outlineLevel="2">
      <c r="A1238" s="93" t="s">
        <v>94</v>
      </c>
      <c r="B1238" s="93" t="s">
        <v>78</v>
      </c>
      <c r="D1238" s="63" t="s">
        <v>94</v>
      </c>
      <c r="E1238" s="93" t="s">
        <v>75</v>
      </c>
      <c r="F1238" s="96">
        <v>1985</v>
      </c>
      <c r="G1238" s="63">
        <f t="shared" si="86"/>
        <v>31.5</v>
      </c>
      <c r="H1238" s="95">
        <v>38350.81</v>
      </c>
      <c r="I1238" s="97">
        <f t="shared" si="87"/>
        <v>1208050.5149999999</v>
      </c>
    </row>
    <row r="1239" spans="1:9" ht="45" hidden="1" outlineLevel="2">
      <c r="A1239" s="93" t="s">
        <v>94</v>
      </c>
      <c r="B1239" s="93" t="s">
        <v>78</v>
      </c>
      <c r="D1239" s="63" t="s">
        <v>94</v>
      </c>
      <c r="E1239" s="93" t="s">
        <v>75</v>
      </c>
      <c r="F1239" s="96">
        <v>1986</v>
      </c>
      <c r="G1239" s="63">
        <f t="shared" si="86"/>
        <v>30.5</v>
      </c>
      <c r="H1239" s="95">
        <v>587.16999999999996</v>
      </c>
      <c r="I1239" s="97">
        <f t="shared" si="87"/>
        <v>17908.684999999998</v>
      </c>
    </row>
    <row r="1240" spans="1:9" ht="45" hidden="1" outlineLevel="2">
      <c r="A1240" s="93" t="s">
        <v>94</v>
      </c>
      <c r="B1240" s="93" t="s">
        <v>78</v>
      </c>
      <c r="D1240" s="63" t="s">
        <v>94</v>
      </c>
      <c r="E1240" s="93" t="s">
        <v>75</v>
      </c>
      <c r="F1240" s="96">
        <v>1987</v>
      </c>
      <c r="G1240" s="63">
        <f t="shared" si="86"/>
        <v>29.5</v>
      </c>
      <c r="H1240" s="95">
        <v>33103.980000000003</v>
      </c>
      <c r="I1240" s="97">
        <f t="shared" si="87"/>
        <v>976567.41000000015</v>
      </c>
    </row>
    <row r="1241" spans="1:9" ht="45" hidden="1" outlineLevel="2">
      <c r="A1241" s="93" t="s">
        <v>94</v>
      </c>
      <c r="B1241" s="93" t="s">
        <v>78</v>
      </c>
      <c r="D1241" s="63" t="s">
        <v>94</v>
      </c>
      <c r="E1241" s="93" t="s">
        <v>75</v>
      </c>
      <c r="F1241" s="96">
        <v>1988</v>
      </c>
      <c r="G1241" s="63">
        <f t="shared" si="86"/>
        <v>28.5</v>
      </c>
      <c r="H1241" s="95">
        <v>8553.7900000000009</v>
      </c>
      <c r="I1241" s="97">
        <f t="shared" si="87"/>
        <v>243783.01500000001</v>
      </c>
    </row>
    <row r="1242" spans="1:9" ht="45" hidden="1" outlineLevel="2">
      <c r="A1242" s="93" t="s">
        <v>94</v>
      </c>
      <c r="B1242" s="93" t="s">
        <v>78</v>
      </c>
      <c r="D1242" s="63" t="s">
        <v>94</v>
      </c>
      <c r="E1242" s="93" t="s">
        <v>75</v>
      </c>
      <c r="F1242" s="96">
        <v>1990</v>
      </c>
      <c r="G1242" s="63">
        <f t="shared" si="86"/>
        <v>26.5</v>
      </c>
      <c r="H1242" s="95">
        <v>9066.11</v>
      </c>
      <c r="I1242" s="97">
        <f t="shared" si="87"/>
        <v>240251.91500000001</v>
      </c>
    </row>
    <row r="1243" spans="1:9" ht="45" hidden="1" outlineLevel="2">
      <c r="A1243" s="93" t="s">
        <v>94</v>
      </c>
      <c r="B1243" s="93" t="s">
        <v>78</v>
      </c>
      <c r="D1243" s="63" t="s">
        <v>94</v>
      </c>
      <c r="E1243" s="93" t="s">
        <v>75</v>
      </c>
      <c r="F1243" s="96">
        <v>1991</v>
      </c>
      <c r="G1243" s="63">
        <f t="shared" si="86"/>
        <v>25.5</v>
      </c>
      <c r="H1243" s="95">
        <v>13441.35</v>
      </c>
      <c r="I1243" s="97">
        <f t="shared" si="87"/>
        <v>342754.42499999999</v>
      </c>
    </row>
    <row r="1244" spans="1:9" ht="45" hidden="1" outlineLevel="2">
      <c r="A1244" s="93" t="s">
        <v>94</v>
      </c>
      <c r="B1244" s="93" t="s">
        <v>78</v>
      </c>
      <c r="D1244" s="63" t="s">
        <v>94</v>
      </c>
      <c r="E1244" s="93" t="s">
        <v>75</v>
      </c>
      <c r="F1244" s="96">
        <v>1992</v>
      </c>
      <c r="G1244" s="63">
        <f t="shared" si="86"/>
        <v>24.5</v>
      </c>
      <c r="H1244" s="95">
        <v>24734.39</v>
      </c>
      <c r="I1244" s="97">
        <f t="shared" si="87"/>
        <v>605992.55499999993</v>
      </c>
    </row>
    <row r="1245" spans="1:9" ht="45" hidden="1" outlineLevel="2">
      <c r="A1245" s="93" t="s">
        <v>94</v>
      </c>
      <c r="B1245" s="93" t="s">
        <v>78</v>
      </c>
      <c r="D1245" s="63" t="s">
        <v>94</v>
      </c>
      <c r="E1245" s="93" t="s">
        <v>75</v>
      </c>
      <c r="F1245" s="96">
        <v>1993</v>
      </c>
      <c r="G1245" s="63">
        <f t="shared" si="86"/>
        <v>23.5</v>
      </c>
      <c r="H1245" s="95">
        <v>4867.75</v>
      </c>
      <c r="I1245" s="97">
        <f t="shared" si="87"/>
        <v>114392.125</v>
      </c>
    </row>
    <row r="1246" spans="1:9" ht="45" hidden="1" outlineLevel="2">
      <c r="A1246" s="93" t="s">
        <v>94</v>
      </c>
      <c r="B1246" s="93" t="s">
        <v>78</v>
      </c>
      <c r="D1246" s="63" t="s">
        <v>94</v>
      </c>
      <c r="E1246" s="93" t="s">
        <v>75</v>
      </c>
      <c r="F1246" s="96">
        <v>1995</v>
      </c>
      <c r="G1246" s="63">
        <f t="shared" si="86"/>
        <v>21.5</v>
      </c>
      <c r="H1246" s="95">
        <v>22715.91</v>
      </c>
      <c r="I1246" s="97">
        <f t="shared" si="87"/>
        <v>488392.065</v>
      </c>
    </row>
    <row r="1247" spans="1:9" ht="45" hidden="1" outlineLevel="2">
      <c r="A1247" s="93" t="s">
        <v>94</v>
      </c>
      <c r="B1247" s="93" t="s">
        <v>78</v>
      </c>
      <c r="D1247" s="63" t="s">
        <v>94</v>
      </c>
      <c r="E1247" s="93" t="s">
        <v>75</v>
      </c>
      <c r="F1247" s="96">
        <v>1999</v>
      </c>
      <c r="G1247" s="63">
        <f t="shared" si="86"/>
        <v>17.5</v>
      </c>
      <c r="H1247" s="95">
        <v>2803.72</v>
      </c>
      <c r="I1247" s="97">
        <f t="shared" si="87"/>
        <v>49065.1</v>
      </c>
    </row>
    <row r="1248" spans="1:9" ht="45" hidden="1" outlineLevel="2">
      <c r="A1248" s="93" t="s">
        <v>94</v>
      </c>
      <c r="B1248" s="93" t="s">
        <v>78</v>
      </c>
      <c r="D1248" s="63" t="s">
        <v>94</v>
      </c>
      <c r="E1248" s="93" t="s">
        <v>75</v>
      </c>
      <c r="F1248" s="96">
        <v>2002</v>
      </c>
      <c r="G1248" s="63">
        <f t="shared" si="86"/>
        <v>14.5</v>
      </c>
      <c r="H1248" s="95">
        <v>21480.16</v>
      </c>
      <c r="I1248" s="97">
        <f t="shared" si="87"/>
        <v>311462.32</v>
      </c>
    </row>
    <row r="1249" spans="1:10" ht="45" hidden="1" outlineLevel="2">
      <c r="A1249" s="93" t="s">
        <v>94</v>
      </c>
      <c r="B1249" s="93" t="s">
        <v>78</v>
      </c>
      <c r="D1249" s="63" t="s">
        <v>94</v>
      </c>
      <c r="E1249" s="93" t="s">
        <v>75</v>
      </c>
      <c r="F1249" s="96">
        <v>2003</v>
      </c>
      <c r="G1249" s="63">
        <f t="shared" si="86"/>
        <v>13.5</v>
      </c>
      <c r="H1249" s="95">
        <v>13308.49</v>
      </c>
      <c r="I1249" s="97">
        <f t="shared" si="87"/>
        <v>179664.61499999999</v>
      </c>
    </row>
    <row r="1250" spans="1:10" ht="45" hidden="1" outlineLevel="2">
      <c r="A1250" s="93" t="s">
        <v>94</v>
      </c>
      <c r="B1250" s="93" t="s">
        <v>78</v>
      </c>
      <c r="D1250" s="63" t="s">
        <v>94</v>
      </c>
      <c r="E1250" s="93" t="s">
        <v>75</v>
      </c>
      <c r="F1250" s="96">
        <v>2004</v>
      </c>
      <c r="G1250" s="63">
        <f t="shared" si="86"/>
        <v>12.5</v>
      </c>
      <c r="H1250" s="95">
        <v>4821.18</v>
      </c>
      <c r="I1250" s="97">
        <f t="shared" si="87"/>
        <v>60264.75</v>
      </c>
    </row>
    <row r="1251" spans="1:10" ht="45" hidden="1" outlineLevel="2">
      <c r="A1251" s="93" t="s">
        <v>94</v>
      </c>
      <c r="B1251" s="93" t="s">
        <v>78</v>
      </c>
      <c r="D1251" s="63" t="s">
        <v>94</v>
      </c>
      <c r="E1251" s="93" t="s">
        <v>75</v>
      </c>
      <c r="F1251" s="96">
        <v>2007</v>
      </c>
      <c r="G1251" s="63">
        <f t="shared" si="86"/>
        <v>9.5</v>
      </c>
      <c r="H1251" s="95">
        <v>1865.13</v>
      </c>
      <c r="I1251" s="97">
        <f t="shared" si="87"/>
        <v>17718.735000000001</v>
      </c>
    </row>
    <row r="1252" spans="1:10" ht="45" hidden="1" outlineLevel="2">
      <c r="A1252" s="93" t="s">
        <v>94</v>
      </c>
      <c r="B1252" s="93" t="s">
        <v>78</v>
      </c>
      <c r="D1252" s="63" t="s">
        <v>94</v>
      </c>
      <c r="E1252" s="93" t="s">
        <v>75</v>
      </c>
      <c r="F1252" s="96">
        <v>2008</v>
      </c>
      <c r="G1252" s="63">
        <f t="shared" si="86"/>
        <v>8.5</v>
      </c>
      <c r="H1252" s="95">
        <v>22678.32</v>
      </c>
      <c r="I1252" s="97">
        <f t="shared" si="87"/>
        <v>192765.72</v>
      </c>
    </row>
    <row r="1253" spans="1:10" ht="45" hidden="1" outlineLevel="2">
      <c r="A1253" s="93" t="s">
        <v>94</v>
      </c>
      <c r="B1253" s="93" t="s">
        <v>78</v>
      </c>
      <c r="D1253" s="63" t="s">
        <v>94</v>
      </c>
      <c r="E1253" s="93" t="s">
        <v>75</v>
      </c>
      <c r="F1253" s="96">
        <v>2010</v>
      </c>
      <c r="G1253" s="63">
        <f t="shared" si="86"/>
        <v>6.5</v>
      </c>
      <c r="H1253" s="95">
        <v>104474.89</v>
      </c>
      <c r="I1253" s="97">
        <f t="shared" si="87"/>
        <v>679086.78500000003</v>
      </c>
    </row>
    <row r="1254" spans="1:10" ht="45" hidden="1" outlineLevel="2">
      <c r="A1254" s="93" t="s">
        <v>94</v>
      </c>
      <c r="B1254" s="93" t="s">
        <v>78</v>
      </c>
      <c r="D1254" t="s">
        <v>94</v>
      </c>
      <c r="E1254" s="93" t="s">
        <v>75</v>
      </c>
      <c r="F1254" s="96">
        <v>2012</v>
      </c>
      <c r="G1254" s="63">
        <f t="shared" si="86"/>
        <v>4.5</v>
      </c>
      <c r="H1254" s="95">
        <v>55041.81</v>
      </c>
      <c r="I1254" s="97">
        <f t="shared" si="87"/>
        <v>247688.14499999999</v>
      </c>
    </row>
    <row r="1255" spans="1:10" s="63" customFormat="1" ht="30" outlineLevel="1" collapsed="1">
      <c r="A1255" s="26" t="str">
        <f>+A1254</f>
        <v>Scholz</v>
      </c>
      <c r="B1255" s="94"/>
      <c r="C1255" s="26"/>
      <c r="D1255" s="26" t="str">
        <f>+D1254</f>
        <v>Scholz</v>
      </c>
      <c r="E1255" s="94" t="s">
        <v>206</v>
      </c>
      <c r="F1255" s="96"/>
      <c r="H1255" s="95">
        <f>SUBTOTAL(9,H1230:H1254)</f>
        <v>414408.01999999996</v>
      </c>
      <c r="I1255" s="97">
        <f>SUBTOTAL(9,I1230:I1254)</f>
        <v>7120169.3399999999</v>
      </c>
      <c r="J1255" s="63">
        <f>+I1255/H1255</f>
        <v>17.181543301213139</v>
      </c>
    </row>
    <row r="1256" spans="1:10" ht="45" outlineLevel="1">
      <c r="A1256" s="93" t="s">
        <v>95</v>
      </c>
      <c r="B1256" s="93" t="s">
        <v>83</v>
      </c>
      <c r="D1256" s="63" t="s">
        <v>201</v>
      </c>
      <c r="E1256" s="93" t="s">
        <v>72</v>
      </c>
      <c r="F1256" s="96">
        <v>1977</v>
      </c>
      <c r="G1256" s="63">
        <f t="shared" ref="G1256:G1262" si="88">2016.5-F1256</f>
        <v>39.5</v>
      </c>
      <c r="H1256" s="95">
        <v>2206118.2999999998</v>
      </c>
      <c r="I1256" s="97">
        <f t="shared" ref="I1256:I1262" si="89">+G1256*H1256</f>
        <v>87141672.849999994</v>
      </c>
    </row>
    <row r="1257" spans="1:10" ht="45" outlineLevel="1">
      <c r="A1257" s="93" t="s">
        <v>95</v>
      </c>
      <c r="B1257" s="93" t="s">
        <v>83</v>
      </c>
      <c r="D1257" s="63" t="s">
        <v>201</v>
      </c>
      <c r="E1257" s="93" t="s">
        <v>72</v>
      </c>
      <c r="F1257" s="96">
        <v>1979</v>
      </c>
      <c r="G1257" s="63">
        <f t="shared" si="88"/>
        <v>37.5</v>
      </c>
      <c r="H1257" s="95">
        <v>8391.74</v>
      </c>
      <c r="I1257" s="97">
        <f t="shared" si="89"/>
        <v>314690.25</v>
      </c>
    </row>
    <row r="1258" spans="1:10" ht="45" outlineLevel="1">
      <c r="A1258" s="93" t="s">
        <v>95</v>
      </c>
      <c r="B1258" s="93" t="s">
        <v>83</v>
      </c>
      <c r="D1258" s="63" t="s">
        <v>201</v>
      </c>
      <c r="E1258" s="93" t="s">
        <v>72</v>
      </c>
      <c r="F1258" s="96">
        <v>1980</v>
      </c>
      <c r="G1258" s="63">
        <f t="shared" si="88"/>
        <v>36.5</v>
      </c>
      <c r="H1258" s="95">
        <v>2158.7600000000002</v>
      </c>
      <c r="I1258" s="97">
        <f t="shared" si="89"/>
        <v>78794.740000000005</v>
      </c>
    </row>
    <row r="1259" spans="1:10" ht="45" outlineLevel="1">
      <c r="A1259" s="93" t="s">
        <v>95</v>
      </c>
      <c r="B1259" s="93" t="s">
        <v>83</v>
      </c>
      <c r="D1259" s="63" t="s">
        <v>201</v>
      </c>
      <c r="E1259" s="93" t="s">
        <v>72</v>
      </c>
      <c r="F1259" s="96">
        <v>1981</v>
      </c>
      <c r="G1259" s="63">
        <f t="shared" si="88"/>
        <v>35.5</v>
      </c>
      <c r="H1259" s="95">
        <v>24188.16</v>
      </c>
      <c r="I1259" s="97">
        <f t="shared" si="89"/>
        <v>858679.68</v>
      </c>
    </row>
    <row r="1260" spans="1:10" ht="45" outlineLevel="1">
      <c r="A1260" s="93" t="s">
        <v>95</v>
      </c>
      <c r="B1260" s="93" t="s">
        <v>83</v>
      </c>
      <c r="D1260" s="63" t="s">
        <v>201</v>
      </c>
      <c r="E1260" s="93" t="s">
        <v>72</v>
      </c>
      <c r="F1260" s="96">
        <v>1983</v>
      </c>
      <c r="G1260" s="63">
        <f t="shared" si="88"/>
        <v>33.5</v>
      </c>
      <c r="H1260" s="95">
        <v>241413.58</v>
      </c>
      <c r="I1260" s="97">
        <f t="shared" si="89"/>
        <v>8087354.9299999997</v>
      </c>
    </row>
    <row r="1261" spans="1:10" ht="45" outlineLevel="1">
      <c r="A1261" s="93" t="s">
        <v>95</v>
      </c>
      <c r="B1261" s="93" t="s">
        <v>83</v>
      </c>
      <c r="D1261" s="63" t="s">
        <v>201</v>
      </c>
      <c r="E1261" s="93" t="s">
        <v>72</v>
      </c>
      <c r="F1261" s="96">
        <v>1986</v>
      </c>
      <c r="G1261" s="63">
        <f t="shared" si="88"/>
        <v>30.5</v>
      </c>
      <c r="H1261" s="95">
        <v>259174.25</v>
      </c>
      <c r="I1261" s="97">
        <f t="shared" si="89"/>
        <v>7904814.625</v>
      </c>
    </row>
    <row r="1262" spans="1:10" ht="45" outlineLevel="1">
      <c r="A1262" s="93" t="s">
        <v>95</v>
      </c>
      <c r="B1262" s="93" t="s">
        <v>83</v>
      </c>
      <c r="D1262" s="63" t="s">
        <v>201</v>
      </c>
      <c r="E1262" s="93" t="s">
        <v>72</v>
      </c>
      <c r="F1262" s="96">
        <v>2016</v>
      </c>
      <c r="G1262" s="63">
        <f t="shared" si="88"/>
        <v>0.5</v>
      </c>
      <c r="H1262" s="95">
        <v>86567.79</v>
      </c>
      <c r="I1262" s="97">
        <f t="shared" si="89"/>
        <v>43283.894999999997</v>
      </c>
    </row>
    <row r="1263" spans="1:10" ht="30" outlineLevel="1">
      <c r="A1263" s="26" t="str">
        <f>+A1262</f>
        <v>Daniel</v>
      </c>
      <c r="B1263" s="94"/>
      <c r="C1263" s="26"/>
      <c r="D1263" s="26" t="str">
        <f>+D1262</f>
        <v>Daniel RR</v>
      </c>
      <c r="E1263" s="94" t="s">
        <v>205</v>
      </c>
      <c r="F1263" s="96"/>
      <c r="G1263" s="63"/>
      <c r="H1263" s="95">
        <f>SUBTOTAL(9,H1256:H1262)</f>
        <v>2828012.58</v>
      </c>
      <c r="I1263" s="95">
        <f>SUBTOTAL(9,I1256:I1262)</f>
        <v>104429290.96999998</v>
      </c>
      <c r="J1263" s="63">
        <f>+I1263/H1263</f>
        <v>36.926742019655364</v>
      </c>
    </row>
    <row r="1264" spans="1:10" ht="45" outlineLevel="1">
      <c r="A1264" s="93" t="s">
        <v>93</v>
      </c>
      <c r="B1264" s="93" t="s">
        <v>73</v>
      </c>
      <c r="C1264" s="63"/>
      <c r="D1264" s="63" t="s">
        <v>195</v>
      </c>
      <c r="E1264" s="93" t="s">
        <v>68</v>
      </c>
      <c r="F1264" s="96">
        <v>1973</v>
      </c>
      <c r="G1264" s="63">
        <f t="shared" ref="G1264:G1292" si="90">2016.5-F1264</f>
        <v>43.5</v>
      </c>
      <c r="H1264" s="95">
        <v>3724148.18</v>
      </c>
      <c r="I1264" s="97">
        <f t="shared" ref="I1264:I1292" si="91">+G1264*H1264</f>
        <v>162000445.83000001</v>
      </c>
      <c r="J1264" s="63"/>
    </row>
    <row r="1265" spans="1:10" ht="45" outlineLevel="1">
      <c r="A1265" s="93" t="s">
        <v>93</v>
      </c>
      <c r="B1265" s="93" t="s">
        <v>73</v>
      </c>
      <c r="C1265" s="63"/>
      <c r="D1265" s="63" t="s">
        <v>195</v>
      </c>
      <c r="E1265" s="93" t="s">
        <v>68</v>
      </c>
      <c r="F1265" s="96">
        <v>1974</v>
      </c>
      <c r="G1265" s="63">
        <f t="shared" si="90"/>
        <v>42.5</v>
      </c>
      <c r="H1265" s="95">
        <v>30761.19</v>
      </c>
      <c r="I1265" s="97">
        <f t="shared" si="91"/>
        <v>1307350.575</v>
      </c>
      <c r="J1265" s="63"/>
    </row>
    <row r="1266" spans="1:10" ht="45" outlineLevel="1">
      <c r="A1266" s="93" t="s">
        <v>93</v>
      </c>
      <c r="B1266" s="93" t="s">
        <v>73</v>
      </c>
      <c r="C1266" s="63"/>
      <c r="D1266" s="63" t="s">
        <v>195</v>
      </c>
      <c r="E1266" s="93" t="s">
        <v>68</v>
      </c>
      <c r="F1266" s="96">
        <v>1975</v>
      </c>
      <c r="G1266" s="63">
        <f t="shared" si="90"/>
        <v>41.5</v>
      </c>
      <c r="H1266" s="95">
        <v>60446.21</v>
      </c>
      <c r="I1266" s="97">
        <f t="shared" si="91"/>
        <v>2508517.7149999999</v>
      </c>
      <c r="J1266" s="63"/>
    </row>
    <row r="1267" spans="1:10" ht="45" outlineLevel="1">
      <c r="A1267" s="93" t="s">
        <v>93</v>
      </c>
      <c r="B1267" s="93" t="s">
        <v>73</v>
      </c>
      <c r="C1267" s="63"/>
      <c r="D1267" s="63" t="s">
        <v>195</v>
      </c>
      <c r="E1267" s="93" t="s">
        <v>68</v>
      </c>
      <c r="F1267" s="96">
        <v>1976</v>
      </c>
      <c r="G1267" s="63">
        <f t="shared" si="90"/>
        <v>40.5</v>
      </c>
      <c r="H1267" s="95">
        <v>19417.84</v>
      </c>
      <c r="I1267" s="97">
        <f t="shared" si="91"/>
        <v>786422.52</v>
      </c>
      <c r="J1267" s="63"/>
    </row>
    <row r="1268" spans="1:10" ht="45" outlineLevel="1">
      <c r="A1268" s="93" t="s">
        <v>93</v>
      </c>
      <c r="B1268" s="93" t="s">
        <v>73</v>
      </c>
      <c r="C1268" s="63"/>
      <c r="D1268" s="63" t="s">
        <v>195</v>
      </c>
      <c r="E1268" s="93" t="s">
        <v>68</v>
      </c>
      <c r="F1268" s="96">
        <v>1977</v>
      </c>
      <c r="G1268" s="63">
        <f t="shared" si="90"/>
        <v>39.5</v>
      </c>
      <c r="H1268" s="95">
        <v>355543.48</v>
      </c>
      <c r="I1268" s="97">
        <f t="shared" si="91"/>
        <v>14043967.459999999</v>
      </c>
      <c r="J1268" s="63"/>
    </row>
    <row r="1269" spans="1:10" ht="45" outlineLevel="1">
      <c r="A1269" s="93" t="s">
        <v>93</v>
      </c>
      <c r="B1269" s="93" t="s">
        <v>73</v>
      </c>
      <c r="C1269" s="63"/>
      <c r="D1269" s="63" t="s">
        <v>195</v>
      </c>
      <c r="E1269" s="93" t="s">
        <v>68</v>
      </c>
      <c r="F1269" s="96">
        <v>1978</v>
      </c>
      <c r="G1269" s="63">
        <f t="shared" si="90"/>
        <v>38.5</v>
      </c>
      <c r="H1269" s="95">
        <v>43755.34</v>
      </c>
      <c r="I1269" s="97">
        <f t="shared" si="91"/>
        <v>1684580.5899999999</v>
      </c>
      <c r="J1269" s="63"/>
    </row>
    <row r="1270" spans="1:10" ht="45" outlineLevel="1">
      <c r="A1270" s="93" t="s">
        <v>93</v>
      </c>
      <c r="B1270" s="93" t="s">
        <v>73</v>
      </c>
      <c r="C1270" s="63"/>
      <c r="D1270" s="63" t="s">
        <v>195</v>
      </c>
      <c r="E1270" s="93" t="s">
        <v>68</v>
      </c>
      <c r="F1270" s="96">
        <v>1979</v>
      </c>
      <c r="G1270" s="63">
        <f t="shared" si="90"/>
        <v>37.5</v>
      </c>
      <c r="H1270" s="95">
        <v>70082.7</v>
      </c>
      <c r="I1270" s="97">
        <f t="shared" si="91"/>
        <v>2628101.25</v>
      </c>
      <c r="J1270" s="63"/>
    </row>
    <row r="1271" spans="1:10" ht="45" outlineLevel="1">
      <c r="A1271" s="93" t="s">
        <v>93</v>
      </c>
      <c r="B1271" s="93" t="s">
        <v>73</v>
      </c>
      <c r="C1271" s="63"/>
      <c r="D1271" s="63" t="s">
        <v>195</v>
      </c>
      <c r="E1271" s="93" t="s">
        <v>68</v>
      </c>
      <c r="F1271" s="96">
        <v>1980</v>
      </c>
      <c r="G1271" s="63">
        <f t="shared" si="90"/>
        <v>36.5</v>
      </c>
      <c r="H1271" s="95">
        <v>230833.81</v>
      </c>
      <c r="I1271" s="97">
        <f t="shared" si="91"/>
        <v>8425434.0649999995</v>
      </c>
      <c r="J1271" s="63"/>
    </row>
    <row r="1272" spans="1:10" ht="45" outlineLevel="1">
      <c r="A1272" s="93" t="s">
        <v>93</v>
      </c>
      <c r="B1272" s="93" t="s">
        <v>73</v>
      </c>
      <c r="C1272" s="63"/>
      <c r="D1272" s="63" t="s">
        <v>195</v>
      </c>
      <c r="E1272" s="93" t="s">
        <v>68</v>
      </c>
      <c r="F1272" s="96">
        <v>1982</v>
      </c>
      <c r="G1272" s="63">
        <f t="shared" si="90"/>
        <v>34.5</v>
      </c>
      <c r="H1272" s="95">
        <v>37611.03</v>
      </c>
      <c r="I1272" s="97">
        <f t="shared" si="91"/>
        <v>1297580.5349999999</v>
      </c>
      <c r="J1272" s="63"/>
    </row>
    <row r="1273" spans="1:10" ht="45" outlineLevel="1">
      <c r="A1273" s="93" t="s">
        <v>93</v>
      </c>
      <c r="B1273" s="93" t="s">
        <v>73</v>
      </c>
      <c r="C1273" s="63"/>
      <c r="D1273" s="63" t="s">
        <v>195</v>
      </c>
      <c r="E1273" s="93" t="s">
        <v>68</v>
      </c>
      <c r="F1273" s="96">
        <v>1983</v>
      </c>
      <c r="G1273" s="63">
        <f t="shared" si="90"/>
        <v>33.5</v>
      </c>
      <c r="H1273" s="95">
        <v>105650.11</v>
      </c>
      <c r="I1273" s="97">
        <f t="shared" si="91"/>
        <v>3539278.6850000001</v>
      </c>
      <c r="J1273" s="63"/>
    </row>
    <row r="1274" spans="1:10" ht="45" outlineLevel="1">
      <c r="A1274" s="93" t="s">
        <v>93</v>
      </c>
      <c r="B1274" s="93" t="s">
        <v>73</v>
      </c>
      <c r="C1274" s="63"/>
      <c r="D1274" s="63" t="s">
        <v>195</v>
      </c>
      <c r="E1274" s="93" t="s">
        <v>68</v>
      </c>
      <c r="F1274" s="96">
        <v>1986</v>
      </c>
      <c r="G1274" s="63">
        <f t="shared" si="90"/>
        <v>30.5</v>
      </c>
      <c r="H1274" s="95">
        <v>1141580.43</v>
      </c>
      <c r="I1274" s="97">
        <f t="shared" si="91"/>
        <v>34818203.114999995</v>
      </c>
      <c r="J1274" s="63"/>
    </row>
    <row r="1275" spans="1:10" ht="45" outlineLevel="1">
      <c r="A1275" s="93" t="s">
        <v>93</v>
      </c>
      <c r="B1275" s="93" t="s">
        <v>73</v>
      </c>
      <c r="C1275" s="63"/>
      <c r="D1275" s="63" t="s">
        <v>195</v>
      </c>
      <c r="E1275" s="93" t="s">
        <v>68</v>
      </c>
      <c r="F1275" s="96">
        <v>1987</v>
      </c>
      <c r="G1275" s="63">
        <f t="shared" si="90"/>
        <v>29.5</v>
      </c>
      <c r="H1275" s="95">
        <v>467060.24</v>
      </c>
      <c r="I1275" s="97">
        <f t="shared" si="91"/>
        <v>13778277.08</v>
      </c>
      <c r="J1275" s="63"/>
    </row>
    <row r="1276" spans="1:10" ht="45" outlineLevel="1">
      <c r="A1276" s="93" t="s">
        <v>93</v>
      </c>
      <c r="B1276" s="93" t="s">
        <v>73</v>
      </c>
      <c r="C1276" s="63"/>
      <c r="D1276" s="63" t="s">
        <v>195</v>
      </c>
      <c r="E1276" s="93" t="s">
        <v>68</v>
      </c>
      <c r="F1276" s="96">
        <v>1991</v>
      </c>
      <c r="G1276" s="63">
        <f t="shared" si="90"/>
        <v>25.5</v>
      </c>
      <c r="H1276" s="95">
        <v>1890.07</v>
      </c>
      <c r="I1276" s="97">
        <f t="shared" si="91"/>
        <v>48196.784999999996</v>
      </c>
      <c r="J1276" s="63"/>
    </row>
    <row r="1277" spans="1:10" ht="45" outlineLevel="1">
      <c r="A1277" s="93" t="s">
        <v>93</v>
      </c>
      <c r="B1277" s="93" t="s">
        <v>73</v>
      </c>
      <c r="C1277" s="63"/>
      <c r="D1277" s="63" t="s">
        <v>195</v>
      </c>
      <c r="E1277" s="93" t="s">
        <v>68</v>
      </c>
      <c r="F1277" s="96">
        <v>1993</v>
      </c>
      <c r="G1277" s="63">
        <f t="shared" si="90"/>
        <v>23.5</v>
      </c>
      <c r="H1277" s="95">
        <v>3395722.02</v>
      </c>
      <c r="I1277" s="97">
        <f t="shared" si="91"/>
        <v>79799467.469999999</v>
      </c>
      <c r="J1277" s="63"/>
    </row>
    <row r="1278" spans="1:10" ht="45" outlineLevel="1">
      <c r="A1278" s="93" t="s">
        <v>93</v>
      </c>
      <c r="B1278" s="93" t="s">
        <v>73</v>
      </c>
      <c r="C1278" s="63"/>
      <c r="D1278" s="63" t="s">
        <v>195</v>
      </c>
      <c r="E1278" s="93" t="s">
        <v>68</v>
      </c>
      <c r="F1278" s="96">
        <v>1996</v>
      </c>
      <c r="G1278" s="63">
        <f t="shared" si="90"/>
        <v>20.5</v>
      </c>
      <c r="H1278" s="95">
        <v>1776125.03</v>
      </c>
      <c r="I1278" s="97">
        <f t="shared" si="91"/>
        <v>36410563.115000002</v>
      </c>
      <c r="J1278" s="63"/>
    </row>
    <row r="1279" spans="1:10" ht="45" outlineLevel="1">
      <c r="A1279" s="93" t="s">
        <v>93</v>
      </c>
      <c r="B1279" s="93" t="s">
        <v>73</v>
      </c>
      <c r="C1279" s="63"/>
      <c r="D1279" s="63" t="s">
        <v>195</v>
      </c>
      <c r="E1279" s="93" t="s">
        <v>68</v>
      </c>
      <c r="F1279" s="96">
        <v>1998</v>
      </c>
      <c r="G1279" s="63">
        <f t="shared" si="90"/>
        <v>18.5</v>
      </c>
      <c r="H1279" s="95">
        <v>102129.35</v>
      </c>
      <c r="I1279" s="97">
        <f t="shared" si="91"/>
        <v>1889392.9750000001</v>
      </c>
      <c r="J1279" s="63"/>
    </row>
    <row r="1280" spans="1:10" ht="45" outlineLevel="1">
      <c r="A1280" s="93" t="s">
        <v>93</v>
      </c>
      <c r="B1280" s="93" t="s">
        <v>73</v>
      </c>
      <c r="C1280" s="63"/>
      <c r="D1280" s="63" t="s">
        <v>195</v>
      </c>
      <c r="E1280" s="93" t="s">
        <v>68</v>
      </c>
      <c r="F1280" s="96">
        <v>2000</v>
      </c>
      <c r="G1280" s="63">
        <f t="shared" si="90"/>
        <v>16.5</v>
      </c>
      <c r="H1280" s="95">
        <v>16460.62</v>
      </c>
      <c r="I1280" s="97">
        <f t="shared" si="91"/>
        <v>271600.23</v>
      </c>
      <c r="J1280" s="63"/>
    </row>
    <row r="1281" spans="1:10" ht="45" outlineLevel="1">
      <c r="A1281" s="93" t="s">
        <v>93</v>
      </c>
      <c r="B1281" s="93" t="s">
        <v>73</v>
      </c>
      <c r="C1281" s="63"/>
      <c r="D1281" s="63" t="s">
        <v>195</v>
      </c>
      <c r="E1281" s="93" t="s">
        <v>68</v>
      </c>
      <c r="F1281" s="96">
        <v>2001</v>
      </c>
      <c r="G1281" s="63">
        <f t="shared" si="90"/>
        <v>15.5</v>
      </c>
      <c r="H1281" s="95">
        <v>25690</v>
      </c>
      <c r="I1281" s="97">
        <f t="shared" si="91"/>
        <v>398195</v>
      </c>
      <c r="J1281" s="63"/>
    </row>
    <row r="1282" spans="1:10" ht="45" outlineLevel="1">
      <c r="A1282" s="93" t="s">
        <v>93</v>
      </c>
      <c r="B1282" s="93" t="s">
        <v>73</v>
      </c>
      <c r="C1282" s="63"/>
      <c r="D1282" s="63" t="s">
        <v>195</v>
      </c>
      <c r="E1282" s="93" t="s">
        <v>68</v>
      </c>
      <c r="F1282" s="96">
        <v>2002</v>
      </c>
      <c r="G1282" s="63">
        <f t="shared" si="90"/>
        <v>14.5</v>
      </c>
      <c r="H1282" s="95">
        <v>517495.41</v>
      </c>
      <c r="I1282" s="97">
        <f t="shared" si="91"/>
        <v>7503683.4449999994</v>
      </c>
      <c r="J1282" s="63"/>
    </row>
    <row r="1283" spans="1:10" ht="45" outlineLevel="1">
      <c r="A1283" s="93" t="s">
        <v>93</v>
      </c>
      <c r="B1283" s="93" t="s">
        <v>73</v>
      </c>
      <c r="C1283" s="63"/>
      <c r="D1283" s="63" t="s">
        <v>195</v>
      </c>
      <c r="E1283" s="93" t="s">
        <v>68</v>
      </c>
      <c r="F1283" s="96">
        <v>2004</v>
      </c>
      <c r="G1283" s="63">
        <f t="shared" si="90"/>
        <v>12.5</v>
      </c>
      <c r="H1283" s="95">
        <v>1191986.4099999999</v>
      </c>
      <c r="I1283" s="97">
        <f t="shared" si="91"/>
        <v>14899830.124999998</v>
      </c>
      <c r="J1283" s="63"/>
    </row>
    <row r="1284" spans="1:10" ht="45" outlineLevel="1">
      <c r="A1284" s="93" t="s">
        <v>93</v>
      </c>
      <c r="B1284" s="93" t="s">
        <v>73</v>
      </c>
      <c r="C1284" s="63"/>
      <c r="D1284" s="63" t="s">
        <v>195</v>
      </c>
      <c r="E1284" s="93" t="s">
        <v>68</v>
      </c>
      <c r="F1284" s="96">
        <v>2005</v>
      </c>
      <c r="G1284" s="63">
        <f t="shared" si="90"/>
        <v>11.5</v>
      </c>
      <c r="H1284" s="95">
        <v>21488.61</v>
      </c>
      <c r="I1284" s="97">
        <f t="shared" si="91"/>
        <v>247119.01500000001</v>
      </c>
      <c r="J1284" s="63"/>
    </row>
    <row r="1285" spans="1:10" ht="45" outlineLevel="1">
      <c r="A1285" s="93" t="s">
        <v>93</v>
      </c>
      <c r="B1285" s="93" t="s">
        <v>73</v>
      </c>
      <c r="C1285" s="63"/>
      <c r="D1285" s="63" t="s">
        <v>195</v>
      </c>
      <c r="E1285" s="93" t="s">
        <v>68</v>
      </c>
      <c r="F1285" s="96">
        <v>2007</v>
      </c>
      <c r="G1285" s="63">
        <f t="shared" si="90"/>
        <v>9.5</v>
      </c>
      <c r="H1285" s="95">
        <v>27069142.25</v>
      </c>
      <c r="I1285" s="97">
        <f t="shared" si="91"/>
        <v>257156851.375</v>
      </c>
      <c r="J1285" s="63"/>
    </row>
    <row r="1286" spans="1:10" ht="45" outlineLevel="1">
      <c r="A1286" s="93" t="s">
        <v>93</v>
      </c>
      <c r="B1286" s="93" t="s">
        <v>73</v>
      </c>
      <c r="C1286" s="63"/>
      <c r="D1286" s="63" t="s">
        <v>195</v>
      </c>
      <c r="E1286" s="93" t="s">
        <v>68</v>
      </c>
      <c r="F1286" s="96">
        <v>2009</v>
      </c>
      <c r="G1286" s="63">
        <f t="shared" si="90"/>
        <v>7.5</v>
      </c>
      <c r="H1286" s="95">
        <v>1483635.94</v>
      </c>
      <c r="I1286" s="97">
        <f t="shared" si="91"/>
        <v>11127269.549999999</v>
      </c>
      <c r="J1286" s="63"/>
    </row>
    <row r="1287" spans="1:10" ht="45" outlineLevel="1">
      <c r="A1287" s="93" t="s">
        <v>93</v>
      </c>
      <c r="B1287" s="93" t="s">
        <v>73</v>
      </c>
      <c r="C1287" s="63"/>
      <c r="D1287" s="63" t="s">
        <v>195</v>
      </c>
      <c r="E1287" s="93" t="s">
        <v>68</v>
      </c>
      <c r="F1287" s="96">
        <v>2010</v>
      </c>
      <c r="G1287" s="63">
        <f t="shared" si="90"/>
        <v>6.5</v>
      </c>
      <c r="H1287" s="95">
        <v>177038.21</v>
      </c>
      <c r="I1287" s="97">
        <f t="shared" si="91"/>
        <v>1150748.365</v>
      </c>
      <c r="J1287" s="63"/>
    </row>
    <row r="1288" spans="1:10" ht="45" outlineLevel="1">
      <c r="A1288" s="93" t="s">
        <v>93</v>
      </c>
      <c r="B1288" s="93" t="s">
        <v>73</v>
      </c>
      <c r="C1288" s="63"/>
      <c r="D1288" s="63" t="s">
        <v>195</v>
      </c>
      <c r="E1288" s="93" t="s">
        <v>68</v>
      </c>
      <c r="F1288" s="96">
        <v>2011</v>
      </c>
      <c r="G1288" s="63">
        <f t="shared" si="90"/>
        <v>5.5</v>
      </c>
      <c r="H1288" s="95">
        <v>105244.56</v>
      </c>
      <c r="I1288" s="97">
        <f t="shared" si="91"/>
        <v>578845.07999999996</v>
      </c>
      <c r="J1288" s="63"/>
    </row>
    <row r="1289" spans="1:10" ht="45" outlineLevel="1">
      <c r="A1289" s="93" t="s">
        <v>93</v>
      </c>
      <c r="B1289" s="93" t="s">
        <v>73</v>
      </c>
      <c r="C1289" s="63"/>
      <c r="D1289" s="63" t="s">
        <v>195</v>
      </c>
      <c r="E1289" s="93" t="s">
        <v>68</v>
      </c>
      <c r="F1289" s="96">
        <v>2012</v>
      </c>
      <c r="G1289" s="63">
        <f t="shared" si="90"/>
        <v>4.5</v>
      </c>
      <c r="H1289" s="95">
        <v>51488699.049999997</v>
      </c>
      <c r="I1289" s="97">
        <f t="shared" si="91"/>
        <v>231699145.72499999</v>
      </c>
      <c r="J1289" s="63"/>
    </row>
    <row r="1290" spans="1:10" ht="45" outlineLevel="1">
      <c r="A1290" s="93" t="s">
        <v>93</v>
      </c>
      <c r="B1290" s="93" t="s">
        <v>73</v>
      </c>
      <c r="C1290" s="63"/>
      <c r="D1290" s="63" t="s">
        <v>195</v>
      </c>
      <c r="E1290" s="93" t="s">
        <v>68</v>
      </c>
      <c r="F1290" s="96">
        <v>2014</v>
      </c>
      <c r="G1290" s="63">
        <f t="shared" si="90"/>
        <v>2.5</v>
      </c>
      <c r="H1290" s="95">
        <v>1304990.2</v>
      </c>
      <c r="I1290" s="97">
        <f t="shared" si="91"/>
        <v>3262475.5</v>
      </c>
      <c r="J1290" s="63"/>
    </row>
    <row r="1291" spans="1:10" ht="45" outlineLevel="1">
      <c r="A1291" s="93" t="s">
        <v>93</v>
      </c>
      <c r="B1291" s="93" t="s">
        <v>73</v>
      </c>
      <c r="C1291" s="63"/>
      <c r="D1291" s="63" t="s">
        <v>195</v>
      </c>
      <c r="E1291" s="93" t="s">
        <v>68</v>
      </c>
      <c r="F1291" s="96">
        <v>2015</v>
      </c>
      <c r="G1291" s="63">
        <f t="shared" si="90"/>
        <v>1.5</v>
      </c>
      <c r="H1291" s="95">
        <v>148504.49</v>
      </c>
      <c r="I1291" s="97">
        <f t="shared" si="91"/>
        <v>222756.73499999999</v>
      </c>
      <c r="J1291" s="63"/>
    </row>
    <row r="1292" spans="1:10" ht="45" outlineLevel="1">
      <c r="A1292" s="93" t="s">
        <v>93</v>
      </c>
      <c r="B1292" s="93" t="s">
        <v>73</v>
      </c>
      <c r="C1292" s="63"/>
      <c r="D1292" s="63" t="s">
        <v>195</v>
      </c>
      <c r="E1292" s="93" t="s">
        <v>68</v>
      </c>
      <c r="F1292" s="96">
        <v>2016</v>
      </c>
      <c r="G1292" s="63">
        <f t="shared" si="90"/>
        <v>0.5</v>
      </c>
      <c r="H1292" s="95">
        <v>5297535.74</v>
      </c>
      <c r="I1292" s="97">
        <f t="shared" si="91"/>
        <v>2648767.87</v>
      </c>
      <c r="J1292" s="63"/>
    </row>
    <row r="1293" spans="1:10" ht="30" outlineLevel="1">
      <c r="A1293" s="26" t="s">
        <v>93</v>
      </c>
      <c r="B1293" s="94"/>
      <c r="C1293" s="26"/>
      <c r="D1293" s="26" t="s">
        <v>195</v>
      </c>
      <c r="E1293" s="94" t="s">
        <v>203</v>
      </c>
      <c r="F1293" s="96"/>
      <c r="G1293" s="63"/>
      <c r="H1293" s="95">
        <f>SUBTOTAL(9,H1264:H1292)</f>
        <v>100410668.52</v>
      </c>
      <c r="I1293" s="97">
        <f>SUBTOTAL(9,I1264:I1292)</f>
        <v>896133067.78000021</v>
      </c>
      <c r="J1293" s="64">
        <f>+I1293/H1293</f>
        <v>8.9246798272387426</v>
      </c>
    </row>
    <row r="1294" spans="1:10" ht="45" outlineLevel="1">
      <c r="A1294" s="93" t="s">
        <v>93</v>
      </c>
      <c r="B1294" s="93" t="s">
        <v>73</v>
      </c>
      <c r="C1294" s="63"/>
      <c r="D1294" s="63" t="s">
        <v>195</v>
      </c>
      <c r="E1294" s="93" t="s">
        <v>69</v>
      </c>
      <c r="F1294" s="96">
        <v>1973</v>
      </c>
      <c r="G1294" s="63">
        <f t="shared" ref="G1294:G1326" si="92">2016.5-F1294</f>
        <v>43.5</v>
      </c>
      <c r="H1294" s="95">
        <v>3408145.55</v>
      </c>
      <c r="I1294" s="97">
        <f t="shared" ref="I1294:I1326" si="93">+G1294*H1294</f>
        <v>148254331.42499998</v>
      </c>
      <c r="J1294" s="63"/>
    </row>
    <row r="1295" spans="1:10" ht="45" outlineLevel="1">
      <c r="A1295" s="93" t="s">
        <v>93</v>
      </c>
      <c r="B1295" s="93" t="s">
        <v>73</v>
      </c>
      <c r="C1295" s="63"/>
      <c r="D1295" s="63" t="s">
        <v>195</v>
      </c>
      <c r="E1295" s="93" t="s">
        <v>69</v>
      </c>
      <c r="F1295" s="96">
        <v>1974</v>
      </c>
      <c r="G1295" s="63">
        <f t="shared" si="92"/>
        <v>42.5</v>
      </c>
      <c r="H1295" s="95">
        <v>120884.77</v>
      </c>
      <c r="I1295" s="97">
        <f t="shared" si="93"/>
        <v>5137602.7250000006</v>
      </c>
      <c r="J1295" s="63"/>
    </row>
    <row r="1296" spans="1:10" ht="45" outlineLevel="1">
      <c r="A1296" s="93" t="s">
        <v>93</v>
      </c>
      <c r="B1296" s="93" t="s">
        <v>73</v>
      </c>
      <c r="C1296" s="63"/>
      <c r="D1296" s="63" t="s">
        <v>195</v>
      </c>
      <c r="E1296" s="93" t="s">
        <v>69</v>
      </c>
      <c r="F1296" s="96">
        <v>1975</v>
      </c>
      <c r="G1296" s="63">
        <f t="shared" si="92"/>
        <v>41.5</v>
      </c>
      <c r="H1296" s="95">
        <v>10759.72</v>
      </c>
      <c r="I1296" s="97">
        <f t="shared" si="93"/>
        <v>446528.37999999995</v>
      </c>
      <c r="J1296" s="63"/>
    </row>
    <row r="1297" spans="1:10" ht="45" outlineLevel="1">
      <c r="A1297" s="93" t="s">
        <v>93</v>
      </c>
      <c r="B1297" s="93" t="s">
        <v>73</v>
      </c>
      <c r="C1297" s="63"/>
      <c r="D1297" s="63" t="s">
        <v>195</v>
      </c>
      <c r="E1297" s="93" t="s">
        <v>69</v>
      </c>
      <c r="F1297" s="96">
        <v>1976</v>
      </c>
      <c r="G1297" s="63">
        <f t="shared" si="92"/>
        <v>40.5</v>
      </c>
      <c r="H1297" s="95">
        <v>9281.85</v>
      </c>
      <c r="I1297" s="97">
        <f t="shared" si="93"/>
        <v>375914.92499999999</v>
      </c>
      <c r="J1297" s="63"/>
    </row>
    <row r="1298" spans="1:10" ht="45" outlineLevel="1">
      <c r="A1298" s="93" t="s">
        <v>93</v>
      </c>
      <c r="B1298" s="93" t="s">
        <v>73</v>
      </c>
      <c r="C1298" s="63"/>
      <c r="D1298" s="63" t="s">
        <v>195</v>
      </c>
      <c r="E1298" s="93" t="s">
        <v>69</v>
      </c>
      <c r="F1298" s="96">
        <v>1977</v>
      </c>
      <c r="G1298" s="63">
        <f t="shared" si="92"/>
        <v>39.5</v>
      </c>
      <c r="H1298" s="95">
        <v>4257.76</v>
      </c>
      <c r="I1298" s="97">
        <f t="shared" si="93"/>
        <v>168181.52000000002</v>
      </c>
      <c r="J1298" s="63"/>
    </row>
    <row r="1299" spans="1:10" ht="45" outlineLevel="1">
      <c r="A1299" s="93" t="s">
        <v>93</v>
      </c>
      <c r="B1299" s="93" t="s">
        <v>73</v>
      </c>
      <c r="C1299" s="63"/>
      <c r="D1299" s="63" t="s">
        <v>195</v>
      </c>
      <c r="E1299" s="93" t="s">
        <v>69</v>
      </c>
      <c r="F1299" s="96">
        <v>1979</v>
      </c>
      <c r="G1299" s="63">
        <f t="shared" si="92"/>
        <v>37.5</v>
      </c>
      <c r="H1299" s="95">
        <v>4221.75</v>
      </c>
      <c r="I1299" s="97">
        <f t="shared" si="93"/>
        <v>158315.625</v>
      </c>
      <c r="J1299" s="63"/>
    </row>
    <row r="1300" spans="1:10" ht="45" outlineLevel="1">
      <c r="A1300" s="93" t="s">
        <v>93</v>
      </c>
      <c r="B1300" s="93" t="s">
        <v>73</v>
      </c>
      <c r="C1300" s="63"/>
      <c r="D1300" s="63" t="s">
        <v>195</v>
      </c>
      <c r="E1300" s="93" t="s">
        <v>69</v>
      </c>
      <c r="F1300" s="96">
        <v>1980</v>
      </c>
      <c r="G1300" s="63">
        <f t="shared" si="92"/>
        <v>36.5</v>
      </c>
      <c r="H1300" s="95">
        <v>194782.39</v>
      </c>
      <c r="I1300" s="97">
        <f t="shared" si="93"/>
        <v>7109557.2350000003</v>
      </c>
      <c r="J1300" s="63"/>
    </row>
    <row r="1301" spans="1:10" ht="45" outlineLevel="1">
      <c r="A1301" s="93" t="s">
        <v>93</v>
      </c>
      <c r="B1301" s="93" t="s">
        <v>73</v>
      </c>
      <c r="C1301" s="63"/>
      <c r="D1301" s="63" t="s">
        <v>195</v>
      </c>
      <c r="E1301" s="93" t="s">
        <v>69</v>
      </c>
      <c r="F1301" s="96">
        <v>1981</v>
      </c>
      <c r="G1301" s="63">
        <f t="shared" si="92"/>
        <v>35.5</v>
      </c>
      <c r="H1301" s="95">
        <v>42896.5</v>
      </c>
      <c r="I1301" s="97">
        <f t="shared" si="93"/>
        <v>1522825.75</v>
      </c>
      <c r="J1301" s="63"/>
    </row>
    <row r="1302" spans="1:10" ht="45" outlineLevel="1">
      <c r="A1302" s="93" t="s">
        <v>93</v>
      </c>
      <c r="B1302" s="93" t="s">
        <v>73</v>
      </c>
      <c r="C1302" s="63"/>
      <c r="D1302" s="63" t="s">
        <v>195</v>
      </c>
      <c r="E1302" s="93" t="s">
        <v>69</v>
      </c>
      <c r="F1302" s="96">
        <v>1982</v>
      </c>
      <c r="G1302" s="63">
        <f t="shared" si="92"/>
        <v>34.5</v>
      </c>
      <c r="H1302" s="95">
        <v>22882.93</v>
      </c>
      <c r="I1302" s="97">
        <f t="shared" si="93"/>
        <v>789461.08499999996</v>
      </c>
      <c r="J1302" s="63"/>
    </row>
    <row r="1303" spans="1:10" ht="45" outlineLevel="1">
      <c r="A1303" s="93" t="s">
        <v>93</v>
      </c>
      <c r="B1303" s="93" t="s">
        <v>73</v>
      </c>
      <c r="C1303" s="63"/>
      <c r="D1303" s="63" t="s">
        <v>195</v>
      </c>
      <c r="E1303" s="93" t="s">
        <v>69</v>
      </c>
      <c r="F1303" s="96">
        <v>1983</v>
      </c>
      <c r="G1303" s="63">
        <f t="shared" si="92"/>
        <v>33.5</v>
      </c>
      <c r="H1303" s="95">
        <v>25280.34</v>
      </c>
      <c r="I1303" s="97">
        <f t="shared" si="93"/>
        <v>846891.39</v>
      </c>
      <c r="J1303" s="63"/>
    </row>
    <row r="1304" spans="1:10" ht="45" outlineLevel="1">
      <c r="A1304" s="93" t="s">
        <v>93</v>
      </c>
      <c r="B1304" s="93" t="s">
        <v>73</v>
      </c>
      <c r="C1304" s="63"/>
      <c r="D1304" s="63" t="s">
        <v>195</v>
      </c>
      <c r="E1304" s="93" t="s">
        <v>69</v>
      </c>
      <c r="F1304" s="96">
        <v>1984</v>
      </c>
      <c r="G1304" s="63">
        <f t="shared" si="92"/>
        <v>32.5</v>
      </c>
      <c r="H1304" s="95">
        <v>37657.96</v>
      </c>
      <c r="I1304" s="97">
        <f t="shared" si="93"/>
        <v>1223883.7</v>
      </c>
      <c r="J1304" s="63"/>
    </row>
    <row r="1305" spans="1:10" ht="45" outlineLevel="1">
      <c r="A1305" s="93" t="s">
        <v>93</v>
      </c>
      <c r="B1305" s="93" t="s">
        <v>73</v>
      </c>
      <c r="C1305" s="63"/>
      <c r="D1305" s="63" t="s">
        <v>195</v>
      </c>
      <c r="E1305" s="93" t="s">
        <v>69</v>
      </c>
      <c r="F1305" s="96">
        <v>1986</v>
      </c>
      <c r="G1305" s="63">
        <f t="shared" si="92"/>
        <v>30.5</v>
      </c>
      <c r="H1305" s="95">
        <v>9306.89</v>
      </c>
      <c r="I1305" s="97">
        <f t="shared" si="93"/>
        <v>283860.14499999996</v>
      </c>
      <c r="J1305" s="63"/>
    </row>
    <row r="1306" spans="1:10" ht="45" outlineLevel="1">
      <c r="A1306" s="93" t="s">
        <v>93</v>
      </c>
      <c r="B1306" s="93" t="s">
        <v>73</v>
      </c>
      <c r="C1306" s="63"/>
      <c r="D1306" s="63" t="s">
        <v>195</v>
      </c>
      <c r="E1306" s="93" t="s">
        <v>69</v>
      </c>
      <c r="F1306" s="96">
        <v>1987</v>
      </c>
      <c r="G1306" s="63">
        <f t="shared" si="92"/>
        <v>29.5</v>
      </c>
      <c r="H1306" s="95">
        <v>4490.18</v>
      </c>
      <c r="I1306" s="97">
        <f t="shared" si="93"/>
        <v>132460.31</v>
      </c>
      <c r="J1306" s="63"/>
    </row>
    <row r="1307" spans="1:10" ht="45" outlineLevel="1">
      <c r="A1307" s="93" t="s">
        <v>93</v>
      </c>
      <c r="B1307" s="93" t="s">
        <v>73</v>
      </c>
      <c r="C1307" s="63"/>
      <c r="D1307" s="63" t="s">
        <v>195</v>
      </c>
      <c r="E1307" s="93" t="s">
        <v>69</v>
      </c>
      <c r="F1307" s="96">
        <v>1988</v>
      </c>
      <c r="G1307" s="63">
        <f t="shared" si="92"/>
        <v>28.5</v>
      </c>
      <c r="H1307" s="95">
        <v>8608.7800000000007</v>
      </c>
      <c r="I1307" s="97">
        <f t="shared" si="93"/>
        <v>245350.23</v>
      </c>
      <c r="J1307" s="63"/>
    </row>
    <row r="1308" spans="1:10" ht="45" outlineLevel="1">
      <c r="A1308" s="93" t="s">
        <v>93</v>
      </c>
      <c r="B1308" s="93" t="s">
        <v>73</v>
      </c>
      <c r="C1308" s="63"/>
      <c r="D1308" s="63" t="s">
        <v>195</v>
      </c>
      <c r="E1308" s="93" t="s">
        <v>69</v>
      </c>
      <c r="F1308" s="96">
        <v>1989</v>
      </c>
      <c r="G1308" s="63">
        <f t="shared" si="92"/>
        <v>27.5</v>
      </c>
      <c r="H1308" s="95">
        <v>436272.47</v>
      </c>
      <c r="I1308" s="97">
        <f t="shared" si="93"/>
        <v>11997492.924999999</v>
      </c>
      <c r="J1308" s="63"/>
    </row>
    <row r="1309" spans="1:10" ht="45" outlineLevel="1">
      <c r="A1309" s="93" t="s">
        <v>93</v>
      </c>
      <c r="B1309" s="93" t="s">
        <v>73</v>
      </c>
      <c r="C1309" s="63"/>
      <c r="D1309" s="63" t="s">
        <v>195</v>
      </c>
      <c r="E1309" s="93" t="s">
        <v>69</v>
      </c>
      <c r="F1309" s="96">
        <v>1990</v>
      </c>
      <c r="G1309" s="63">
        <f t="shared" si="92"/>
        <v>26.5</v>
      </c>
      <c r="H1309" s="95">
        <v>67422.179999999993</v>
      </c>
      <c r="I1309" s="97">
        <f t="shared" si="93"/>
        <v>1786687.7699999998</v>
      </c>
      <c r="J1309" s="63"/>
    </row>
    <row r="1310" spans="1:10" ht="45" outlineLevel="1">
      <c r="A1310" s="93" t="s">
        <v>93</v>
      </c>
      <c r="B1310" s="93" t="s">
        <v>73</v>
      </c>
      <c r="C1310" s="63"/>
      <c r="D1310" s="63" t="s">
        <v>195</v>
      </c>
      <c r="E1310" s="93" t="s">
        <v>69</v>
      </c>
      <c r="F1310" s="96">
        <v>1992</v>
      </c>
      <c r="G1310" s="63">
        <f t="shared" si="92"/>
        <v>24.5</v>
      </c>
      <c r="H1310" s="95">
        <v>30548.91</v>
      </c>
      <c r="I1310" s="97">
        <f t="shared" si="93"/>
        <v>748448.29500000004</v>
      </c>
      <c r="J1310" s="63"/>
    </row>
    <row r="1311" spans="1:10" ht="45" outlineLevel="1">
      <c r="A1311" s="93" t="s">
        <v>93</v>
      </c>
      <c r="B1311" s="93" t="s">
        <v>73</v>
      </c>
      <c r="C1311" s="63"/>
      <c r="D1311" s="63" t="s">
        <v>195</v>
      </c>
      <c r="E1311" s="93" t="s">
        <v>69</v>
      </c>
      <c r="F1311" s="96">
        <v>1993</v>
      </c>
      <c r="G1311" s="63">
        <f t="shared" si="92"/>
        <v>23.5</v>
      </c>
      <c r="H1311" s="95">
        <v>17964.29</v>
      </c>
      <c r="I1311" s="97">
        <f t="shared" si="93"/>
        <v>422160.815</v>
      </c>
      <c r="J1311" s="63"/>
    </row>
    <row r="1312" spans="1:10" ht="45" outlineLevel="1">
      <c r="A1312" s="93" t="s">
        <v>93</v>
      </c>
      <c r="B1312" s="93" t="s">
        <v>73</v>
      </c>
      <c r="C1312" s="63"/>
      <c r="D1312" s="63" t="s">
        <v>195</v>
      </c>
      <c r="E1312" s="93" t="s">
        <v>69</v>
      </c>
      <c r="F1312" s="96">
        <v>1995</v>
      </c>
      <c r="G1312" s="63">
        <f t="shared" si="92"/>
        <v>21.5</v>
      </c>
      <c r="H1312" s="95">
        <v>3558.42</v>
      </c>
      <c r="I1312" s="97">
        <f t="shared" si="93"/>
        <v>76506.03</v>
      </c>
      <c r="J1312" s="63"/>
    </row>
    <row r="1313" spans="1:10" ht="45" outlineLevel="1">
      <c r="A1313" s="93" t="s">
        <v>93</v>
      </c>
      <c r="B1313" s="93" t="s">
        <v>73</v>
      </c>
      <c r="C1313" s="63"/>
      <c r="D1313" s="63" t="s">
        <v>195</v>
      </c>
      <c r="E1313" s="93" t="s">
        <v>69</v>
      </c>
      <c r="F1313" s="96">
        <v>1996</v>
      </c>
      <c r="G1313" s="63">
        <f t="shared" si="92"/>
        <v>20.5</v>
      </c>
      <c r="H1313" s="95">
        <v>6599714.1299999999</v>
      </c>
      <c r="I1313" s="97">
        <f t="shared" si="93"/>
        <v>135294139.66499999</v>
      </c>
      <c r="J1313" s="63"/>
    </row>
    <row r="1314" spans="1:10" ht="45" outlineLevel="1">
      <c r="A1314" s="93" t="s">
        <v>93</v>
      </c>
      <c r="B1314" s="93" t="s">
        <v>73</v>
      </c>
      <c r="C1314" s="63"/>
      <c r="D1314" s="63" t="s">
        <v>195</v>
      </c>
      <c r="E1314" s="93" t="s">
        <v>69</v>
      </c>
      <c r="F1314" s="96">
        <v>1997</v>
      </c>
      <c r="G1314" s="63">
        <f t="shared" si="92"/>
        <v>19.5</v>
      </c>
      <c r="H1314" s="95">
        <v>8420.89</v>
      </c>
      <c r="I1314" s="97">
        <f t="shared" si="93"/>
        <v>164207.35499999998</v>
      </c>
      <c r="J1314" s="63"/>
    </row>
    <row r="1315" spans="1:10" ht="45" outlineLevel="1">
      <c r="A1315" s="93" t="s">
        <v>93</v>
      </c>
      <c r="B1315" s="93" t="s">
        <v>73</v>
      </c>
      <c r="C1315" s="63"/>
      <c r="D1315" s="63" t="s">
        <v>195</v>
      </c>
      <c r="E1315" s="93" t="s">
        <v>69</v>
      </c>
      <c r="F1315" s="96">
        <v>1998</v>
      </c>
      <c r="G1315" s="63">
        <f t="shared" si="92"/>
        <v>18.5</v>
      </c>
      <c r="H1315" s="95">
        <v>8543.93</v>
      </c>
      <c r="I1315" s="97">
        <f t="shared" si="93"/>
        <v>158062.70500000002</v>
      </c>
      <c r="J1315" s="63"/>
    </row>
    <row r="1316" spans="1:10" ht="45" outlineLevel="1">
      <c r="A1316" s="93" t="s">
        <v>93</v>
      </c>
      <c r="B1316" s="93" t="s">
        <v>73</v>
      </c>
      <c r="C1316" s="63"/>
      <c r="D1316" s="63" t="s">
        <v>195</v>
      </c>
      <c r="E1316" s="93" t="s">
        <v>69</v>
      </c>
      <c r="F1316" s="96">
        <v>2002</v>
      </c>
      <c r="G1316" s="63">
        <f t="shared" si="92"/>
        <v>14.5</v>
      </c>
      <c r="H1316" s="95">
        <v>98501.98</v>
      </c>
      <c r="I1316" s="97">
        <f t="shared" si="93"/>
        <v>1428278.71</v>
      </c>
      <c r="J1316" s="63"/>
    </row>
    <row r="1317" spans="1:10" ht="45" outlineLevel="1">
      <c r="A1317" s="93" t="s">
        <v>93</v>
      </c>
      <c r="B1317" s="93" t="s">
        <v>73</v>
      </c>
      <c r="C1317" s="63"/>
      <c r="D1317" s="63" t="s">
        <v>195</v>
      </c>
      <c r="E1317" s="93" t="s">
        <v>69</v>
      </c>
      <c r="F1317" s="96">
        <v>2004</v>
      </c>
      <c r="G1317" s="63">
        <f t="shared" si="92"/>
        <v>12.5</v>
      </c>
      <c r="H1317" s="95">
        <v>7844372.54</v>
      </c>
      <c r="I1317" s="97">
        <f t="shared" si="93"/>
        <v>98054656.75</v>
      </c>
      <c r="J1317" s="63"/>
    </row>
    <row r="1318" spans="1:10" ht="45" outlineLevel="1">
      <c r="A1318" s="93" t="s">
        <v>93</v>
      </c>
      <c r="B1318" s="93" t="s">
        <v>73</v>
      </c>
      <c r="C1318" s="63"/>
      <c r="D1318" s="63" t="s">
        <v>195</v>
      </c>
      <c r="E1318" s="93" t="s">
        <v>69</v>
      </c>
      <c r="F1318" s="96">
        <v>2005</v>
      </c>
      <c r="G1318" s="63">
        <f t="shared" si="92"/>
        <v>11.5</v>
      </c>
      <c r="H1318" s="95">
        <v>300086.7</v>
      </c>
      <c r="I1318" s="97">
        <f t="shared" si="93"/>
        <v>3450997.0500000003</v>
      </c>
      <c r="J1318" s="63"/>
    </row>
    <row r="1319" spans="1:10" ht="45" outlineLevel="1">
      <c r="A1319" s="93" t="s">
        <v>93</v>
      </c>
      <c r="B1319" s="93" t="s">
        <v>73</v>
      </c>
      <c r="C1319" s="63"/>
      <c r="D1319" s="63" t="s">
        <v>195</v>
      </c>
      <c r="E1319" s="93" t="s">
        <v>69</v>
      </c>
      <c r="F1319" s="96">
        <v>2007</v>
      </c>
      <c r="G1319" s="63">
        <f t="shared" si="92"/>
        <v>9.5</v>
      </c>
      <c r="H1319" s="95">
        <v>2121205.58</v>
      </c>
      <c r="I1319" s="97">
        <f t="shared" si="93"/>
        <v>20151453.010000002</v>
      </c>
      <c r="J1319" s="63"/>
    </row>
    <row r="1320" spans="1:10" ht="45" outlineLevel="1">
      <c r="A1320" s="93" t="s">
        <v>93</v>
      </c>
      <c r="B1320" s="93" t="s">
        <v>73</v>
      </c>
      <c r="C1320" s="63"/>
      <c r="D1320" s="63" t="s">
        <v>195</v>
      </c>
      <c r="E1320" s="93" t="s">
        <v>69</v>
      </c>
      <c r="F1320" s="96">
        <v>2009</v>
      </c>
      <c r="G1320" s="63">
        <f t="shared" si="92"/>
        <v>7.5</v>
      </c>
      <c r="H1320" s="95">
        <v>1381385.78</v>
      </c>
      <c r="I1320" s="97">
        <f t="shared" si="93"/>
        <v>10360393.35</v>
      </c>
      <c r="J1320" s="63"/>
    </row>
    <row r="1321" spans="1:10" ht="45" outlineLevel="1">
      <c r="A1321" s="93" t="s">
        <v>93</v>
      </c>
      <c r="B1321" s="93" t="s">
        <v>73</v>
      </c>
      <c r="C1321" s="63"/>
      <c r="D1321" s="63" t="s">
        <v>195</v>
      </c>
      <c r="E1321" s="93" t="s">
        <v>69</v>
      </c>
      <c r="F1321" s="96">
        <v>2011</v>
      </c>
      <c r="G1321" s="63">
        <f t="shared" si="92"/>
        <v>5.5</v>
      </c>
      <c r="H1321" s="95">
        <v>873829.35</v>
      </c>
      <c r="I1321" s="97">
        <f t="shared" si="93"/>
        <v>4806061.4249999998</v>
      </c>
      <c r="J1321" s="63"/>
    </row>
    <row r="1322" spans="1:10" ht="45" outlineLevel="1">
      <c r="A1322" s="93" t="s">
        <v>93</v>
      </c>
      <c r="B1322" s="93" t="s">
        <v>73</v>
      </c>
      <c r="C1322" s="63"/>
      <c r="D1322" s="63" t="s">
        <v>195</v>
      </c>
      <c r="E1322" s="93" t="s">
        <v>69</v>
      </c>
      <c r="F1322" s="96">
        <v>2012</v>
      </c>
      <c r="G1322" s="63">
        <f t="shared" si="92"/>
        <v>4.5</v>
      </c>
      <c r="H1322" s="95">
        <v>243061.06</v>
      </c>
      <c r="I1322" s="97">
        <f t="shared" si="93"/>
        <v>1093774.77</v>
      </c>
      <c r="J1322" s="63"/>
    </row>
    <row r="1323" spans="1:10" ht="45" outlineLevel="1">
      <c r="A1323" s="93" t="s">
        <v>93</v>
      </c>
      <c r="B1323" s="93" t="s">
        <v>73</v>
      </c>
      <c r="C1323" s="63"/>
      <c r="D1323" s="63" t="s">
        <v>195</v>
      </c>
      <c r="E1323" s="93" t="s">
        <v>69</v>
      </c>
      <c r="F1323" s="96">
        <v>2013</v>
      </c>
      <c r="G1323" s="63">
        <f t="shared" si="92"/>
        <v>3.5</v>
      </c>
      <c r="H1323" s="95">
        <v>3980.25</v>
      </c>
      <c r="I1323" s="97">
        <f t="shared" si="93"/>
        <v>13930.875</v>
      </c>
      <c r="J1323" s="63"/>
    </row>
    <row r="1324" spans="1:10" ht="45" outlineLevel="1">
      <c r="A1324" s="93" t="s">
        <v>93</v>
      </c>
      <c r="B1324" s="93" t="s">
        <v>73</v>
      </c>
      <c r="C1324" s="63"/>
      <c r="D1324" s="63" t="s">
        <v>195</v>
      </c>
      <c r="E1324" s="93" t="s">
        <v>69</v>
      </c>
      <c r="F1324" s="96">
        <v>2014</v>
      </c>
      <c r="G1324" s="63">
        <f t="shared" si="92"/>
        <v>2.5</v>
      </c>
      <c r="H1324" s="95">
        <v>210970.84</v>
      </c>
      <c r="I1324" s="97">
        <f t="shared" si="93"/>
        <v>527427.1</v>
      </c>
      <c r="J1324" s="63"/>
    </row>
    <row r="1325" spans="1:10" ht="45" outlineLevel="1">
      <c r="A1325" s="93" t="s">
        <v>93</v>
      </c>
      <c r="B1325" s="93" t="s">
        <v>73</v>
      </c>
      <c r="C1325" s="63"/>
      <c r="D1325" s="63" t="s">
        <v>195</v>
      </c>
      <c r="E1325" s="93" t="s">
        <v>69</v>
      </c>
      <c r="F1325" s="96">
        <v>2015</v>
      </c>
      <c r="G1325" s="63">
        <f t="shared" si="92"/>
        <v>1.5</v>
      </c>
      <c r="H1325" s="95">
        <v>2282899.1800000002</v>
      </c>
      <c r="I1325" s="97">
        <f t="shared" si="93"/>
        <v>3424348.7700000005</v>
      </c>
      <c r="J1325" s="63"/>
    </row>
    <row r="1326" spans="1:10" ht="45">
      <c r="A1326" s="93" t="s">
        <v>93</v>
      </c>
      <c r="B1326" s="93" t="s">
        <v>73</v>
      </c>
      <c r="C1326" s="63"/>
      <c r="D1326" s="63" t="s">
        <v>195</v>
      </c>
      <c r="E1326" s="93" t="s">
        <v>69</v>
      </c>
      <c r="F1326" s="96">
        <v>2016</v>
      </c>
      <c r="G1326" s="63">
        <f t="shared" si="92"/>
        <v>0.5</v>
      </c>
      <c r="H1326" s="95">
        <v>659642.27</v>
      </c>
      <c r="I1326" s="97">
        <f t="shared" si="93"/>
        <v>329821.13500000001</v>
      </c>
      <c r="J1326" s="63"/>
    </row>
    <row r="1327" spans="1:10" ht="30">
      <c r="A1327" s="26" t="s">
        <v>93</v>
      </c>
      <c r="B1327" s="94"/>
      <c r="C1327" s="26"/>
      <c r="D1327" s="26" t="s">
        <v>195</v>
      </c>
      <c r="E1327" s="94" t="s">
        <v>204</v>
      </c>
      <c r="F1327" s="96"/>
      <c r="G1327" s="63"/>
      <c r="H1327" s="95">
        <f>SUBTOTAL(9,H1294:H1326)</f>
        <v>27095838.120000001</v>
      </c>
      <c r="I1327" s="97">
        <f>SUBTOTAL(9,I1294:I1326)</f>
        <v>460984012.94999999</v>
      </c>
      <c r="J1327" s="64">
        <f>+I1327/H1327</f>
        <v>17.013092966839736</v>
      </c>
    </row>
  </sheetData>
  <sortState ref="A427:I496">
    <sortCondition ref="B427:B496"/>
  </sortState>
  <pageMargins left="0.7" right="0.7" top="0.75" bottom="0.75" header="0.3" footer="0.3"/>
  <pageSetup scale="57" fitToHeight="2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activeCell="D69" sqref="D69"/>
    </sheetView>
  </sheetViews>
  <sheetFormatPr defaultRowHeight="15"/>
  <cols>
    <col min="2" max="2" width="10.140625" bestFit="1" customWidth="1"/>
    <col min="3" max="3" width="33" bestFit="1" customWidth="1"/>
    <col min="4" max="4" width="16.5703125" bestFit="1" customWidth="1"/>
    <col min="5" max="8" width="9.140625" style="7"/>
    <col min="9" max="9" width="33" style="7" bestFit="1" customWidth="1"/>
    <col min="10" max="10" width="14.5703125" style="7" bestFit="1" customWidth="1"/>
    <col min="11" max="13" width="9.140625" style="7"/>
  </cols>
  <sheetData>
    <row r="1" spans="1:13" s="26" customFormat="1">
      <c r="A1" s="54" t="s">
        <v>105</v>
      </c>
      <c r="B1" s="54" t="s">
        <v>106</v>
      </c>
      <c r="C1" s="54" t="s">
        <v>63</v>
      </c>
      <c r="D1" s="26" t="s">
        <v>133</v>
      </c>
      <c r="E1" s="52"/>
      <c r="F1" s="52"/>
      <c r="G1" s="7"/>
      <c r="H1" s="7"/>
      <c r="I1" s="7"/>
      <c r="J1" s="53"/>
      <c r="K1" s="52"/>
      <c r="L1" s="52"/>
      <c r="M1" s="52"/>
    </row>
    <row r="2" spans="1:13">
      <c r="A2" s="55" t="s">
        <v>93</v>
      </c>
      <c r="B2" s="55" t="s">
        <v>107</v>
      </c>
      <c r="C2" s="55" t="s">
        <v>108</v>
      </c>
      <c r="D2" s="56">
        <v>141840</v>
      </c>
      <c r="J2" s="53"/>
    </row>
    <row r="3" spans="1:13">
      <c r="A3" s="55" t="s">
        <v>93</v>
      </c>
      <c r="B3" s="55" t="s">
        <v>107</v>
      </c>
      <c r="C3" s="55" t="s">
        <v>109</v>
      </c>
      <c r="D3" s="56">
        <v>67196.299069500004</v>
      </c>
      <c r="J3" s="53"/>
    </row>
    <row r="4" spans="1:13">
      <c r="A4" s="55" t="s">
        <v>93</v>
      </c>
      <c r="B4" s="55" t="s">
        <v>107</v>
      </c>
      <c r="C4" s="55" t="s">
        <v>110</v>
      </c>
      <c r="D4" s="56">
        <v>5573979.8209304996</v>
      </c>
      <c r="J4" s="53"/>
    </row>
    <row r="5" spans="1:13">
      <c r="A5" s="55" t="s">
        <v>93</v>
      </c>
      <c r="B5" s="55" t="s">
        <v>111</v>
      </c>
      <c r="C5" s="55" t="s">
        <v>112</v>
      </c>
      <c r="D5" s="56">
        <v>17563181.219999999</v>
      </c>
      <c r="J5" s="53"/>
    </row>
    <row r="6" spans="1:13">
      <c r="A6" s="55" t="s">
        <v>93</v>
      </c>
      <c r="B6" s="55" t="s">
        <v>113</v>
      </c>
      <c r="C6" s="55" t="s">
        <v>114</v>
      </c>
      <c r="D6" s="56">
        <v>127423259.25107643</v>
      </c>
      <c r="J6" s="53"/>
    </row>
    <row r="7" spans="1:13">
      <c r="A7" s="55" t="s">
        <v>93</v>
      </c>
      <c r="B7" s="55" t="s">
        <v>113</v>
      </c>
      <c r="C7" s="55" t="s">
        <v>115</v>
      </c>
      <c r="D7" s="56">
        <v>490157683.47183514</v>
      </c>
      <c r="J7" s="53"/>
    </row>
    <row r="8" spans="1:13">
      <c r="A8" s="55" t="s">
        <v>93</v>
      </c>
      <c r="B8" s="55" t="s">
        <v>113</v>
      </c>
      <c r="C8" s="55" t="s">
        <v>116</v>
      </c>
      <c r="D8" s="56">
        <v>26780017.379287284</v>
      </c>
      <c r="J8" s="53"/>
    </row>
    <row r="9" spans="1:13">
      <c r="A9" s="55" t="s">
        <v>93</v>
      </c>
      <c r="B9" s="55" t="s">
        <v>113</v>
      </c>
      <c r="C9" s="55" t="s">
        <v>117</v>
      </c>
      <c r="D9" s="56">
        <v>101348753.91682231</v>
      </c>
      <c r="J9" s="53"/>
    </row>
    <row r="10" spans="1:13">
      <c r="A10" s="55" t="s">
        <v>93</v>
      </c>
      <c r="B10" s="55" t="s">
        <v>113</v>
      </c>
      <c r="C10" s="55" t="s">
        <v>118</v>
      </c>
      <c r="D10" s="56">
        <v>10786965.971255202</v>
      </c>
      <c r="J10" s="53"/>
    </row>
    <row r="11" spans="1:13">
      <c r="A11" s="55" t="s">
        <v>93</v>
      </c>
      <c r="B11" s="55" t="s">
        <v>42</v>
      </c>
      <c r="C11" s="55" t="s">
        <v>119</v>
      </c>
      <c r="D11" s="56">
        <v>6023266.2699999996</v>
      </c>
      <c r="J11" s="53"/>
    </row>
    <row r="12" spans="1:13">
      <c r="A12" s="55" t="s">
        <v>93</v>
      </c>
      <c r="B12" s="55" t="s">
        <v>120</v>
      </c>
      <c r="C12" s="55" t="s">
        <v>115</v>
      </c>
      <c r="D12" s="56">
        <v>34765255.599137083</v>
      </c>
      <c r="J12" s="53"/>
    </row>
    <row r="13" spans="1:13">
      <c r="A13" s="55" t="s">
        <v>93</v>
      </c>
      <c r="B13" s="55" t="s">
        <v>120</v>
      </c>
      <c r="C13" s="55" t="s">
        <v>116</v>
      </c>
      <c r="D13" s="56">
        <v>10894269.768294867</v>
      </c>
      <c r="J13" s="53"/>
    </row>
    <row r="14" spans="1:13">
      <c r="A14" s="55" t="s">
        <v>93</v>
      </c>
      <c r="B14" s="55" t="s">
        <v>120</v>
      </c>
      <c r="C14" s="55" t="s">
        <v>117</v>
      </c>
      <c r="D14" s="56">
        <v>3808074.5712587554</v>
      </c>
      <c r="J14" s="53"/>
    </row>
    <row r="15" spans="1:13">
      <c r="A15" s="55" t="s">
        <v>93</v>
      </c>
      <c r="B15" s="55" t="s">
        <v>121</v>
      </c>
      <c r="C15" s="55" t="s">
        <v>115</v>
      </c>
      <c r="D15" s="56">
        <v>35572539.800066456</v>
      </c>
      <c r="J15" s="53"/>
    </row>
    <row r="16" spans="1:13">
      <c r="A16" s="55" t="s">
        <v>93</v>
      </c>
      <c r="B16" s="55" t="s">
        <v>121</v>
      </c>
      <c r="C16" s="55" t="s">
        <v>116</v>
      </c>
      <c r="D16" s="56">
        <v>13297372.524311669</v>
      </c>
      <c r="J16" s="53"/>
    </row>
    <row r="17" spans="1:10">
      <c r="A17" s="55" t="s">
        <v>93</v>
      </c>
      <c r="B17" s="55" t="s">
        <v>121</v>
      </c>
      <c r="C17" s="55" t="s">
        <v>117</v>
      </c>
      <c r="D17" s="56">
        <v>4147090.7264402411</v>
      </c>
      <c r="J17" s="53"/>
    </row>
    <row r="18" spans="1:10">
      <c r="A18" s="55" t="s">
        <v>93</v>
      </c>
      <c r="B18" s="55" t="s">
        <v>122</v>
      </c>
      <c r="C18" s="55" t="s">
        <v>115</v>
      </c>
      <c r="D18" s="56">
        <v>265342979.97746775</v>
      </c>
      <c r="J18" s="53"/>
    </row>
    <row r="19" spans="1:10">
      <c r="A19" s="55" t="s">
        <v>93</v>
      </c>
      <c r="B19" s="55" t="s">
        <v>122</v>
      </c>
      <c r="C19" s="55" t="s">
        <v>116</v>
      </c>
      <c r="D19" s="56">
        <v>47744495.21617724</v>
      </c>
      <c r="J19" s="53"/>
    </row>
    <row r="20" spans="1:10">
      <c r="A20" s="55" t="s">
        <v>93</v>
      </c>
      <c r="B20" s="55" t="s">
        <v>122</v>
      </c>
      <c r="C20" s="55" t="s">
        <v>117</v>
      </c>
      <c r="D20" s="56">
        <v>34168445.658972733</v>
      </c>
      <c r="J20" s="53"/>
    </row>
    <row r="21" spans="1:10">
      <c r="A21" s="55" t="s">
        <v>93</v>
      </c>
      <c r="B21" s="55" t="s">
        <v>123</v>
      </c>
      <c r="C21" s="55" t="s">
        <v>115</v>
      </c>
      <c r="D21" s="56">
        <v>218187177.79476365</v>
      </c>
      <c r="J21" s="53"/>
    </row>
    <row r="22" spans="1:10">
      <c r="A22" s="55" t="s">
        <v>93</v>
      </c>
      <c r="B22" s="55" t="s">
        <v>123</v>
      </c>
      <c r="C22" s="55" t="s">
        <v>116</v>
      </c>
      <c r="D22" s="56">
        <v>100410668.51701446</v>
      </c>
      <c r="J22" s="53"/>
    </row>
    <row r="23" spans="1:10">
      <c r="A23" s="55" t="s">
        <v>93</v>
      </c>
      <c r="B23" s="55" t="s">
        <v>123</v>
      </c>
      <c r="C23" s="55" t="s">
        <v>117</v>
      </c>
      <c r="D23" s="56">
        <v>27095838.11581862</v>
      </c>
      <c r="J23" s="53"/>
    </row>
    <row r="24" spans="1:10">
      <c r="A24" s="55" t="s">
        <v>95</v>
      </c>
      <c r="B24" s="55" t="s">
        <v>107</v>
      </c>
      <c r="C24" s="55" t="s">
        <v>124</v>
      </c>
      <c r="D24" s="56">
        <v>6331376.5700000003</v>
      </c>
      <c r="J24" s="53"/>
    </row>
    <row r="25" spans="1:10">
      <c r="A25" s="55" t="s">
        <v>95</v>
      </c>
      <c r="B25" s="55" t="s">
        <v>107</v>
      </c>
      <c r="C25" s="55" t="s">
        <v>125</v>
      </c>
      <c r="D25" s="56">
        <v>922.9</v>
      </c>
      <c r="J25" s="53"/>
    </row>
    <row r="26" spans="1:10">
      <c r="A26" s="55" t="s">
        <v>95</v>
      </c>
      <c r="B26" s="55" t="s">
        <v>111</v>
      </c>
      <c r="C26" s="55" t="s">
        <v>112</v>
      </c>
      <c r="D26" s="56">
        <v>11814603.74</v>
      </c>
      <c r="J26" s="53"/>
    </row>
    <row r="27" spans="1:10">
      <c r="A27" s="55" t="s">
        <v>95</v>
      </c>
      <c r="B27" s="55" t="s">
        <v>113</v>
      </c>
      <c r="C27" s="55" t="s">
        <v>114</v>
      </c>
      <c r="D27" s="56">
        <v>38605472.022311002</v>
      </c>
      <c r="J27" s="53"/>
    </row>
    <row r="28" spans="1:10">
      <c r="A28" s="55" t="s">
        <v>95</v>
      </c>
      <c r="B28" s="55" t="s">
        <v>113</v>
      </c>
      <c r="C28" s="55" t="s">
        <v>115</v>
      </c>
      <c r="D28" s="56">
        <v>182680843.81603819</v>
      </c>
      <c r="J28" s="53"/>
    </row>
    <row r="29" spans="1:10">
      <c r="A29" s="55" t="s">
        <v>95</v>
      </c>
      <c r="B29" s="55" t="s">
        <v>113</v>
      </c>
      <c r="C29" s="55" t="s">
        <v>116</v>
      </c>
      <c r="D29" s="56">
        <v>3483090.652292348</v>
      </c>
      <c r="J29" s="53"/>
    </row>
    <row r="30" spans="1:10">
      <c r="A30" s="55" t="s">
        <v>95</v>
      </c>
      <c r="B30" s="55" t="s">
        <v>113</v>
      </c>
      <c r="C30" s="55" t="s">
        <v>117</v>
      </c>
      <c r="D30" s="56">
        <v>17552673.007404462</v>
      </c>
      <c r="J30" s="53"/>
    </row>
    <row r="31" spans="1:10">
      <c r="A31" s="55" t="s">
        <v>95</v>
      </c>
      <c r="B31" s="55" t="s">
        <v>113</v>
      </c>
      <c r="C31" s="55" t="s">
        <v>118</v>
      </c>
      <c r="D31" s="56">
        <v>4684485.6039167261</v>
      </c>
      <c r="J31" s="53"/>
    </row>
    <row r="32" spans="1:10">
      <c r="A32" s="55" t="s">
        <v>95</v>
      </c>
      <c r="B32" s="55" t="s">
        <v>42</v>
      </c>
      <c r="C32" s="55" t="s">
        <v>126</v>
      </c>
      <c r="D32" s="56">
        <v>77160.27</v>
      </c>
      <c r="J32" s="53"/>
    </row>
    <row r="33" spans="1:10">
      <c r="A33" s="55" t="s">
        <v>95</v>
      </c>
      <c r="B33" s="55" t="s">
        <v>42</v>
      </c>
      <c r="C33" s="55" t="s">
        <v>127</v>
      </c>
      <c r="D33" s="56">
        <v>2621892.4500000002</v>
      </c>
      <c r="J33" s="53"/>
    </row>
    <row r="34" spans="1:10">
      <c r="A34" s="55" t="s">
        <v>95</v>
      </c>
      <c r="B34" s="55" t="s">
        <v>42</v>
      </c>
      <c r="C34" s="55" t="s">
        <v>119</v>
      </c>
      <c r="D34" s="56">
        <v>4135017.9</v>
      </c>
      <c r="J34" s="53"/>
    </row>
    <row r="35" spans="1:10">
      <c r="A35" s="55" t="s">
        <v>95</v>
      </c>
      <c r="B35" s="55" t="s">
        <v>128</v>
      </c>
      <c r="C35" s="55" t="s">
        <v>129</v>
      </c>
      <c r="D35" s="56">
        <v>2828012.5732048885</v>
      </c>
      <c r="J35" s="53"/>
    </row>
    <row r="36" spans="1:10">
      <c r="A36" s="55" t="s">
        <v>95</v>
      </c>
      <c r="B36" s="55" t="s">
        <v>130</v>
      </c>
      <c r="C36" s="55" t="s">
        <v>114</v>
      </c>
      <c r="D36" s="56">
        <v>8887842.3663138468</v>
      </c>
      <c r="J36" s="53"/>
    </row>
    <row r="37" spans="1:10">
      <c r="A37" s="55" t="s">
        <v>95</v>
      </c>
      <c r="B37" s="55" t="s">
        <v>130</v>
      </c>
      <c r="C37" s="55" t="s">
        <v>115</v>
      </c>
      <c r="D37" s="56">
        <v>146254616.64024487</v>
      </c>
      <c r="J37" s="53"/>
    </row>
    <row r="38" spans="1:10">
      <c r="A38" s="55" t="s">
        <v>95</v>
      </c>
      <c r="B38" s="55" t="s">
        <v>130</v>
      </c>
      <c r="C38" s="55" t="s">
        <v>116</v>
      </c>
      <c r="D38" s="56">
        <v>27688825.219377786</v>
      </c>
      <c r="J38" s="53"/>
    </row>
    <row r="39" spans="1:10">
      <c r="A39" s="55" t="s">
        <v>95</v>
      </c>
      <c r="B39" s="55" t="s">
        <v>130</v>
      </c>
      <c r="C39" s="55" t="s">
        <v>117</v>
      </c>
      <c r="D39" s="56">
        <v>13972309.070936184</v>
      </c>
      <c r="J39" s="53"/>
    </row>
    <row r="40" spans="1:10">
      <c r="A40" s="55" t="s">
        <v>95</v>
      </c>
      <c r="B40" s="55" t="s">
        <v>130</v>
      </c>
      <c r="C40" s="55" t="s">
        <v>118</v>
      </c>
      <c r="D40" s="56">
        <v>133722.09792436979</v>
      </c>
      <c r="J40" s="53"/>
    </row>
    <row r="41" spans="1:10">
      <c r="A41" s="55" t="s">
        <v>95</v>
      </c>
      <c r="B41" s="55" t="s">
        <v>131</v>
      </c>
      <c r="C41" s="55" t="s">
        <v>114</v>
      </c>
      <c r="D41" s="56">
        <v>9337214.2687969934</v>
      </c>
      <c r="J41" s="53"/>
    </row>
    <row r="42" spans="1:10">
      <c r="A42" s="55" t="s">
        <v>95</v>
      </c>
      <c r="B42" s="55" t="s">
        <v>131</v>
      </c>
      <c r="C42" s="55" t="s">
        <v>115</v>
      </c>
      <c r="D42" s="56">
        <v>152274744.74378127</v>
      </c>
      <c r="J42" s="53"/>
    </row>
    <row r="43" spans="1:10">
      <c r="A43" s="55" t="s">
        <v>95</v>
      </c>
      <c r="B43" s="55" t="s">
        <v>131</v>
      </c>
      <c r="C43" s="55" t="s">
        <v>116</v>
      </c>
      <c r="D43" s="56">
        <v>26717998.535095364</v>
      </c>
      <c r="J43" s="53"/>
    </row>
    <row r="44" spans="1:10">
      <c r="A44" s="55" t="s">
        <v>95</v>
      </c>
      <c r="B44" s="55" t="s">
        <v>131</v>
      </c>
      <c r="C44" s="55" t="s">
        <v>117</v>
      </c>
      <c r="D44" s="56">
        <v>12977550.953576179</v>
      </c>
      <c r="J44" s="53"/>
    </row>
    <row r="45" spans="1:10">
      <c r="A45" s="55" t="s">
        <v>95</v>
      </c>
      <c r="B45" s="55" t="s">
        <v>131</v>
      </c>
      <c r="C45" s="55" t="s">
        <v>118</v>
      </c>
      <c r="D45" s="56">
        <v>190579.7287856233</v>
      </c>
      <c r="J45" s="53"/>
    </row>
    <row r="46" spans="1:10">
      <c r="A46" s="57" t="s">
        <v>96</v>
      </c>
      <c r="B46" s="57" t="s">
        <v>132</v>
      </c>
      <c r="C46" s="57" t="s">
        <v>119</v>
      </c>
      <c r="D46" s="58">
        <v>909045.12</v>
      </c>
      <c r="J46" s="53"/>
    </row>
    <row r="47" spans="1:10">
      <c r="A47" s="57" t="s">
        <v>96</v>
      </c>
      <c r="B47" s="57" t="s">
        <v>132</v>
      </c>
      <c r="C47" s="57" t="s">
        <v>114</v>
      </c>
      <c r="D47" s="58">
        <v>37765760.642789222</v>
      </c>
      <c r="J47" s="53"/>
    </row>
    <row r="48" spans="1:10">
      <c r="A48" s="57" t="s">
        <v>96</v>
      </c>
      <c r="B48" s="57" t="s">
        <v>132</v>
      </c>
      <c r="C48" s="57" t="s">
        <v>115</v>
      </c>
      <c r="D48" s="58">
        <v>282887489.52399993</v>
      </c>
      <c r="J48" s="53"/>
    </row>
    <row r="49" spans="1:10">
      <c r="A49" s="57" t="s">
        <v>96</v>
      </c>
      <c r="B49" s="57" t="s">
        <v>132</v>
      </c>
      <c r="C49" s="57" t="s">
        <v>116</v>
      </c>
      <c r="D49" s="58">
        <v>38601239.89121078</v>
      </c>
      <c r="J49" s="53"/>
    </row>
    <row r="50" spans="1:10">
      <c r="A50" s="57" t="s">
        <v>96</v>
      </c>
      <c r="B50" s="57" t="s">
        <v>132</v>
      </c>
      <c r="C50" s="57" t="s">
        <v>117</v>
      </c>
      <c r="D50" s="58">
        <v>16036614.420999998</v>
      </c>
      <c r="J50" s="53"/>
    </row>
    <row r="51" spans="1:10">
      <c r="A51" s="57" t="s">
        <v>96</v>
      </c>
      <c r="B51" s="57" t="s">
        <v>132</v>
      </c>
      <c r="C51" s="57" t="s">
        <v>110</v>
      </c>
      <c r="D51" s="58">
        <v>192018.18999999997</v>
      </c>
      <c r="J51" s="53"/>
    </row>
    <row r="52" spans="1:10">
      <c r="A52" s="57" t="s">
        <v>96</v>
      </c>
      <c r="B52" s="57" t="s">
        <v>132</v>
      </c>
      <c r="C52" s="57" t="s">
        <v>118</v>
      </c>
      <c r="D52" s="58">
        <v>5908515.7510000058</v>
      </c>
      <c r="J52" s="53"/>
    </row>
    <row r="53" spans="1:10">
      <c r="A53" s="57" t="s">
        <v>96</v>
      </c>
      <c r="B53" s="57" t="s">
        <v>132</v>
      </c>
      <c r="C53" s="57" t="s">
        <v>112</v>
      </c>
      <c r="D53" s="58">
        <v>7152626.6200000001</v>
      </c>
      <c r="J53" s="53"/>
    </row>
    <row r="54" spans="1:10">
      <c r="A54" s="57" t="s">
        <v>94</v>
      </c>
      <c r="B54" s="57" t="s">
        <v>132</v>
      </c>
      <c r="C54" s="57" t="s">
        <v>119</v>
      </c>
      <c r="D54" s="58">
        <v>44578.61</v>
      </c>
      <c r="J54" s="53"/>
    </row>
    <row r="55" spans="1:10">
      <c r="A55" s="57" t="s">
        <v>94</v>
      </c>
      <c r="B55" s="57" t="s">
        <v>132</v>
      </c>
      <c r="C55" s="57" t="s">
        <v>114</v>
      </c>
      <c r="D55" s="58">
        <v>4386828.4800000004</v>
      </c>
      <c r="J55" s="53"/>
    </row>
    <row r="56" spans="1:10">
      <c r="A56" s="57" t="s">
        <v>94</v>
      </c>
      <c r="B56" s="57" t="s">
        <v>132</v>
      </c>
      <c r="C56" s="57" t="s">
        <v>108</v>
      </c>
      <c r="D56" s="58">
        <v>0</v>
      </c>
      <c r="J56" s="53"/>
    </row>
    <row r="57" spans="1:10">
      <c r="A57" s="57" t="s">
        <v>94</v>
      </c>
      <c r="B57" s="57" t="s">
        <v>132</v>
      </c>
      <c r="C57" s="57" t="s">
        <v>115</v>
      </c>
      <c r="D57" s="58">
        <v>1033192.75</v>
      </c>
      <c r="J57" s="53"/>
    </row>
    <row r="58" spans="1:10">
      <c r="A58" s="57" t="s">
        <v>94</v>
      </c>
      <c r="B58" s="57" t="s">
        <v>132</v>
      </c>
      <c r="C58" s="57" t="s">
        <v>116</v>
      </c>
      <c r="D58" s="58">
        <v>1377880.24</v>
      </c>
      <c r="J58" s="53"/>
    </row>
    <row r="59" spans="1:10">
      <c r="A59" s="57" t="s">
        <v>94</v>
      </c>
      <c r="B59" s="57" t="s">
        <v>132</v>
      </c>
      <c r="C59" s="57" t="s">
        <v>117</v>
      </c>
      <c r="D59" s="58">
        <v>1682894.6400000001</v>
      </c>
      <c r="J59" s="53"/>
    </row>
    <row r="60" spans="1:10">
      <c r="A60" s="57" t="s">
        <v>94</v>
      </c>
      <c r="B60" s="57" t="s">
        <v>132</v>
      </c>
      <c r="C60" s="57" t="s">
        <v>109</v>
      </c>
      <c r="D60" s="58">
        <v>0</v>
      </c>
      <c r="J60" s="53"/>
    </row>
    <row r="61" spans="1:10">
      <c r="A61" s="57" t="s">
        <v>94</v>
      </c>
      <c r="B61" s="57" t="s">
        <v>132</v>
      </c>
      <c r="C61" s="57" t="s">
        <v>110</v>
      </c>
      <c r="D61" s="58">
        <v>52648.749999999993</v>
      </c>
      <c r="J61" s="53"/>
    </row>
    <row r="62" spans="1:10">
      <c r="A62" s="57" t="s">
        <v>94</v>
      </c>
      <c r="B62" s="57" t="s">
        <v>132</v>
      </c>
      <c r="C62" s="57" t="s">
        <v>118</v>
      </c>
      <c r="D62" s="58">
        <v>414408.02</v>
      </c>
      <c r="J62" s="53"/>
    </row>
    <row r="63" spans="1:10">
      <c r="A63" s="57" t="s">
        <v>94</v>
      </c>
      <c r="B63" s="57" t="s">
        <v>132</v>
      </c>
      <c r="C63" s="57" t="s">
        <v>112</v>
      </c>
      <c r="D63" s="58">
        <v>263712.17</v>
      </c>
      <c r="J63" s="53"/>
    </row>
    <row r="64" spans="1:10">
      <c r="J64" s="53"/>
    </row>
    <row r="65" spans="4:10">
      <c r="D65" s="64">
        <f>SUM(D2:D64)</f>
        <v>2653260760.8199992</v>
      </c>
      <c r="J65" s="53"/>
    </row>
    <row r="66" spans="4:10">
      <c r="J66" s="53"/>
    </row>
    <row r="67" spans="4:10">
      <c r="J67" s="53"/>
    </row>
    <row r="68" spans="4:10">
      <c r="J68" s="53"/>
    </row>
    <row r="69" spans="4:10">
      <c r="D69" s="64">
        <f>+D65-D63-D54-D53-D51-D46-D32-D33-D34-D26-D24-D25-D11-D4-D5-D2-D3-D61</f>
        <v>2590295693.9199996</v>
      </c>
      <c r="J69" s="53"/>
    </row>
    <row r="70" spans="4:10">
      <c r="J70" s="53"/>
    </row>
    <row r="71" spans="4:10">
      <c r="J71" s="53"/>
    </row>
    <row r="72" spans="4:10">
      <c r="J72" s="53"/>
    </row>
    <row r="73" spans="4:10">
      <c r="J73" s="53"/>
    </row>
    <row r="74" spans="4:10">
      <c r="J74" s="53"/>
    </row>
    <row r="75" spans="4:10">
      <c r="J75" s="53"/>
    </row>
    <row r="76" spans="4:10">
      <c r="J76" s="53"/>
    </row>
    <row r="77" spans="4:10">
      <c r="J77" s="53"/>
    </row>
    <row r="78" spans="4:10">
      <c r="J78" s="53"/>
    </row>
  </sheetData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139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(D35+H35)/(B35+F35)</f>
        <v>-1.7534521451867551E-2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'!$J$123</f>
        <v>20.770856928804392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N35/(L21+J35)</f>
        <v>9.6469996331755734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30.417856561979967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0.56579370151933062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24716662.811100896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(L21+J35-D35-H35-R21)/N35</f>
        <v>4.6827079621628846E-2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5.7645486677007955E-4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4.625062475485877E-2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Unit(Fcst)'!D15</f>
        <v>35572539.800066456</v>
      </c>
      <c r="M21" s="40"/>
      <c r="N21" s="40"/>
      <c r="O21" s="40"/>
      <c r="P21" s="40"/>
      <c r="Q21" s="40"/>
      <c r="R21" s="40">
        <f>'2016 YE Reserve by Unit(Fcst)'!D14</f>
        <v>20126718.965923309</v>
      </c>
    </row>
    <row r="22" spans="1:18">
      <c r="A22" s="46">
        <v>2017</v>
      </c>
      <c r="B22" s="40">
        <f>+L21*P$10</f>
        <v>266794.04850049841</v>
      </c>
      <c r="C22" s="40"/>
      <c r="D22" s="40">
        <f>+B22*P$2</f>
        <v>-80038.214550149525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35305745.751565956</v>
      </c>
      <c r="M22" s="40"/>
      <c r="N22" s="40">
        <f>(L21+L22)/2</f>
        <v>35439142.775816202</v>
      </c>
      <c r="O22" s="40"/>
      <c r="P22" s="40">
        <f>N22*$P$12</f>
        <v>1659511.560485418</v>
      </c>
      <c r="Q22" s="40"/>
      <c r="R22" s="40">
        <f>R21+P22-B22-F22+D22</f>
        <v>21439398.263358083</v>
      </c>
    </row>
    <row r="23" spans="1:18">
      <c r="A23" s="46">
        <f>A22+1</f>
        <v>2018</v>
      </c>
      <c r="B23" s="40">
        <f t="shared" ref="B23:B29" si="0">+L22*P$10</f>
        <v>264793.09313674463</v>
      </c>
      <c r="C23" s="40"/>
      <c r="D23" s="40">
        <f t="shared" ref="D23:D31" si="1">+B23*P$2</f>
        <v>-79437.927941023387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31" si="2">L22+J23-B23-F23</f>
        <v>35040952.658429213</v>
      </c>
      <c r="M23" s="40"/>
      <c r="N23" s="40">
        <f t="shared" ref="N23:N30" si="3">(L22+L23)/2</f>
        <v>35173349.204997584</v>
      </c>
      <c r="O23" s="40"/>
      <c r="P23" s="40">
        <f t="shared" ref="P23:P31" si="4">N23*$P$12</f>
        <v>1647065.2237817775</v>
      </c>
      <c r="Q23" s="40"/>
      <c r="R23" s="40">
        <f t="shared" ref="R23:R31" si="5">R22+P23-B23-F23+D23</f>
        <v>22742232.466062088</v>
      </c>
    </row>
    <row r="24" spans="1:18">
      <c r="A24" s="46">
        <f t="shared" ref="A24:A31" si="6">A23+1</f>
        <v>2019</v>
      </c>
      <c r="B24" s="40">
        <f t="shared" si="0"/>
        <v>262807.14493821911</v>
      </c>
      <c r="C24" s="40"/>
      <c r="D24" s="40">
        <f t="shared" si="1"/>
        <v>-78842.143481465726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34778145.513490997</v>
      </c>
      <c r="M24" s="40"/>
      <c r="N24" s="40">
        <f t="shared" si="3"/>
        <v>34909549.085960105</v>
      </c>
      <c r="O24" s="40"/>
      <c r="P24" s="40">
        <f t="shared" si="4"/>
        <v>1634712.2346034143</v>
      </c>
      <c r="Q24" s="40"/>
      <c r="R24" s="40">
        <f t="shared" si="5"/>
        <v>24035295.412245817</v>
      </c>
    </row>
    <row r="25" spans="1:18">
      <c r="A25" s="46">
        <f t="shared" si="6"/>
        <v>2020</v>
      </c>
      <c r="B25" s="40">
        <f t="shared" si="0"/>
        <v>260836.09135118246</v>
      </c>
      <c r="C25" s="40"/>
      <c r="D25" s="40">
        <f t="shared" si="1"/>
        <v>-78250.827405354736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34517309.422139816</v>
      </c>
      <c r="M25" s="40"/>
      <c r="N25" s="40">
        <f t="shared" si="3"/>
        <v>34647727.467815407</v>
      </c>
      <c r="O25" s="40"/>
      <c r="P25" s="40">
        <f t="shared" si="4"/>
        <v>1622451.8928438888</v>
      </c>
      <c r="Q25" s="40"/>
      <c r="R25" s="40">
        <f t="shared" si="5"/>
        <v>25318660.386333168</v>
      </c>
    </row>
    <row r="26" spans="1:18">
      <c r="A26" s="46">
        <f t="shared" si="6"/>
        <v>2021</v>
      </c>
      <c r="B26" s="40">
        <f t="shared" si="0"/>
        <v>258879.82066604862</v>
      </c>
      <c r="C26" s="40"/>
      <c r="D26" s="40">
        <f t="shared" si="1"/>
        <v>-77663.946199814585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34258429.601473771</v>
      </c>
      <c r="M26" s="40"/>
      <c r="N26" s="40">
        <f t="shared" si="3"/>
        <v>34387869.511806794</v>
      </c>
      <c r="O26" s="40"/>
      <c r="P26" s="40">
        <f t="shared" si="4"/>
        <v>1610283.5036475598</v>
      </c>
      <c r="Q26" s="40"/>
      <c r="R26" s="40">
        <f t="shared" si="5"/>
        <v>26592400.123114862</v>
      </c>
    </row>
    <row r="27" spans="1:18">
      <c r="A27" s="46">
        <f t="shared" si="6"/>
        <v>2022</v>
      </c>
      <c r="B27" s="40">
        <f t="shared" si="0"/>
        <v>256938.22201105327</v>
      </c>
      <c r="C27" s="40"/>
      <c r="D27" s="40">
        <f t="shared" si="1"/>
        <v>-77081.466603315974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34001491.379462719</v>
      </c>
      <c r="M27" s="40"/>
      <c r="N27" s="40">
        <f t="shared" si="3"/>
        <v>34129960.490468249</v>
      </c>
      <c r="O27" s="40"/>
      <c r="P27" s="40">
        <f t="shared" si="4"/>
        <v>1598206.3773702034</v>
      </c>
      <c r="Q27" s="40"/>
      <c r="R27" s="40">
        <f t="shared" si="5"/>
        <v>27856586.811870698</v>
      </c>
    </row>
    <row r="28" spans="1:18">
      <c r="A28" s="46">
        <f t="shared" si="6"/>
        <v>2023</v>
      </c>
      <c r="B28" s="40">
        <f t="shared" si="0"/>
        <v>255011.18534597039</v>
      </c>
      <c r="C28" s="40"/>
      <c r="D28" s="40">
        <f t="shared" si="1"/>
        <v>-76503.355603791118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33746480.194116749</v>
      </c>
      <c r="M28" s="40"/>
      <c r="N28" s="40">
        <f t="shared" si="3"/>
        <v>33873985.78678973</v>
      </c>
      <c r="O28" s="40"/>
      <c r="P28" s="40">
        <f t="shared" si="4"/>
        <v>1586219.8295399265</v>
      </c>
      <c r="Q28" s="40"/>
      <c r="R28" s="40">
        <f t="shared" si="5"/>
        <v>29111292.100460861</v>
      </c>
    </row>
    <row r="29" spans="1:18">
      <c r="A29" s="46">
        <f t="shared" si="6"/>
        <v>2024</v>
      </c>
      <c r="B29" s="40">
        <f t="shared" si="0"/>
        <v>253098.60145587561</v>
      </c>
      <c r="C29" s="40"/>
      <c r="D29" s="40">
        <f t="shared" si="1"/>
        <v>-75929.580436762684</v>
      </c>
      <c r="E29" s="40"/>
      <c r="F29" s="40">
        <v>0</v>
      </c>
      <c r="G29" s="40"/>
      <c r="H29" s="40"/>
      <c r="I29" s="40"/>
      <c r="J29" s="40">
        <v>0</v>
      </c>
      <c r="K29" s="40"/>
      <c r="L29" s="40">
        <f t="shared" si="2"/>
        <v>33493381.592660874</v>
      </c>
      <c r="M29" s="40"/>
      <c r="N29" s="40">
        <f t="shared" si="3"/>
        <v>33619930.893388808</v>
      </c>
      <c r="O29" s="40"/>
      <c r="P29" s="40">
        <f t="shared" si="4"/>
        <v>1574323.1808183771</v>
      </c>
      <c r="Q29" s="40"/>
      <c r="R29" s="40">
        <f t="shared" si="5"/>
        <v>30356587.099386599</v>
      </c>
    </row>
    <row r="30" spans="1:18">
      <c r="A30" s="46">
        <f t="shared" si="6"/>
        <v>2025</v>
      </c>
      <c r="B30" s="40">
        <v>0</v>
      </c>
      <c r="C30" s="40"/>
      <c r="D30" s="40">
        <f t="shared" si="1"/>
        <v>0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33493381.592660874</v>
      </c>
      <c r="M30" s="40"/>
      <c r="N30" s="40">
        <f t="shared" si="3"/>
        <v>33493381.592660874</v>
      </c>
      <c r="O30" s="40"/>
      <c r="P30" s="40">
        <f t="shared" si="4"/>
        <v>1568397.2466371288</v>
      </c>
      <c r="Q30" s="40"/>
      <c r="R30" s="40">
        <f t="shared" si="5"/>
        <v>31924984.346023727</v>
      </c>
    </row>
    <row r="31" spans="1:18">
      <c r="A31" s="46">
        <f t="shared" si="6"/>
        <v>2026</v>
      </c>
      <c r="B31" s="40">
        <v>0</v>
      </c>
      <c r="C31" s="40"/>
      <c r="D31" s="40">
        <f t="shared" si="1"/>
        <v>0</v>
      </c>
      <c r="E31" s="40"/>
      <c r="F31" s="40">
        <f>L30</f>
        <v>33493381.592660874</v>
      </c>
      <c r="G31" s="40"/>
      <c r="H31" s="40"/>
      <c r="I31" s="40"/>
      <c r="J31" s="40">
        <v>0</v>
      </c>
      <c r="K31" s="40"/>
      <c r="L31" s="40">
        <f t="shared" si="2"/>
        <v>0</v>
      </c>
      <c r="M31" s="40"/>
      <c r="N31" s="40">
        <f>+L30</f>
        <v>33493381.592660874</v>
      </c>
      <c r="O31" s="40"/>
      <c r="P31" s="40">
        <f t="shared" si="4"/>
        <v>1568397.2466371288</v>
      </c>
      <c r="Q31" s="40"/>
      <c r="R31" s="40">
        <f t="shared" si="5"/>
        <v>-1.862645149230957E-8</v>
      </c>
    </row>
    <row r="32" spans="1:18">
      <c r="A32" s="46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6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>
      <c r="A34" s="46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2" t="s">
        <v>38</v>
      </c>
      <c r="B35" s="38">
        <f>SUM(B22:B31)</f>
        <v>2079158.2074055925</v>
      </c>
      <c r="C35" s="38" t="s">
        <v>39</v>
      </c>
      <c r="D35" s="38">
        <f>SUM(D22:D31)</f>
        <v>-623747.46222167765</v>
      </c>
      <c r="E35" s="38">
        <v>0</v>
      </c>
      <c r="F35" s="38">
        <f>SUM(F22:F31)</f>
        <v>33493381.592660874</v>
      </c>
      <c r="G35" s="38" t="s">
        <v>39</v>
      </c>
      <c r="H35" s="38">
        <f>SUM(H22:H31)</f>
        <v>0</v>
      </c>
      <c r="I35" s="38">
        <v>0</v>
      </c>
      <c r="J35" s="38">
        <f>SUM(J22:J31)</f>
        <v>0</v>
      </c>
      <c r="K35" s="40"/>
      <c r="L35" s="40"/>
      <c r="M35" s="40"/>
      <c r="N35" s="38">
        <f>SUM(N22:N31)</f>
        <v>343168278.40236461</v>
      </c>
      <c r="O35" s="40"/>
      <c r="P35" s="38">
        <f>SUM(P22:P31)</f>
        <v>16069568.296364821</v>
      </c>
      <c r="Q35" s="40"/>
      <c r="R35" s="40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A61" sqref="A61:XFD70"/>
    </sheetView>
  </sheetViews>
  <sheetFormatPr defaultRowHeight="15"/>
  <cols>
    <col min="2" max="2" width="10.140625" bestFit="1" customWidth="1"/>
    <col min="3" max="3" width="33" bestFit="1" customWidth="1"/>
    <col min="4" max="4" width="15.28515625" bestFit="1" customWidth="1"/>
  </cols>
  <sheetData>
    <row r="1" spans="1:4" s="61" customFormat="1" ht="45">
      <c r="A1" s="62" t="s">
        <v>105</v>
      </c>
      <c r="B1" s="62" t="s">
        <v>106</v>
      </c>
      <c r="C1" s="62" t="s">
        <v>63</v>
      </c>
      <c r="D1" s="62" t="s">
        <v>136</v>
      </c>
    </row>
    <row r="2" spans="1:4">
      <c r="A2" s="59" t="s">
        <v>93</v>
      </c>
      <c r="B2" s="59" t="s">
        <v>107</v>
      </c>
      <c r="C2" s="59" t="s">
        <v>108</v>
      </c>
      <c r="D2" s="60">
        <v>141840</v>
      </c>
    </row>
    <row r="3" spans="1:4">
      <c r="A3" s="59" t="s">
        <v>93</v>
      </c>
      <c r="B3" s="59" t="s">
        <v>107</v>
      </c>
      <c r="C3" s="59" t="s">
        <v>109</v>
      </c>
      <c r="D3" s="60">
        <v>47333.768000000011</v>
      </c>
    </row>
    <row r="4" spans="1:4">
      <c r="A4" s="59" t="s">
        <v>93</v>
      </c>
      <c r="B4" s="59" t="s">
        <v>107</v>
      </c>
      <c r="C4" s="59" t="s">
        <v>110</v>
      </c>
      <c r="D4" s="60">
        <v>2225810.1443414595</v>
      </c>
    </row>
    <row r="5" spans="1:4">
      <c r="A5" s="59" t="s">
        <v>93</v>
      </c>
      <c r="B5" s="59" t="s">
        <v>111</v>
      </c>
      <c r="C5" s="59" t="s">
        <v>112</v>
      </c>
      <c r="D5" s="60">
        <v>664430.57999999996</v>
      </c>
    </row>
    <row r="6" spans="1:4">
      <c r="A6" s="59" t="s">
        <v>93</v>
      </c>
      <c r="B6" s="59" t="s">
        <v>134</v>
      </c>
      <c r="C6" s="59" t="s">
        <v>114</v>
      </c>
      <c r="D6" s="60">
        <v>73610727.892538294</v>
      </c>
    </row>
    <row r="7" spans="1:4">
      <c r="A7" s="59" t="s">
        <v>93</v>
      </c>
      <c r="B7" s="59" t="s">
        <v>134</v>
      </c>
      <c r="C7" s="59" t="s">
        <v>115</v>
      </c>
      <c r="D7" s="60">
        <v>129493866.3587839</v>
      </c>
    </row>
    <row r="8" spans="1:4">
      <c r="A8" s="59" t="s">
        <v>93</v>
      </c>
      <c r="B8" s="59" t="s">
        <v>134</v>
      </c>
      <c r="C8" s="59" t="s">
        <v>116</v>
      </c>
      <c r="D8" s="60">
        <v>14449285.479353713</v>
      </c>
    </row>
    <row r="9" spans="1:4">
      <c r="A9" s="59" t="s">
        <v>93</v>
      </c>
      <c r="B9" s="59" t="s">
        <v>134</v>
      </c>
      <c r="C9" s="59" t="s">
        <v>117</v>
      </c>
      <c r="D9" s="60">
        <v>29330511.202714279</v>
      </c>
    </row>
    <row r="10" spans="1:4">
      <c r="A10" s="59" t="s">
        <v>93</v>
      </c>
      <c r="B10" s="59" t="s">
        <v>134</v>
      </c>
      <c r="C10" s="59" t="s">
        <v>118</v>
      </c>
      <c r="D10" s="60">
        <v>2006363.1362946164</v>
      </c>
    </row>
    <row r="11" spans="1:4">
      <c r="A11" s="59" t="s">
        <v>93</v>
      </c>
      <c r="B11" s="59" t="s">
        <v>120</v>
      </c>
      <c r="C11" s="59" t="s">
        <v>115</v>
      </c>
      <c r="D11" s="60">
        <v>21085292.456011631</v>
      </c>
    </row>
    <row r="12" spans="1:4">
      <c r="A12" s="59" t="s">
        <v>93</v>
      </c>
      <c r="B12" s="59" t="s">
        <v>120</v>
      </c>
      <c r="C12" s="59" t="s">
        <v>116</v>
      </c>
      <c r="D12" s="60">
        <v>5520254.4817983769</v>
      </c>
    </row>
    <row r="13" spans="1:4">
      <c r="A13" s="59" t="s">
        <v>93</v>
      </c>
      <c r="B13" s="59" t="s">
        <v>120</v>
      </c>
      <c r="C13" s="59" t="s">
        <v>117</v>
      </c>
      <c r="D13" s="60">
        <v>1826135.977113398</v>
      </c>
    </row>
    <row r="14" spans="1:4">
      <c r="A14" s="59" t="s">
        <v>93</v>
      </c>
      <c r="B14" s="59" t="s">
        <v>121</v>
      </c>
      <c r="C14" s="59" t="s">
        <v>115</v>
      </c>
      <c r="D14" s="60">
        <v>20126718.965923309</v>
      </c>
    </row>
    <row r="15" spans="1:4">
      <c r="A15" s="59" t="s">
        <v>93</v>
      </c>
      <c r="B15" s="59" t="s">
        <v>121</v>
      </c>
      <c r="C15" s="59" t="s">
        <v>116</v>
      </c>
      <c r="D15" s="60">
        <v>2004434.6703687955</v>
      </c>
    </row>
    <row r="16" spans="1:4">
      <c r="A16" s="59" t="s">
        <v>93</v>
      </c>
      <c r="B16" s="59" t="s">
        <v>121</v>
      </c>
      <c r="C16" s="59" t="s">
        <v>117</v>
      </c>
      <c r="D16" s="60">
        <v>2016301.3685209129</v>
      </c>
    </row>
    <row r="17" spans="1:4">
      <c r="A17" s="59" t="s">
        <v>93</v>
      </c>
      <c r="B17" s="59" t="s">
        <v>122</v>
      </c>
      <c r="C17" s="59" t="s">
        <v>115</v>
      </c>
      <c r="D17" s="60">
        <v>35174223.405142866</v>
      </c>
    </row>
    <row r="18" spans="1:4">
      <c r="A18" s="59" t="s">
        <v>93</v>
      </c>
      <c r="B18" s="59" t="s">
        <v>122</v>
      </c>
      <c r="C18" s="59" t="s">
        <v>116</v>
      </c>
      <c r="D18" s="60">
        <v>13118900.880126452</v>
      </c>
    </row>
    <row r="19" spans="1:4">
      <c r="A19" s="59" t="s">
        <v>93</v>
      </c>
      <c r="B19" s="59" t="s">
        <v>122</v>
      </c>
      <c r="C19" s="59" t="s">
        <v>117</v>
      </c>
      <c r="D19" s="60">
        <v>8742892.3651435729</v>
      </c>
    </row>
    <row r="20" spans="1:4">
      <c r="A20" s="59" t="s">
        <v>93</v>
      </c>
      <c r="B20" s="59" t="s">
        <v>123</v>
      </c>
      <c r="C20" s="59" t="s">
        <v>115</v>
      </c>
      <c r="D20" s="60">
        <v>45405542.284463786</v>
      </c>
    </row>
    <row r="21" spans="1:4">
      <c r="A21" s="59" t="s">
        <v>93</v>
      </c>
      <c r="B21" s="59" t="s">
        <v>123</v>
      </c>
      <c r="C21" s="59" t="s">
        <v>116</v>
      </c>
      <c r="D21" s="60">
        <v>21716000.072998237</v>
      </c>
    </row>
    <row r="22" spans="1:4">
      <c r="A22" s="59" t="s">
        <v>93</v>
      </c>
      <c r="B22" s="59" t="s">
        <v>123</v>
      </c>
      <c r="C22" s="59" t="s">
        <v>117</v>
      </c>
      <c r="D22" s="60">
        <v>14105733.238808008</v>
      </c>
    </row>
    <row r="23" spans="1:4">
      <c r="A23" s="59" t="s">
        <v>95</v>
      </c>
      <c r="B23" s="59" t="s">
        <v>107</v>
      </c>
      <c r="C23" s="59" t="s">
        <v>127</v>
      </c>
      <c r="D23" s="60">
        <v>2621892.4500000002</v>
      </c>
    </row>
    <row r="24" spans="1:4">
      <c r="A24" s="59" t="s">
        <v>95</v>
      </c>
      <c r="B24" s="59" t="s">
        <v>107</v>
      </c>
      <c r="C24" s="59" t="s">
        <v>124</v>
      </c>
      <c r="D24" s="60">
        <v>6331376.5700000003</v>
      </c>
    </row>
    <row r="25" spans="1:4">
      <c r="A25" s="59" t="s">
        <v>95</v>
      </c>
      <c r="B25" s="59" t="s">
        <v>107</v>
      </c>
      <c r="C25" s="59" t="s">
        <v>125</v>
      </c>
      <c r="D25" s="60">
        <v>922.9</v>
      </c>
    </row>
    <row r="26" spans="1:4">
      <c r="A26" s="59" t="s">
        <v>95</v>
      </c>
      <c r="B26" s="59" t="s">
        <v>111</v>
      </c>
      <c r="C26" s="59" t="s">
        <v>112</v>
      </c>
      <c r="D26" s="60">
        <v>283144.53999999998</v>
      </c>
    </row>
    <row r="27" spans="1:4">
      <c r="A27" s="59" t="s">
        <v>95</v>
      </c>
      <c r="B27" s="59" t="s">
        <v>134</v>
      </c>
      <c r="C27" s="59" t="s">
        <v>114</v>
      </c>
      <c r="D27" s="60">
        <v>14868760.319092141</v>
      </c>
    </row>
    <row r="28" spans="1:4">
      <c r="A28" s="59" t="s">
        <v>95</v>
      </c>
      <c r="B28" s="59" t="s">
        <v>134</v>
      </c>
      <c r="C28" s="59" t="s">
        <v>115</v>
      </c>
      <c r="D28" s="60">
        <v>25298651.711122807</v>
      </c>
    </row>
    <row r="29" spans="1:4">
      <c r="A29" s="59" t="s">
        <v>95</v>
      </c>
      <c r="B29" s="59" t="s">
        <v>134</v>
      </c>
      <c r="C29" s="59" t="s">
        <v>116</v>
      </c>
      <c r="D29" s="60">
        <v>2486962.5301634832</v>
      </c>
    </row>
    <row r="30" spans="1:4">
      <c r="A30" s="59" t="s">
        <v>95</v>
      </c>
      <c r="B30" s="59" t="s">
        <v>134</v>
      </c>
      <c r="C30" s="59" t="s">
        <v>117</v>
      </c>
      <c r="D30" s="60">
        <v>1358605.0077261606</v>
      </c>
    </row>
    <row r="31" spans="1:4">
      <c r="A31" s="59" t="s">
        <v>95</v>
      </c>
      <c r="B31" s="59" t="s">
        <v>134</v>
      </c>
      <c r="C31" s="59" t="s">
        <v>118</v>
      </c>
      <c r="D31" s="60">
        <v>1566417.3680947551</v>
      </c>
    </row>
    <row r="32" spans="1:4">
      <c r="A32" s="59" t="s">
        <v>95</v>
      </c>
      <c r="B32" s="59" t="s">
        <v>42</v>
      </c>
      <c r="C32" s="59" t="s">
        <v>126</v>
      </c>
      <c r="D32" s="60">
        <v>44752.683780000021</v>
      </c>
    </row>
    <row r="33" spans="1:4">
      <c r="A33" s="59" t="s">
        <v>95</v>
      </c>
      <c r="B33" s="59" t="s">
        <v>135</v>
      </c>
      <c r="C33" s="59" t="s">
        <v>129</v>
      </c>
      <c r="D33" s="60">
        <v>1508465.337362939</v>
      </c>
    </row>
    <row r="34" spans="1:4">
      <c r="A34" s="59" t="s">
        <v>95</v>
      </c>
      <c r="B34" s="59" t="s">
        <v>130</v>
      </c>
      <c r="C34" s="59" t="s">
        <v>114</v>
      </c>
      <c r="D34" s="60">
        <v>8072878.6312705986</v>
      </c>
    </row>
    <row r="35" spans="1:4">
      <c r="A35" s="59" t="s">
        <v>95</v>
      </c>
      <c r="B35" s="59" t="s">
        <v>130</v>
      </c>
      <c r="C35" s="59" t="s">
        <v>115</v>
      </c>
      <c r="D35" s="60">
        <v>32853791.760506831</v>
      </c>
    </row>
    <row r="36" spans="1:4">
      <c r="A36" s="59" t="s">
        <v>95</v>
      </c>
      <c r="B36" s="59" t="s">
        <v>130</v>
      </c>
      <c r="C36" s="59" t="s">
        <v>116</v>
      </c>
      <c r="D36" s="60">
        <v>10860080.405507777</v>
      </c>
    </row>
    <row r="37" spans="1:4">
      <c r="A37" s="59" t="s">
        <v>95</v>
      </c>
      <c r="B37" s="59" t="s">
        <v>130</v>
      </c>
      <c r="C37" s="59" t="s">
        <v>117</v>
      </c>
      <c r="D37" s="60">
        <v>8431567.9560076725</v>
      </c>
    </row>
    <row r="38" spans="1:4">
      <c r="A38" s="59" t="s">
        <v>95</v>
      </c>
      <c r="B38" s="59" t="s">
        <v>130</v>
      </c>
      <c r="C38" s="59" t="s">
        <v>118</v>
      </c>
      <c r="D38" s="60">
        <v>-3251.7009216784031</v>
      </c>
    </row>
    <row r="39" spans="1:4">
      <c r="A39" s="59" t="s">
        <v>95</v>
      </c>
      <c r="B39" s="59" t="s">
        <v>131</v>
      </c>
      <c r="C39" s="59" t="s">
        <v>114</v>
      </c>
      <c r="D39" s="60">
        <v>8581737.4665015936</v>
      </c>
    </row>
    <row r="40" spans="1:4">
      <c r="A40" s="59" t="s">
        <v>95</v>
      </c>
      <c r="B40" s="59" t="s">
        <v>131</v>
      </c>
      <c r="C40" s="59" t="s">
        <v>115</v>
      </c>
      <c r="D40" s="60">
        <v>29842724.681787539</v>
      </c>
    </row>
    <row r="41" spans="1:4">
      <c r="A41" s="59" t="s">
        <v>95</v>
      </c>
      <c r="B41" s="59" t="s">
        <v>131</v>
      </c>
      <c r="C41" s="59" t="s">
        <v>116</v>
      </c>
      <c r="D41" s="60">
        <v>13212345.728191694</v>
      </c>
    </row>
    <row r="42" spans="1:4">
      <c r="A42" s="59" t="s">
        <v>95</v>
      </c>
      <c r="B42" s="59" t="s">
        <v>131</v>
      </c>
      <c r="C42" s="59" t="s">
        <v>117</v>
      </c>
      <c r="D42" s="60">
        <v>8986520.9481771551</v>
      </c>
    </row>
    <row r="43" spans="1:4">
      <c r="A43" s="59" t="s">
        <v>95</v>
      </c>
      <c r="B43" s="59" t="s">
        <v>131</v>
      </c>
      <c r="C43" s="59" t="s">
        <v>118</v>
      </c>
      <c r="D43" s="60">
        <v>37368.887803036348</v>
      </c>
    </row>
    <row r="44" spans="1:4">
      <c r="A44" s="63" t="s">
        <v>96</v>
      </c>
      <c r="B44" s="63" t="s">
        <v>132</v>
      </c>
      <c r="C44" s="63" t="s">
        <v>119</v>
      </c>
      <c r="D44" s="64">
        <v>0</v>
      </c>
    </row>
    <row r="45" spans="1:4">
      <c r="A45" s="63" t="s">
        <v>96</v>
      </c>
      <c r="B45" s="63" t="s">
        <v>132</v>
      </c>
      <c r="C45" s="63" t="s">
        <v>114</v>
      </c>
      <c r="D45" s="64">
        <v>21648703.458702374</v>
      </c>
    </row>
    <row r="46" spans="1:4">
      <c r="A46" s="63" t="s">
        <v>96</v>
      </c>
      <c r="B46" s="63" t="s">
        <v>132</v>
      </c>
      <c r="C46" s="63" t="s">
        <v>115</v>
      </c>
      <c r="D46" s="64">
        <v>79700704.026006654</v>
      </c>
    </row>
    <row r="47" spans="1:4">
      <c r="A47" s="63" t="s">
        <v>96</v>
      </c>
      <c r="B47" s="63" t="s">
        <v>132</v>
      </c>
      <c r="C47" s="63" t="s">
        <v>116</v>
      </c>
      <c r="D47" s="64">
        <v>23275983.437504284</v>
      </c>
    </row>
    <row r="48" spans="1:4">
      <c r="A48" s="63" t="s">
        <v>96</v>
      </c>
      <c r="B48" s="63" t="s">
        <v>132</v>
      </c>
      <c r="C48" s="63" t="s">
        <v>117</v>
      </c>
      <c r="D48" s="64">
        <v>6121132.8348016683</v>
      </c>
    </row>
    <row r="49" spans="1:4">
      <c r="A49" s="63" t="s">
        <v>96</v>
      </c>
      <c r="B49" s="63" t="s">
        <v>132</v>
      </c>
      <c r="C49" s="63" t="s">
        <v>110</v>
      </c>
      <c r="D49" s="64">
        <v>153393.89256883008</v>
      </c>
    </row>
    <row r="50" spans="1:4">
      <c r="A50" s="63" t="s">
        <v>96</v>
      </c>
      <c r="B50" s="63" t="s">
        <v>132</v>
      </c>
      <c r="C50" s="63" t="s">
        <v>118</v>
      </c>
      <c r="D50" s="64">
        <v>3485686.6514016655</v>
      </c>
    </row>
    <row r="51" spans="1:4">
      <c r="A51" s="63" t="s">
        <v>96</v>
      </c>
      <c r="B51" s="63" t="s">
        <v>132</v>
      </c>
      <c r="C51" s="63" t="s">
        <v>112</v>
      </c>
      <c r="D51" s="64">
        <v>520178.37</v>
      </c>
    </row>
    <row r="52" spans="1:4">
      <c r="A52" s="63" t="s">
        <v>94</v>
      </c>
      <c r="B52" s="63" t="s">
        <v>132</v>
      </c>
      <c r="C52" s="63" t="s">
        <v>114</v>
      </c>
      <c r="D52" s="64">
        <v>4792336.1400000006</v>
      </c>
    </row>
    <row r="53" spans="1:4">
      <c r="A53" s="63" t="s">
        <v>94</v>
      </c>
      <c r="B53" s="63" t="s">
        <v>132</v>
      </c>
      <c r="C53" s="63" t="s">
        <v>108</v>
      </c>
      <c r="D53" s="64">
        <v>0</v>
      </c>
    </row>
    <row r="54" spans="1:4">
      <c r="A54" s="63" t="s">
        <v>94</v>
      </c>
      <c r="B54" s="63" t="s">
        <v>132</v>
      </c>
      <c r="C54" s="63" t="s">
        <v>115</v>
      </c>
      <c r="D54" s="64">
        <v>1415335.55</v>
      </c>
    </row>
    <row r="55" spans="1:4">
      <c r="A55" s="63" t="s">
        <v>94</v>
      </c>
      <c r="B55" s="63" t="s">
        <v>132</v>
      </c>
      <c r="C55" s="63" t="s">
        <v>116</v>
      </c>
      <c r="D55" s="64">
        <v>2082312.21</v>
      </c>
    </row>
    <row r="56" spans="1:4">
      <c r="A56" s="63" t="s">
        <v>94</v>
      </c>
      <c r="B56" s="63" t="s">
        <v>132</v>
      </c>
      <c r="C56" s="63" t="s">
        <v>117</v>
      </c>
      <c r="D56" s="64">
        <v>2116319.44</v>
      </c>
    </row>
    <row r="57" spans="1:4">
      <c r="A57" s="63" t="s">
        <v>94</v>
      </c>
      <c r="B57" s="63" t="s">
        <v>132</v>
      </c>
      <c r="C57" s="63" t="s">
        <v>109</v>
      </c>
      <c r="D57" s="64">
        <v>0</v>
      </c>
    </row>
    <row r="58" spans="1:4">
      <c r="A58" s="63" t="s">
        <v>94</v>
      </c>
      <c r="B58" s="63" t="s">
        <v>132</v>
      </c>
      <c r="C58" s="63" t="s">
        <v>110</v>
      </c>
      <c r="D58" s="64">
        <v>21329.652478749977</v>
      </c>
    </row>
    <row r="59" spans="1:4">
      <c r="A59" s="63" t="s">
        <v>94</v>
      </c>
      <c r="B59" s="63" t="s">
        <v>132</v>
      </c>
      <c r="C59" s="63" t="s">
        <v>118</v>
      </c>
      <c r="D59" s="64">
        <v>269610.23</v>
      </c>
    </row>
    <row r="60" spans="1:4">
      <c r="A60" s="63" t="s">
        <v>94</v>
      </c>
      <c r="B60" s="63" t="s">
        <v>132</v>
      </c>
      <c r="C60" s="63" t="s">
        <v>112</v>
      </c>
      <c r="D60" s="64">
        <v>287630.68</v>
      </c>
    </row>
    <row r="61" spans="1:4">
      <c r="D61" s="64">
        <f>SUM(D2:D60)</f>
        <v>765948971.48408437</v>
      </c>
    </row>
    <row r="63" spans="1:4">
      <c r="C63" t="s">
        <v>211</v>
      </c>
      <c r="D63" s="127">
        <v>161495243.63999999</v>
      </c>
    </row>
    <row r="64" spans="1:4">
      <c r="D64" s="126">
        <f>D61+D63</f>
        <v>927444215.12408435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workbookViewId="0">
      <selection activeCell="A5" sqref="A5:K5"/>
    </sheetView>
  </sheetViews>
  <sheetFormatPr defaultRowHeight="15"/>
  <cols>
    <col min="1" max="1" width="15.140625" customWidth="1"/>
    <col min="2" max="2" width="9.42578125" style="63" bestFit="1" customWidth="1"/>
    <col min="3" max="3" width="42" customWidth="1"/>
    <col min="5" max="5" width="26.42578125" customWidth="1"/>
    <col min="7" max="7" width="18.140625" bestFit="1" customWidth="1"/>
    <col min="8" max="8" width="2.42578125" customWidth="1"/>
    <col min="9" max="9" width="12.7109375" style="90" bestFit="1" customWidth="1"/>
    <col min="10" max="10" width="3.42578125" customWidth="1"/>
    <col min="11" max="11" width="20.140625" customWidth="1"/>
  </cols>
  <sheetData>
    <row r="1" spans="1:11" ht="15.7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5.75">
      <c r="A2" s="67"/>
      <c r="B2" s="67"/>
      <c r="C2" s="67"/>
      <c r="D2" s="67"/>
      <c r="E2" s="67"/>
      <c r="F2" s="67"/>
      <c r="G2" s="67"/>
      <c r="H2" s="67"/>
      <c r="I2" s="116"/>
      <c r="J2" s="67"/>
      <c r="K2" s="67"/>
    </row>
    <row r="3" spans="1:11" ht="15.75">
      <c r="A3" s="134" t="s">
        <v>148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5.75">
      <c r="A4" s="134" t="s">
        <v>217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.75">
      <c r="A5" s="134" t="s">
        <v>149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11" ht="15.75">
      <c r="A6" s="82"/>
      <c r="B6" s="82"/>
      <c r="C6" s="82"/>
      <c r="D6" s="82"/>
      <c r="E6" s="82"/>
      <c r="F6" s="82"/>
      <c r="G6" s="82"/>
      <c r="H6" s="82"/>
      <c r="I6" s="117"/>
      <c r="J6" s="82"/>
      <c r="K6" s="82"/>
    </row>
    <row r="7" spans="1:11" ht="15.75">
      <c r="A7" s="118"/>
      <c r="B7" s="118"/>
      <c r="C7" s="118"/>
      <c r="D7" s="118"/>
      <c r="E7" s="118"/>
      <c r="F7" s="118"/>
      <c r="G7" s="118"/>
      <c r="H7" s="118"/>
      <c r="I7" s="119" t="s">
        <v>150</v>
      </c>
      <c r="J7" s="120"/>
      <c r="K7" s="120" t="s">
        <v>150</v>
      </c>
    </row>
    <row r="8" spans="1:11" ht="15.75">
      <c r="A8" s="103"/>
      <c r="B8" s="103"/>
      <c r="C8" s="103"/>
      <c r="D8" s="103"/>
      <c r="E8" s="103"/>
      <c r="F8" s="103"/>
      <c r="G8" s="103"/>
      <c r="H8" s="103"/>
      <c r="I8" s="121" t="s">
        <v>151</v>
      </c>
      <c r="J8" s="104"/>
      <c r="K8" s="104" t="s">
        <v>151</v>
      </c>
    </row>
    <row r="9" spans="1:11" ht="15.75">
      <c r="A9" s="103"/>
      <c r="B9" s="103"/>
      <c r="C9" s="103"/>
      <c r="D9" s="103"/>
      <c r="E9" s="103"/>
      <c r="F9" s="103"/>
      <c r="G9" s="103"/>
      <c r="H9" s="103"/>
      <c r="I9" s="121" t="s">
        <v>152</v>
      </c>
      <c r="J9" s="104"/>
      <c r="K9" s="104" t="s">
        <v>152</v>
      </c>
    </row>
    <row r="10" spans="1:11" ht="15.75">
      <c r="A10" s="105" t="s">
        <v>174</v>
      </c>
      <c r="B10" s="105" t="s">
        <v>175</v>
      </c>
      <c r="C10" s="106" t="s">
        <v>154</v>
      </c>
      <c r="D10" s="105"/>
      <c r="E10" s="106" t="s">
        <v>155</v>
      </c>
      <c r="F10" s="106"/>
      <c r="G10" s="106" t="s">
        <v>156</v>
      </c>
      <c r="H10" s="105"/>
      <c r="I10" s="122" t="s">
        <v>157</v>
      </c>
      <c r="J10" s="106"/>
      <c r="K10" s="106" t="s">
        <v>65</v>
      </c>
    </row>
    <row r="11" spans="1:11" ht="15.75">
      <c r="A11" s="82"/>
      <c r="B11" s="82"/>
      <c r="C11" s="82"/>
      <c r="D11" s="82"/>
      <c r="E11" s="82"/>
      <c r="F11" s="82"/>
      <c r="G11" s="82"/>
      <c r="H11" s="82"/>
      <c r="I11" s="117"/>
      <c r="J11" s="82"/>
      <c r="K11" s="82"/>
    </row>
    <row r="12" spans="1:11" ht="15.75">
      <c r="A12" s="82"/>
      <c r="B12" s="82"/>
      <c r="C12" s="82"/>
      <c r="D12" s="82"/>
      <c r="E12" s="82"/>
      <c r="F12" s="82"/>
      <c r="G12" s="82"/>
      <c r="H12" s="82"/>
      <c r="I12" s="117"/>
      <c r="J12" s="82"/>
      <c r="K12" s="82"/>
    </row>
    <row r="13" spans="1:11" ht="15.75">
      <c r="A13" s="109" t="s">
        <v>40</v>
      </c>
      <c r="B13" s="109"/>
      <c r="C13" s="82"/>
      <c r="D13" s="82"/>
      <c r="E13" s="82"/>
      <c r="F13" s="82"/>
      <c r="G13" s="82"/>
      <c r="H13" s="82"/>
      <c r="I13" s="117"/>
      <c r="J13" s="82"/>
      <c r="K13" s="82"/>
    </row>
    <row r="14" spans="1:11" ht="15.75">
      <c r="A14" s="69">
        <v>4</v>
      </c>
      <c r="B14" s="82">
        <v>312</v>
      </c>
      <c r="C14" s="82" t="s">
        <v>176</v>
      </c>
      <c r="D14" s="82"/>
      <c r="E14" s="89">
        <f>'Crist 4 -312'!$L$21</f>
        <v>34765255.599137083</v>
      </c>
      <c r="F14" s="89"/>
      <c r="G14" s="89">
        <f>+'Crist 4 -312'!R$21</f>
        <v>21085292.456011631</v>
      </c>
      <c r="H14" s="82"/>
      <c r="I14" s="117">
        <f>+'Crist 4 -312'!P$12</f>
        <v>5.2292854005553856E-2</v>
      </c>
      <c r="J14" s="82"/>
      <c r="K14" s="89">
        <f>+E14*I14</f>
        <v>1817974.4355114391</v>
      </c>
    </row>
    <row r="15" spans="1:11" ht="15.75">
      <c r="A15" s="69">
        <v>4</v>
      </c>
      <c r="B15" s="82">
        <v>314</v>
      </c>
      <c r="C15" s="82" t="s">
        <v>177</v>
      </c>
      <c r="D15" s="82"/>
      <c r="E15" s="89">
        <f>'Crist 4 -314'!$L$21</f>
        <v>10894269.768294867</v>
      </c>
      <c r="F15" s="89"/>
      <c r="G15" s="89">
        <f>+'Crist 4 -314'!R$21</f>
        <v>5520254.4817983769</v>
      </c>
      <c r="H15" s="82"/>
      <c r="I15" s="117">
        <f>+'Crist 4 -314'!P$12</f>
        <v>6.6671331092672856E-2</v>
      </c>
      <c r="J15" s="82"/>
      <c r="K15" s="89">
        <f t="shared" ref="K15:K34" si="0">+E15*I15</f>
        <v>726335.46673488349</v>
      </c>
    </row>
    <row r="16" spans="1:11" ht="15.75">
      <c r="A16" s="69">
        <v>4</v>
      </c>
      <c r="B16" s="82">
        <v>315</v>
      </c>
      <c r="C16" s="82" t="s">
        <v>158</v>
      </c>
      <c r="D16" s="82"/>
      <c r="E16" s="89">
        <f>'Crist 4 -315'!$L$21</f>
        <v>3808074.5712587554</v>
      </c>
      <c r="F16" s="89"/>
      <c r="G16" s="89">
        <f>+'Crist 4 -315'!R$21</f>
        <v>1826135.977113398</v>
      </c>
      <c r="H16" s="82"/>
      <c r="I16" s="117">
        <f>+'Crist 4 -315'!P$12</f>
        <v>6.6762893430384287E-2</v>
      </c>
      <c r="J16" s="82"/>
      <c r="K16" s="89">
        <f t="shared" si="0"/>
        <v>254238.07677590463</v>
      </c>
    </row>
    <row r="17" spans="1:14" ht="15.75">
      <c r="A17" s="69"/>
      <c r="B17" s="82"/>
      <c r="C17" s="82" t="s">
        <v>39</v>
      </c>
      <c r="D17" s="82"/>
      <c r="E17" s="89"/>
      <c r="F17" s="89"/>
      <c r="G17" s="89"/>
      <c r="H17" s="82"/>
      <c r="I17" s="117"/>
      <c r="J17" s="82"/>
      <c r="K17" s="89"/>
      <c r="L17" s="65"/>
      <c r="M17" s="65"/>
      <c r="N17" s="65"/>
    </row>
    <row r="18" spans="1:14" ht="15.75">
      <c r="A18" s="69">
        <v>5</v>
      </c>
      <c r="B18" s="82">
        <v>312</v>
      </c>
      <c r="C18" s="82" t="s">
        <v>176</v>
      </c>
      <c r="D18" s="82"/>
      <c r="E18" s="89">
        <f>'Crist 5 -312'!$L$21</f>
        <v>35572539.800066456</v>
      </c>
      <c r="F18" s="89"/>
      <c r="G18" s="89">
        <f>+'Crist 5 -312'!R$21</f>
        <v>20126718.965923309</v>
      </c>
      <c r="H18" s="82"/>
      <c r="I18" s="117">
        <f>+'Crist 5 -312'!P$12</f>
        <v>4.6827079621628846E-2</v>
      </c>
      <c r="J18" s="82"/>
      <c r="K18" s="89">
        <f t="shared" si="0"/>
        <v>1665758.1535612731</v>
      </c>
      <c r="L18" s="65"/>
      <c r="M18" s="65"/>
      <c r="N18" s="65"/>
    </row>
    <row r="19" spans="1:14" s="63" customFormat="1" ht="15.75">
      <c r="A19" s="69">
        <v>5</v>
      </c>
      <c r="B19" s="82">
        <v>314</v>
      </c>
      <c r="C19" s="82" t="s">
        <v>177</v>
      </c>
      <c r="D19" s="82"/>
      <c r="E19" s="89">
        <f>'Crist 5 -314'!$L$21</f>
        <v>13297372.524311669</v>
      </c>
      <c r="F19" s="89"/>
      <c r="G19" s="89">
        <f>+'Crist 5 -314'!R$21</f>
        <v>2004434.6703687955</v>
      </c>
      <c r="H19" s="82"/>
      <c r="I19" s="117">
        <f>+'Crist 5 -314'!P$12</f>
        <v>9.2061784825511986E-2</v>
      </c>
      <c r="J19" s="82"/>
      <c r="K19" s="89">
        <f t="shared" si="0"/>
        <v>1224179.848077856</v>
      </c>
      <c r="L19" s="65"/>
      <c r="M19" s="65"/>
      <c r="N19" s="65"/>
    </row>
    <row r="20" spans="1:14" s="63" customFormat="1" ht="15.75">
      <c r="A20" s="69">
        <v>5</v>
      </c>
      <c r="B20" s="82">
        <v>315</v>
      </c>
      <c r="C20" s="82" t="s">
        <v>158</v>
      </c>
      <c r="D20" s="82"/>
      <c r="E20" s="89">
        <f>'Crist 5 -315'!$L$21</f>
        <v>4147090.7264402411</v>
      </c>
      <c r="F20" s="89"/>
      <c r="G20" s="89">
        <f>+'Crist 5 -315'!R$21</f>
        <v>2016301.3685209129</v>
      </c>
      <c r="H20" s="82"/>
      <c r="I20" s="117">
        <f>+'Crist 5 -315'!P$12</f>
        <v>5.3129534804594078E-2</v>
      </c>
      <c r="J20" s="82"/>
      <c r="K20" s="89">
        <f t="shared" si="0"/>
        <v>220333.00108821612</v>
      </c>
      <c r="L20" s="65"/>
      <c r="M20" s="65"/>
      <c r="N20" s="65"/>
    </row>
    <row r="21" spans="1:14" s="63" customFormat="1" ht="15.75">
      <c r="A21" s="69"/>
      <c r="B21" s="82"/>
      <c r="C21" s="82"/>
      <c r="D21" s="82"/>
      <c r="E21" s="89"/>
      <c r="F21" s="89"/>
      <c r="G21" s="89"/>
      <c r="H21" s="82"/>
      <c r="I21" s="117"/>
      <c r="J21" s="82"/>
      <c r="K21" s="89"/>
      <c r="L21" s="65"/>
      <c r="M21" s="65"/>
      <c r="N21" s="65"/>
    </row>
    <row r="22" spans="1:14" s="63" customFormat="1" ht="15.75">
      <c r="A22" s="69">
        <v>6</v>
      </c>
      <c r="B22" s="82">
        <v>312</v>
      </c>
      <c r="C22" s="82" t="s">
        <v>176</v>
      </c>
      <c r="D22" s="82"/>
      <c r="E22" s="89">
        <f>'Crist 6 -312'!$L$21</f>
        <v>265342979.97746775</v>
      </c>
      <c r="F22" s="89"/>
      <c r="G22" s="89">
        <f>+'Crist 6 -312'!R$21</f>
        <v>35174223.405142866</v>
      </c>
      <c r="H22" s="82"/>
      <c r="I22" s="117">
        <f>+'Crist 6 -312'!P$12</f>
        <v>5.0995116592987319E-2</v>
      </c>
      <c r="J22" s="82"/>
      <c r="K22" s="89">
        <f t="shared" si="0"/>
        <v>13531196.201081667</v>
      </c>
      <c r="L22" s="65"/>
      <c r="M22" s="65"/>
      <c r="N22" s="65"/>
    </row>
    <row r="23" spans="1:14" s="63" customFormat="1" ht="15.75">
      <c r="A23" s="69">
        <v>6</v>
      </c>
      <c r="B23" s="82">
        <v>314</v>
      </c>
      <c r="C23" s="82" t="s">
        <v>177</v>
      </c>
      <c r="D23" s="82"/>
      <c r="E23" s="89">
        <f>'Crist 6 -314'!$L$21</f>
        <v>47744495.21617724</v>
      </c>
      <c r="F23" s="89"/>
      <c r="G23" s="89">
        <f>+'Crist 6 -314'!R$21</f>
        <v>13118900.880126452</v>
      </c>
      <c r="H23" s="82"/>
      <c r="I23" s="117">
        <f>+'Crist 6 -314'!P$12</f>
        <v>4.5140625806364222E-2</v>
      </c>
      <c r="J23" s="82"/>
      <c r="K23" s="89">
        <f t="shared" si="0"/>
        <v>2155216.3928672033</v>
      </c>
      <c r="L23" s="65"/>
      <c r="M23" s="65"/>
      <c r="N23" s="65"/>
    </row>
    <row r="24" spans="1:14" s="63" customFormat="1" ht="15.75">
      <c r="A24" s="69">
        <v>6</v>
      </c>
      <c r="B24" s="82">
        <v>315</v>
      </c>
      <c r="C24" s="82" t="s">
        <v>158</v>
      </c>
      <c r="D24" s="82"/>
      <c r="E24" s="89">
        <f>'Crist 6 -315'!$L$21</f>
        <v>34168445.658972733</v>
      </c>
      <c r="F24" s="89"/>
      <c r="G24" s="89">
        <f>+'Crist 6 -315'!R$21</f>
        <v>8742892.3651435729</v>
      </c>
      <c r="H24" s="82"/>
      <c r="I24" s="117">
        <f>+'Crist 6 -315'!P$12</f>
        <v>4.1630436053460632E-2</v>
      </c>
      <c r="J24" s="82"/>
      <c r="K24" s="89">
        <f t="shared" si="0"/>
        <v>1422447.2920520089</v>
      </c>
      <c r="L24" s="65"/>
      <c r="M24" s="65"/>
      <c r="N24" s="65"/>
    </row>
    <row r="25" spans="1:14" s="63" customFormat="1" ht="15.75">
      <c r="A25" s="69"/>
      <c r="B25" s="82"/>
      <c r="C25" s="82"/>
      <c r="D25" s="82"/>
      <c r="E25" s="89"/>
      <c r="F25" s="89"/>
      <c r="G25" s="89"/>
      <c r="H25" s="82"/>
      <c r="I25" s="117"/>
      <c r="J25" s="82"/>
      <c r="K25" s="89"/>
      <c r="L25" s="65"/>
      <c r="M25" s="65"/>
      <c r="N25" s="65"/>
    </row>
    <row r="26" spans="1:14" s="63" customFormat="1" ht="15.75">
      <c r="A26" s="69">
        <v>7</v>
      </c>
      <c r="B26" s="82">
        <v>312</v>
      </c>
      <c r="C26" s="82" t="s">
        <v>176</v>
      </c>
      <c r="D26" s="82"/>
      <c r="E26" s="89">
        <f>'Crist 7 -312'!$L$21</f>
        <v>218187177.79476365</v>
      </c>
      <c r="F26" s="89"/>
      <c r="G26" s="89">
        <f>+'Crist 7 -312'!R$21</f>
        <v>45405542.284463786</v>
      </c>
      <c r="H26" s="82"/>
      <c r="I26" s="117">
        <f>+'Crist 7 -312'!P$12</f>
        <v>4.0971360111692424E-2</v>
      </c>
      <c r="J26" s="82"/>
      <c r="K26" s="89">
        <f t="shared" si="0"/>
        <v>8939425.4331831224</v>
      </c>
      <c r="L26" s="65"/>
      <c r="M26" s="65"/>
      <c r="N26" s="65"/>
    </row>
    <row r="27" spans="1:14" s="63" customFormat="1" ht="15.75">
      <c r="A27" s="69">
        <v>7</v>
      </c>
      <c r="B27" s="82">
        <v>314</v>
      </c>
      <c r="C27" s="82" t="s">
        <v>177</v>
      </c>
      <c r="D27" s="82"/>
      <c r="E27" s="89">
        <f>'Crist 7 -314'!$L$21</f>
        <v>100410668.51701446</v>
      </c>
      <c r="F27" s="89"/>
      <c r="G27" s="89">
        <f>+'Crist 7 -314'!R$21</f>
        <v>21716000.072998237</v>
      </c>
      <c r="H27" s="82"/>
      <c r="I27" s="117">
        <f>+'Crist 7 -314'!P$12</f>
        <v>4.2819874735756193E-2</v>
      </c>
      <c r="J27" s="82"/>
      <c r="K27" s="89">
        <f t="shared" si="0"/>
        <v>4299572.2480320968</v>
      </c>
      <c r="L27" s="65"/>
      <c r="M27" s="65"/>
      <c r="N27" s="65"/>
    </row>
    <row r="28" spans="1:14" s="63" customFormat="1" ht="15.75">
      <c r="A28" s="69">
        <v>7</v>
      </c>
      <c r="B28" s="82">
        <v>315</v>
      </c>
      <c r="C28" s="82" t="s">
        <v>158</v>
      </c>
      <c r="D28" s="82"/>
      <c r="E28" s="89">
        <f>'Crist 7 -315'!$L$21</f>
        <v>27095838.11581862</v>
      </c>
      <c r="F28" s="89"/>
      <c r="G28" s="89">
        <f>+'Crist 7 -315'!R$21</f>
        <v>14105733.238808008</v>
      </c>
      <c r="H28" s="82"/>
      <c r="I28" s="117">
        <f>+'Crist 7 -315'!P$12</f>
        <v>2.3528287603768301E-2</v>
      </c>
      <c r="J28" s="82"/>
      <c r="K28" s="89">
        <f t="shared" si="0"/>
        <v>637518.67205412791</v>
      </c>
      <c r="L28" s="65"/>
      <c r="M28" s="65"/>
      <c r="N28" s="65"/>
    </row>
    <row r="29" spans="1:14" s="63" customFormat="1" ht="15.75">
      <c r="A29" s="69"/>
      <c r="B29" s="82"/>
      <c r="C29" s="82"/>
      <c r="D29" s="82"/>
      <c r="E29" s="89"/>
      <c r="F29" s="89"/>
      <c r="G29" s="89"/>
      <c r="H29" s="82"/>
      <c r="I29" s="117"/>
      <c r="J29" s="82"/>
      <c r="K29" s="89"/>
      <c r="L29" s="65"/>
      <c r="M29" s="65"/>
      <c r="N29" s="65"/>
    </row>
    <row r="30" spans="1:14" s="63" customFormat="1" ht="15.75">
      <c r="A30" s="69" t="s">
        <v>134</v>
      </c>
      <c r="B30" s="82">
        <v>311</v>
      </c>
      <c r="C30" s="82" t="s">
        <v>178</v>
      </c>
      <c r="D30" s="82"/>
      <c r="E30" s="89">
        <f>'Crist Comm -311'!$L$21</f>
        <v>127423259.25107643</v>
      </c>
      <c r="F30" s="89"/>
      <c r="G30" s="89">
        <f>'Crist Comm -311'!$R$21</f>
        <v>73610727.892538294</v>
      </c>
      <c r="H30" s="82"/>
      <c r="I30" s="117">
        <f>'Crist Comm -311'!$P$12</f>
        <v>1.9817130097008934E-2</v>
      </c>
      <c r="J30" s="82"/>
      <c r="K30" s="89">
        <f t="shared" si="0"/>
        <v>2525163.305963479</v>
      </c>
      <c r="L30" s="65"/>
      <c r="M30" s="65"/>
      <c r="N30" s="65"/>
    </row>
    <row r="31" spans="1:14" s="63" customFormat="1" ht="15.75">
      <c r="A31" s="69" t="s">
        <v>134</v>
      </c>
      <c r="B31" s="82">
        <v>312</v>
      </c>
      <c r="C31" s="82" t="s">
        <v>176</v>
      </c>
      <c r="D31" s="82"/>
      <c r="E31" s="89">
        <f>'Crist Comm-312'!$L$21</f>
        <v>490157683.47183514</v>
      </c>
      <c r="F31" s="89"/>
      <c r="G31" s="89">
        <f>'Crist Comm-312'!$R$21</f>
        <v>129493866.3587839</v>
      </c>
      <c r="H31" s="82"/>
      <c r="I31" s="117">
        <f>'Crist Comm-312'!$P$12</f>
        <v>3.8209109377855828E-2</v>
      </c>
      <c r="J31" s="82"/>
      <c r="K31" s="89">
        <f t="shared" si="0"/>
        <v>18728488.540171783</v>
      </c>
      <c r="L31" s="65"/>
      <c r="M31" s="65"/>
      <c r="N31" s="65"/>
    </row>
    <row r="32" spans="1:14" s="63" customFormat="1" ht="15.75">
      <c r="A32" s="69" t="s">
        <v>134</v>
      </c>
      <c r="B32" s="82">
        <v>314</v>
      </c>
      <c r="C32" s="82" t="s">
        <v>177</v>
      </c>
      <c r="D32" s="82"/>
      <c r="E32" s="89">
        <f>'Crist Comm-314'!$L$21</f>
        <v>26780017.379287284</v>
      </c>
      <c r="F32" s="89"/>
      <c r="G32" s="89">
        <f>'Crist Comm-314'!$R$21</f>
        <v>14449285.479353713</v>
      </c>
      <c r="H32" s="82"/>
      <c r="I32" s="117">
        <f>'Crist Comm-314'!$P$12</f>
        <v>2.6333428711943357E-2</v>
      </c>
      <c r="J32" s="82"/>
      <c r="K32" s="89">
        <f t="shared" si="0"/>
        <v>705209.67856206582</v>
      </c>
      <c r="L32" s="65"/>
      <c r="M32" s="65"/>
      <c r="N32" s="65"/>
    </row>
    <row r="33" spans="1:14" s="63" customFormat="1" ht="15.75">
      <c r="A33" s="69" t="s">
        <v>134</v>
      </c>
      <c r="B33" s="82">
        <v>315</v>
      </c>
      <c r="C33" s="82" t="s">
        <v>158</v>
      </c>
      <c r="D33" s="82"/>
      <c r="E33" s="89">
        <f>'Crist Comm-315'!$L$21</f>
        <v>101348753.91682231</v>
      </c>
      <c r="F33" s="89"/>
      <c r="G33" s="89">
        <f>'Crist Comm-315'!$R$21</f>
        <v>29330511.202714279</v>
      </c>
      <c r="H33" s="82"/>
      <c r="I33" s="117">
        <f>'Crist Comm-315'!$P$12</f>
        <v>3.465138633286214E-2</v>
      </c>
      <c r="J33" s="82"/>
      <c r="K33" s="89">
        <f t="shared" si="0"/>
        <v>3511874.8263259851</v>
      </c>
      <c r="L33" s="65"/>
      <c r="M33" s="65"/>
      <c r="N33" s="65"/>
    </row>
    <row r="34" spans="1:14" s="63" customFormat="1" ht="15.75">
      <c r="A34" s="69" t="s">
        <v>134</v>
      </c>
      <c r="B34" s="82">
        <v>316</v>
      </c>
      <c r="C34" s="82" t="s">
        <v>179</v>
      </c>
      <c r="D34" s="82"/>
      <c r="E34" s="89">
        <f>'Crist Comm-316'!$L$21</f>
        <v>10786965.971255202</v>
      </c>
      <c r="F34" s="89"/>
      <c r="G34" s="89">
        <f>'Crist Comm-316'!$R$21</f>
        <v>2006363.1362946164</v>
      </c>
      <c r="H34" s="82"/>
      <c r="I34" s="117">
        <f>'Crist Comm-316'!$P$12</f>
        <v>3.9533985621197393E-2</v>
      </c>
      <c r="J34" s="82"/>
      <c r="K34" s="89">
        <f t="shared" si="0"/>
        <v>426451.7576039487</v>
      </c>
      <c r="L34" s="65"/>
      <c r="M34" s="65"/>
      <c r="N34" s="65"/>
    </row>
    <row r="35" spans="1:14" s="63" customFormat="1" ht="15.75">
      <c r="A35" s="82"/>
      <c r="B35" s="82"/>
      <c r="C35" s="113" t="s">
        <v>180</v>
      </c>
      <c r="D35" s="113"/>
      <c r="E35" s="123">
        <f>SUM(E14:E34)</f>
        <v>1551930888.2600002</v>
      </c>
      <c r="F35" s="124"/>
      <c r="G35" s="123">
        <f>SUM(G14:G34)</f>
        <v>439733184.23610413</v>
      </c>
      <c r="H35" s="124"/>
      <c r="I35" s="125">
        <f>ROUND(+K35/E35,3)</f>
        <v>0.04</v>
      </c>
      <c r="J35" s="124"/>
      <c r="K35" s="123">
        <f>SUM(K14:K34)</f>
        <v>62791383.329647064</v>
      </c>
      <c r="L35" s="65"/>
      <c r="M35" s="65"/>
      <c r="N35" s="65"/>
    </row>
    <row r="36" spans="1:14" s="63" customFormat="1" ht="15.75">
      <c r="A36" s="82"/>
      <c r="B36" s="82"/>
      <c r="C36" s="82"/>
      <c r="D36" s="82"/>
      <c r="E36" s="102"/>
      <c r="F36" s="102"/>
      <c r="G36" s="102"/>
      <c r="H36" s="102"/>
      <c r="I36" s="110"/>
      <c r="J36" s="102"/>
      <c r="K36" s="102"/>
      <c r="L36" s="65"/>
      <c r="M36" s="65"/>
      <c r="N36" s="65"/>
    </row>
    <row r="37" spans="1:14" s="63" customFormat="1" ht="15.75">
      <c r="A37" s="82"/>
      <c r="B37" s="82"/>
      <c r="C37" s="82"/>
      <c r="D37" s="82"/>
      <c r="E37" s="102"/>
      <c r="F37" s="102"/>
      <c r="G37" s="102"/>
      <c r="H37" s="102"/>
      <c r="I37" s="110"/>
      <c r="J37" s="102"/>
      <c r="K37" s="102"/>
      <c r="L37" s="65"/>
      <c r="M37" s="65"/>
      <c r="N37" s="65"/>
    </row>
    <row r="38" spans="1:14" ht="15.75">
      <c r="A38" s="113" t="s">
        <v>43</v>
      </c>
      <c r="B38" s="109"/>
      <c r="C38" s="82"/>
      <c r="D38" s="82"/>
      <c r="E38" s="102"/>
      <c r="F38" s="102"/>
      <c r="G38" s="102"/>
      <c r="H38" s="102"/>
      <c r="I38" s="110"/>
      <c r="J38" s="102"/>
      <c r="K38" s="102"/>
      <c r="L38" s="65"/>
      <c r="M38" s="65"/>
      <c r="N38" s="65"/>
    </row>
    <row r="39" spans="1:14" ht="15.75">
      <c r="A39" s="67" t="s">
        <v>181</v>
      </c>
      <c r="B39" s="82">
        <v>311</v>
      </c>
      <c r="C39" s="82" t="s">
        <v>159</v>
      </c>
      <c r="D39" s="82"/>
      <c r="E39" s="115">
        <f>'Daniel-311 Rail Cars'!$L$21</f>
        <v>2828012.5732048885</v>
      </c>
      <c r="F39" s="115"/>
      <c r="G39" s="115">
        <f>'Daniel-311 Rail Cars'!$R$21</f>
        <v>1508465.337362939</v>
      </c>
      <c r="H39" s="103"/>
      <c r="I39" s="125">
        <f>ROUND('Daniel-311 Rail Cars'!$P$12,3)</f>
        <v>1.6E-2</v>
      </c>
      <c r="J39" s="103"/>
      <c r="K39" s="115">
        <f>+E39*I39</f>
        <v>45248.201171278219</v>
      </c>
      <c r="L39" s="65"/>
      <c r="M39" s="65"/>
      <c r="N39" s="65"/>
    </row>
    <row r="40" spans="1:14" s="63" customFormat="1" ht="15.75">
      <c r="A40" s="69"/>
      <c r="B40" s="82"/>
      <c r="C40" s="82"/>
      <c r="D40" s="82"/>
      <c r="E40" s="111"/>
      <c r="F40" s="111"/>
      <c r="G40" s="111"/>
      <c r="H40" s="102"/>
      <c r="I40" s="117"/>
      <c r="J40" s="102"/>
      <c r="K40" s="111"/>
      <c r="L40" s="65"/>
      <c r="M40" s="65"/>
      <c r="N40" s="65"/>
    </row>
    <row r="41" spans="1:14" s="63" customFormat="1" ht="15.75">
      <c r="A41" s="69"/>
      <c r="B41" s="82"/>
      <c r="C41" s="82"/>
      <c r="D41" s="82"/>
      <c r="E41" s="111"/>
      <c r="F41" s="111"/>
      <c r="G41" s="111"/>
      <c r="H41" s="102"/>
      <c r="I41" s="117"/>
      <c r="J41" s="102"/>
      <c r="K41" s="111"/>
      <c r="L41" s="65"/>
      <c r="M41" s="65"/>
      <c r="N41" s="65"/>
    </row>
    <row r="42" spans="1:14" s="63" customFormat="1" ht="15.75">
      <c r="A42" s="69" t="s">
        <v>95</v>
      </c>
      <c r="B42" s="82"/>
      <c r="C42" s="82"/>
      <c r="D42" s="82"/>
      <c r="E42" s="111"/>
      <c r="F42" s="111"/>
      <c r="G42" s="111"/>
      <c r="H42" s="102"/>
      <c r="I42" s="117"/>
      <c r="J42" s="102"/>
      <c r="K42" s="111"/>
      <c r="L42" s="65"/>
      <c r="M42" s="65"/>
      <c r="N42" s="65"/>
    </row>
    <row r="43" spans="1:14" s="63" customFormat="1" ht="15.75">
      <c r="A43" s="69" t="s">
        <v>189</v>
      </c>
      <c r="B43" s="82">
        <v>310.10000000000002</v>
      </c>
      <c r="C43" s="82" t="s">
        <v>188</v>
      </c>
      <c r="D43" s="82"/>
      <c r="E43" s="115">
        <f>'Daniel 310.1'!$L$21</f>
        <v>77160.27</v>
      </c>
      <c r="F43" s="115"/>
      <c r="G43" s="115">
        <f>'Daniel 310.1'!$R$21</f>
        <v>44752.683780000021</v>
      </c>
      <c r="H43" s="103"/>
      <c r="I43" s="125">
        <f>ROUND('Daniel 310.1'!$P$12,3)</f>
        <v>1.4E-2</v>
      </c>
      <c r="J43" s="103"/>
      <c r="K43" s="115">
        <f>+E43*I43</f>
        <v>1080.24378</v>
      </c>
      <c r="L43" s="65"/>
      <c r="M43" s="65"/>
      <c r="N43" s="65"/>
    </row>
    <row r="44" spans="1:14" s="63" customFormat="1" ht="15.75">
      <c r="A44" s="69"/>
      <c r="B44" s="82"/>
      <c r="C44" s="82"/>
      <c r="D44" s="82"/>
      <c r="E44" s="111"/>
      <c r="F44" s="111"/>
      <c r="G44" s="111"/>
      <c r="H44" s="102"/>
      <c r="I44" s="117"/>
      <c r="J44" s="102"/>
      <c r="K44" s="111"/>
      <c r="L44" s="65"/>
      <c r="M44" s="65"/>
      <c r="N44" s="65"/>
    </row>
    <row r="45" spans="1:14" s="63" customFormat="1" ht="15.75">
      <c r="A45" s="69"/>
      <c r="B45" s="82"/>
      <c r="C45" s="82"/>
      <c r="D45" s="82"/>
      <c r="E45" s="111"/>
      <c r="F45" s="111"/>
      <c r="G45" s="111"/>
      <c r="H45" s="102"/>
      <c r="I45" s="117"/>
      <c r="J45" s="102"/>
      <c r="K45" s="111"/>
      <c r="L45" s="65"/>
      <c r="M45" s="65"/>
      <c r="N45" s="65"/>
    </row>
    <row r="46" spans="1:14" s="63" customFormat="1" ht="15.75">
      <c r="A46" s="82"/>
      <c r="B46" s="82"/>
      <c r="C46" s="82"/>
      <c r="D46" s="82"/>
      <c r="E46" s="111"/>
      <c r="F46" s="111"/>
      <c r="G46" s="111"/>
      <c r="H46" s="102"/>
      <c r="I46" s="110"/>
      <c r="J46" s="102"/>
      <c r="K46" s="111"/>
      <c r="L46" s="65"/>
      <c r="M46" s="65"/>
      <c r="N46" s="65"/>
    </row>
    <row r="47" spans="1:14" s="63" customFormat="1" ht="15.75">
      <c r="A47" s="69">
        <v>1</v>
      </c>
      <c r="B47" s="82">
        <v>311</v>
      </c>
      <c r="C47" s="82" t="s">
        <v>178</v>
      </c>
      <c r="D47" s="82"/>
      <c r="E47" s="111">
        <f>'Daniel 1-311'!$L$21</f>
        <v>8887842.3663138468</v>
      </c>
      <c r="F47" s="111"/>
      <c r="G47" s="111">
        <f>'Daniel 1-311'!$R$21</f>
        <v>8072878.6312705986</v>
      </c>
      <c r="H47" s="102"/>
      <c r="I47" s="110">
        <f>'Daniel 1-311'!$P$12</f>
        <v>3.809150213363568E-3</v>
      </c>
      <c r="J47" s="102"/>
      <c r="K47" s="111">
        <f t="shared" ref="K47:K63" si="1">+E47*I47</f>
        <v>33855.126645986151</v>
      </c>
      <c r="L47" s="65"/>
      <c r="M47" s="65"/>
      <c r="N47" s="65"/>
    </row>
    <row r="48" spans="1:14" s="63" customFormat="1" ht="15.75">
      <c r="A48" s="69">
        <v>1</v>
      </c>
      <c r="B48" s="82">
        <v>312</v>
      </c>
      <c r="C48" s="82" t="s">
        <v>176</v>
      </c>
      <c r="D48" s="82"/>
      <c r="E48" s="111">
        <f>'Daniel 1-312'!$L$21</f>
        <v>146254616.64024487</v>
      </c>
      <c r="F48" s="111"/>
      <c r="G48" s="111">
        <f>'Daniel 1-312'!$R$21</f>
        <v>32853791.760506831</v>
      </c>
      <c r="H48" s="102"/>
      <c r="I48" s="110">
        <f>'Daniel 1-312'!$P$12</f>
        <v>3.4813528480399786E-2</v>
      </c>
      <c r="J48" s="102"/>
      <c r="K48" s="111">
        <f t="shared" si="1"/>
        <v>5091639.2617951175</v>
      </c>
      <c r="L48" s="65"/>
      <c r="M48" s="65"/>
      <c r="N48" s="65"/>
    </row>
    <row r="49" spans="1:14" s="63" customFormat="1" ht="15.75">
      <c r="A49" s="69">
        <v>1</v>
      </c>
      <c r="B49" s="82">
        <v>314</v>
      </c>
      <c r="C49" s="82" t="s">
        <v>177</v>
      </c>
      <c r="D49" s="82"/>
      <c r="E49" s="111">
        <f>'Daniel 1-314'!$L$21</f>
        <v>27688825.219377786</v>
      </c>
      <c r="F49" s="111"/>
      <c r="G49" s="111">
        <f>'Daniel 1-314'!$R$21</f>
        <v>10860080.405507777</v>
      </c>
      <c r="H49" s="102"/>
      <c r="I49" s="110">
        <f>'Daniel 1-314'!$P$12</f>
        <v>2.9708440404463642E-2</v>
      </c>
      <c r="J49" s="102"/>
      <c r="K49" s="111">
        <f t="shared" si="1"/>
        <v>822591.81389949494</v>
      </c>
      <c r="L49" s="65"/>
      <c r="M49" s="65"/>
      <c r="N49" s="65"/>
    </row>
    <row r="50" spans="1:14" s="63" customFormat="1" ht="15.75">
      <c r="A50" s="69">
        <v>1</v>
      </c>
      <c r="B50" s="82">
        <v>315</v>
      </c>
      <c r="C50" s="82" t="s">
        <v>158</v>
      </c>
      <c r="D50" s="82"/>
      <c r="E50" s="111">
        <f>'Daniel 1-315'!$L$21</f>
        <v>13972309.070936184</v>
      </c>
      <c r="F50" s="111"/>
      <c r="G50" s="111">
        <f>'Daniel 1-315'!$R$21</f>
        <v>8431567.9560076725</v>
      </c>
      <c r="H50" s="102"/>
      <c r="I50" s="110">
        <f>'Daniel 1-315'!$P$12</f>
        <v>1.6789079982261267E-2</v>
      </c>
      <c r="J50" s="102"/>
      <c r="K50" s="111">
        <f t="shared" si="1"/>
        <v>234582.21452882222</v>
      </c>
      <c r="L50" s="65"/>
      <c r="M50" s="65"/>
      <c r="N50" s="65"/>
    </row>
    <row r="51" spans="1:14" s="63" customFormat="1" ht="15.75">
      <c r="A51" s="69">
        <v>1</v>
      </c>
      <c r="B51" s="82">
        <v>316</v>
      </c>
      <c r="C51" s="82" t="s">
        <v>179</v>
      </c>
      <c r="D51" s="82"/>
      <c r="E51" s="111">
        <f>'Daniel 1-316'!$L$21</f>
        <v>133722.09792436979</v>
      </c>
      <c r="F51" s="111"/>
      <c r="G51" s="111">
        <f>'Daniel 1-316'!$R$21</f>
        <v>-3251.7009216784031</v>
      </c>
      <c r="H51" s="102"/>
      <c r="I51" s="110">
        <f>'Daniel 1-316'!$P$12</f>
        <v>4.2586210848404429E-2</v>
      </c>
      <c r="J51" s="102"/>
      <c r="K51" s="111">
        <f t="shared" si="1"/>
        <v>5694.7174572981967</v>
      </c>
      <c r="L51" s="65"/>
      <c r="M51" s="65"/>
      <c r="N51" s="65"/>
    </row>
    <row r="52" spans="1:14" s="63" customFormat="1" ht="15.75">
      <c r="A52" s="69"/>
      <c r="B52" s="82"/>
      <c r="C52" s="82"/>
      <c r="D52" s="82"/>
      <c r="E52" s="111"/>
      <c r="F52" s="111"/>
      <c r="G52" s="111"/>
      <c r="H52" s="102"/>
      <c r="I52" s="110"/>
      <c r="J52" s="102"/>
      <c r="K52" s="111" t="s">
        <v>39</v>
      </c>
      <c r="L52" s="65"/>
      <c r="M52" s="65"/>
      <c r="N52" s="65"/>
    </row>
    <row r="53" spans="1:14" s="63" customFormat="1" ht="15.75">
      <c r="A53" s="69">
        <v>2</v>
      </c>
      <c r="B53" s="82">
        <v>311</v>
      </c>
      <c r="C53" s="82" t="s">
        <v>178</v>
      </c>
      <c r="D53" s="82"/>
      <c r="E53" s="111">
        <f>'Daniel 2-311'!$L$21</f>
        <v>9337214.2687969934</v>
      </c>
      <c r="F53" s="111"/>
      <c r="G53" s="111">
        <f>'Daniel 2-311'!$R$21</f>
        <v>8581737.4665015936</v>
      </c>
      <c r="H53" s="102"/>
      <c r="I53" s="110">
        <f>'Daniel 2-311'!$P$12</f>
        <v>2.971826589998942E-3</v>
      </c>
      <c r="J53" s="102"/>
      <c r="K53" s="111">
        <f t="shared" si="1"/>
        <v>27748.581640528435</v>
      </c>
      <c r="L53" s="65"/>
      <c r="M53" s="65"/>
      <c r="N53" s="65"/>
    </row>
    <row r="54" spans="1:14" s="63" customFormat="1" ht="15.75">
      <c r="A54" s="69">
        <v>2</v>
      </c>
      <c r="B54" s="82">
        <v>312</v>
      </c>
      <c r="C54" s="82" t="s">
        <v>176</v>
      </c>
      <c r="D54" s="82"/>
      <c r="E54" s="111">
        <f>'Daniel 2-312'!$L$21</f>
        <v>152274744.74378127</v>
      </c>
      <c r="F54" s="111"/>
      <c r="G54" s="111">
        <f>'Daniel 2-312'!$R$21</f>
        <v>29842724.681787539</v>
      </c>
      <c r="H54" s="102"/>
      <c r="I54" s="110">
        <f>'Daniel 2-312'!$P$12</f>
        <v>3.1963035790784765E-2</v>
      </c>
      <c r="J54" s="102"/>
      <c r="K54" s="111">
        <f t="shared" si="1"/>
        <v>4867163.1162780952</v>
      </c>
      <c r="L54" s="65"/>
      <c r="M54" s="65"/>
      <c r="N54" s="65"/>
    </row>
    <row r="55" spans="1:14" s="63" customFormat="1" ht="15.75">
      <c r="A55" s="69">
        <v>2</v>
      </c>
      <c r="B55" s="82">
        <v>314</v>
      </c>
      <c r="C55" s="82" t="s">
        <v>177</v>
      </c>
      <c r="D55" s="82"/>
      <c r="E55" s="111">
        <f>'Daniel 2-314'!$L$21</f>
        <v>26717998.535095364</v>
      </c>
      <c r="F55" s="111"/>
      <c r="G55" s="111">
        <f>'Daniel 2-314'!$R$21</f>
        <v>13212345.728191694</v>
      </c>
      <c r="H55" s="102"/>
      <c r="I55" s="110">
        <f>'Daniel 2-314'!$P$12</f>
        <v>2.2688219077321235E-2</v>
      </c>
      <c r="J55" s="102"/>
      <c r="K55" s="111">
        <f t="shared" si="1"/>
        <v>606183.80407179147</v>
      </c>
      <c r="L55" s="65"/>
      <c r="M55" s="65"/>
      <c r="N55" s="65"/>
    </row>
    <row r="56" spans="1:14" s="63" customFormat="1" ht="15.75">
      <c r="A56" s="69">
        <v>2</v>
      </c>
      <c r="B56" s="82">
        <v>315</v>
      </c>
      <c r="C56" s="82" t="s">
        <v>158</v>
      </c>
      <c r="D56" s="82"/>
      <c r="E56" s="111">
        <f>'Daniel 2-315'!$L$21</f>
        <v>12977550.953576179</v>
      </c>
      <c r="F56" s="111"/>
      <c r="G56" s="111">
        <f>'Daniel 2-315'!$R$21</f>
        <v>8986520.9481771551</v>
      </c>
      <c r="H56" s="102"/>
      <c r="I56" s="110">
        <f>'Daniel 2-315'!$P$12</f>
        <v>1.1563327003726523E-2</v>
      </c>
      <c r="J56" s="102"/>
      <c r="K56" s="111">
        <f t="shared" si="1"/>
        <v>150063.66538372432</v>
      </c>
      <c r="L56" s="65"/>
      <c r="M56" s="65"/>
      <c r="N56" s="65"/>
    </row>
    <row r="57" spans="1:14" s="63" customFormat="1" ht="15.75">
      <c r="A57" s="69">
        <v>2</v>
      </c>
      <c r="B57" s="82">
        <v>316</v>
      </c>
      <c r="C57" s="82" t="s">
        <v>179</v>
      </c>
      <c r="D57" s="82"/>
      <c r="E57" s="111">
        <f>'Daniel 2-316'!$L$21</f>
        <v>190579.7287856233</v>
      </c>
      <c r="F57" s="111"/>
      <c r="G57" s="111">
        <f>'Daniel 2-316'!$R$21</f>
        <v>37368.887803036348</v>
      </c>
      <c r="H57" s="102"/>
      <c r="I57" s="110">
        <f>'Daniel 2-316'!$P$12</f>
        <v>2.9349748280507095E-2</v>
      </c>
      <c r="J57" s="102"/>
      <c r="K57" s="111">
        <f t="shared" si="1"/>
        <v>5593.467067225356</v>
      </c>
      <c r="L57" s="65"/>
      <c r="M57" s="65"/>
      <c r="N57" s="65"/>
    </row>
    <row r="58" spans="1:14" s="63" customFormat="1" ht="15.75">
      <c r="A58" s="69"/>
      <c r="B58" s="82"/>
      <c r="C58" s="82"/>
      <c r="D58" s="82"/>
      <c r="E58" s="111"/>
      <c r="F58" s="111"/>
      <c r="G58" s="111"/>
      <c r="H58" s="102"/>
      <c r="I58" s="110"/>
      <c r="J58" s="102"/>
      <c r="K58" s="111"/>
      <c r="L58" s="65"/>
      <c r="M58" s="65"/>
      <c r="N58" s="65"/>
    </row>
    <row r="59" spans="1:14" s="63" customFormat="1" ht="15.75">
      <c r="A59" s="69" t="s">
        <v>134</v>
      </c>
      <c r="B59" s="82">
        <v>311</v>
      </c>
      <c r="C59" s="82" t="s">
        <v>178</v>
      </c>
      <c r="D59" s="82"/>
      <c r="E59" s="111">
        <f>+'Daniel Comm-311'!L$21</f>
        <v>38605472.022311002</v>
      </c>
      <c r="F59" s="111"/>
      <c r="G59" s="111">
        <f>+'Daniel Comm-311'!R$21</f>
        <v>14868760.319092141</v>
      </c>
      <c r="H59" s="102"/>
      <c r="I59" s="110">
        <f>+'Daniel Comm-311'!P$12</f>
        <v>2.1331425275543808E-2</v>
      </c>
      <c r="J59" s="102"/>
      <c r="K59" s="111">
        <f t="shared" si="1"/>
        <v>823509.74167102424</v>
      </c>
      <c r="L59" s="65"/>
      <c r="M59" s="65"/>
      <c r="N59" s="65"/>
    </row>
    <row r="60" spans="1:14" s="63" customFormat="1" ht="15.75">
      <c r="A60" s="69" t="s">
        <v>134</v>
      </c>
      <c r="B60" s="82">
        <v>312</v>
      </c>
      <c r="C60" s="82" t="s">
        <v>176</v>
      </c>
      <c r="D60" s="82"/>
      <c r="E60" s="111">
        <f>+'Daniel Comm-312'!L$21</f>
        <v>182680843.81603819</v>
      </c>
      <c r="F60" s="111"/>
      <c r="G60" s="111">
        <f>+'Daniel Comm-312'!R$21</f>
        <v>25298651.711122807</v>
      </c>
      <c r="H60" s="102"/>
      <c r="I60" s="110">
        <f>+'Daniel Comm-312'!P$12</f>
        <v>3.4101860471081359E-2</v>
      </c>
      <c r="J60" s="102"/>
      <c r="K60" s="111">
        <f t="shared" si="1"/>
        <v>6229756.6465539401</v>
      </c>
      <c r="L60" s="65"/>
      <c r="M60" s="65"/>
      <c r="N60" s="65"/>
    </row>
    <row r="61" spans="1:14" s="63" customFormat="1" ht="15.75">
      <c r="A61" s="69" t="s">
        <v>134</v>
      </c>
      <c r="B61" s="82">
        <v>314</v>
      </c>
      <c r="C61" s="82" t="s">
        <v>177</v>
      </c>
      <c r="D61" s="82"/>
      <c r="E61" s="111">
        <f>+'Daniel Comm-314'!L$21</f>
        <v>3483090.652292348</v>
      </c>
      <c r="F61" s="111"/>
      <c r="G61" s="111">
        <f>+'Daniel Comm-314'!R$21</f>
        <v>2486962.5301634832</v>
      </c>
      <c r="H61" s="102"/>
      <c r="I61" s="110">
        <f>+'Daniel Comm-314'!P$12</f>
        <v>1.4127377614904508E-2</v>
      </c>
      <c r="J61" s="102"/>
      <c r="K61" s="111">
        <f t="shared" si="1"/>
        <v>49206.93691187806</v>
      </c>
      <c r="L61" s="65"/>
      <c r="M61" s="65"/>
      <c r="N61" s="65"/>
    </row>
    <row r="62" spans="1:14" s="63" customFormat="1" ht="15.75">
      <c r="A62" s="69" t="s">
        <v>134</v>
      </c>
      <c r="B62" s="82">
        <v>315</v>
      </c>
      <c r="C62" s="82" t="s">
        <v>158</v>
      </c>
      <c r="D62" s="82"/>
      <c r="E62" s="111">
        <f>+'Daniel Comm-315'!L$21</f>
        <v>17552673.007404462</v>
      </c>
      <c r="F62" s="111"/>
      <c r="G62" s="111">
        <f>+'Daniel Comm-315'!R$21</f>
        <v>1358605.0077261606</v>
      </c>
      <c r="H62" s="102"/>
      <c r="I62" s="110">
        <f>+'Daniel Comm-315'!P$12</f>
        <v>3.3726638677333873E-2</v>
      </c>
      <c r="J62" s="102"/>
      <c r="K62" s="111">
        <f t="shared" si="1"/>
        <v>591992.66034212161</v>
      </c>
      <c r="L62" s="65"/>
      <c r="M62" s="65"/>
      <c r="N62" s="65"/>
    </row>
    <row r="63" spans="1:14" s="63" customFormat="1" ht="15.75">
      <c r="A63" s="69" t="s">
        <v>134</v>
      </c>
      <c r="B63" s="82">
        <v>316</v>
      </c>
      <c r="C63" s="82" t="s">
        <v>179</v>
      </c>
      <c r="D63" s="82"/>
      <c r="E63" s="111">
        <f>+'Daniel Comm-316'!L$21</f>
        <v>4684485.6039167261</v>
      </c>
      <c r="F63" s="111"/>
      <c r="G63" s="111">
        <f>+'Daniel Comm-316'!R$21</f>
        <v>1566417.3680947551</v>
      </c>
      <c r="H63" s="102"/>
      <c r="I63" s="110">
        <f>+'Daniel Comm-316'!P$12</f>
        <v>2.4344303533103715E-2</v>
      </c>
      <c r="J63" s="102"/>
      <c r="K63" s="111">
        <f t="shared" si="1"/>
        <v>114040.53943820344</v>
      </c>
      <c r="L63" s="65"/>
      <c r="M63" s="65"/>
      <c r="N63" s="65"/>
    </row>
    <row r="64" spans="1:14" s="63" customFormat="1" ht="15.75">
      <c r="A64" s="82"/>
      <c r="B64" s="82"/>
      <c r="C64" s="113" t="s">
        <v>182</v>
      </c>
      <c r="D64" s="113"/>
      <c r="E64" s="123">
        <f>SUM(E47:E63)</f>
        <v>645441968.72679532</v>
      </c>
      <c r="F64" s="123"/>
      <c r="G64" s="123">
        <f>SUM(G47:G63)</f>
        <v>166455161.70103157</v>
      </c>
      <c r="H64" s="123" t="s">
        <v>39</v>
      </c>
      <c r="I64" s="125">
        <f>ROUND(+K64/E64,3)</f>
        <v>0.03</v>
      </c>
      <c r="J64" s="123" t="s">
        <v>39</v>
      </c>
      <c r="K64" s="123">
        <f>SUM(K47:K63)</f>
        <v>19653622.29368525</v>
      </c>
      <c r="L64" s="65"/>
      <c r="M64" s="65"/>
      <c r="N64" s="65"/>
    </row>
    <row r="65" spans="1:14" ht="15.75">
      <c r="A65" s="82"/>
      <c r="B65" s="82"/>
      <c r="C65" s="82"/>
      <c r="D65" s="82"/>
      <c r="E65" s="111"/>
      <c r="F65" s="111"/>
      <c r="G65" s="111"/>
      <c r="H65" s="102"/>
      <c r="I65" s="110"/>
      <c r="J65" s="102"/>
      <c r="K65" s="111"/>
      <c r="L65" s="65"/>
      <c r="M65" s="65"/>
      <c r="N65" s="65"/>
    </row>
    <row r="66" spans="1:14" ht="15.75">
      <c r="A66" s="109" t="s">
        <v>183</v>
      </c>
      <c r="B66" s="82"/>
      <c r="C66" s="82"/>
      <c r="D66" s="82"/>
      <c r="E66" s="111"/>
      <c r="F66" s="111"/>
      <c r="G66" s="111"/>
      <c r="H66" s="102"/>
      <c r="I66" s="110"/>
      <c r="J66" s="102"/>
      <c r="K66" s="111"/>
      <c r="L66" s="65"/>
      <c r="M66" s="65"/>
      <c r="N66" s="65"/>
    </row>
    <row r="67" spans="1:14" ht="15.75">
      <c r="A67" s="82"/>
      <c r="B67" s="82">
        <v>311</v>
      </c>
      <c r="C67" s="82" t="s">
        <v>178</v>
      </c>
      <c r="D67" s="82"/>
      <c r="E67" s="111">
        <f>+'Scherer-311'!L21</f>
        <v>37765760.642789222</v>
      </c>
      <c r="F67" s="111"/>
      <c r="G67" s="111">
        <f>+'Scherer-311'!$R$21</f>
        <v>21648703.458702374</v>
      </c>
      <c r="H67" s="102"/>
      <c r="I67" s="110">
        <f>+'Scherer-311'!$P$12</f>
        <v>1.249890319178474E-2</v>
      </c>
      <c r="J67" s="102"/>
      <c r="K67" s="111">
        <f t="shared" ref="K67" si="2">+E67*I67</f>
        <v>472030.58623833669</v>
      </c>
      <c r="L67" s="65"/>
      <c r="M67" s="65"/>
      <c r="N67" s="65"/>
    </row>
    <row r="68" spans="1:14" ht="15.75">
      <c r="A68" s="82"/>
      <c r="B68" s="82">
        <v>312</v>
      </c>
      <c r="C68" s="82" t="s">
        <v>176</v>
      </c>
      <c r="D68" s="82"/>
      <c r="E68" s="111">
        <f>+'Scherer-312'!L21</f>
        <v>282887489.52399993</v>
      </c>
      <c r="F68" s="111"/>
      <c r="G68" s="111">
        <f>+'Scherer-312'!$R$21</f>
        <v>79700704.026006654</v>
      </c>
      <c r="H68" s="102"/>
      <c r="I68" s="110">
        <f>+'Scherer-312'!$P$12</f>
        <v>2.4849253352442997E-2</v>
      </c>
      <c r="J68" s="102"/>
      <c r="K68" s="111">
        <f t="shared" ref="K68:K71" si="3">+E68*I68</f>
        <v>7029542.8974184385</v>
      </c>
      <c r="L68" s="65"/>
      <c r="M68" s="65"/>
      <c r="N68" s="65"/>
    </row>
    <row r="69" spans="1:14" ht="15.75">
      <c r="A69" s="82"/>
      <c r="B69" s="82">
        <v>314</v>
      </c>
      <c r="C69" s="82" t="s">
        <v>177</v>
      </c>
      <c r="D69" s="82"/>
      <c r="E69" s="111">
        <f>+'Scherer-314'!L21</f>
        <v>38601239.89121078</v>
      </c>
      <c r="F69" s="111"/>
      <c r="G69" s="111">
        <f>+'Scherer-314'!$R$21</f>
        <v>23275983.437504284</v>
      </c>
      <c r="H69" s="102"/>
      <c r="I69" s="110">
        <f>+'Scherer-314'!$P$12</f>
        <v>1.6337249112492101E-2</v>
      </c>
      <c r="J69" s="102"/>
      <c r="K69" s="111">
        <f t="shared" si="3"/>
        <v>630638.07215377793</v>
      </c>
      <c r="L69" s="65"/>
      <c r="M69" s="65"/>
      <c r="N69" s="65"/>
    </row>
    <row r="70" spans="1:14" ht="15.75">
      <c r="A70" s="82"/>
      <c r="B70" s="82">
        <v>315</v>
      </c>
      <c r="C70" s="82" t="s">
        <v>158</v>
      </c>
      <c r="D70" s="82"/>
      <c r="E70" s="111">
        <f>+'Scherer-315'!L21</f>
        <v>16036614.420999998</v>
      </c>
      <c r="F70" s="111"/>
      <c r="G70" s="111">
        <f>+'Scherer-315'!$R$21</f>
        <v>6121132.8348016683</v>
      </c>
      <c r="H70" s="102"/>
      <c r="I70" s="110">
        <f>+'Scherer-315'!$P$12</f>
        <v>1.9349358523516057E-2</v>
      </c>
      <c r="J70" s="102"/>
      <c r="K70" s="111">
        <f t="shared" si="3"/>
        <v>310298.20193531684</v>
      </c>
      <c r="L70" s="65"/>
      <c r="M70" s="65"/>
      <c r="N70" s="65"/>
    </row>
    <row r="71" spans="1:14" ht="15.75">
      <c r="A71" s="82"/>
      <c r="B71" s="82">
        <v>316</v>
      </c>
      <c r="C71" s="82" t="s">
        <v>179</v>
      </c>
      <c r="D71" s="82"/>
      <c r="E71" s="111">
        <f>+'Scherer-316'!L21</f>
        <v>5908515.7510000058</v>
      </c>
      <c r="F71" s="111"/>
      <c r="G71" s="111">
        <f>+'Scherer-316'!$R$21</f>
        <v>3485686.6514016655</v>
      </c>
      <c r="H71" s="102"/>
      <c r="I71" s="110">
        <f>+'Scherer-316'!$P$12</f>
        <v>1.2831876120582826E-2</v>
      </c>
      <c r="J71" s="102"/>
      <c r="K71" s="111">
        <f t="shared" si="3"/>
        <v>75817.34217334447</v>
      </c>
      <c r="L71" s="65"/>
      <c r="M71" s="65"/>
      <c r="N71" s="65"/>
    </row>
    <row r="72" spans="1:14" s="63" customFormat="1" ht="15.75">
      <c r="A72" s="109"/>
      <c r="B72" s="82"/>
      <c r="C72" s="113" t="s">
        <v>185</v>
      </c>
      <c r="D72" s="82"/>
      <c r="E72" s="123">
        <f>SUM(E67:E71)</f>
        <v>381199620.22999996</v>
      </c>
      <c r="F72" s="124"/>
      <c r="G72" s="123">
        <f t="shared" ref="G72:K72" si="4">SUM(G67:G71)</f>
        <v>134232210.40841666</v>
      </c>
      <c r="H72" s="123" t="s">
        <v>39</v>
      </c>
      <c r="I72" s="125">
        <f>ROUND(+K72/E72,3)</f>
        <v>2.1999999999999999E-2</v>
      </c>
      <c r="J72" s="123" t="s">
        <v>39</v>
      </c>
      <c r="K72" s="123">
        <f t="shared" si="4"/>
        <v>8518327.0999192148</v>
      </c>
      <c r="L72" s="65"/>
      <c r="M72" s="65"/>
      <c r="N72" s="65"/>
    </row>
    <row r="73" spans="1:14" s="63" customFormat="1" ht="15.75">
      <c r="A73" s="109"/>
      <c r="B73" s="82"/>
      <c r="C73" s="82"/>
      <c r="D73" s="82"/>
      <c r="E73" s="102"/>
      <c r="F73" s="102"/>
      <c r="G73" s="102"/>
      <c r="H73" s="102"/>
      <c r="I73" s="110"/>
      <c r="J73" s="102"/>
      <c r="K73" s="102"/>
      <c r="L73" s="65"/>
      <c r="M73" s="65"/>
      <c r="N73" s="65"/>
    </row>
    <row r="74" spans="1:14" s="63" customFormat="1" ht="15.75">
      <c r="A74" s="109" t="s">
        <v>184</v>
      </c>
      <c r="B74" s="82"/>
      <c r="C74" s="82"/>
      <c r="D74" s="82"/>
      <c r="E74" s="102"/>
      <c r="F74" s="102"/>
      <c r="G74" s="102"/>
      <c r="H74" s="102"/>
      <c r="I74" s="110"/>
      <c r="J74" s="102"/>
      <c r="K74" s="102"/>
      <c r="L74" s="65"/>
      <c r="M74" s="65"/>
      <c r="N74" s="65"/>
    </row>
    <row r="75" spans="1:14" ht="15.75">
      <c r="A75" s="82">
        <v>311</v>
      </c>
      <c r="B75" s="82">
        <v>311</v>
      </c>
      <c r="C75" s="82" t="s">
        <v>178</v>
      </c>
      <c r="D75" s="82"/>
      <c r="E75" s="111">
        <v>4386828.4800000004</v>
      </c>
      <c r="F75" s="111"/>
      <c r="G75" s="111">
        <v>4792336.1400000006</v>
      </c>
      <c r="H75" s="111" t="s">
        <v>39</v>
      </c>
      <c r="I75" s="110">
        <v>0</v>
      </c>
      <c r="J75" s="102"/>
      <c r="K75" s="111">
        <f t="shared" ref="K75:K79" si="5">+E75*I75</f>
        <v>0</v>
      </c>
      <c r="L75" s="65"/>
      <c r="M75" s="65"/>
      <c r="N75" s="65"/>
    </row>
    <row r="76" spans="1:14" ht="15.75">
      <c r="A76" s="82">
        <v>312</v>
      </c>
      <c r="B76" s="82">
        <v>312</v>
      </c>
      <c r="C76" s="82" t="s">
        <v>176</v>
      </c>
      <c r="D76" s="82"/>
      <c r="E76" s="111">
        <v>1033192.75</v>
      </c>
      <c r="F76" s="111"/>
      <c r="G76" s="111">
        <v>1415335.55</v>
      </c>
      <c r="H76" s="111" t="s">
        <v>39</v>
      </c>
      <c r="I76" s="110">
        <v>0</v>
      </c>
      <c r="J76" s="102"/>
      <c r="K76" s="111">
        <f t="shared" si="5"/>
        <v>0</v>
      </c>
      <c r="L76" s="65"/>
      <c r="M76" s="65"/>
      <c r="N76" s="65"/>
    </row>
    <row r="77" spans="1:14" ht="15.75">
      <c r="A77" s="82">
        <v>314</v>
      </c>
      <c r="B77" s="82">
        <v>314</v>
      </c>
      <c r="C77" s="82" t="s">
        <v>177</v>
      </c>
      <c r="D77" s="82"/>
      <c r="E77" s="111">
        <v>1377880.24</v>
      </c>
      <c r="F77" s="111"/>
      <c r="G77" s="111">
        <v>2082312.21</v>
      </c>
      <c r="H77" s="111" t="s">
        <v>39</v>
      </c>
      <c r="I77" s="110">
        <v>0</v>
      </c>
      <c r="J77" s="102"/>
      <c r="K77" s="111">
        <f t="shared" si="5"/>
        <v>0</v>
      </c>
      <c r="L77" s="65"/>
      <c r="M77" s="65"/>
      <c r="N77" s="65"/>
    </row>
    <row r="78" spans="1:14" ht="15.75">
      <c r="A78" s="82">
        <v>315</v>
      </c>
      <c r="B78" s="82">
        <v>315</v>
      </c>
      <c r="C78" s="82" t="s">
        <v>158</v>
      </c>
      <c r="D78" s="82"/>
      <c r="E78" s="111">
        <v>1682894.6400000001</v>
      </c>
      <c r="F78" s="111"/>
      <c r="G78" s="111">
        <v>2116319.44</v>
      </c>
      <c r="H78" s="111" t="s">
        <v>39</v>
      </c>
      <c r="I78" s="110">
        <v>0</v>
      </c>
      <c r="J78" s="102"/>
      <c r="K78" s="111">
        <f t="shared" si="5"/>
        <v>0</v>
      </c>
      <c r="L78" s="65"/>
      <c r="M78" s="65"/>
      <c r="N78" s="65"/>
    </row>
    <row r="79" spans="1:14" ht="15.75">
      <c r="A79" s="82">
        <v>316</v>
      </c>
      <c r="B79" s="82">
        <v>316</v>
      </c>
      <c r="C79" s="82" t="s">
        <v>179</v>
      </c>
      <c r="D79" s="82"/>
      <c r="E79" s="111">
        <v>414408.02</v>
      </c>
      <c r="F79" s="111"/>
      <c r="G79" s="111">
        <v>269610.23</v>
      </c>
      <c r="H79" s="111" t="s">
        <v>39</v>
      </c>
      <c r="I79" s="110">
        <v>0</v>
      </c>
      <c r="J79" s="102"/>
      <c r="K79" s="111">
        <f t="shared" si="5"/>
        <v>0</v>
      </c>
      <c r="L79" s="65"/>
      <c r="M79" s="65"/>
      <c r="N79" s="65"/>
    </row>
    <row r="80" spans="1:14" ht="15.75">
      <c r="A80" s="82"/>
      <c r="B80" s="82"/>
      <c r="C80" s="113" t="s">
        <v>186</v>
      </c>
      <c r="D80" s="113"/>
      <c r="E80" s="123">
        <f>SUM(E75:E79)</f>
        <v>8895204.1300000008</v>
      </c>
      <c r="F80" s="124"/>
      <c r="G80" s="123">
        <f>SUM(G75:G79)</f>
        <v>10675913.57</v>
      </c>
      <c r="H80" s="123" t="s">
        <v>39</v>
      </c>
      <c r="I80" s="125">
        <f>ROUND(+K80/E80,3)</f>
        <v>0</v>
      </c>
      <c r="J80" s="123" t="s">
        <v>39</v>
      </c>
      <c r="K80" s="123">
        <f>SUM(K75:K79)</f>
        <v>0</v>
      </c>
      <c r="L80" s="65"/>
      <c r="M80" s="65"/>
      <c r="N80" s="65"/>
    </row>
    <row r="81" spans="1:14" ht="15.75">
      <c r="A81" s="82"/>
      <c r="B81" s="82"/>
      <c r="C81" s="82"/>
      <c r="D81" s="82"/>
      <c r="E81" s="102"/>
      <c r="F81" s="102"/>
      <c r="G81" s="102"/>
      <c r="H81" s="102"/>
      <c r="I81" s="110"/>
      <c r="J81" s="102"/>
      <c r="K81" s="102"/>
      <c r="L81" s="65"/>
      <c r="M81" s="65"/>
      <c r="N81" s="65"/>
    </row>
    <row r="82" spans="1:14" ht="15.75">
      <c r="A82" s="82"/>
      <c r="B82" s="82"/>
      <c r="C82" s="82"/>
      <c r="D82" s="82"/>
      <c r="E82" s="111"/>
      <c r="F82" s="111"/>
      <c r="G82" s="111"/>
      <c r="H82" s="111"/>
      <c r="I82" s="110"/>
      <c r="J82" s="111"/>
      <c r="K82" s="111"/>
      <c r="L82" s="65"/>
      <c r="M82" s="65"/>
      <c r="N82" s="65"/>
    </row>
    <row r="83" spans="1:14" ht="15.75">
      <c r="A83" s="82"/>
      <c r="B83" s="82"/>
      <c r="C83" s="82"/>
      <c r="D83" s="82"/>
      <c r="E83" s="102"/>
      <c r="F83" s="102"/>
      <c r="G83" s="102"/>
      <c r="H83" s="102"/>
      <c r="I83" s="110"/>
      <c r="J83" s="102"/>
      <c r="K83" s="102"/>
      <c r="L83" s="65"/>
      <c r="M83" s="65"/>
      <c r="N83" s="65"/>
    </row>
    <row r="84" spans="1:14" ht="15.75">
      <c r="A84" s="82"/>
      <c r="B84" s="82"/>
      <c r="C84" s="82"/>
      <c r="D84" s="82"/>
      <c r="E84" s="102"/>
      <c r="F84" s="102"/>
      <c r="G84" s="102"/>
      <c r="H84" s="102"/>
      <c r="I84" s="110"/>
      <c r="J84" s="102"/>
      <c r="K84" s="102"/>
      <c r="L84" s="65"/>
      <c r="M84" s="65"/>
      <c r="N84" s="65"/>
    </row>
    <row r="85" spans="1:14" ht="15.75">
      <c r="A85" s="82"/>
      <c r="B85" s="82"/>
      <c r="C85" s="82"/>
      <c r="D85" s="82"/>
      <c r="E85" s="102"/>
      <c r="F85" s="102"/>
      <c r="G85" s="102"/>
      <c r="H85" s="102"/>
      <c r="I85" s="110"/>
      <c r="J85" s="102"/>
      <c r="K85" s="102"/>
      <c r="L85" s="65"/>
      <c r="M85" s="65"/>
      <c r="N85" s="65"/>
    </row>
    <row r="86" spans="1:14" ht="15.75">
      <c r="A86" s="82"/>
      <c r="B86" s="82"/>
      <c r="C86" s="82"/>
      <c r="D86" s="82"/>
      <c r="E86" s="102"/>
      <c r="F86" s="102"/>
      <c r="G86" s="102"/>
      <c r="H86" s="102"/>
      <c r="I86" s="110"/>
      <c r="J86" s="102"/>
      <c r="K86" s="102"/>
      <c r="L86" s="65"/>
      <c r="M86" s="65"/>
      <c r="N86" s="65"/>
    </row>
    <row r="87" spans="1:14" ht="15.75">
      <c r="A87" s="82"/>
      <c r="B87" s="82"/>
      <c r="C87" s="82"/>
      <c r="D87" s="82"/>
      <c r="E87" s="102"/>
      <c r="F87" s="102"/>
      <c r="G87" s="102"/>
      <c r="H87" s="102"/>
      <c r="I87" s="110"/>
      <c r="J87" s="102"/>
      <c r="K87" s="102"/>
      <c r="L87" s="65"/>
      <c r="M87" s="65"/>
      <c r="N87" s="65"/>
    </row>
    <row r="88" spans="1:14" ht="15.75">
      <c r="A88" s="82"/>
      <c r="B88" s="82"/>
      <c r="C88" s="82"/>
      <c r="D88" s="82"/>
      <c r="E88" s="102"/>
      <c r="F88" s="102"/>
      <c r="G88" s="102"/>
      <c r="H88" s="102"/>
      <c r="I88" s="110"/>
      <c r="J88" s="102"/>
      <c r="K88" s="102"/>
      <c r="L88" s="65"/>
      <c r="M88" s="65"/>
      <c r="N88" s="65"/>
    </row>
    <row r="89" spans="1:14" ht="15.75">
      <c r="A89" s="82"/>
      <c r="B89" s="82"/>
      <c r="C89" s="82"/>
      <c r="D89" s="82"/>
      <c r="E89" s="102"/>
      <c r="F89" s="102"/>
      <c r="G89" s="102"/>
      <c r="H89" s="102"/>
      <c r="I89" s="110"/>
      <c r="J89" s="102"/>
      <c r="K89" s="102"/>
      <c r="L89" s="65"/>
      <c r="M89" s="65"/>
      <c r="N89" s="65"/>
    </row>
    <row r="90" spans="1:14" ht="15.75">
      <c r="A90" s="82"/>
      <c r="B90" s="82"/>
      <c r="C90" s="82"/>
      <c r="D90" s="82"/>
      <c r="E90" s="102"/>
      <c r="F90" s="102"/>
      <c r="G90" s="102"/>
      <c r="H90" s="102"/>
      <c r="I90" s="110"/>
      <c r="J90" s="102"/>
      <c r="K90" s="102"/>
      <c r="L90" s="65"/>
      <c r="M90" s="65"/>
      <c r="N90" s="65"/>
    </row>
    <row r="91" spans="1:14" ht="15.75">
      <c r="A91" s="82"/>
      <c r="B91" s="82"/>
      <c r="C91" s="82"/>
      <c r="D91" s="82"/>
      <c r="E91" s="102"/>
      <c r="F91" s="102"/>
      <c r="G91" s="102"/>
      <c r="H91" s="102"/>
      <c r="I91" s="110"/>
      <c r="J91" s="102"/>
      <c r="K91" s="102"/>
      <c r="L91" s="65"/>
      <c r="M91" s="65"/>
      <c r="N91" s="65"/>
    </row>
    <row r="92" spans="1:14" ht="15.75">
      <c r="A92" s="82"/>
      <c r="B92" s="82"/>
      <c r="C92" s="82"/>
      <c r="D92" s="82"/>
      <c r="E92" s="102"/>
      <c r="F92" s="102"/>
      <c r="G92" s="102"/>
      <c r="H92" s="102"/>
      <c r="I92" s="110"/>
      <c r="J92" s="102"/>
      <c r="K92" s="102"/>
      <c r="L92" s="65"/>
      <c r="M92" s="65"/>
      <c r="N92" s="65"/>
    </row>
    <row r="93" spans="1:14" ht="15.75">
      <c r="A93" s="82"/>
      <c r="B93" s="82"/>
      <c r="C93" s="82"/>
      <c r="D93" s="82"/>
      <c r="E93" s="102"/>
      <c r="F93" s="102"/>
      <c r="G93" s="102"/>
      <c r="H93" s="102"/>
      <c r="I93" s="110"/>
      <c r="J93" s="102"/>
      <c r="K93" s="102"/>
      <c r="L93" s="65"/>
      <c r="M93" s="65"/>
      <c r="N93" s="65"/>
    </row>
    <row r="94" spans="1:14" ht="15.75">
      <c r="A94" s="82"/>
      <c r="B94" s="82"/>
      <c r="C94" s="82"/>
      <c r="D94" s="82"/>
      <c r="E94" s="102"/>
      <c r="F94" s="102"/>
      <c r="G94" s="102"/>
      <c r="H94" s="102"/>
      <c r="I94" s="110"/>
      <c r="J94" s="102"/>
      <c r="K94" s="102"/>
      <c r="L94" s="65"/>
      <c r="M94" s="65"/>
      <c r="N94" s="65"/>
    </row>
    <row r="95" spans="1:14" ht="15.75">
      <c r="A95" s="82"/>
      <c r="B95" s="82"/>
      <c r="C95" s="82"/>
      <c r="D95" s="82"/>
      <c r="E95" s="102"/>
      <c r="F95" s="102"/>
      <c r="G95" s="102"/>
      <c r="H95" s="102"/>
      <c r="I95" s="110"/>
      <c r="J95" s="102"/>
      <c r="K95" s="102"/>
      <c r="L95" s="65"/>
      <c r="M95" s="65"/>
      <c r="N95" s="65"/>
    </row>
    <row r="96" spans="1:14" ht="15.75">
      <c r="A96" s="82"/>
      <c r="B96" s="82"/>
      <c r="C96" s="82"/>
      <c r="D96" s="82"/>
      <c r="E96" s="102"/>
      <c r="F96" s="102"/>
      <c r="G96" s="102"/>
      <c r="H96" s="102"/>
      <c r="I96" s="110"/>
      <c r="J96" s="102"/>
      <c r="K96" s="102"/>
      <c r="L96" s="65"/>
      <c r="M96" s="65"/>
      <c r="N96" s="65"/>
    </row>
    <row r="97" spans="1:14" ht="15.75">
      <c r="A97" s="82"/>
      <c r="B97" s="82"/>
      <c r="C97" s="82"/>
      <c r="D97" s="82"/>
      <c r="E97" s="102"/>
      <c r="F97" s="102"/>
      <c r="G97" s="102"/>
      <c r="H97" s="102"/>
      <c r="I97" s="110"/>
      <c r="J97" s="102"/>
      <c r="K97" s="102"/>
      <c r="L97" s="65"/>
      <c r="M97" s="65"/>
      <c r="N97" s="65"/>
    </row>
    <row r="98" spans="1:14" ht="15.75">
      <c r="A98" s="82"/>
      <c r="B98" s="82"/>
      <c r="C98" s="82"/>
      <c r="D98" s="82"/>
      <c r="E98" s="102"/>
      <c r="F98" s="102"/>
      <c r="G98" s="102"/>
      <c r="H98" s="102"/>
      <c r="I98" s="110"/>
      <c r="J98" s="102"/>
      <c r="K98" s="102"/>
      <c r="L98" s="65"/>
      <c r="M98" s="65"/>
      <c r="N98" s="65"/>
    </row>
    <row r="99" spans="1:14" ht="15.75">
      <c r="A99" s="82"/>
      <c r="B99" s="82"/>
      <c r="C99" s="82"/>
      <c r="D99" s="82"/>
      <c r="E99" s="102"/>
      <c r="F99" s="102"/>
      <c r="G99" s="102"/>
      <c r="H99" s="102"/>
      <c r="I99" s="110"/>
      <c r="J99" s="102"/>
      <c r="K99" s="102"/>
      <c r="L99" s="65"/>
      <c r="M99" s="65"/>
      <c r="N99" s="65"/>
    </row>
    <row r="100" spans="1:14" ht="15.75">
      <c r="A100" s="82"/>
      <c r="B100" s="82"/>
      <c r="C100" s="82"/>
      <c r="D100" s="82"/>
      <c r="E100" s="102"/>
      <c r="F100" s="102"/>
      <c r="G100" s="102"/>
      <c r="H100" s="102"/>
      <c r="I100" s="110"/>
      <c r="J100" s="102"/>
      <c r="K100" s="102"/>
      <c r="L100" s="65"/>
      <c r="M100" s="65"/>
      <c r="N100" s="65"/>
    </row>
    <row r="101" spans="1:14" ht="15.75">
      <c r="A101" s="82"/>
      <c r="B101" s="82"/>
      <c r="C101" s="82"/>
      <c r="D101" s="82"/>
      <c r="E101" s="102"/>
      <c r="F101" s="102"/>
      <c r="G101" s="102"/>
      <c r="H101" s="102"/>
      <c r="I101" s="110"/>
      <c r="J101" s="102"/>
      <c r="K101" s="102"/>
      <c r="L101" s="65"/>
      <c r="M101" s="65"/>
      <c r="N101" s="65"/>
    </row>
    <row r="102" spans="1:14" ht="15.75">
      <c r="A102" s="82"/>
      <c r="B102" s="82"/>
      <c r="C102" s="82"/>
      <c r="D102" s="82"/>
      <c r="E102" s="102"/>
      <c r="F102" s="102"/>
      <c r="G102" s="102"/>
      <c r="H102" s="102"/>
      <c r="I102" s="110"/>
      <c r="J102" s="102"/>
      <c r="K102" s="102"/>
      <c r="L102" s="65"/>
      <c r="M102" s="65"/>
      <c r="N102" s="65"/>
    </row>
    <row r="103" spans="1:14" ht="15.75">
      <c r="A103" s="82"/>
      <c r="B103" s="82"/>
      <c r="C103" s="82"/>
      <c r="D103" s="82"/>
      <c r="E103" s="102"/>
      <c r="F103" s="102"/>
      <c r="G103" s="102"/>
      <c r="H103" s="102"/>
      <c r="I103" s="110"/>
      <c r="J103" s="102"/>
      <c r="K103" s="102"/>
      <c r="L103" s="65"/>
      <c r="M103" s="65"/>
      <c r="N103" s="65"/>
    </row>
    <row r="104" spans="1:14" ht="15.75">
      <c r="A104" s="82"/>
      <c r="B104" s="82"/>
      <c r="C104" s="82"/>
      <c r="D104" s="82"/>
      <c r="E104" s="102"/>
      <c r="F104" s="102"/>
      <c r="G104" s="102"/>
      <c r="H104" s="102"/>
      <c r="I104" s="110"/>
      <c r="J104" s="102"/>
      <c r="K104" s="102"/>
      <c r="L104" s="65"/>
      <c r="M104" s="65"/>
      <c r="N104" s="65"/>
    </row>
    <row r="105" spans="1:14" ht="15.75">
      <c r="A105" s="82"/>
      <c r="B105" s="82"/>
      <c r="C105" s="82"/>
      <c r="D105" s="82"/>
      <c r="E105" s="102"/>
      <c r="F105" s="102"/>
      <c r="G105" s="102"/>
      <c r="H105" s="102"/>
      <c r="I105" s="110"/>
      <c r="J105" s="102"/>
      <c r="K105" s="102"/>
      <c r="L105" s="65"/>
      <c r="M105" s="65"/>
      <c r="N105" s="65"/>
    </row>
    <row r="106" spans="1:14" ht="15.75">
      <c r="A106" s="82"/>
      <c r="B106" s="82"/>
      <c r="C106" s="82"/>
      <c r="D106" s="82"/>
      <c r="E106" s="102"/>
      <c r="F106" s="102"/>
      <c r="G106" s="102"/>
      <c r="H106" s="102"/>
      <c r="I106" s="110"/>
      <c r="J106" s="102"/>
      <c r="K106" s="102"/>
      <c r="L106" s="65"/>
      <c r="M106" s="65"/>
      <c r="N106" s="65"/>
    </row>
    <row r="107" spans="1:14" ht="15.75">
      <c r="A107" s="82"/>
      <c r="B107" s="82"/>
      <c r="C107" s="82"/>
      <c r="D107" s="82"/>
      <c r="E107" s="102"/>
      <c r="F107" s="102"/>
      <c r="G107" s="102"/>
      <c r="H107" s="102"/>
      <c r="I107" s="110"/>
      <c r="J107" s="102"/>
      <c r="K107" s="102"/>
      <c r="L107" s="65"/>
      <c r="M107" s="65"/>
      <c r="N107" s="65"/>
    </row>
    <row r="108" spans="1:14" ht="15.75">
      <c r="A108" s="82"/>
      <c r="B108" s="82"/>
      <c r="C108" s="82"/>
      <c r="D108" s="82"/>
      <c r="E108" s="102"/>
      <c r="F108" s="102"/>
      <c r="G108" s="102"/>
      <c r="H108" s="102"/>
      <c r="I108" s="110"/>
      <c r="J108" s="102"/>
      <c r="K108" s="102"/>
      <c r="L108" s="65"/>
      <c r="M108" s="65"/>
      <c r="N108" s="65"/>
    </row>
    <row r="109" spans="1:14" ht="15.75">
      <c r="A109" s="82"/>
      <c r="B109" s="82"/>
      <c r="C109" s="82"/>
      <c r="D109" s="82"/>
      <c r="E109" s="102"/>
      <c r="F109" s="102"/>
      <c r="G109" s="102"/>
      <c r="H109" s="102"/>
      <c r="I109" s="110"/>
      <c r="J109" s="102"/>
      <c r="K109" s="102"/>
      <c r="L109" s="65"/>
      <c r="M109" s="65"/>
      <c r="N109" s="65"/>
    </row>
    <row r="110" spans="1:14" ht="15.75">
      <c r="A110" s="82"/>
      <c r="B110" s="82"/>
      <c r="C110" s="82"/>
      <c r="D110" s="82"/>
      <c r="E110" s="102"/>
      <c r="F110" s="102"/>
      <c r="G110" s="102"/>
      <c r="H110" s="102"/>
      <c r="I110" s="110"/>
      <c r="J110" s="102"/>
      <c r="K110" s="102"/>
      <c r="L110" s="65"/>
      <c r="M110" s="65"/>
      <c r="N110" s="65"/>
    </row>
    <row r="111" spans="1:14" ht="15.75">
      <c r="A111" s="82"/>
      <c r="B111" s="82"/>
      <c r="C111" s="82"/>
      <c r="D111" s="82"/>
      <c r="E111" s="102"/>
      <c r="F111" s="102"/>
      <c r="G111" s="102"/>
      <c r="H111" s="102"/>
      <c r="I111" s="110"/>
      <c r="J111" s="102"/>
      <c r="K111" s="102"/>
      <c r="L111" s="65"/>
      <c r="M111" s="65"/>
      <c r="N111" s="65"/>
    </row>
    <row r="112" spans="1:14" ht="15.75">
      <c r="A112" s="82"/>
      <c r="B112" s="82"/>
      <c r="C112" s="82"/>
      <c r="D112" s="82"/>
      <c r="E112" s="102"/>
      <c r="F112" s="102"/>
      <c r="G112" s="102"/>
      <c r="H112" s="102"/>
      <c r="I112" s="110"/>
      <c r="J112" s="102"/>
      <c r="K112" s="102"/>
      <c r="L112" s="65"/>
      <c r="M112" s="65"/>
      <c r="N112" s="65"/>
    </row>
    <row r="113" spans="1:14" ht="15.75">
      <c r="A113" s="82"/>
      <c r="B113" s="82"/>
      <c r="C113" s="82"/>
      <c r="D113" s="82"/>
      <c r="E113" s="102"/>
      <c r="F113" s="102"/>
      <c r="G113" s="102"/>
      <c r="H113" s="102"/>
      <c r="I113" s="110"/>
      <c r="J113" s="102"/>
      <c r="K113" s="102"/>
      <c r="L113" s="65"/>
      <c r="M113" s="65"/>
      <c r="N113" s="65"/>
    </row>
    <row r="114" spans="1:14" ht="15.75">
      <c r="A114" s="82"/>
      <c r="B114" s="82"/>
      <c r="C114" s="82"/>
      <c r="D114" s="82"/>
      <c r="E114" s="102"/>
      <c r="F114" s="102"/>
      <c r="G114" s="102"/>
      <c r="H114" s="102"/>
      <c r="I114" s="110"/>
      <c r="J114" s="102"/>
      <c r="K114" s="102"/>
      <c r="L114" s="65"/>
      <c r="M114" s="65"/>
      <c r="N114" s="65"/>
    </row>
    <row r="115" spans="1:14" ht="15.75">
      <c r="A115" s="82"/>
      <c r="B115" s="82"/>
      <c r="C115" s="82"/>
      <c r="D115" s="82"/>
      <c r="E115" s="102"/>
      <c r="F115" s="102"/>
      <c r="G115" s="102"/>
      <c r="H115" s="102"/>
      <c r="I115" s="110"/>
      <c r="J115" s="102"/>
      <c r="K115" s="102"/>
      <c r="L115" s="65"/>
      <c r="M115" s="65"/>
      <c r="N115" s="65"/>
    </row>
    <row r="116" spans="1:14" ht="15.75">
      <c r="A116" s="82"/>
      <c r="B116" s="82"/>
      <c r="C116" s="82"/>
      <c r="D116" s="82"/>
      <c r="E116" s="102"/>
      <c r="F116" s="102"/>
      <c r="G116" s="102"/>
      <c r="H116" s="102"/>
      <c r="I116" s="110"/>
      <c r="J116" s="102"/>
      <c r="K116" s="102"/>
      <c r="L116" s="65"/>
      <c r="M116" s="65"/>
      <c r="N116" s="65"/>
    </row>
    <row r="117" spans="1:14" ht="15.75">
      <c r="A117" s="82"/>
      <c r="B117" s="82"/>
      <c r="C117" s="82"/>
      <c r="D117" s="82"/>
      <c r="E117" s="102"/>
      <c r="F117" s="102"/>
      <c r="G117" s="102"/>
      <c r="H117" s="102"/>
      <c r="I117" s="110"/>
      <c r="J117" s="102"/>
      <c r="K117" s="102"/>
      <c r="L117" s="65"/>
      <c r="M117" s="65"/>
      <c r="N117" s="65"/>
    </row>
    <row r="118" spans="1:14" ht="15.75">
      <c r="A118" s="82"/>
      <c r="B118" s="82"/>
      <c r="C118" s="82"/>
      <c r="D118" s="82"/>
      <c r="E118" s="102"/>
      <c r="F118" s="102"/>
      <c r="G118" s="102"/>
      <c r="H118" s="102"/>
      <c r="I118" s="110"/>
      <c r="J118" s="102"/>
      <c r="K118" s="102"/>
      <c r="L118" s="65"/>
      <c r="M118" s="65"/>
      <c r="N118" s="65"/>
    </row>
    <row r="119" spans="1:14" ht="15.75">
      <c r="A119" s="82"/>
      <c r="B119" s="82"/>
      <c r="C119" s="82"/>
      <c r="D119" s="82"/>
      <c r="E119" s="102"/>
      <c r="F119" s="102"/>
      <c r="G119" s="102"/>
      <c r="H119" s="102"/>
      <c r="I119" s="110"/>
      <c r="J119" s="102"/>
      <c r="K119" s="102"/>
      <c r="L119" s="65"/>
      <c r="M119" s="65"/>
      <c r="N119" s="65"/>
    </row>
    <row r="120" spans="1:14" ht="15.75">
      <c r="A120" s="82"/>
      <c r="B120" s="82"/>
      <c r="C120" s="82"/>
      <c r="D120" s="82"/>
      <c r="E120" s="102"/>
      <c r="F120" s="102"/>
      <c r="G120" s="102"/>
      <c r="H120" s="102"/>
      <c r="I120" s="110"/>
      <c r="J120" s="102"/>
      <c r="K120" s="102"/>
      <c r="L120" s="65"/>
      <c r="M120" s="65"/>
      <c r="N120" s="65"/>
    </row>
    <row r="121" spans="1:14" ht="15.75">
      <c r="A121" s="82"/>
      <c r="B121" s="82"/>
      <c r="C121" s="82"/>
      <c r="D121" s="82"/>
      <c r="E121" s="102"/>
      <c r="F121" s="102"/>
      <c r="G121" s="102"/>
      <c r="H121" s="102"/>
      <c r="I121" s="110"/>
      <c r="J121" s="102"/>
      <c r="K121" s="102"/>
      <c r="L121" s="65"/>
      <c r="M121" s="65"/>
      <c r="N121" s="65"/>
    </row>
    <row r="122" spans="1:14" ht="15.75">
      <c r="A122" s="82"/>
      <c r="B122" s="82"/>
      <c r="C122" s="82"/>
      <c r="D122" s="82"/>
      <c r="E122" s="102"/>
      <c r="F122" s="102"/>
      <c r="G122" s="102"/>
      <c r="H122" s="102"/>
      <c r="I122" s="110"/>
      <c r="J122" s="102"/>
      <c r="K122" s="102"/>
      <c r="L122" s="65"/>
      <c r="M122" s="65"/>
      <c r="N122" s="65"/>
    </row>
    <row r="123" spans="1:14" ht="15.75">
      <c r="A123" s="82"/>
      <c r="B123" s="82"/>
      <c r="C123" s="82"/>
      <c r="D123" s="82"/>
      <c r="E123" s="102"/>
      <c r="F123" s="102"/>
      <c r="G123" s="102"/>
      <c r="H123" s="102"/>
      <c r="I123" s="110"/>
      <c r="J123" s="102"/>
      <c r="K123" s="102"/>
      <c r="L123" s="65"/>
      <c r="M123" s="65"/>
      <c r="N123" s="65"/>
    </row>
    <row r="124" spans="1:14" ht="15.75">
      <c r="A124" s="82"/>
      <c r="B124" s="82"/>
      <c r="C124" s="82"/>
      <c r="D124" s="82"/>
      <c r="E124" s="102"/>
      <c r="F124" s="102"/>
      <c r="G124" s="102"/>
      <c r="H124" s="102"/>
      <c r="I124" s="110"/>
      <c r="J124" s="102"/>
      <c r="K124" s="102"/>
      <c r="L124" s="65"/>
      <c r="M124" s="65"/>
      <c r="N124" s="65"/>
    </row>
    <row r="125" spans="1:14" ht="15.75">
      <c r="A125" s="82"/>
      <c r="B125" s="82"/>
      <c r="C125" s="82"/>
      <c r="D125" s="82"/>
      <c r="E125" s="102"/>
      <c r="F125" s="102"/>
      <c r="G125" s="102"/>
      <c r="H125" s="102"/>
      <c r="I125" s="110"/>
      <c r="J125" s="102"/>
      <c r="K125" s="102"/>
      <c r="L125" s="65"/>
      <c r="M125" s="65"/>
      <c r="N125" s="65"/>
    </row>
    <row r="126" spans="1:14" ht="15.75">
      <c r="A126" s="82"/>
      <c r="B126" s="82"/>
      <c r="C126" s="82"/>
      <c r="D126" s="82"/>
      <c r="E126" s="102"/>
      <c r="F126" s="102"/>
      <c r="G126" s="102"/>
      <c r="H126" s="102"/>
      <c r="I126" s="110"/>
      <c r="J126" s="102"/>
      <c r="K126" s="102"/>
      <c r="L126" s="65"/>
      <c r="M126" s="65"/>
      <c r="N126" s="65"/>
    </row>
    <row r="127" spans="1:14" ht="15.75">
      <c r="A127" s="82"/>
      <c r="B127" s="82"/>
      <c r="C127" s="82"/>
      <c r="D127" s="82"/>
      <c r="E127" s="102"/>
      <c r="F127" s="102"/>
      <c r="G127" s="102"/>
      <c r="H127" s="102"/>
      <c r="I127" s="110"/>
      <c r="J127" s="102"/>
      <c r="K127" s="102"/>
      <c r="L127" s="65"/>
      <c r="M127" s="65"/>
      <c r="N127" s="65"/>
    </row>
    <row r="128" spans="1:14" ht="15.75">
      <c r="A128" s="82"/>
      <c r="B128" s="82"/>
      <c r="C128" s="82"/>
      <c r="D128" s="82"/>
      <c r="E128" s="102"/>
      <c r="F128" s="102"/>
      <c r="G128" s="102"/>
      <c r="H128" s="102"/>
      <c r="I128" s="110"/>
      <c r="J128" s="102"/>
      <c r="K128" s="102"/>
      <c r="L128" s="65"/>
      <c r="M128" s="65"/>
      <c r="N128" s="65"/>
    </row>
    <row r="129" spans="1:14" ht="15.75">
      <c r="A129" s="82"/>
      <c r="B129" s="82"/>
      <c r="C129" s="82"/>
      <c r="D129" s="82"/>
      <c r="E129" s="102"/>
      <c r="F129" s="102"/>
      <c r="G129" s="102"/>
      <c r="H129" s="102"/>
      <c r="I129" s="110"/>
      <c r="J129" s="102"/>
      <c r="K129" s="102"/>
      <c r="L129" s="65"/>
      <c r="M129" s="65"/>
      <c r="N129" s="65"/>
    </row>
    <row r="130" spans="1:14" ht="15.75">
      <c r="A130" s="82"/>
      <c r="B130" s="82"/>
      <c r="C130" s="82"/>
      <c r="D130" s="82"/>
      <c r="E130" s="102"/>
      <c r="F130" s="102"/>
      <c r="G130" s="102"/>
      <c r="H130" s="102"/>
      <c r="I130" s="110"/>
      <c r="J130" s="102"/>
      <c r="K130" s="102"/>
      <c r="L130" s="65"/>
      <c r="M130" s="65"/>
      <c r="N130" s="65"/>
    </row>
    <row r="131" spans="1:14" ht="15.75">
      <c r="A131" s="82"/>
      <c r="B131" s="82"/>
      <c r="C131" s="82"/>
      <c r="D131" s="82"/>
      <c r="E131" s="102"/>
      <c r="F131" s="102"/>
      <c r="G131" s="102"/>
      <c r="H131" s="102"/>
      <c r="I131" s="110"/>
      <c r="J131" s="102"/>
      <c r="K131" s="102"/>
      <c r="L131" s="65"/>
      <c r="M131" s="65"/>
      <c r="N131" s="65"/>
    </row>
    <row r="132" spans="1:14" ht="15.75">
      <c r="A132" s="82"/>
      <c r="B132" s="82"/>
      <c r="C132" s="82"/>
      <c r="D132" s="82"/>
      <c r="E132" s="102"/>
      <c r="F132" s="102"/>
      <c r="G132" s="102"/>
      <c r="H132" s="102"/>
      <c r="I132" s="110"/>
      <c r="J132" s="102"/>
      <c r="K132" s="102"/>
      <c r="L132" s="65"/>
      <c r="M132" s="65"/>
      <c r="N132" s="65"/>
    </row>
    <row r="133" spans="1:14" ht="15.75">
      <c r="A133" s="82"/>
      <c r="B133" s="82"/>
      <c r="C133" s="82"/>
      <c r="D133" s="82"/>
      <c r="E133" s="102"/>
      <c r="F133" s="102"/>
      <c r="G133" s="102"/>
      <c r="H133" s="102"/>
      <c r="I133" s="110"/>
      <c r="J133" s="102"/>
      <c r="K133" s="102"/>
      <c r="L133" s="65"/>
      <c r="M133" s="65"/>
      <c r="N133" s="65"/>
    </row>
    <row r="134" spans="1:14" ht="15.75">
      <c r="A134" s="82"/>
      <c r="B134" s="82"/>
      <c r="C134" s="82"/>
      <c r="D134" s="82"/>
      <c r="E134" s="102"/>
      <c r="F134" s="102"/>
      <c r="G134" s="102"/>
      <c r="H134" s="102"/>
      <c r="I134" s="110"/>
      <c r="J134" s="102"/>
      <c r="K134" s="102"/>
      <c r="L134" s="65"/>
      <c r="M134" s="65"/>
      <c r="N134" s="65"/>
    </row>
    <row r="135" spans="1:14" ht="15.75">
      <c r="A135" s="82"/>
      <c r="B135" s="82"/>
      <c r="C135" s="82"/>
      <c r="D135" s="82"/>
      <c r="E135" s="102"/>
      <c r="F135" s="102"/>
      <c r="G135" s="102"/>
      <c r="H135" s="102"/>
      <c r="I135" s="110"/>
      <c r="J135" s="102"/>
      <c r="K135" s="102"/>
      <c r="L135" s="65"/>
      <c r="M135" s="65"/>
      <c r="N135" s="65"/>
    </row>
    <row r="136" spans="1:14" ht="15.75">
      <c r="A136" s="82"/>
      <c r="B136" s="82"/>
      <c r="C136" s="82"/>
      <c r="D136" s="82"/>
      <c r="E136" s="102"/>
      <c r="F136" s="102"/>
      <c r="G136" s="102"/>
      <c r="H136" s="102"/>
      <c r="I136" s="110"/>
      <c r="J136" s="102"/>
      <c r="K136" s="102"/>
      <c r="L136" s="65"/>
      <c r="M136" s="65"/>
      <c r="N136" s="65"/>
    </row>
    <row r="137" spans="1:14" ht="15.75">
      <c r="A137" s="82"/>
      <c r="B137" s="82"/>
      <c r="C137" s="82"/>
      <c r="D137" s="82"/>
      <c r="E137" s="102"/>
      <c r="F137" s="102"/>
      <c r="G137" s="102"/>
      <c r="H137" s="102"/>
      <c r="I137" s="110"/>
      <c r="J137" s="102"/>
      <c r="K137" s="102"/>
      <c r="L137" s="65"/>
      <c r="M137" s="65"/>
      <c r="N137" s="65"/>
    </row>
    <row r="138" spans="1:14" ht="15.75">
      <c r="A138" s="82"/>
      <c r="B138" s="82"/>
      <c r="C138" s="82"/>
      <c r="D138" s="82"/>
      <c r="E138" s="102"/>
      <c r="F138" s="102"/>
      <c r="G138" s="102"/>
      <c r="H138" s="102"/>
      <c r="I138" s="110"/>
      <c r="J138" s="102"/>
      <c r="K138" s="102"/>
      <c r="L138" s="65"/>
      <c r="M138" s="65"/>
      <c r="N138" s="65"/>
    </row>
    <row r="139" spans="1:14" ht="15.75">
      <c r="A139" s="82"/>
      <c r="B139" s="82"/>
      <c r="C139" s="82"/>
      <c r="D139" s="82"/>
      <c r="E139" s="102"/>
      <c r="F139" s="102"/>
      <c r="G139" s="102"/>
      <c r="H139" s="102"/>
      <c r="I139" s="110"/>
      <c r="J139" s="102"/>
      <c r="K139" s="102"/>
      <c r="L139" s="65"/>
      <c r="M139" s="65"/>
      <c r="N139" s="65"/>
    </row>
    <row r="140" spans="1:14" ht="15.75">
      <c r="A140" s="82"/>
      <c r="B140" s="82"/>
      <c r="C140" s="82"/>
      <c r="D140" s="82"/>
      <c r="E140" s="102"/>
      <c r="F140" s="102"/>
      <c r="G140" s="102"/>
      <c r="H140" s="102"/>
      <c r="I140" s="110"/>
      <c r="J140" s="102"/>
      <c r="K140" s="102"/>
      <c r="L140" s="65"/>
      <c r="M140" s="65"/>
      <c r="N140" s="65"/>
    </row>
    <row r="141" spans="1:14" ht="15.75">
      <c r="A141" s="82"/>
      <c r="B141" s="82"/>
      <c r="C141" s="82"/>
      <c r="D141" s="82"/>
      <c r="E141" s="102"/>
      <c r="F141" s="102"/>
      <c r="G141" s="102"/>
      <c r="H141" s="102"/>
      <c r="I141" s="110"/>
      <c r="J141" s="102"/>
      <c r="K141" s="102"/>
      <c r="L141" s="65"/>
      <c r="M141" s="65"/>
      <c r="N141" s="65"/>
    </row>
    <row r="142" spans="1:14" ht="15.75">
      <c r="A142" s="82"/>
      <c r="B142" s="82"/>
      <c r="C142" s="82"/>
      <c r="D142" s="82"/>
      <c r="E142" s="102"/>
      <c r="F142" s="102"/>
      <c r="G142" s="102"/>
      <c r="H142" s="102"/>
      <c r="I142" s="110"/>
      <c r="J142" s="102"/>
      <c r="K142" s="102"/>
      <c r="L142" s="65"/>
      <c r="M142" s="65"/>
      <c r="N142" s="65"/>
    </row>
    <row r="143" spans="1:14" ht="15.75">
      <c r="A143" s="82"/>
      <c r="B143" s="82"/>
      <c r="C143" s="82"/>
      <c r="D143" s="82"/>
      <c r="E143" s="102"/>
      <c r="F143" s="102"/>
      <c r="G143" s="102"/>
      <c r="H143" s="102"/>
      <c r="I143" s="110"/>
      <c r="J143" s="102"/>
      <c r="K143" s="102"/>
      <c r="L143" s="65"/>
      <c r="M143" s="65"/>
      <c r="N143" s="65"/>
    </row>
    <row r="144" spans="1:14" ht="15.75">
      <c r="A144" s="82"/>
      <c r="B144" s="82"/>
      <c r="C144" s="82"/>
      <c r="D144" s="82"/>
      <c r="E144" s="102"/>
      <c r="F144" s="102"/>
      <c r="G144" s="102"/>
      <c r="H144" s="102"/>
      <c r="I144" s="110"/>
      <c r="J144" s="102"/>
      <c r="K144" s="102"/>
      <c r="L144" s="65"/>
      <c r="M144" s="65"/>
      <c r="N144" s="65"/>
    </row>
    <row r="145" spans="1:14" ht="15.75">
      <c r="A145" s="82"/>
      <c r="B145" s="82"/>
      <c r="C145" s="82"/>
      <c r="D145" s="82"/>
      <c r="E145" s="102"/>
      <c r="F145" s="102"/>
      <c r="G145" s="102"/>
      <c r="H145" s="102"/>
      <c r="I145" s="110"/>
      <c r="J145" s="102"/>
      <c r="K145" s="102"/>
      <c r="L145" s="65"/>
      <c r="M145" s="65"/>
      <c r="N145" s="65"/>
    </row>
    <row r="146" spans="1:14" ht="15.75">
      <c r="A146" s="82"/>
      <c r="B146" s="82"/>
      <c r="C146" s="82"/>
      <c r="D146" s="82"/>
      <c r="E146" s="102"/>
      <c r="F146" s="102"/>
      <c r="G146" s="102"/>
      <c r="H146" s="102"/>
      <c r="I146" s="110"/>
      <c r="J146" s="102"/>
      <c r="K146" s="102"/>
      <c r="L146" s="65"/>
      <c r="M146" s="65"/>
      <c r="N146" s="65"/>
    </row>
    <row r="147" spans="1:14" ht="15.75">
      <c r="A147" s="82"/>
      <c r="B147" s="82"/>
      <c r="C147" s="82"/>
      <c r="D147" s="82"/>
      <c r="E147" s="102"/>
      <c r="F147" s="102"/>
      <c r="G147" s="102"/>
      <c r="H147" s="102"/>
      <c r="I147" s="110"/>
      <c r="J147" s="102"/>
      <c r="K147" s="102"/>
      <c r="L147" s="65"/>
      <c r="M147" s="65"/>
      <c r="N147" s="65"/>
    </row>
    <row r="148" spans="1:14">
      <c r="E148" s="65"/>
      <c r="F148" s="65"/>
      <c r="G148" s="65"/>
      <c r="H148" s="65"/>
      <c r="I148" s="91"/>
      <c r="J148" s="65"/>
      <c r="K148" s="65"/>
      <c r="L148" s="65"/>
      <c r="M148" s="65"/>
      <c r="N148" s="65"/>
    </row>
  </sheetData>
  <mergeCells count="4">
    <mergeCell ref="A1:K1"/>
    <mergeCell ref="A3:K3"/>
    <mergeCell ref="A4:K4"/>
    <mergeCell ref="A5:K5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G30" sqref="G30"/>
    </sheetView>
  </sheetViews>
  <sheetFormatPr defaultRowHeight="15"/>
  <cols>
    <col min="2" max="2" width="33.5703125" customWidth="1"/>
    <col min="3" max="3" width="25.42578125" customWidth="1"/>
    <col min="4" max="4" width="11.7109375" customWidth="1"/>
    <col min="5" max="5" width="16.28515625" customWidth="1"/>
    <col min="6" max="6" width="16.140625" customWidth="1"/>
    <col min="7" max="7" width="23.42578125" customWidth="1"/>
    <col min="8" max="8" width="18.5703125" customWidth="1"/>
  </cols>
  <sheetData>
    <row r="1" spans="1:8" ht="15.75">
      <c r="A1" s="135" t="s">
        <v>0</v>
      </c>
      <c r="B1" s="135">
        <v>0</v>
      </c>
      <c r="C1" s="135">
        <v>0</v>
      </c>
      <c r="D1" s="135">
        <v>0</v>
      </c>
      <c r="E1" s="135">
        <v>0</v>
      </c>
      <c r="F1" s="135">
        <v>0</v>
      </c>
      <c r="G1" s="136">
        <v>0</v>
      </c>
      <c r="H1" s="136">
        <v>0</v>
      </c>
    </row>
    <row r="2" spans="1:8" ht="15.75">
      <c r="A2" s="135" t="s">
        <v>160</v>
      </c>
      <c r="B2" s="135">
        <v>0</v>
      </c>
      <c r="C2" s="135">
        <v>0</v>
      </c>
      <c r="D2" s="135">
        <v>0</v>
      </c>
      <c r="E2" s="135">
        <v>0</v>
      </c>
      <c r="F2" s="135">
        <v>0</v>
      </c>
      <c r="G2" s="136">
        <v>0</v>
      </c>
      <c r="H2" s="136">
        <v>0</v>
      </c>
    </row>
    <row r="3" spans="1:8" ht="15.75">
      <c r="A3" s="135" t="s">
        <v>39</v>
      </c>
      <c r="B3" s="135">
        <v>0</v>
      </c>
      <c r="C3" s="135">
        <v>0</v>
      </c>
      <c r="D3" s="135">
        <v>0</v>
      </c>
      <c r="E3" s="135">
        <v>0</v>
      </c>
      <c r="F3" s="135">
        <v>0</v>
      </c>
      <c r="G3" s="136">
        <v>0</v>
      </c>
      <c r="H3" s="136">
        <v>0</v>
      </c>
    </row>
    <row r="4" spans="1:8" ht="15.75">
      <c r="A4" s="66"/>
      <c r="B4" s="66"/>
      <c r="C4" s="66"/>
      <c r="D4" s="67" t="s">
        <v>161</v>
      </c>
      <c r="E4" s="66" t="s">
        <v>151</v>
      </c>
      <c r="F4" s="68" t="s">
        <v>150</v>
      </c>
      <c r="G4" s="66" t="s">
        <v>151</v>
      </c>
      <c r="H4" s="69"/>
    </row>
    <row r="5" spans="1:8" ht="15.75">
      <c r="A5" s="66"/>
      <c r="B5" s="69"/>
      <c r="C5" s="70" t="s">
        <v>162</v>
      </c>
      <c r="D5" s="71" t="s">
        <v>151</v>
      </c>
      <c r="E5" s="70" t="s">
        <v>152</v>
      </c>
      <c r="F5" s="72" t="s">
        <v>151</v>
      </c>
      <c r="G5" s="70" t="s">
        <v>152</v>
      </c>
      <c r="H5" s="73"/>
    </row>
    <row r="6" spans="1:8" ht="15.75">
      <c r="A6" s="69"/>
      <c r="B6" s="69"/>
      <c r="C6" s="74" t="s">
        <v>163</v>
      </c>
      <c r="D6" s="71" t="s">
        <v>152</v>
      </c>
      <c r="E6" s="70" t="s">
        <v>161</v>
      </c>
      <c r="F6" s="72" t="s">
        <v>152</v>
      </c>
      <c r="G6" s="74" t="s">
        <v>150</v>
      </c>
      <c r="H6" s="73"/>
    </row>
    <row r="7" spans="1:8" ht="15.75">
      <c r="A7" s="75" t="s">
        <v>153</v>
      </c>
      <c r="B7" s="75" t="s">
        <v>154</v>
      </c>
      <c r="C7" s="76">
        <v>42735</v>
      </c>
      <c r="D7" s="77" t="s">
        <v>157</v>
      </c>
      <c r="E7" s="76" t="s">
        <v>164</v>
      </c>
      <c r="F7" s="78" t="s">
        <v>157</v>
      </c>
      <c r="G7" s="79" t="s">
        <v>164</v>
      </c>
      <c r="H7" s="76" t="s">
        <v>165</v>
      </c>
    </row>
    <row r="8" spans="1:8" ht="15.75">
      <c r="A8" s="80" t="s">
        <v>41</v>
      </c>
      <c r="B8" s="81"/>
      <c r="C8" s="73"/>
      <c r="D8" s="73"/>
      <c r="E8" s="73"/>
      <c r="F8" s="72" t="s">
        <v>39</v>
      </c>
      <c r="G8" s="74"/>
      <c r="H8" s="73"/>
    </row>
    <row r="9" spans="1:8" ht="15.75">
      <c r="A9" s="82"/>
      <c r="B9" s="82" t="s">
        <v>40</v>
      </c>
      <c r="C9" s="83">
        <f>+'Composite Accrual Rate'!E35</f>
        <v>1551930888.2600002</v>
      </c>
      <c r="D9" s="84">
        <v>3.5000000000000003E-2</v>
      </c>
      <c r="E9" s="83">
        <f>+C9*D9</f>
        <v>54317581.089100011</v>
      </c>
      <c r="F9" s="131">
        <f>+'Composite Accrual Rate'!I35</f>
        <v>0.04</v>
      </c>
      <c r="G9" s="83">
        <f>+C9*F9</f>
        <v>62077235.530400008</v>
      </c>
      <c r="H9" s="83">
        <f>+G9-E9</f>
        <v>7759654.4412999973</v>
      </c>
    </row>
    <row r="10" spans="1:8" s="63" customFormat="1" ht="15.75">
      <c r="A10" s="82"/>
      <c r="B10" s="82"/>
      <c r="C10" s="83"/>
      <c r="D10" s="84"/>
      <c r="E10" s="83"/>
      <c r="F10" s="131"/>
      <c r="G10" s="83"/>
      <c r="H10" s="83"/>
    </row>
    <row r="11" spans="1:8" s="63" customFormat="1" ht="15.75">
      <c r="A11" s="82"/>
      <c r="B11" s="82" t="s">
        <v>187</v>
      </c>
      <c r="C11" s="83">
        <f>+'Composite Accrual Rate'!E39</f>
        <v>2828012.5732048885</v>
      </c>
      <c r="D11" s="84">
        <v>1.4999999999999999E-2</v>
      </c>
      <c r="E11" s="83">
        <f t="shared" ref="E11:E12" si="0">+C11*D11</f>
        <v>42420.188598073328</v>
      </c>
      <c r="F11" s="131">
        <f>+'Composite Accrual Rate'!I39</f>
        <v>1.6E-2</v>
      </c>
      <c r="G11" s="83">
        <f t="shared" ref="G11:G13" si="1">+C11*F11</f>
        <v>45248.201171278219</v>
      </c>
      <c r="H11" s="83">
        <f t="shared" ref="H11:H13" si="2">+G11-E11</f>
        <v>2828.0125732048909</v>
      </c>
    </row>
    <row r="12" spans="1:8" s="63" customFormat="1" ht="15.75">
      <c r="A12" s="82"/>
      <c r="B12" s="82" t="s">
        <v>191</v>
      </c>
      <c r="C12" s="83">
        <f>+'Composite Accrual Rate'!E43</f>
        <v>77160.27</v>
      </c>
      <c r="D12" s="84">
        <v>1.4E-2</v>
      </c>
      <c r="E12" s="83">
        <f t="shared" si="0"/>
        <v>1080.24378</v>
      </c>
      <c r="F12" s="131">
        <f>+'Composite Accrual Rate'!I43</f>
        <v>1.4E-2</v>
      </c>
      <c r="G12" s="83">
        <f t="shared" si="1"/>
        <v>1080.24378</v>
      </c>
      <c r="H12" s="83">
        <f t="shared" si="2"/>
        <v>0</v>
      </c>
    </row>
    <row r="13" spans="1:8" ht="15.75">
      <c r="A13" s="85"/>
      <c r="B13" s="82" t="s">
        <v>43</v>
      </c>
      <c r="C13" s="83">
        <f>+'Composite Accrual Rate'!E64</f>
        <v>645441968.72679532</v>
      </c>
      <c r="D13" s="84">
        <v>2.8000000000000001E-2</v>
      </c>
      <c r="E13" s="83">
        <f t="shared" ref="E13:E16" si="3">+C13*D13</f>
        <v>18072375.124350268</v>
      </c>
      <c r="F13" s="131">
        <f>+'Composite Accrual Rate'!I64</f>
        <v>0.03</v>
      </c>
      <c r="G13" s="83">
        <f t="shared" si="1"/>
        <v>19363259.061803859</v>
      </c>
      <c r="H13" s="83">
        <f t="shared" si="2"/>
        <v>1290883.9374535903</v>
      </c>
    </row>
    <row r="14" spans="1:8" s="63" customFormat="1" ht="15.75">
      <c r="A14" s="85"/>
      <c r="B14" s="82"/>
      <c r="C14" s="83"/>
      <c r="D14" s="84"/>
      <c r="E14" s="83"/>
      <c r="F14" s="131"/>
      <c r="G14" s="83"/>
      <c r="H14" s="83"/>
    </row>
    <row r="15" spans="1:8" ht="15.75">
      <c r="A15" s="85"/>
      <c r="B15" s="82" t="s">
        <v>146</v>
      </c>
      <c r="C15" s="83">
        <f>+'Composite Accrual Rate'!E72</f>
        <v>381199620.22999996</v>
      </c>
      <c r="D15" s="84">
        <v>0.02</v>
      </c>
      <c r="E15" s="83">
        <f t="shared" si="3"/>
        <v>7623992.4045999991</v>
      </c>
      <c r="F15" s="131">
        <f>+'Composite Accrual Rate'!I72</f>
        <v>2.1999999999999999E-2</v>
      </c>
      <c r="G15" s="83">
        <f t="shared" ref="G15:G16" si="4">+C15*F15</f>
        <v>8386391.6450599991</v>
      </c>
      <c r="H15" s="83">
        <f t="shared" ref="H15:H16" si="5">+G15-E15</f>
        <v>762399.24046</v>
      </c>
    </row>
    <row r="16" spans="1:8" s="63" customFormat="1" ht="15.75">
      <c r="A16" s="85"/>
      <c r="B16" s="82" t="s">
        <v>44</v>
      </c>
      <c r="C16" s="83">
        <f>+'Composite Accrual Rate'!E80</f>
        <v>8895204.1300000008</v>
      </c>
      <c r="D16" s="84">
        <v>4.1000000000000002E-2</v>
      </c>
      <c r="E16" s="83">
        <f t="shared" si="3"/>
        <v>364703.36933000007</v>
      </c>
      <c r="F16" s="131">
        <f>+'Composite Accrual Rate'!I80</f>
        <v>0</v>
      </c>
      <c r="G16" s="83">
        <f t="shared" si="4"/>
        <v>0</v>
      </c>
      <c r="H16" s="83">
        <f t="shared" si="5"/>
        <v>-364703.36933000007</v>
      </c>
    </row>
    <row r="17" spans="1:11" ht="15.75">
      <c r="A17" s="85"/>
      <c r="B17" s="82"/>
      <c r="C17" s="86">
        <f>SUM(C9:C16)</f>
        <v>2590372854.1900005</v>
      </c>
      <c r="D17" s="87"/>
      <c r="E17" s="86">
        <f>SUM(E9:E16)</f>
        <v>80422152.41975835</v>
      </c>
      <c r="F17" s="88" t="s">
        <v>39</v>
      </c>
      <c r="G17" s="86">
        <f>SUM(G9:G16)</f>
        <v>89873214.682215154</v>
      </c>
      <c r="H17" s="86">
        <f>SUM(H9:H16)</f>
        <v>9451062.2624567933</v>
      </c>
    </row>
    <row r="18" spans="1:11" ht="15.75">
      <c r="A18" s="85"/>
      <c r="B18" s="82"/>
      <c r="C18" s="89"/>
      <c r="D18" s="82"/>
      <c r="E18" s="82"/>
      <c r="F18" s="82"/>
      <c r="G18" s="82"/>
      <c r="H18" s="82"/>
      <c r="K18" t="s">
        <v>39</v>
      </c>
    </row>
    <row r="19" spans="1:11" ht="15.75">
      <c r="A19" s="85"/>
      <c r="B19" s="82"/>
      <c r="C19" s="82"/>
      <c r="D19" s="82"/>
      <c r="E19" s="82"/>
      <c r="F19" s="82"/>
      <c r="G19" s="82"/>
      <c r="H19" s="82"/>
    </row>
    <row r="20" spans="1:11" ht="15.75">
      <c r="A20" s="85"/>
      <c r="B20" s="82"/>
      <c r="C20" s="82"/>
      <c r="D20" s="82"/>
      <c r="E20" s="82"/>
      <c r="F20" s="82"/>
      <c r="G20" s="82"/>
      <c r="H20" s="82"/>
    </row>
    <row r="21" spans="1:11" ht="15.75">
      <c r="A21" s="63"/>
      <c r="B21" s="82"/>
      <c r="C21" s="82"/>
      <c r="D21" s="82"/>
      <c r="E21" s="82"/>
      <c r="F21" s="82"/>
      <c r="G21" s="82"/>
      <c r="H21" s="82"/>
    </row>
    <row r="23" spans="1:11">
      <c r="C23" s="64"/>
    </row>
    <row r="24" spans="1:11" ht="15.75">
      <c r="G24" s="100"/>
      <c r="H24" s="99"/>
      <c r="I24" s="99"/>
      <c r="J24" s="99"/>
      <c r="K24" s="101"/>
    </row>
    <row r="25" spans="1:11" ht="15.75">
      <c r="G25" s="100"/>
      <c r="H25" s="99"/>
      <c r="I25" s="99"/>
      <c r="J25" s="99"/>
      <c r="K25" s="101"/>
    </row>
    <row r="26" spans="1:11" ht="15.75">
      <c r="C26" s="130"/>
      <c r="G26" s="100"/>
      <c r="H26" s="99"/>
      <c r="I26" s="99"/>
      <c r="J26" s="99"/>
      <c r="K26" s="101"/>
    </row>
    <row r="27" spans="1:11" ht="15.75">
      <c r="G27" s="100"/>
      <c r="H27" s="99"/>
      <c r="I27" s="99"/>
      <c r="J27" s="99"/>
      <c r="K27" s="101"/>
    </row>
    <row r="28" spans="1:11" ht="15.75">
      <c r="G28" s="100"/>
      <c r="H28" s="99"/>
      <c r="I28" s="99"/>
      <c r="J28" s="99"/>
      <c r="K28" s="101"/>
    </row>
    <row r="29" spans="1:11" ht="15.75">
      <c r="G29" s="100"/>
      <c r="H29" s="99"/>
      <c r="I29" s="99"/>
      <c r="J29" s="99"/>
      <c r="K29" s="101"/>
    </row>
    <row r="30" spans="1:11" ht="15.75">
      <c r="G30" s="100"/>
      <c r="H30" s="99"/>
      <c r="I30" s="99"/>
      <c r="J30" s="99"/>
      <c r="K30" s="101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sqref="A1:M1"/>
    </sheetView>
  </sheetViews>
  <sheetFormatPr defaultRowHeight="15"/>
  <cols>
    <col min="1" max="1" width="19.5703125" style="63" customWidth="1"/>
    <col min="2" max="2" width="20.5703125" style="63" customWidth="1"/>
    <col min="3" max="3" width="40.28515625" style="63" bestFit="1" customWidth="1"/>
    <col min="4" max="4" width="5" style="63" customWidth="1"/>
    <col min="5" max="5" width="22.85546875" style="63" customWidth="1"/>
    <col min="6" max="6" width="2.85546875" style="63" customWidth="1"/>
    <col min="7" max="7" width="18.28515625" style="63" customWidth="1"/>
    <col min="8" max="8" width="2.140625" style="63" customWidth="1"/>
    <col min="9" max="9" width="18.140625" style="63" bestFit="1" customWidth="1"/>
    <col min="10" max="10" width="3.5703125" style="63" customWidth="1"/>
    <col min="11" max="11" width="11" style="63" bestFit="1" customWidth="1"/>
    <col min="12" max="12" width="3.42578125" style="63" customWidth="1"/>
    <col min="13" max="13" width="14.42578125" style="63" customWidth="1"/>
    <col min="15" max="15" width="15.140625" customWidth="1"/>
  </cols>
  <sheetData>
    <row r="1" spans="1:15" ht="15.75">
      <c r="A1" s="134" t="s">
        <v>0</v>
      </c>
      <c r="B1" s="134">
        <v>0</v>
      </c>
      <c r="C1" s="134">
        <v>0</v>
      </c>
      <c r="D1" s="134">
        <v>0</v>
      </c>
      <c r="E1" s="134">
        <v>0</v>
      </c>
      <c r="F1" s="134"/>
      <c r="G1" s="134">
        <v>0</v>
      </c>
      <c r="H1" s="134"/>
      <c r="I1" s="134"/>
      <c r="J1" s="134">
        <v>0</v>
      </c>
      <c r="K1" s="134">
        <v>0</v>
      </c>
      <c r="L1" s="134">
        <v>0</v>
      </c>
      <c r="M1" s="134">
        <v>0</v>
      </c>
    </row>
    <row r="2" spans="1:15" ht="15.7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5" ht="15.75">
      <c r="A3" s="134" t="s">
        <v>166</v>
      </c>
      <c r="B3" s="134">
        <f>'[2]Composite Accr by Plt'!B3</f>
        <v>0</v>
      </c>
      <c r="C3" s="134">
        <f>'[2]Composite Accr by Plt'!C3</f>
        <v>0</v>
      </c>
      <c r="D3" s="134">
        <f>'[2]Composite Accr by Plt'!D3</f>
        <v>0</v>
      </c>
      <c r="E3" s="134">
        <f>'[2]Composite Accr by Plt'!E3</f>
        <v>0</v>
      </c>
      <c r="F3" s="134"/>
      <c r="G3" s="134">
        <f>'[2]Composite Accr by Plt'!F3</f>
        <v>0</v>
      </c>
      <c r="H3" s="134"/>
      <c r="I3" s="134"/>
      <c r="J3" s="134">
        <f>'[2]Composite Accr by Plt'!G3</f>
        <v>0</v>
      </c>
      <c r="K3" s="134">
        <f>'[2]Composite Accr by Plt'!H3</f>
        <v>0</v>
      </c>
      <c r="L3" s="134">
        <f>'[2]Composite Accr by Plt'!I3</f>
        <v>0</v>
      </c>
      <c r="M3" s="134">
        <f>'[2]Composite Accr by Plt'!J3</f>
        <v>0</v>
      </c>
    </row>
    <row r="4" spans="1:15" ht="15.75">
      <c r="A4" s="134" t="s">
        <v>173</v>
      </c>
      <c r="B4" s="134">
        <f>'[2]Composite Accr by Plt'!B4</f>
        <v>0</v>
      </c>
      <c r="C4" s="134">
        <f>'[2]Composite Accr by Plt'!C4</f>
        <v>0</v>
      </c>
      <c r="D4" s="134">
        <f>'[2]Composite Accr by Plt'!D4</f>
        <v>0</v>
      </c>
      <c r="E4" s="134">
        <f>'[2]Composite Accr by Plt'!E4</f>
        <v>0</v>
      </c>
      <c r="F4" s="134"/>
      <c r="G4" s="134">
        <f>'[2]Composite Accr by Plt'!F4</f>
        <v>0</v>
      </c>
      <c r="H4" s="134"/>
      <c r="I4" s="134"/>
      <c r="J4" s="134">
        <f>'[2]Composite Accr by Plt'!G4</f>
        <v>0</v>
      </c>
      <c r="K4" s="134">
        <f>'[2]Composite Accr by Plt'!H4</f>
        <v>0</v>
      </c>
      <c r="L4" s="134">
        <f>'[2]Composite Accr by Plt'!I4</f>
        <v>0</v>
      </c>
      <c r="M4" s="134">
        <f>'[2]Composite Accr by Plt'!J4</f>
        <v>0</v>
      </c>
    </row>
    <row r="5" spans="1:15" ht="15.75">
      <c r="A5" s="134" t="str">
        <f>'[2]Composite Accr by Plt'!A5</f>
        <v>As of December 31, 2016</v>
      </c>
      <c r="B5" s="134">
        <f>'[2]Composite Accr by Plt'!B5</f>
        <v>0</v>
      </c>
      <c r="C5" s="134">
        <f>'[2]Composite Accr by Plt'!C5</f>
        <v>0</v>
      </c>
      <c r="D5" s="134">
        <f>'[2]Composite Accr by Plt'!D5</f>
        <v>0</v>
      </c>
      <c r="E5" s="134">
        <f>'[2]Composite Accr by Plt'!E5</f>
        <v>0</v>
      </c>
      <c r="F5" s="134"/>
      <c r="G5" s="134">
        <f>'[2]Composite Accr by Plt'!F5</f>
        <v>0</v>
      </c>
      <c r="H5" s="134"/>
      <c r="I5" s="134"/>
      <c r="J5" s="134">
        <f>'[2]Composite Accr by Plt'!G5</f>
        <v>0</v>
      </c>
      <c r="K5" s="134">
        <f>'[2]Composite Accr by Plt'!H5</f>
        <v>0</v>
      </c>
      <c r="L5" s="134">
        <f>'[2]Composite Accr by Plt'!I5</f>
        <v>0</v>
      </c>
      <c r="M5" s="134">
        <f>'[2]Composite Accr by Plt'!J5</f>
        <v>0</v>
      </c>
    </row>
    <row r="6" spans="1:15" ht="15.7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65"/>
      <c r="O6" s="65"/>
    </row>
    <row r="7" spans="1:15" ht="15.7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4" t="s">
        <v>150</v>
      </c>
      <c r="L7" s="82"/>
      <c r="M7" s="104" t="s">
        <v>39</v>
      </c>
    </row>
    <row r="8" spans="1:15" ht="15.7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4" t="s">
        <v>151</v>
      </c>
      <c r="L8" s="104"/>
      <c r="M8" s="104" t="s">
        <v>167</v>
      </c>
    </row>
    <row r="9" spans="1:15" ht="15.7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4" t="s">
        <v>152</v>
      </c>
      <c r="L9" s="104"/>
      <c r="M9" s="104" t="s">
        <v>168</v>
      </c>
    </row>
    <row r="10" spans="1:15" ht="15.75">
      <c r="A10" s="103"/>
      <c r="B10" s="103"/>
      <c r="C10" s="103"/>
      <c r="D10" s="103"/>
      <c r="E10" s="103"/>
      <c r="F10" s="103"/>
      <c r="G10" s="104" t="s">
        <v>169</v>
      </c>
      <c r="H10" s="103"/>
      <c r="I10" s="104" t="s">
        <v>170</v>
      </c>
      <c r="J10" s="103"/>
      <c r="K10" s="104" t="s">
        <v>157</v>
      </c>
      <c r="L10" s="104"/>
      <c r="M10" s="104" t="s">
        <v>152</v>
      </c>
    </row>
    <row r="11" spans="1:15" ht="15.75">
      <c r="A11" s="105" t="s">
        <v>174</v>
      </c>
      <c r="B11" s="106" t="s">
        <v>175</v>
      </c>
      <c r="C11" s="106" t="s">
        <v>154</v>
      </c>
      <c r="D11" s="107"/>
      <c r="E11" s="106" t="s">
        <v>155</v>
      </c>
      <c r="F11" s="106"/>
      <c r="G11" s="106" t="s">
        <v>171</v>
      </c>
      <c r="H11" s="106"/>
      <c r="I11" s="106" t="s">
        <v>171</v>
      </c>
      <c r="J11" s="105" t="s">
        <v>39</v>
      </c>
      <c r="K11" s="108" t="s">
        <v>172</v>
      </c>
      <c r="L11" s="106"/>
      <c r="M11" s="108" t="s">
        <v>157</v>
      </c>
    </row>
    <row r="12" spans="1:15" ht="15.7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5" ht="15.7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5" ht="15.75">
      <c r="A14" s="114" t="s">
        <v>40</v>
      </c>
      <c r="B14" s="109"/>
      <c r="C14" s="82"/>
      <c r="D14" s="82"/>
      <c r="E14" s="102"/>
      <c r="F14" s="102"/>
      <c r="G14" s="102"/>
      <c r="H14" s="102"/>
      <c r="I14" s="102"/>
      <c r="J14" s="110"/>
      <c r="K14" s="102"/>
      <c r="L14" s="102"/>
      <c r="M14" s="102"/>
    </row>
    <row r="15" spans="1:15" ht="15.75">
      <c r="A15" s="69">
        <v>4</v>
      </c>
      <c r="B15" s="69">
        <v>312</v>
      </c>
      <c r="C15" s="82" t="s">
        <v>176</v>
      </c>
      <c r="D15" s="82"/>
      <c r="E15" s="111">
        <f>'Crist 4 -312'!$L$21</f>
        <v>34765255.599137083</v>
      </c>
      <c r="F15" s="111"/>
      <c r="G15" s="111">
        <f>+'Crist 4 -312'!R$21</f>
        <v>21085292.456011631</v>
      </c>
      <c r="H15" s="102"/>
      <c r="I15" s="111">
        <f>+'Crist 4 -312'!P$9</f>
        <v>25835007.472856432</v>
      </c>
      <c r="J15" s="102"/>
      <c r="K15" s="133">
        <f>+'Crist 4 -312'!P$12</f>
        <v>5.2292854005553856E-2</v>
      </c>
      <c r="L15" s="133"/>
      <c r="M15" s="133">
        <f>(1-'Crist 4 -312'!P$4)/'Crist 4 -312'!P$7</f>
        <v>3.4728077662587606E-2</v>
      </c>
    </row>
    <row r="16" spans="1:15" ht="15.75">
      <c r="A16" s="69">
        <v>4</v>
      </c>
      <c r="B16" s="69">
        <v>314</v>
      </c>
      <c r="C16" s="82" t="s">
        <v>177</v>
      </c>
      <c r="D16" s="82"/>
      <c r="E16" s="111">
        <f>'Crist 4 -314'!$L$21</f>
        <v>10894269.768294867</v>
      </c>
      <c r="F16" s="111"/>
      <c r="G16" s="111">
        <f>+'Crist 4 -314'!R$21</f>
        <v>5520254.4817983769</v>
      </c>
      <c r="H16" s="102"/>
      <c r="I16" s="111">
        <f>+'Crist 4 -314'!P$9</f>
        <v>7873470.5610161042</v>
      </c>
      <c r="J16" s="102"/>
      <c r="K16" s="133">
        <f>+'Crist 4 -314'!P$12</f>
        <v>6.6671331092672856E-2</v>
      </c>
      <c r="L16" s="133"/>
      <c r="M16" s="133">
        <f>(1-'Crist 4 -314'!P$4)/'Crist 4 -314'!P$7</f>
        <v>3.8555299796293963E-2</v>
      </c>
    </row>
    <row r="17" spans="1:13" ht="15.75">
      <c r="A17" s="69">
        <v>4</v>
      </c>
      <c r="B17" s="69">
        <v>315</v>
      </c>
      <c r="C17" s="82" t="s">
        <v>158</v>
      </c>
      <c r="D17" s="82"/>
      <c r="E17" s="111">
        <f>'Crist 4 -315'!$L$21</f>
        <v>3808074.5712587554</v>
      </c>
      <c r="F17" s="111"/>
      <c r="G17" s="111">
        <f>+'Crist 4 -315'!R$21</f>
        <v>1826135.977113398</v>
      </c>
      <c r="H17" s="102"/>
      <c r="I17" s="111">
        <f>+'Crist 4 -315'!P$9</f>
        <v>2805297.8704223763</v>
      </c>
      <c r="J17" s="102"/>
      <c r="K17" s="133">
        <f>+'Crist 4 -315'!P$12</f>
        <v>6.6762893430384287E-2</v>
      </c>
      <c r="L17" s="133"/>
      <c r="M17" s="133">
        <f>(1-'Crist 4 -315'!P$4)/'Crist 4 -315'!P$7</f>
        <v>3.3976874320201023E-2</v>
      </c>
    </row>
    <row r="18" spans="1:13" ht="15.75">
      <c r="A18" s="69"/>
      <c r="B18" s="69"/>
      <c r="C18" s="82" t="s">
        <v>39</v>
      </c>
      <c r="D18" s="82"/>
      <c r="E18" s="111"/>
      <c r="F18" s="111"/>
      <c r="G18" s="111"/>
      <c r="H18" s="102"/>
      <c r="I18" s="111" t="s">
        <v>39</v>
      </c>
      <c r="J18" s="102"/>
      <c r="K18" s="133"/>
      <c r="L18" s="133"/>
      <c r="M18" s="133" t="s">
        <v>39</v>
      </c>
    </row>
    <row r="19" spans="1:13" ht="15.75">
      <c r="A19" s="69">
        <v>5</v>
      </c>
      <c r="B19" s="69">
        <v>312</v>
      </c>
      <c r="C19" s="82" t="s">
        <v>176</v>
      </c>
      <c r="D19" s="82"/>
      <c r="E19" s="111">
        <f>'Crist 5 -312'!$L$21</f>
        <v>35572539.800066456</v>
      </c>
      <c r="F19" s="111"/>
      <c r="G19" s="111">
        <f>+'Crist 5 -312'!R$21</f>
        <v>20126718.965923309</v>
      </c>
      <c r="H19" s="102"/>
      <c r="I19" s="111">
        <f>+'Crist 5 -312'!P$9</f>
        <v>24716662.811100896</v>
      </c>
      <c r="J19" s="102"/>
      <c r="K19" s="133">
        <f>+'Crist 5 -312'!P$12</f>
        <v>4.6827079621628846E-2</v>
      </c>
      <c r="L19" s="133"/>
      <c r="M19" s="133">
        <f>(1-'Crist 5 -312'!P$4)/'Crist 5 -312'!P$7</f>
        <v>3.3451881113927967E-2</v>
      </c>
    </row>
    <row r="20" spans="1:13" ht="15.75">
      <c r="A20" s="69">
        <v>5</v>
      </c>
      <c r="B20" s="69">
        <v>314</v>
      </c>
      <c r="C20" s="82" t="s">
        <v>177</v>
      </c>
      <c r="D20" s="82"/>
      <c r="E20" s="111">
        <f>'Crist 5 -314'!$L$21</f>
        <v>13297372.524311669</v>
      </c>
      <c r="F20" s="111"/>
      <c r="G20" s="111">
        <f>+'Crist 5 -314'!R$21</f>
        <v>2004434.6703687955</v>
      </c>
      <c r="H20" s="102"/>
      <c r="I20" s="111">
        <f>+'Crist 5 -314'!P$9</f>
        <v>6900724.2118898649</v>
      </c>
      <c r="J20" s="102"/>
      <c r="K20" s="133">
        <f>+'Crist 5 -314'!P$12</f>
        <v>9.2061784825511986E-2</v>
      </c>
      <c r="L20" s="133"/>
      <c r="M20" s="133">
        <f>(1-'Crist 5 -314'!P$4)/'Crist 5 -314'!P$7</f>
        <v>5.3286147959243101E-2</v>
      </c>
    </row>
    <row r="21" spans="1:13" ht="15.75">
      <c r="A21" s="69">
        <v>5</v>
      </c>
      <c r="B21" s="69">
        <v>315</v>
      </c>
      <c r="C21" s="82" t="s">
        <v>158</v>
      </c>
      <c r="D21" s="82"/>
      <c r="E21" s="111">
        <f>'Crist 5 -315'!$L$21</f>
        <v>4147090.7264402411</v>
      </c>
      <c r="F21" s="111"/>
      <c r="G21" s="111">
        <f>+'Crist 5 -315'!R$21</f>
        <v>2016301.3685209129</v>
      </c>
      <c r="H21" s="102"/>
      <c r="I21" s="111">
        <f>+'Crist 5 -315'!P$9</f>
        <v>2593325.9339734102</v>
      </c>
      <c r="J21" s="102"/>
      <c r="K21" s="133">
        <f>+'Crist 5 -315'!P$12</f>
        <v>5.3129534804594078E-2</v>
      </c>
      <c r="L21" s="133"/>
      <c r="M21" s="133">
        <f>(1-'Crist 5 -315'!P$4)/'Crist 5 -315'!P$7</f>
        <v>3.8857500758341407E-2</v>
      </c>
    </row>
    <row r="22" spans="1:13" ht="15.75">
      <c r="A22" s="69"/>
      <c r="B22" s="69"/>
      <c r="C22" s="82"/>
      <c r="D22" s="82"/>
      <c r="E22" s="111"/>
      <c r="F22" s="111"/>
      <c r="G22" s="111"/>
      <c r="H22" s="102"/>
      <c r="I22" s="111" t="s">
        <v>39</v>
      </c>
      <c r="J22" s="102"/>
      <c r="K22" s="133"/>
      <c r="L22" s="133"/>
      <c r="M22" s="133" t="s">
        <v>39</v>
      </c>
    </row>
    <row r="23" spans="1:13" ht="15.75">
      <c r="A23" s="69">
        <v>6</v>
      </c>
      <c r="B23" s="69">
        <v>312</v>
      </c>
      <c r="C23" s="82" t="s">
        <v>176</v>
      </c>
      <c r="D23" s="82"/>
      <c r="E23" s="111">
        <f>'Crist 6 -312'!$L$21</f>
        <v>265342979.97746775</v>
      </c>
      <c r="F23" s="111"/>
      <c r="G23" s="111">
        <f>+'Crist 6 -312'!R$21</f>
        <v>35174223.405142866</v>
      </c>
      <c r="H23" s="102"/>
      <c r="I23" s="111">
        <f>+'Crist 6 -312'!P$9</f>
        <v>80665533.072577178</v>
      </c>
      <c r="J23" s="102"/>
      <c r="K23" s="133">
        <f>+'Crist 6 -312'!P$12</f>
        <v>5.0995116592987319E-2</v>
      </c>
      <c r="L23" s="133"/>
      <c r="M23" s="133">
        <f>(1-'Crist 6 -312'!P$4)/'Crist 6 -312'!P$7</f>
        <v>4.1318309430754138E-2</v>
      </c>
    </row>
    <row r="24" spans="1:13" ht="15.75">
      <c r="A24" s="69">
        <v>6</v>
      </c>
      <c r="B24" s="69">
        <v>314</v>
      </c>
      <c r="C24" s="82" t="s">
        <v>177</v>
      </c>
      <c r="D24" s="82"/>
      <c r="E24" s="111">
        <f>'Crist 6 -314'!$L$21</f>
        <v>47744495.21617724</v>
      </c>
      <c r="F24" s="111"/>
      <c r="G24" s="111">
        <f>+'Crist 6 -314'!R$21</f>
        <v>13118900.880126452</v>
      </c>
      <c r="H24" s="102"/>
      <c r="I24" s="111">
        <f>+'Crist 6 -314'!P$9</f>
        <v>19644132.86961377</v>
      </c>
      <c r="J24" s="102"/>
      <c r="K24" s="133">
        <f>+'Crist 6 -314'!P$12</f>
        <v>4.5140625806364222E-2</v>
      </c>
      <c r="L24" s="133"/>
      <c r="M24" s="133">
        <f>(1-'Crist 6 -314'!P$4)/'Crist 6 -314'!P$7</f>
        <v>3.718832255225972E-2</v>
      </c>
    </row>
    <row r="25" spans="1:13" ht="15.75">
      <c r="A25" s="69">
        <v>6</v>
      </c>
      <c r="B25" s="69">
        <v>315</v>
      </c>
      <c r="C25" s="82" t="s">
        <v>158</v>
      </c>
      <c r="D25" s="82"/>
      <c r="E25" s="111">
        <f>'Crist 6 -315'!$L$21</f>
        <v>34168445.658972733</v>
      </c>
      <c r="F25" s="111"/>
      <c r="G25" s="111">
        <f>+'Crist 6 -315'!R$21</f>
        <v>8742892.3651435729</v>
      </c>
      <c r="H25" s="102"/>
      <c r="I25" s="111">
        <f>+'Crist 6 -315'!P$9</f>
        <v>7746289.2954593934</v>
      </c>
      <c r="J25" s="102"/>
      <c r="K25" s="133">
        <f>+'Crist 6 -315'!P$12</f>
        <v>4.1630436053460632E-2</v>
      </c>
      <c r="L25" s="133"/>
      <c r="M25" s="133">
        <f>(1-'Crist 6 -315'!P$4)/'Crist 6 -315'!P$7</f>
        <v>4.3243495750620434E-2</v>
      </c>
    </row>
    <row r="26" spans="1:13" ht="15.75">
      <c r="A26" s="69"/>
      <c r="B26" s="69"/>
      <c r="C26" s="82"/>
      <c r="D26" s="82"/>
      <c r="E26" s="111"/>
      <c r="F26" s="111"/>
      <c r="G26" s="111"/>
      <c r="H26" s="102"/>
      <c r="I26" s="111" t="s">
        <v>39</v>
      </c>
      <c r="J26" s="102"/>
      <c r="K26" s="133"/>
      <c r="L26" s="133"/>
      <c r="M26" s="133" t="s">
        <v>39</v>
      </c>
    </row>
    <row r="27" spans="1:13" ht="15.75">
      <c r="A27" s="69">
        <v>7</v>
      </c>
      <c r="B27" s="69">
        <v>312</v>
      </c>
      <c r="C27" s="82" t="s">
        <v>176</v>
      </c>
      <c r="D27" s="82"/>
      <c r="E27" s="111">
        <f>'Crist 7 -312'!$L$21</f>
        <v>218187177.79476365</v>
      </c>
      <c r="F27" s="111"/>
      <c r="G27" s="111">
        <f>+'Crist 7 -312'!R$21</f>
        <v>45405542.284463786</v>
      </c>
      <c r="H27" s="102"/>
      <c r="I27" s="111">
        <f>+'Crist 7 -312'!P$9</f>
        <v>89561462.138646349</v>
      </c>
      <c r="J27" s="102"/>
      <c r="K27" s="133">
        <f>+'Crist 4 -312'!P$12</f>
        <v>5.2292854005553856E-2</v>
      </c>
      <c r="L27" s="133"/>
      <c r="M27" s="133">
        <f>(1-'Crist 7 -312'!P$4)/'Crist 7 -312'!P$7</f>
        <v>3.100401448879013E-2</v>
      </c>
    </row>
    <row r="28" spans="1:13" ht="15.75">
      <c r="A28" s="69">
        <v>7</v>
      </c>
      <c r="B28" s="69">
        <v>314</v>
      </c>
      <c r="C28" s="82" t="s">
        <v>177</v>
      </c>
      <c r="D28" s="82"/>
      <c r="E28" s="111">
        <f>'Crist 7 -314'!$L$21</f>
        <v>100410668.51701446</v>
      </c>
      <c r="F28" s="111"/>
      <c r="G28" s="111">
        <f>+'Crist 7 -314'!R$21</f>
        <v>21716000.072998237</v>
      </c>
      <c r="H28" s="102"/>
      <c r="I28" s="111">
        <f>+'Crist 7 -314'!P$9</f>
        <v>33162597.842892282</v>
      </c>
      <c r="J28" s="102"/>
      <c r="K28" s="133">
        <f>+'Crist 4 -314'!P$12</f>
        <v>6.6671331092672856E-2</v>
      </c>
      <c r="L28" s="133"/>
      <c r="M28" s="133">
        <f>(1-'Crist 7 -314'!P$4)/'Crist 7 -314'!P$7</f>
        <v>3.700633202391735E-2</v>
      </c>
    </row>
    <row r="29" spans="1:13" ht="15.75">
      <c r="A29" s="69">
        <v>7</v>
      </c>
      <c r="B29" s="69">
        <v>315</v>
      </c>
      <c r="C29" s="82" t="s">
        <v>158</v>
      </c>
      <c r="D29" s="82"/>
      <c r="E29" s="111">
        <f>'Crist 7 -315'!$L$21</f>
        <v>27095838.11581862</v>
      </c>
      <c r="F29" s="111"/>
      <c r="G29" s="111">
        <f>+'Crist 7 -315'!R$21</f>
        <v>14105733.238808008</v>
      </c>
      <c r="H29" s="102"/>
      <c r="I29" s="111">
        <f>+'Crist 7 -315'!P$9</f>
        <v>12313341.454902183</v>
      </c>
      <c r="J29" s="102"/>
      <c r="K29" s="133">
        <f>+'Crist 4 -315'!P$12</f>
        <v>6.6762893430384287E-2</v>
      </c>
      <c r="L29" s="133"/>
      <c r="M29" s="133">
        <f>(1-'Crist 7 -315'!P$4)/'Crist 7 -315'!P$7</f>
        <v>2.6710994548389912E-2</v>
      </c>
    </row>
    <row r="30" spans="1:13" ht="15.75">
      <c r="A30" s="69"/>
      <c r="B30" s="69"/>
      <c r="C30" s="82"/>
      <c r="D30" s="82"/>
      <c r="E30" s="111"/>
      <c r="F30" s="111"/>
      <c r="G30" s="111"/>
      <c r="H30" s="102"/>
      <c r="I30" s="111" t="s">
        <v>39</v>
      </c>
      <c r="J30" s="102"/>
      <c r="K30" s="133"/>
      <c r="L30" s="133"/>
      <c r="M30" s="133" t="s">
        <v>39</v>
      </c>
    </row>
    <row r="31" spans="1:13" ht="15.75">
      <c r="A31" s="69" t="s">
        <v>134</v>
      </c>
      <c r="B31" s="69">
        <v>311</v>
      </c>
      <c r="C31" s="82" t="s">
        <v>178</v>
      </c>
      <c r="D31" s="82"/>
      <c r="E31" s="111">
        <f>'Crist Comm -311'!$L$21</f>
        <v>127423259.25107643</v>
      </c>
      <c r="F31" s="111"/>
      <c r="G31" s="111">
        <f>'Crist Comm -311'!$R$21</f>
        <v>73610727.892538294</v>
      </c>
      <c r="H31" s="102"/>
      <c r="I31" s="111">
        <f>+'Crist Comm -311'!P$9</f>
        <v>60689611.00987114</v>
      </c>
      <c r="J31" s="102"/>
      <c r="K31" s="133">
        <f>'Crist Comm -311'!$P$12</f>
        <v>1.9817130097008934E-2</v>
      </c>
      <c r="L31" s="133"/>
      <c r="M31" s="133">
        <f>(1-'Crist Comm -311'!P$4)/'Crist Comm -311'!P$7</f>
        <v>2.4531779279129664E-2</v>
      </c>
    </row>
    <row r="32" spans="1:13" ht="15.75">
      <c r="A32" s="69" t="s">
        <v>134</v>
      </c>
      <c r="B32" s="69">
        <v>312</v>
      </c>
      <c r="C32" s="82" t="s">
        <v>176</v>
      </c>
      <c r="D32" s="82"/>
      <c r="E32" s="111">
        <f>'Crist Comm-312'!$L$21</f>
        <v>490157683.47183514</v>
      </c>
      <c r="F32" s="111"/>
      <c r="G32" s="111">
        <f>'Crist Comm-312'!$R$21</f>
        <v>129493866.3587839</v>
      </c>
      <c r="H32" s="102"/>
      <c r="I32" s="111">
        <f>+'Crist Comm-312'!P$9</f>
        <v>151740463.07169685</v>
      </c>
      <c r="J32" s="102"/>
      <c r="K32" s="133">
        <f>'Crist Comm-312'!$P$12</f>
        <v>3.8209109377855828E-2</v>
      </c>
      <c r="L32" s="133"/>
      <c r="M32" s="133">
        <f>(1-'Crist Comm-312'!P$4)/'Crist Comm-312'!P$7</f>
        <v>3.5973748872504589E-2</v>
      </c>
    </row>
    <row r="33" spans="1:13" ht="15.75">
      <c r="A33" s="69" t="s">
        <v>134</v>
      </c>
      <c r="B33" s="69">
        <v>314</v>
      </c>
      <c r="C33" s="82" t="s">
        <v>177</v>
      </c>
      <c r="D33" s="82"/>
      <c r="E33" s="111">
        <f>'Crist Comm-314'!$L$21</f>
        <v>26780017.379287284</v>
      </c>
      <c r="F33" s="111"/>
      <c r="G33" s="111">
        <f>'Crist Comm-314'!$R$21</f>
        <v>14449285.479353713</v>
      </c>
      <c r="H33" s="102"/>
      <c r="I33" s="111">
        <f>+'Crist Comm-314'!P$9</f>
        <v>14833051.824566832</v>
      </c>
      <c r="J33" s="102"/>
      <c r="K33" s="133">
        <f>'Crist Comm-314'!$P$12</f>
        <v>2.6333428711943357E-2</v>
      </c>
      <c r="L33" s="133"/>
      <c r="M33" s="133">
        <f>(1-'Crist Comm-314'!P$4)/'Crist Comm-314'!P$7</f>
        <v>2.5602625688137232E-2</v>
      </c>
    </row>
    <row r="34" spans="1:13" ht="15.75">
      <c r="A34" s="69" t="s">
        <v>134</v>
      </c>
      <c r="B34" s="69">
        <v>315</v>
      </c>
      <c r="C34" s="82" t="s">
        <v>158</v>
      </c>
      <c r="D34" s="82"/>
      <c r="E34" s="111">
        <f>'Crist Comm-315'!$L$21</f>
        <v>101348753.91682231</v>
      </c>
      <c r="F34" s="111"/>
      <c r="G34" s="111">
        <f>'Crist Comm-315'!$R$21</f>
        <v>29330511.202714279</v>
      </c>
      <c r="H34" s="102"/>
      <c r="I34" s="111">
        <f>+'Crist Comm-315'!P$9</f>
        <v>32007446.687038425</v>
      </c>
      <c r="J34" s="102"/>
      <c r="K34" s="133">
        <f>'Crist Comm-315'!$P$12</f>
        <v>3.465138633286214E-2</v>
      </c>
      <c r="L34" s="133"/>
      <c r="M34" s="133">
        <f>(1-'Crist Comm-315'!P$4)/'Crist Comm-315'!P$7</f>
        <v>3.3380561222911012E-2</v>
      </c>
    </row>
    <row r="35" spans="1:13" ht="15.75">
      <c r="A35" s="69" t="s">
        <v>134</v>
      </c>
      <c r="B35" s="69">
        <v>316</v>
      </c>
      <c r="C35" s="82" t="s">
        <v>179</v>
      </c>
      <c r="D35" s="82"/>
      <c r="E35" s="111">
        <f>'Crist Comm-316'!$L$21</f>
        <v>10786965.971255202</v>
      </c>
      <c r="F35" s="111"/>
      <c r="G35" s="111">
        <f>'Crist Comm-316'!$R$21</f>
        <v>2006363.1362946164</v>
      </c>
      <c r="H35" s="102"/>
      <c r="I35" s="111">
        <f>+'Crist Comm-316'!P$9</f>
        <v>2760931.9176956718</v>
      </c>
      <c r="J35" s="102"/>
      <c r="K35" s="133">
        <f>'Crist Comm-316'!$P$12</f>
        <v>3.9533985621197393E-2</v>
      </c>
      <c r="L35" s="133"/>
      <c r="M35" s="133">
        <f>(1-'Crist Comm-316'!P$4)/'Crist Comm-316'!P$7</f>
        <v>3.6157587196637427E-2</v>
      </c>
    </row>
    <row r="36" spans="1:13" ht="15.75">
      <c r="A36" s="82"/>
      <c r="B36" s="69"/>
      <c r="C36" s="82" t="s">
        <v>213</v>
      </c>
      <c r="D36" s="82"/>
      <c r="E36" s="88">
        <f>SUM(E15:E35)</f>
        <v>1551930888.2600002</v>
      </c>
      <c r="F36" s="87"/>
      <c r="G36" s="88">
        <f>SUM(G15:G35)</f>
        <v>439733184.23610413</v>
      </c>
      <c r="H36" s="87"/>
      <c r="I36" s="88">
        <f>SUM(I15:I35)</f>
        <v>575849350.04621911</v>
      </c>
      <c r="J36" s="87"/>
      <c r="K36" s="132">
        <f>Comparison!F9</f>
        <v>0.04</v>
      </c>
      <c r="L36" s="132"/>
      <c r="M36" s="132">
        <f>ROUND((E15*M15+E16*M16+E17*M17+E19*M19+E20*M20+E21*M21+E23*M23+E24*M24+E25*M25+E27*M27+E28*M28+E29*M29+E31*M31+E32*M32+E33*M33+E34*M34+E35*M35)/E36,3)</f>
        <v>3.5000000000000003E-2</v>
      </c>
    </row>
    <row r="37" spans="1:13" ht="15.75">
      <c r="A37" s="82"/>
      <c r="B37" s="69"/>
      <c r="C37" s="82"/>
      <c r="D37" s="82"/>
      <c r="E37" s="102"/>
      <c r="F37" s="102"/>
      <c r="G37" s="102"/>
      <c r="H37" s="102"/>
      <c r="I37" s="102"/>
      <c r="J37" s="102"/>
      <c r="K37" s="110"/>
      <c r="L37" s="112"/>
      <c r="M37" s="112"/>
    </row>
    <row r="38" spans="1:13" ht="15.75">
      <c r="A38" s="104" t="s">
        <v>43</v>
      </c>
      <c r="B38" s="114"/>
      <c r="C38" s="82"/>
      <c r="D38" s="82"/>
      <c r="E38" s="102"/>
      <c r="F38" s="102"/>
      <c r="G38" s="102"/>
      <c r="H38" s="102"/>
      <c r="I38" s="102"/>
      <c r="J38" s="102"/>
      <c r="K38" s="110"/>
      <c r="L38" s="112"/>
      <c r="M38" s="112"/>
    </row>
    <row r="39" spans="1:13" ht="15.75">
      <c r="A39" s="106" t="s">
        <v>181</v>
      </c>
      <c r="B39" s="69">
        <v>311</v>
      </c>
      <c r="C39" s="82" t="s">
        <v>159</v>
      </c>
      <c r="D39" s="82"/>
      <c r="E39" s="88">
        <f>'Daniel-311 Rail Cars'!$L$21</f>
        <v>2828012.5732048885</v>
      </c>
      <c r="F39" s="88"/>
      <c r="G39" s="88">
        <f>'Daniel-311 Rail Cars'!$R$21</f>
        <v>1508465.337362939</v>
      </c>
      <c r="H39" s="87"/>
      <c r="I39" s="129">
        <f>+'Daniel-311 Rail Cars'!P9</f>
        <v>1590769.6649544577</v>
      </c>
      <c r="J39" s="87"/>
      <c r="K39" s="132">
        <f>ROUND('Daniel-311 Rail Cars'!$P$12,3)</f>
        <v>1.6E-2</v>
      </c>
      <c r="L39" s="132"/>
      <c r="M39" s="132">
        <f>(ROUND((1-'Daniel-311 Rail Cars'!P4)/'Daniel-311 Rail Cars'!P7,3))</f>
        <v>1.4999999999999999E-2</v>
      </c>
    </row>
    <row r="40" spans="1:13" ht="15.75">
      <c r="A40" s="69"/>
      <c r="B40" s="69"/>
      <c r="C40" s="82"/>
      <c r="D40" s="82"/>
      <c r="E40" s="111"/>
      <c r="F40" s="111"/>
      <c r="G40" s="111"/>
      <c r="H40" s="102"/>
      <c r="I40" s="128"/>
      <c r="J40" s="102"/>
      <c r="K40" s="110"/>
      <c r="L40" s="112"/>
      <c r="M40" s="112"/>
    </row>
    <row r="41" spans="1:13" ht="15.75">
      <c r="A41" s="69"/>
      <c r="B41" s="69"/>
      <c r="C41" s="82"/>
      <c r="D41" s="82"/>
      <c r="E41" s="111"/>
      <c r="F41" s="111"/>
      <c r="G41" s="111"/>
      <c r="H41" s="102"/>
      <c r="I41" s="128"/>
      <c r="J41" s="102"/>
      <c r="K41" s="110"/>
      <c r="L41" s="112"/>
      <c r="M41" s="112"/>
    </row>
    <row r="42" spans="1:13" ht="15.75">
      <c r="A42" s="67" t="s">
        <v>95</v>
      </c>
      <c r="B42" s="69"/>
      <c r="C42" s="82"/>
      <c r="D42" s="82"/>
      <c r="E42" s="111"/>
      <c r="F42" s="111"/>
      <c r="G42" s="111"/>
      <c r="H42" s="102"/>
      <c r="I42" s="128"/>
      <c r="J42" s="102"/>
      <c r="K42" s="110"/>
      <c r="L42" s="112"/>
      <c r="M42" s="112"/>
    </row>
    <row r="43" spans="1:13" ht="15.75">
      <c r="A43" s="114" t="s">
        <v>189</v>
      </c>
      <c r="B43" s="69">
        <v>310.10000000000002</v>
      </c>
      <c r="C43" s="82" t="s">
        <v>188</v>
      </c>
      <c r="D43" s="82"/>
      <c r="E43" s="88">
        <f>'Daniel 310.1'!$L$21</f>
        <v>77160.27</v>
      </c>
      <c r="F43" s="88"/>
      <c r="G43" s="88">
        <f>'Daniel 310.1'!$R$21</f>
        <v>44752.683780000021</v>
      </c>
      <c r="H43" s="87"/>
      <c r="I43" s="129">
        <f>+'Daniel 310.1'!P$9</f>
        <v>43853.678633093528</v>
      </c>
      <c r="J43" s="87"/>
      <c r="K43" s="132">
        <f>ROUND('Daniel 310.1'!$P$12,3)</f>
        <v>1.4E-2</v>
      </c>
      <c r="L43" s="132"/>
      <c r="M43" s="132">
        <f>ROUND((1-'Daniel 310.1'!P$4)/'Daniel 310.1'!P$7,3)</f>
        <v>1.4E-2</v>
      </c>
    </row>
    <row r="44" spans="1:13" ht="15.75">
      <c r="A44" s="69"/>
      <c r="B44" s="69"/>
      <c r="C44" s="82"/>
      <c r="D44" s="82"/>
      <c r="E44" s="111"/>
      <c r="F44" s="111"/>
      <c r="G44" s="111"/>
      <c r="H44" s="102"/>
      <c r="I44" s="128"/>
      <c r="J44" s="102"/>
      <c r="K44" s="110"/>
      <c r="L44" s="102"/>
      <c r="M44" s="112"/>
    </row>
    <row r="45" spans="1:13" ht="15.75">
      <c r="A45" s="69"/>
      <c r="B45" s="69"/>
      <c r="C45" s="82"/>
      <c r="D45" s="82"/>
      <c r="E45" s="111"/>
      <c r="F45" s="111"/>
      <c r="G45" s="111"/>
      <c r="H45" s="102"/>
      <c r="I45" s="128"/>
      <c r="J45" s="102"/>
      <c r="K45" s="110"/>
      <c r="L45" s="102"/>
      <c r="M45" s="112"/>
    </row>
    <row r="46" spans="1:13" ht="15.75">
      <c r="A46" s="82"/>
      <c r="B46" s="69"/>
      <c r="C46" s="82"/>
      <c r="D46" s="82"/>
      <c r="E46" s="111"/>
      <c r="F46" s="111"/>
      <c r="G46" s="111"/>
      <c r="H46" s="102"/>
      <c r="I46" s="128"/>
      <c r="J46" s="102"/>
      <c r="K46" s="110"/>
      <c r="L46" s="102"/>
      <c r="M46" s="112"/>
    </row>
    <row r="47" spans="1:13" ht="15.75">
      <c r="A47" s="69">
        <v>1</v>
      </c>
      <c r="B47" s="69">
        <v>311</v>
      </c>
      <c r="C47" s="82" t="s">
        <v>178</v>
      </c>
      <c r="D47" s="82"/>
      <c r="E47" s="111">
        <f>'Daniel 1-311'!$L$21</f>
        <v>8887842.3663138468</v>
      </c>
      <c r="F47" s="111"/>
      <c r="G47" s="111">
        <f>'Daniel 1-311'!$R$21</f>
        <v>8072878.6312705986</v>
      </c>
      <c r="H47" s="102"/>
      <c r="I47" s="128">
        <f>+'Daniel 1-311'!P$9</f>
        <v>5338965.5834197514</v>
      </c>
      <c r="J47" s="102"/>
      <c r="K47" s="133">
        <f>'Daniel 1-311'!$P$12</f>
        <v>3.809150213363568E-3</v>
      </c>
      <c r="L47" s="133"/>
      <c r="M47" s="133">
        <f>(1-'Daniel 1-311'!P$4)/'Daniel 1-311'!P$7</f>
        <v>1.5961916767568855E-2</v>
      </c>
    </row>
    <row r="48" spans="1:13" ht="15.75">
      <c r="A48" s="69">
        <v>1</v>
      </c>
      <c r="B48" s="69">
        <v>312</v>
      </c>
      <c r="C48" s="82" t="s">
        <v>176</v>
      </c>
      <c r="D48" s="82"/>
      <c r="E48" s="111">
        <f>'Daniel 1-312'!$L$21</f>
        <v>146254616.64024487</v>
      </c>
      <c r="F48" s="111"/>
      <c r="G48" s="111">
        <f>'Daniel 1-312'!$R$21</f>
        <v>32853791.760506831</v>
      </c>
      <c r="H48" s="102"/>
      <c r="I48" s="128">
        <f>+'Daniel 1-312'!P$9</f>
        <v>44375418.275761887</v>
      </c>
      <c r="J48" s="102"/>
      <c r="K48" s="133">
        <f>'Daniel 1-312'!$P$12</f>
        <v>3.4813528480399786E-2</v>
      </c>
      <c r="L48" s="133"/>
      <c r="M48" s="133">
        <f>(1-'Daniel 1-312'!P$4)/'Daniel 1-312'!P$7</f>
        <v>3.1481417155999829E-2</v>
      </c>
    </row>
    <row r="49" spans="1:13" ht="15.75">
      <c r="A49" s="69">
        <v>1</v>
      </c>
      <c r="B49" s="69">
        <v>314</v>
      </c>
      <c r="C49" s="82" t="s">
        <v>177</v>
      </c>
      <c r="D49" s="82"/>
      <c r="E49" s="111">
        <f>'Daniel 1-314'!$L$21</f>
        <v>27688825.219377786</v>
      </c>
      <c r="F49" s="111"/>
      <c r="G49" s="111">
        <f>'Daniel 1-314'!$R$21</f>
        <v>10860080.405507777</v>
      </c>
      <c r="H49" s="102"/>
      <c r="I49" s="128">
        <f>+'Daniel 1-314'!P$9</f>
        <v>12573969.826800903</v>
      </c>
      <c r="J49" s="102"/>
      <c r="K49" s="133">
        <f>'Daniel 1-314'!$P$12</f>
        <v>2.9708440404463642E-2</v>
      </c>
      <c r="L49" s="133"/>
      <c r="M49" s="133">
        <f>(1-'Daniel 1-314'!P$4)/'Daniel 1-314'!P$7</f>
        <v>2.6980436837118319E-2</v>
      </c>
    </row>
    <row r="50" spans="1:13" ht="15.75">
      <c r="A50" s="69">
        <v>1</v>
      </c>
      <c r="B50" s="69">
        <v>315</v>
      </c>
      <c r="C50" s="82" t="s">
        <v>158</v>
      </c>
      <c r="D50" s="82"/>
      <c r="E50" s="111">
        <f>'Daniel 1-315'!$L$21</f>
        <v>13972309.070936184</v>
      </c>
      <c r="F50" s="111"/>
      <c r="G50" s="111">
        <f>'Daniel 1-315'!$R$21</f>
        <v>8431567.9560076725</v>
      </c>
      <c r="H50" s="102"/>
      <c r="I50" s="128">
        <f>+'Daniel 1-315'!P$9</f>
        <v>7021824.047914356</v>
      </c>
      <c r="J50" s="102"/>
      <c r="K50" s="133">
        <f>'Daniel 1-315'!$P$12</f>
        <v>1.6789079982261267E-2</v>
      </c>
      <c r="L50" s="133"/>
      <c r="M50" s="133">
        <f>(1-'Daniel 1-315'!P$4)/'Daniel 1-315'!P$7</f>
        <v>2.0940326844772251E-2</v>
      </c>
    </row>
    <row r="51" spans="1:13" ht="15.75">
      <c r="A51" s="69">
        <v>1</v>
      </c>
      <c r="B51" s="69">
        <v>316</v>
      </c>
      <c r="C51" s="82" t="s">
        <v>179</v>
      </c>
      <c r="D51" s="82"/>
      <c r="E51" s="111">
        <f>'Daniel 1-316'!$L$21</f>
        <v>133722.09792436979</v>
      </c>
      <c r="F51" s="111"/>
      <c r="G51" s="111">
        <f>'Daniel 1-316'!$R$21</f>
        <v>-3251.7009216784031</v>
      </c>
      <c r="H51" s="102"/>
      <c r="I51" s="128">
        <f>+'Daniel 1-316'!P$9</f>
        <v>16304.717001201903</v>
      </c>
      <c r="J51" s="102"/>
      <c r="K51" s="133">
        <f>'Daniel 1-316'!$P$12</f>
        <v>4.2586210848404429E-2</v>
      </c>
      <c r="L51" s="133"/>
      <c r="M51" s="133">
        <f>(1-'Daniel 1-316'!P$4)/'Daniel 1-316'!P$7</f>
        <v>3.6543163545950122E-2</v>
      </c>
    </row>
    <row r="52" spans="1:13" ht="15.75">
      <c r="A52" s="69"/>
      <c r="B52" s="69"/>
      <c r="C52" s="82"/>
      <c r="D52" s="82"/>
      <c r="E52" s="111"/>
      <c r="F52" s="111"/>
      <c r="G52" s="111"/>
      <c r="H52" s="102"/>
      <c r="I52" s="128"/>
      <c r="J52" s="102"/>
      <c r="K52" s="133"/>
      <c r="L52" s="133"/>
      <c r="M52" s="133"/>
    </row>
    <row r="53" spans="1:13" ht="15.75">
      <c r="A53" s="69">
        <v>2</v>
      </c>
      <c r="B53" s="69">
        <v>311</v>
      </c>
      <c r="C53" s="82" t="s">
        <v>178</v>
      </c>
      <c r="D53" s="82"/>
      <c r="E53" s="111">
        <f>'Daniel 2-311'!$L$21</f>
        <v>9337214.2687969934</v>
      </c>
      <c r="F53" s="111"/>
      <c r="G53" s="111">
        <f>'Daniel 2-311'!$R$21</f>
        <v>8581737.4665015936</v>
      </c>
      <c r="H53" s="102"/>
      <c r="I53" s="128">
        <f>+'Daniel 2-311'!P$9</f>
        <v>5074048.1327385912</v>
      </c>
      <c r="J53" s="102"/>
      <c r="K53" s="133">
        <f>'Daniel 2-311'!$P$12</f>
        <v>2.971826589998942E-3</v>
      </c>
      <c r="L53" s="133"/>
      <c r="M53" s="133">
        <f>(1-'Daniel 2-311'!P$4)/'Daniel 2-311'!P$7</f>
        <v>1.5889130459276462E-2</v>
      </c>
    </row>
    <row r="54" spans="1:13" ht="15.75">
      <c r="A54" s="69">
        <v>2</v>
      </c>
      <c r="B54" s="69">
        <v>312</v>
      </c>
      <c r="C54" s="82" t="s">
        <v>176</v>
      </c>
      <c r="D54" s="82"/>
      <c r="E54" s="111">
        <f>'Daniel 2-312'!$L$21</f>
        <v>152274744.74378127</v>
      </c>
      <c r="F54" s="111"/>
      <c r="G54" s="111">
        <f>'Daniel 2-312'!$R$21</f>
        <v>29842724.681787539</v>
      </c>
      <c r="H54" s="102"/>
      <c r="I54" s="128">
        <f>+'Daniel 2-312'!P$9</f>
        <v>45587248.525440611</v>
      </c>
      <c r="J54" s="102"/>
      <c r="K54" s="133">
        <f>'Daniel 2-312'!$P$12</f>
        <v>3.1963035790784765E-2</v>
      </c>
      <c r="L54" s="133"/>
      <c r="M54" s="133">
        <f>(1-'Daniel 2-312'!P$4)/'Daniel 2-312'!P$7</f>
        <v>2.8116634002049244E-2</v>
      </c>
    </row>
    <row r="55" spans="1:13" ht="15.75">
      <c r="A55" s="69">
        <v>2</v>
      </c>
      <c r="B55" s="69">
        <v>314</v>
      </c>
      <c r="C55" s="82" t="s">
        <v>177</v>
      </c>
      <c r="D55" s="82"/>
      <c r="E55" s="111">
        <f>'Daniel 2-314'!$L$21</f>
        <v>26717998.535095364</v>
      </c>
      <c r="F55" s="111"/>
      <c r="G55" s="111">
        <f>'Daniel 2-314'!$R$21</f>
        <v>13212345.728191694</v>
      </c>
      <c r="H55" s="102"/>
      <c r="I55" s="128">
        <f>+'Daniel 2-314'!P$9</f>
        <v>12936459.19399095</v>
      </c>
      <c r="J55" s="102"/>
      <c r="K55" s="133">
        <f>'Daniel 2-314'!$P$12</f>
        <v>2.2688219077321235E-2</v>
      </c>
      <c r="L55" s="133"/>
      <c r="M55" s="133">
        <f>(1-'Daniel 2-314'!P$4)/'Daniel 1-312'!P$7</f>
        <v>3.2338945305229412E-2</v>
      </c>
    </row>
    <row r="56" spans="1:13" ht="15.75">
      <c r="A56" s="69">
        <v>2</v>
      </c>
      <c r="B56" s="69">
        <v>315</v>
      </c>
      <c r="C56" s="82" t="s">
        <v>158</v>
      </c>
      <c r="D56" s="82"/>
      <c r="E56" s="111">
        <f>'Daniel 2-315'!$L$21</f>
        <v>12977550.953576179</v>
      </c>
      <c r="F56" s="111"/>
      <c r="G56" s="111">
        <f>'Daniel 2-315'!$R$21</f>
        <v>8986520.9481771551</v>
      </c>
      <c r="H56" s="102"/>
      <c r="I56" s="128">
        <f>+'Daniel 2-315'!P$9</f>
        <v>6145876.7412702106</v>
      </c>
      <c r="J56" s="102"/>
      <c r="K56" s="133">
        <f>'Daniel 2-315'!$P$12</f>
        <v>1.1563327003726523E-2</v>
      </c>
      <c r="L56" s="133"/>
      <c r="M56" s="133">
        <f>(1-'Daniel 2-315'!P$4)/'Daniel 2-315'!P$7</f>
        <v>1.9450796989527688E-2</v>
      </c>
    </row>
    <row r="57" spans="1:13" ht="15.75">
      <c r="A57" s="69">
        <v>2</v>
      </c>
      <c r="B57" s="69">
        <v>316</v>
      </c>
      <c r="C57" s="82" t="s">
        <v>179</v>
      </c>
      <c r="D57" s="82"/>
      <c r="E57" s="111">
        <f>'Daniel 2-316'!$L$21</f>
        <v>190579.7287856233</v>
      </c>
      <c r="F57" s="111"/>
      <c r="G57" s="111">
        <f>'Daniel 2-316'!$R$21</f>
        <v>37368.887803036348</v>
      </c>
      <c r="H57" s="102"/>
      <c r="I57" s="128">
        <f>+'Daniel 2-316'!P$9</f>
        <v>41923.073328700339</v>
      </c>
      <c r="J57" s="102"/>
      <c r="K57" s="133">
        <f>'Daniel 2-316'!$P$12</f>
        <v>2.9349748280507095E-2</v>
      </c>
      <c r="L57" s="133"/>
      <c r="M57" s="133">
        <f>(1-'Daniel 2-316'!P$4)/'Daniel 2-316'!P$7</f>
        <v>2.8484895947187464E-2</v>
      </c>
    </row>
    <row r="58" spans="1:13" ht="15.75">
      <c r="A58" s="69"/>
      <c r="B58" s="69"/>
      <c r="C58" s="82"/>
      <c r="D58" s="82"/>
      <c r="E58" s="111"/>
      <c r="F58" s="111"/>
      <c r="G58" s="111"/>
      <c r="H58" s="102"/>
      <c r="I58" s="128"/>
      <c r="J58" s="102"/>
      <c r="K58" s="133"/>
      <c r="L58" s="133"/>
      <c r="M58" s="133"/>
    </row>
    <row r="59" spans="1:13" ht="15.75">
      <c r="A59" s="69" t="s">
        <v>134</v>
      </c>
      <c r="B59" s="69">
        <v>311</v>
      </c>
      <c r="C59" s="82" t="s">
        <v>178</v>
      </c>
      <c r="D59" s="82"/>
      <c r="E59" s="111">
        <f>+'Daniel Comm-311'!L$21</f>
        <v>38605472.022311002</v>
      </c>
      <c r="F59" s="111"/>
      <c r="G59" s="111">
        <f>+'Daniel Comm-311'!R$21</f>
        <v>14868760.319092141</v>
      </c>
      <c r="H59" s="102"/>
      <c r="I59" s="128">
        <f>+'Daniel Comm-311'!P$9</f>
        <v>12168411.434599474</v>
      </c>
      <c r="J59" s="102"/>
      <c r="K59" s="133">
        <f>+'Daniel Comm-311'!P$12</f>
        <v>2.1331425275543808E-2</v>
      </c>
      <c r="L59" s="133"/>
      <c r="M59" s="133">
        <f>(1-'Daniel Comm-311'!P$4)/'Daniel Comm-311'!P$7</f>
        <v>2.3736558239692417E-2</v>
      </c>
    </row>
    <row r="60" spans="1:13" ht="15.75">
      <c r="A60" s="69" t="s">
        <v>134</v>
      </c>
      <c r="B60" s="69">
        <v>312</v>
      </c>
      <c r="C60" s="82" t="s">
        <v>176</v>
      </c>
      <c r="D60" s="82"/>
      <c r="E60" s="111">
        <f>+'Daniel Comm-312'!L$21</f>
        <v>182680843.81603819</v>
      </c>
      <c r="F60" s="111"/>
      <c r="G60" s="111">
        <f>+'Daniel Comm-312'!R$21</f>
        <v>25298651.711122807</v>
      </c>
      <c r="H60" s="102"/>
      <c r="I60" s="128">
        <f>+'Daniel Comm-312'!P$9</f>
        <v>38194914.527868629</v>
      </c>
      <c r="J60" s="102"/>
      <c r="K60" s="133">
        <f>+'Daniel Comm-312'!P$12</f>
        <v>3.4101860471081359E-2</v>
      </c>
      <c r="L60" s="133"/>
      <c r="M60" s="133">
        <f>(1-'Daniel Comm-312'!P$4)/'Daniel Comm-312'!P$7</f>
        <v>3.1475684257845686E-2</v>
      </c>
    </row>
    <row r="61" spans="1:13" ht="15.75">
      <c r="A61" s="69" t="s">
        <v>134</v>
      </c>
      <c r="B61" s="69">
        <v>314</v>
      </c>
      <c r="C61" s="82" t="s">
        <v>177</v>
      </c>
      <c r="D61" s="82"/>
      <c r="E61" s="111">
        <f>+'Daniel Comm-314'!L$21</f>
        <v>3483090.652292348</v>
      </c>
      <c r="F61" s="111"/>
      <c r="G61" s="111">
        <f>+'Daniel Comm-314'!R$21</f>
        <v>2486962.5301634832</v>
      </c>
      <c r="H61" s="102"/>
      <c r="I61" s="128">
        <f>+'Daniel Comm-314'!P$9</f>
        <v>1998246.6338010149</v>
      </c>
      <c r="J61" s="102"/>
      <c r="K61" s="133">
        <f>+'Daniel Comm-314'!P$12</f>
        <v>1.4127377614904508E-2</v>
      </c>
      <c r="L61" s="133"/>
      <c r="M61" s="133">
        <f>(1-'Daniel Comm-314'!P$4)/'Daniel Comm-314'!P$7</f>
        <v>1.9599743896626401E-2</v>
      </c>
    </row>
    <row r="62" spans="1:13" ht="15.75">
      <c r="A62" s="69" t="s">
        <v>134</v>
      </c>
      <c r="B62" s="69">
        <v>315</v>
      </c>
      <c r="C62" s="82" t="s">
        <v>158</v>
      </c>
      <c r="D62" s="82"/>
      <c r="E62" s="111">
        <f>+'Daniel Comm-315'!L$21</f>
        <v>17552673.007404462</v>
      </c>
      <c r="F62" s="111"/>
      <c r="G62" s="111">
        <f>+'Daniel Comm-315'!R$21</f>
        <v>1358605.0077261606</v>
      </c>
      <c r="H62" s="102"/>
      <c r="I62" s="128">
        <f>+'Daniel Comm-315'!P$9</f>
        <v>1648653.3345099192</v>
      </c>
      <c r="J62" s="102"/>
      <c r="K62" s="133">
        <f>+'Daniel Comm-315'!P$12</f>
        <v>3.3726638677333873E-2</v>
      </c>
      <c r="L62" s="133"/>
      <c r="M62" s="133">
        <f>(1-'Daniel Comm-315'!P$4)/'Daniel Comm-315'!P$7</f>
        <v>3.3131194952001342E-2</v>
      </c>
    </row>
    <row r="63" spans="1:13" ht="15.75">
      <c r="A63" s="69" t="s">
        <v>134</v>
      </c>
      <c r="B63" s="69">
        <v>316</v>
      </c>
      <c r="C63" s="82" t="s">
        <v>179</v>
      </c>
      <c r="D63" s="82"/>
      <c r="E63" s="111">
        <f>+'Daniel Comm-316'!L$21</f>
        <v>4684485.6039167261</v>
      </c>
      <c r="F63" s="111"/>
      <c r="G63" s="111">
        <f>+'Daniel Comm-316'!R$21</f>
        <v>1566417.3680947551</v>
      </c>
      <c r="H63" s="102"/>
      <c r="I63" s="128">
        <f>+'Daniel Comm-316'!P$9</f>
        <v>1752428.6704308046</v>
      </c>
      <c r="J63" s="102"/>
      <c r="K63" s="133">
        <f>+'Daniel Comm-316'!P$12</f>
        <v>2.4344303533103715E-2</v>
      </c>
      <c r="L63" s="133"/>
      <c r="M63" s="133">
        <f>(1-'Daniel Comm-316'!P$4)/'Daniel Comm-316'!P$7</f>
        <v>2.2907208884619324E-2</v>
      </c>
    </row>
    <row r="64" spans="1:13" ht="15.75">
      <c r="A64" s="82"/>
      <c r="B64" s="69"/>
      <c r="C64" s="82" t="s">
        <v>212</v>
      </c>
      <c r="D64" s="113"/>
      <c r="E64" s="88">
        <f>SUM(E47:E63)</f>
        <v>645441968.72679532</v>
      </c>
      <c r="F64" s="88"/>
      <c r="G64" s="88">
        <f>SUM(G47:G63)</f>
        <v>166455161.70103157</v>
      </c>
      <c r="H64" s="87"/>
      <c r="I64" s="88">
        <f>SUM(I47:I63)</f>
        <v>194874692.71887702</v>
      </c>
      <c r="J64" s="87"/>
      <c r="K64" s="132">
        <f>Comparison!F13</f>
        <v>0.03</v>
      </c>
      <c r="L64" s="132"/>
      <c r="M64" s="132">
        <f>ROUND((E47*M47+E48*M48+E49*M49+E50*M50+E51*M51+E53*M53+E54*M54+E55*M55+E56*M56+E57*M57+E59*M59+E60*M60+E61*M61+E62*M62+E63*M63)/E64,3)</f>
        <v>2.9000000000000001E-2</v>
      </c>
    </row>
    <row r="65" spans="1:13" ht="15.75">
      <c r="A65" s="82"/>
      <c r="B65" s="69"/>
      <c r="C65" s="82"/>
      <c r="D65" s="82"/>
      <c r="E65" s="111"/>
      <c r="F65" s="111"/>
      <c r="G65" s="111"/>
      <c r="H65" s="102"/>
      <c r="I65" s="102"/>
      <c r="J65" s="102"/>
      <c r="K65" s="110"/>
      <c r="L65" s="102"/>
      <c r="M65" s="112"/>
    </row>
    <row r="66" spans="1:13" ht="15.75">
      <c r="A66" s="109" t="s">
        <v>183</v>
      </c>
      <c r="B66" s="69"/>
      <c r="C66" s="82"/>
      <c r="D66" s="82"/>
      <c r="E66" s="111"/>
      <c r="F66" s="111"/>
      <c r="G66" s="111"/>
      <c r="H66" s="102"/>
      <c r="I66" s="102"/>
      <c r="J66" s="102"/>
      <c r="K66" s="110"/>
      <c r="L66" s="102"/>
      <c r="M66" s="112"/>
    </row>
    <row r="67" spans="1:13" ht="15.75">
      <c r="A67" s="82"/>
      <c r="B67" s="69">
        <v>311</v>
      </c>
      <c r="C67" s="82" t="s">
        <v>178</v>
      </c>
      <c r="D67" s="82"/>
      <c r="E67" s="111">
        <f>+'Scherer-311'!L21</f>
        <v>37765760.642789222</v>
      </c>
      <c r="F67" s="111"/>
      <c r="G67" s="111">
        <f>+'Scherer-311'!$R$21</f>
        <v>21648703.458702374</v>
      </c>
      <c r="H67" s="102"/>
      <c r="I67" s="111">
        <f>+'Scherer-311'!P9</f>
        <v>15891903.762370808</v>
      </c>
      <c r="J67" s="102"/>
      <c r="K67" s="133">
        <f>+'Scherer-311'!$P$12</f>
        <v>1.249890319178474E-2</v>
      </c>
      <c r="L67" s="133"/>
      <c r="M67" s="133">
        <f>(1-'Scherer-311'!P$4)/'Scherer-311'!P$7</f>
        <v>1.6894318178341292E-2</v>
      </c>
    </row>
    <row r="68" spans="1:13" ht="15.75">
      <c r="A68" s="82"/>
      <c r="B68" s="69">
        <v>312</v>
      </c>
      <c r="C68" s="82" t="s">
        <v>176</v>
      </c>
      <c r="D68" s="82"/>
      <c r="E68" s="111">
        <f>+'Scherer-312'!L21</f>
        <v>282887489.52399993</v>
      </c>
      <c r="F68" s="111"/>
      <c r="G68" s="111">
        <f>+'Scherer-312'!$R$21</f>
        <v>79700704.026006654</v>
      </c>
      <c r="H68" s="102"/>
      <c r="I68" s="111">
        <f>+'Scherer-312'!P9</f>
        <v>90698963.267652735</v>
      </c>
      <c r="J68" s="102"/>
      <c r="K68" s="133">
        <f>+'Scherer-312'!$P$12</f>
        <v>2.4849253352442997E-2</v>
      </c>
      <c r="L68" s="133"/>
      <c r="M68" s="133">
        <f>(1-'Scherer-312'!P$4)/'Scherer-312'!P$7</f>
        <v>2.3617376888531286E-2</v>
      </c>
    </row>
    <row r="69" spans="1:13" ht="15.75">
      <c r="A69" s="82"/>
      <c r="B69" s="69">
        <v>314</v>
      </c>
      <c r="C69" s="82" t="s">
        <v>177</v>
      </c>
      <c r="D69" s="82"/>
      <c r="E69" s="111">
        <f>+'Scherer-314'!L21</f>
        <v>38601239.89121078</v>
      </c>
      <c r="F69" s="111"/>
      <c r="G69" s="111">
        <f>+'Scherer-314'!$R$21</f>
        <v>23275983.437504284</v>
      </c>
      <c r="H69" s="102"/>
      <c r="I69" s="111">
        <f>+'Scherer-314'!P9</f>
        <v>20051877.172126789</v>
      </c>
      <c r="J69" s="102"/>
      <c r="K69" s="133">
        <f>+'Scherer-314'!$P$12</f>
        <v>1.6337249112492101E-2</v>
      </c>
      <c r="L69" s="133"/>
      <c r="M69" s="133">
        <f>(1-'Scherer-314'!P$4)/'Scherer-314'!P$7</f>
        <v>1.9137093303821212E-2</v>
      </c>
    </row>
    <row r="70" spans="1:13" ht="15.75">
      <c r="A70" s="82"/>
      <c r="B70" s="69">
        <v>315</v>
      </c>
      <c r="C70" s="82" t="s">
        <v>158</v>
      </c>
      <c r="D70" s="82"/>
      <c r="E70" s="111">
        <f>+'Scherer-315'!L21</f>
        <v>16036614.420999998</v>
      </c>
      <c r="F70" s="111"/>
      <c r="G70" s="111">
        <f>+'Scherer-315'!$R$21</f>
        <v>6121132.8348016683</v>
      </c>
      <c r="H70" s="102"/>
      <c r="I70" s="111">
        <f>+'Scherer-315'!P9</f>
        <v>5792692.2196043227</v>
      </c>
      <c r="J70" s="102"/>
      <c r="K70" s="133">
        <f>+'Scherer-315'!$P$12</f>
        <v>1.9349358523516057E-2</v>
      </c>
      <c r="L70" s="133"/>
      <c r="M70" s="133">
        <f>(1-'Scherer-315'!P$4)/'Scherer-315'!P$7</f>
        <v>1.9974036282546164E-2</v>
      </c>
    </row>
    <row r="71" spans="1:13" ht="15.75">
      <c r="A71" s="82"/>
      <c r="B71" s="69">
        <v>316</v>
      </c>
      <c r="C71" s="82" t="s">
        <v>179</v>
      </c>
      <c r="D71" s="82"/>
      <c r="E71" s="111">
        <f>+'Scherer-316'!L21</f>
        <v>5908515.7510000058</v>
      </c>
      <c r="F71" s="111"/>
      <c r="G71" s="111">
        <f>+'Scherer-316'!$R$21</f>
        <v>3485686.6514016655</v>
      </c>
      <c r="H71" s="102"/>
      <c r="I71" s="111">
        <f>+'Scherer-316'!P9</f>
        <v>2691870.0785696073</v>
      </c>
      <c r="J71" s="102"/>
      <c r="K71" s="133">
        <f>+'Scherer-316'!$P$12</f>
        <v>1.2831876120582826E-2</v>
      </c>
      <c r="L71" s="133"/>
      <c r="M71" s="133">
        <f>(1-'Scherer-316'!P$4)/'Scherer-316'!P$7</f>
        <v>1.6951150171092676E-2</v>
      </c>
    </row>
    <row r="72" spans="1:13" ht="15.75">
      <c r="A72" s="109"/>
      <c r="B72" s="69"/>
      <c r="C72" s="82" t="s">
        <v>214</v>
      </c>
      <c r="D72" s="82"/>
      <c r="E72" s="88">
        <f>SUM(E67:E71)</f>
        <v>381199620.22999996</v>
      </c>
      <c r="F72" s="88"/>
      <c r="G72" s="88">
        <f>SUM(G67:G71)</f>
        <v>134232210.40841666</v>
      </c>
      <c r="H72" s="87"/>
      <c r="I72" s="88">
        <f>SUM(I67:I71)</f>
        <v>135127306.50032428</v>
      </c>
      <c r="J72" s="87"/>
      <c r="K72" s="132">
        <f>Comparison!F15</f>
        <v>2.1999999999999999E-2</v>
      </c>
      <c r="L72" s="132"/>
      <c r="M72" s="132">
        <f>ROUND((E67*M67+E68*M68+E69*M69+E70*M70+E71*M71)/E72,3)</f>
        <v>2.1999999999999999E-2</v>
      </c>
    </row>
    <row r="73" spans="1:13" ht="15.75">
      <c r="A73" s="109"/>
      <c r="B73" s="69"/>
      <c r="C73" s="82"/>
      <c r="D73" s="82"/>
      <c r="E73" s="102"/>
      <c r="F73" s="102"/>
      <c r="G73" s="102"/>
      <c r="H73" s="102"/>
      <c r="I73" s="102"/>
      <c r="J73" s="102"/>
      <c r="K73" s="110"/>
      <c r="L73" s="102"/>
      <c r="M73" s="112"/>
    </row>
    <row r="74" spans="1:13" ht="15.75">
      <c r="A74" s="109" t="s">
        <v>184</v>
      </c>
      <c r="B74" s="69"/>
      <c r="C74" s="82"/>
      <c r="D74" s="82"/>
      <c r="E74" s="102"/>
      <c r="F74" s="102"/>
      <c r="G74" s="102"/>
      <c r="H74" s="102"/>
      <c r="I74" s="102"/>
      <c r="J74" s="102"/>
      <c r="K74" s="110"/>
      <c r="L74" s="102"/>
      <c r="M74" s="112"/>
    </row>
    <row r="75" spans="1:13" ht="15.75">
      <c r="A75" s="82"/>
      <c r="B75" s="69">
        <v>311</v>
      </c>
      <c r="C75" s="82" t="s">
        <v>178</v>
      </c>
      <c r="D75" s="82"/>
      <c r="E75" s="111">
        <f>+'Scholz-311'!L$21</f>
        <v>4386828.4800000004</v>
      </c>
      <c r="F75" s="111"/>
      <c r="G75" s="111">
        <f>+'Scholz-311'!R$21</f>
        <v>4792336.1400000006</v>
      </c>
      <c r="H75" s="102"/>
      <c r="I75" s="111">
        <f>+'Scholz-311'!P9</f>
        <v>3952183.5121041113</v>
      </c>
      <c r="J75" s="102"/>
      <c r="K75" s="133">
        <v>0</v>
      </c>
      <c r="L75" s="133"/>
      <c r="M75" s="133">
        <f>(1-'Scholz-311'!P$4)/'Scholz-311'!P$7</f>
        <v>2.4953310041043279E-2</v>
      </c>
    </row>
    <row r="76" spans="1:13" ht="15.75">
      <c r="A76" s="82"/>
      <c r="B76" s="69">
        <v>312</v>
      </c>
      <c r="C76" s="82" t="s">
        <v>176</v>
      </c>
      <c r="D76" s="82"/>
      <c r="E76" s="111">
        <f>+'Scholz-312'!L$21</f>
        <v>1033192.75</v>
      </c>
      <c r="F76" s="111"/>
      <c r="G76" s="111">
        <f>+'Scholz-312'!R$21</f>
        <v>1415335.55</v>
      </c>
      <c r="H76" s="102"/>
      <c r="I76" s="111">
        <f>+'Scholz-312'!P9</f>
        <v>808144.27682471368</v>
      </c>
      <c r="J76" s="102"/>
      <c r="K76" s="133">
        <v>0</v>
      </c>
      <c r="L76" s="133"/>
      <c r="M76" s="133">
        <f>(1-'Scholz-312'!P$4)/'Scholz-312'!P$7</f>
        <v>6.3283530944952024E-2</v>
      </c>
    </row>
    <row r="77" spans="1:13" ht="15.75">
      <c r="A77" s="82"/>
      <c r="B77" s="69">
        <v>314</v>
      </c>
      <c r="C77" s="82" t="s">
        <v>177</v>
      </c>
      <c r="D77" s="82"/>
      <c r="E77" s="111">
        <f>+'Scholz-314'!L$21</f>
        <v>1377880.24</v>
      </c>
      <c r="F77" s="111"/>
      <c r="G77" s="111">
        <f>+'Scholz-314'!R$21</f>
        <v>2082312.21</v>
      </c>
      <c r="H77" s="102"/>
      <c r="I77" s="111">
        <f>+'Scholz-314'!P9</f>
        <v>1264978.42505185</v>
      </c>
      <c r="J77" s="102"/>
      <c r="K77" s="133">
        <v>0</v>
      </c>
      <c r="L77" s="133"/>
      <c r="M77" s="133">
        <f>(1-'Scholz-314'!P$4)/'Scholz-314'!P$7</f>
        <v>2.2458129522298136E-2</v>
      </c>
    </row>
    <row r="78" spans="1:13" ht="15.75">
      <c r="A78" s="82"/>
      <c r="B78" s="69">
        <v>315</v>
      </c>
      <c r="C78" s="82" t="s">
        <v>158</v>
      </c>
      <c r="D78" s="82"/>
      <c r="E78" s="111">
        <f>+'Scholz-315'!L$21</f>
        <v>1682894.6400000001</v>
      </c>
      <c r="F78" s="111"/>
      <c r="G78" s="111">
        <f>+'Scholz-315'!R$21</f>
        <v>2116319.44</v>
      </c>
      <c r="H78" s="102"/>
      <c r="I78" s="111">
        <f>+'Scholz-315'!P9</f>
        <v>1486568.6085561579</v>
      </c>
      <c r="J78" s="102"/>
      <c r="K78" s="133">
        <v>0</v>
      </c>
      <c r="L78" s="133"/>
      <c r="M78" s="133">
        <f>(1-'Scholz-315'!P$4)/'Scholz-315'!P$7</f>
        <v>2.9664542134461749E-2</v>
      </c>
    </row>
    <row r="79" spans="1:13" ht="15.75">
      <c r="A79" s="82"/>
      <c r="B79" s="69">
        <v>316</v>
      </c>
      <c r="C79" s="82" t="s">
        <v>179</v>
      </c>
      <c r="D79" s="82"/>
      <c r="E79" s="111">
        <f>+'Scholz-316'!L$21</f>
        <v>414408.02</v>
      </c>
      <c r="F79" s="111"/>
      <c r="G79" s="111">
        <f>+'Scholz-316'!R$21</f>
        <v>269610.23</v>
      </c>
      <c r="H79" s="102"/>
      <c r="I79" s="111">
        <f>+'Scholz-316'!P9</f>
        <v>336870.53905359883</v>
      </c>
      <c r="J79" s="102"/>
      <c r="K79" s="133">
        <v>0</v>
      </c>
      <c r="L79" s="133"/>
      <c r="M79" s="133">
        <f>(1-'Scholz-316'!P$4)/'Scholz-316'!P$7</f>
        <v>4.7312152698547869E-2</v>
      </c>
    </row>
    <row r="80" spans="1:13" ht="15.75">
      <c r="A80" s="82"/>
      <c r="B80" s="69"/>
      <c r="C80" s="82" t="s">
        <v>215</v>
      </c>
      <c r="D80" s="82"/>
      <c r="E80" s="88">
        <f>SUM(E75:E79)</f>
        <v>8895204.1300000008</v>
      </c>
      <c r="F80" s="88"/>
      <c r="G80" s="88">
        <f>SUM(G75:G79)</f>
        <v>10675913.57</v>
      </c>
      <c r="H80" s="87"/>
      <c r="I80" s="88">
        <f>SUM(I75:I79)</f>
        <v>7848745.361590432</v>
      </c>
      <c r="J80" s="87"/>
      <c r="K80" s="132">
        <f>Comparison!F16</f>
        <v>0</v>
      </c>
      <c r="L80" s="132"/>
      <c r="M80" s="132">
        <f>ROUND((E75*M75+E76*M76+E77*M77+E78*M78+E79*M79)/E80,3)</f>
        <v>3.1E-2</v>
      </c>
    </row>
    <row r="81" spans="1:13" ht="15.75">
      <c r="A81" s="82"/>
      <c r="B81" s="69"/>
      <c r="C81" s="82"/>
      <c r="D81" s="82"/>
      <c r="E81" s="102"/>
      <c r="F81" s="102"/>
      <c r="G81" s="102"/>
      <c r="H81" s="102"/>
      <c r="I81" s="102"/>
      <c r="J81" s="102"/>
      <c r="K81" s="110"/>
      <c r="L81" s="102"/>
      <c r="M81" s="102"/>
    </row>
    <row r="82" spans="1:13" ht="15.75">
      <c r="A82" s="82"/>
      <c r="B82" s="69"/>
      <c r="C82" s="82"/>
      <c r="D82" s="82"/>
      <c r="E82" s="102"/>
      <c r="F82" s="102"/>
      <c r="G82" s="102"/>
      <c r="H82" s="102"/>
      <c r="I82" s="102"/>
      <c r="J82" s="102"/>
      <c r="K82" s="110"/>
      <c r="L82" s="102"/>
      <c r="M82" s="102"/>
    </row>
    <row r="83" spans="1:13" ht="15.75">
      <c r="A83" s="82"/>
      <c r="B83" s="69"/>
      <c r="C83" s="82"/>
      <c r="D83" s="82"/>
      <c r="E83" s="102"/>
      <c r="F83" s="102"/>
      <c r="G83" s="102"/>
      <c r="H83" s="102"/>
      <c r="I83" s="102"/>
      <c r="J83" s="110"/>
      <c r="K83" s="102"/>
      <c r="L83" s="102"/>
      <c r="M83" s="102"/>
    </row>
    <row r="84" spans="1:13" ht="15.75">
      <c r="A84" s="82"/>
      <c r="B84" s="69"/>
      <c r="C84" s="82"/>
      <c r="D84" s="82"/>
      <c r="E84" s="102"/>
      <c r="F84" s="102"/>
      <c r="G84" s="102"/>
      <c r="H84" s="102"/>
      <c r="I84" s="102"/>
      <c r="J84" s="110"/>
      <c r="K84" s="102"/>
      <c r="L84" s="102"/>
      <c r="M84" s="102"/>
    </row>
    <row r="85" spans="1:13" ht="15.75">
      <c r="A85" s="82"/>
      <c r="B85" s="69"/>
      <c r="C85" s="82"/>
      <c r="D85" s="82"/>
      <c r="E85" s="102"/>
      <c r="F85" s="102"/>
      <c r="G85" s="102"/>
      <c r="H85" s="102"/>
      <c r="I85" s="102"/>
      <c r="J85" s="102"/>
      <c r="K85" s="102"/>
      <c r="L85" s="102"/>
      <c r="M85" s="102"/>
    </row>
    <row r="86" spans="1:13" ht="15.75">
      <c r="A86" s="82"/>
      <c r="B86" s="69"/>
      <c r="C86" s="82"/>
      <c r="D86" s="82"/>
      <c r="E86" s="102"/>
      <c r="F86" s="102"/>
      <c r="G86" s="102"/>
      <c r="H86" s="102"/>
      <c r="I86" s="102"/>
      <c r="J86" s="102"/>
      <c r="K86" s="102"/>
      <c r="L86" s="102"/>
      <c r="M86" s="102"/>
    </row>
    <row r="87" spans="1:13" ht="15.75">
      <c r="A87" s="82"/>
      <c r="B87" s="69"/>
      <c r="C87" s="82"/>
      <c r="D87" s="82"/>
      <c r="E87" s="102"/>
      <c r="F87" s="102"/>
      <c r="G87" s="102"/>
      <c r="H87" s="102"/>
      <c r="I87" s="102"/>
      <c r="J87" s="102"/>
      <c r="K87" s="102"/>
      <c r="L87" s="102"/>
      <c r="M87" s="102"/>
    </row>
    <row r="88" spans="1:13" ht="15.75">
      <c r="A88" s="82"/>
      <c r="B88" s="69"/>
      <c r="C88" s="82"/>
      <c r="D88" s="82"/>
      <c r="E88" s="102"/>
      <c r="F88" s="102"/>
      <c r="G88" s="102"/>
      <c r="H88" s="102"/>
      <c r="I88" s="102"/>
      <c r="J88" s="102"/>
      <c r="K88" s="102"/>
      <c r="L88" s="102"/>
      <c r="M88" s="102"/>
    </row>
    <row r="89" spans="1:13" ht="15.75">
      <c r="A89" s="82"/>
      <c r="B89" s="69"/>
      <c r="C89" s="82"/>
      <c r="D89" s="82"/>
      <c r="E89" s="102"/>
      <c r="F89" s="102"/>
      <c r="G89" s="102"/>
      <c r="H89" s="102"/>
      <c r="I89" s="102"/>
      <c r="J89" s="102"/>
      <c r="K89" s="102"/>
      <c r="L89" s="102"/>
      <c r="M89" s="102"/>
    </row>
    <row r="90" spans="1:13" ht="15.75">
      <c r="A90" s="82"/>
      <c r="B90" s="69"/>
      <c r="C90" s="82"/>
      <c r="D90" s="82"/>
      <c r="E90" s="102"/>
      <c r="F90" s="102"/>
      <c r="G90" s="102"/>
      <c r="H90" s="102"/>
      <c r="I90" s="102"/>
      <c r="J90" s="102"/>
      <c r="K90" s="102"/>
      <c r="L90" s="102"/>
      <c r="M90" s="102"/>
    </row>
    <row r="91" spans="1:13" ht="15.75">
      <c r="A91" s="82"/>
      <c r="B91" s="69"/>
      <c r="C91" s="82"/>
      <c r="D91" s="82"/>
      <c r="E91" s="102"/>
      <c r="F91" s="102"/>
      <c r="G91" s="102"/>
      <c r="H91" s="102"/>
      <c r="I91" s="102"/>
      <c r="J91" s="102"/>
      <c r="K91" s="102"/>
      <c r="L91" s="102"/>
      <c r="M91" s="102"/>
    </row>
    <row r="92" spans="1:13" ht="15.75">
      <c r="A92" s="82"/>
      <c r="B92" s="69"/>
      <c r="C92" s="82"/>
      <c r="D92" s="82"/>
      <c r="E92" s="102"/>
      <c r="F92" s="102"/>
      <c r="G92" s="102"/>
      <c r="H92" s="102"/>
      <c r="I92" s="102"/>
      <c r="J92" s="102"/>
      <c r="K92" s="102"/>
      <c r="L92" s="102"/>
      <c r="M92" s="102"/>
    </row>
    <row r="93" spans="1:13" ht="15.75">
      <c r="A93" s="82"/>
      <c r="B93" s="69"/>
      <c r="C93" s="82"/>
      <c r="D93" s="82"/>
      <c r="E93" s="102"/>
      <c r="F93" s="102"/>
      <c r="G93" s="102"/>
      <c r="H93" s="102"/>
      <c r="I93" s="102"/>
      <c r="J93" s="102"/>
      <c r="K93" s="102"/>
      <c r="L93" s="102"/>
      <c r="M93" s="102"/>
    </row>
    <row r="94" spans="1:13" ht="15.75">
      <c r="A94" s="82"/>
      <c r="B94" s="69"/>
      <c r="C94" s="82"/>
      <c r="D94" s="82"/>
      <c r="E94" s="102"/>
      <c r="F94" s="102"/>
      <c r="G94" s="102"/>
      <c r="H94" s="102"/>
      <c r="I94" s="102"/>
      <c r="J94" s="102"/>
      <c r="K94" s="102"/>
      <c r="L94" s="102"/>
      <c r="M94" s="102"/>
    </row>
    <row r="95" spans="1:13">
      <c r="B95" s="34"/>
      <c r="E95" s="65"/>
      <c r="F95" s="65"/>
      <c r="G95" s="65"/>
      <c r="H95" s="65"/>
      <c r="I95" s="65"/>
      <c r="J95" s="65"/>
      <c r="K95" s="65"/>
      <c r="L95" s="65"/>
      <c r="M95" s="65"/>
    </row>
  </sheetData>
  <mergeCells count="4">
    <mergeCell ref="A1:M1"/>
    <mergeCell ref="A3:M3"/>
    <mergeCell ref="A4:M4"/>
    <mergeCell ref="A5:M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139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(D35+H35)/(B35+F35)</f>
        <v>-2.4961103914100904E-2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'!$J$139</f>
        <v>9.7390032138176093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N35/(L21+J35)</f>
        <v>9.4960352186482027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19.235038432465814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0.15073915291942638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6900724.2118898649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(L21+J35-D35-H35-R21)/N35</f>
        <v>9.2061784825511986E-2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1.2976893184663653E-3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9.0764095507045617E-2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Unit(Fcst)'!D16</f>
        <v>13297372.524311669</v>
      </c>
      <c r="M21" s="40"/>
      <c r="N21" s="40"/>
      <c r="O21" s="40"/>
      <c r="P21" s="40"/>
      <c r="Q21" s="40"/>
      <c r="R21" s="40">
        <f>'2016 YE Reserve by Unit(Fcst)'!D15</f>
        <v>2004434.6703687955</v>
      </c>
    </row>
    <row r="22" spans="1:18">
      <c r="A22" s="46">
        <v>2017</v>
      </c>
      <c r="B22" s="40">
        <f>+L21*P$10</f>
        <v>143611.62326256605</v>
      </c>
      <c r="C22" s="40"/>
      <c r="D22" s="40">
        <f>+B22*P$2</f>
        <v>-43083.486978769812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13153760.901049104</v>
      </c>
      <c r="M22" s="40"/>
      <c r="N22" s="40">
        <f>(L21+L22)/2</f>
        <v>13225566.712680386</v>
      </c>
      <c r="O22" s="40"/>
      <c r="P22" s="40">
        <f>N22*$P$12</f>
        <v>1217569.2768982355</v>
      </c>
      <c r="Q22" s="40"/>
      <c r="R22" s="40">
        <f>R21+P22-B22-F22+D22</f>
        <v>3035308.8370256955</v>
      </c>
    </row>
    <row r="23" spans="1:18">
      <c r="A23" s="46">
        <f>A22+1</f>
        <v>2018</v>
      </c>
      <c r="B23" s="40">
        <f t="shared" ref="B23:B29" si="0">+L22*P$10</f>
        <v>142060.61773133033</v>
      </c>
      <c r="C23" s="40"/>
      <c r="D23" s="40">
        <f t="shared" ref="D23:D31" si="1">+B23*P$2</f>
        <v>-42618.185319399097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31" si="2">L22+J23-B23-F23</f>
        <v>13011700.283317773</v>
      </c>
      <c r="M23" s="40"/>
      <c r="N23" s="40">
        <f t="shared" ref="N23:N30" si="3">(L22+L23)/2</f>
        <v>13082730.592183437</v>
      </c>
      <c r="O23" s="40"/>
      <c r="P23" s="40">
        <f t="shared" ref="P23:P31" si="4">N23*$P$12</f>
        <v>1204419.5287077345</v>
      </c>
      <c r="Q23" s="40"/>
      <c r="R23" s="40">
        <f t="shared" ref="R23:R31" si="5">R22+P23-B23-F23+D23</f>
        <v>4055049.5626827003</v>
      </c>
    </row>
    <row r="24" spans="1:18">
      <c r="A24" s="46">
        <f t="shared" ref="A24:A31" si="6">A23+1</f>
        <v>2019</v>
      </c>
      <c r="B24" s="40">
        <f t="shared" si="0"/>
        <v>140526.36305983196</v>
      </c>
      <c r="C24" s="40"/>
      <c r="D24" s="40">
        <f t="shared" si="1"/>
        <v>-42157.908917949586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12871173.920257941</v>
      </c>
      <c r="M24" s="40"/>
      <c r="N24" s="40">
        <f t="shared" si="3"/>
        <v>12941437.101787858</v>
      </c>
      <c r="O24" s="40"/>
      <c r="P24" s="40">
        <f t="shared" si="4"/>
        <v>1191411.7977976913</v>
      </c>
      <c r="Q24" s="40"/>
      <c r="R24" s="40">
        <f t="shared" si="5"/>
        <v>5063777.0885026101</v>
      </c>
    </row>
    <row r="25" spans="1:18">
      <c r="A25" s="46">
        <f t="shared" si="6"/>
        <v>2020</v>
      </c>
      <c r="B25" s="40">
        <f t="shared" si="0"/>
        <v>139008.67833878577</v>
      </c>
      <c r="C25" s="40"/>
      <c r="D25" s="40">
        <f t="shared" si="1"/>
        <v>-41702.603501635727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12732165.241919154</v>
      </c>
      <c r="M25" s="40"/>
      <c r="N25" s="40">
        <f t="shared" si="3"/>
        <v>12801669.581088547</v>
      </c>
      <c r="O25" s="40"/>
      <c r="P25" s="40">
        <f t="shared" si="4"/>
        <v>1178544.5503814761</v>
      </c>
      <c r="Q25" s="40"/>
      <c r="R25" s="40">
        <f t="shared" si="5"/>
        <v>6061610.3570436649</v>
      </c>
    </row>
    <row r="26" spans="1:18">
      <c r="A26" s="46">
        <f t="shared" si="6"/>
        <v>2021</v>
      </c>
      <c r="B26" s="40">
        <f t="shared" si="0"/>
        <v>137507.38461272686</v>
      </c>
      <c r="C26" s="40"/>
      <c r="D26" s="40">
        <f t="shared" si="1"/>
        <v>-41252.21538381806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12594657.857306428</v>
      </c>
      <c r="M26" s="40"/>
      <c r="N26" s="40">
        <f t="shared" si="3"/>
        <v>12663411.54961279</v>
      </c>
      <c r="O26" s="40"/>
      <c r="P26" s="40">
        <f t="shared" si="4"/>
        <v>1165816.269237356</v>
      </c>
      <c r="Q26" s="40"/>
      <c r="R26" s="40">
        <f t="shared" si="5"/>
        <v>7048667.0262844758</v>
      </c>
    </row>
    <row r="27" spans="1:18">
      <c r="A27" s="46">
        <f t="shared" si="6"/>
        <v>2022</v>
      </c>
      <c r="B27" s="40">
        <f t="shared" si="0"/>
        <v>136022.30485890943</v>
      </c>
      <c r="C27" s="40"/>
      <c r="D27" s="40">
        <f t="shared" si="1"/>
        <v>-40806.691457672823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12458635.552447518</v>
      </c>
      <c r="M27" s="40"/>
      <c r="N27" s="40">
        <f t="shared" si="3"/>
        <v>12526646.704876974</v>
      </c>
      <c r="O27" s="40"/>
      <c r="P27" s="40">
        <f t="shared" si="4"/>
        <v>1153225.4535295928</v>
      </c>
      <c r="Q27" s="40"/>
      <c r="R27" s="40">
        <f t="shared" si="5"/>
        <v>8025063.4834974864</v>
      </c>
    </row>
    <row r="28" spans="1:18">
      <c r="A28" s="46">
        <f t="shared" si="6"/>
        <v>2023</v>
      </c>
      <c r="B28" s="40">
        <f t="shared" si="0"/>
        <v>134553.26396643321</v>
      </c>
      <c r="C28" s="40"/>
      <c r="D28" s="40">
        <f t="shared" si="1"/>
        <v>-40365.97918992996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12324082.288481085</v>
      </c>
      <c r="M28" s="40"/>
      <c r="N28" s="40">
        <f t="shared" si="3"/>
        <v>12391358.920464301</v>
      </c>
      <c r="O28" s="40"/>
      <c r="P28" s="40">
        <f t="shared" si="4"/>
        <v>1140770.618631473</v>
      </c>
      <c r="Q28" s="40"/>
      <c r="R28" s="40">
        <f t="shared" si="5"/>
        <v>8990914.858972596</v>
      </c>
    </row>
    <row r="29" spans="1:18">
      <c r="A29" s="46">
        <f t="shared" si="6"/>
        <v>2024</v>
      </c>
      <c r="B29" s="40">
        <f t="shared" si="0"/>
        <v>133100.08871559572</v>
      </c>
      <c r="C29" s="40"/>
      <c r="D29" s="40">
        <f t="shared" si="1"/>
        <v>-39930.026614678711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12190982.199765489</v>
      </c>
      <c r="M29" s="40"/>
      <c r="N29" s="40">
        <f t="shared" si="3"/>
        <v>12257532.244123287</v>
      </c>
      <c r="O29" s="40"/>
      <c r="P29" s="40">
        <f t="shared" si="4"/>
        <v>1128450.2959502533</v>
      </c>
      <c r="Q29" s="40"/>
      <c r="R29" s="40">
        <f t="shared" si="5"/>
        <v>9946335.0395925734</v>
      </c>
    </row>
    <row r="30" spans="1:18">
      <c r="A30" s="46">
        <f t="shared" si="6"/>
        <v>2025</v>
      </c>
      <c r="B30" s="40">
        <v>0</v>
      </c>
      <c r="C30" s="40"/>
      <c r="D30" s="40">
        <f t="shared" si="1"/>
        <v>0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12190982.199765489</v>
      </c>
      <c r="M30" s="40"/>
      <c r="N30" s="40">
        <f t="shared" si="3"/>
        <v>12190982.199765489</v>
      </c>
      <c r="O30" s="40"/>
      <c r="P30" s="40">
        <f t="shared" si="4"/>
        <v>1122323.5800864571</v>
      </c>
      <c r="Q30" s="40"/>
      <c r="R30" s="40">
        <f t="shared" si="5"/>
        <v>11068658.61967903</v>
      </c>
    </row>
    <row r="31" spans="1:18">
      <c r="A31" s="46">
        <f t="shared" si="6"/>
        <v>2026</v>
      </c>
      <c r="B31" s="40">
        <v>0</v>
      </c>
      <c r="C31" s="40"/>
      <c r="D31" s="40">
        <f t="shared" si="1"/>
        <v>0</v>
      </c>
      <c r="E31" s="40"/>
      <c r="F31" s="40">
        <f>L30</f>
        <v>12190982.199765489</v>
      </c>
      <c r="G31" s="40"/>
      <c r="H31" s="40"/>
      <c r="I31" s="40"/>
      <c r="J31" s="40">
        <v>0</v>
      </c>
      <c r="K31" s="40"/>
      <c r="L31" s="40">
        <f t="shared" si="2"/>
        <v>0</v>
      </c>
      <c r="M31" s="40"/>
      <c r="N31" s="40">
        <f>+L30</f>
        <v>12190982.199765489</v>
      </c>
      <c r="O31" s="40"/>
      <c r="P31" s="40">
        <f t="shared" si="4"/>
        <v>1122323.5800864571</v>
      </c>
      <c r="Q31" s="40"/>
      <c r="R31" s="40">
        <f t="shared" si="5"/>
        <v>-1.862645149230957E-9</v>
      </c>
    </row>
    <row r="32" spans="1:18">
      <c r="A32" s="46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6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>
      <c r="A34" s="46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2" t="s">
        <v>38</v>
      </c>
      <c r="B35" s="38">
        <f>SUM(B22:B31)</f>
        <v>1106390.3245461795</v>
      </c>
      <c r="C35" s="38" t="s">
        <v>39</v>
      </c>
      <c r="D35" s="38">
        <f>SUM(D22:D31)</f>
        <v>-331917.09736385377</v>
      </c>
      <c r="E35" s="38">
        <v>0</v>
      </c>
      <c r="F35" s="38">
        <f>SUM(F22:F31)</f>
        <v>12190982.199765489</v>
      </c>
      <c r="G35" s="38" t="s">
        <v>39</v>
      </c>
      <c r="H35" s="38">
        <f>SUM(H22:H31)</f>
        <v>0</v>
      </c>
      <c r="I35" s="38">
        <v>0</v>
      </c>
      <c r="J35" s="38">
        <f>SUM(J22:J31)</f>
        <v>0</v>
      </c>
      <c r="K35" s="40"/>
      <c r="L35" s="40"/>
      <c r="M35" s="40"/>
      <c r="N35" s="38">
        <f>SUM(N22:N31)</f>
        <v>126272317.80634856</v>
      </c>
      <c r="O35" s="40"/>
      <c r="P35" s="38">
        <f>SUM(P22:P31)</f>
        <v>11624854.951306725</v>
      </c>
      <c r="Q35" s="40"/>
      <c r="R35" s="4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P10" sqref="P10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IRC!$D$7</f>
        <v>-0.1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139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(D35+H35)/(B35+F35)</f>
        <v>-4.1621762112202827E-3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'!$J$161</f>
        <v>16.093062664920282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N35/(L21+J35)</f>
        <v>9.7491082573992696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25.842170922319553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0.4861965897359703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2593325.9339734102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IRR!D6</f>
        <v>5.3E-3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(L21+J35-D35-H35-R21)/N35</f>
        <v>5.3129534804594078E-2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1.6106139935888528E-4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5.2968473405235195E-2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Unit(Fcst)'!D17</f>
        <v>4147090.7264402411</v>
      </c>
      <c r="M21" s="40"/>
      <c r="N21" s="40"/>
      <c r="O21" s="40"/>
      <c r="P21" s="40"/>
      <c r="Q21" s="40"/>
      <c r="R21" s="40">
        <f>'2016 YE Reserve by Unit(Fcst)'!D16</f>
        <v>2016301.3685209129</v>
      </c>
    </row>
    <row r="22" spans="1:18">
      <c r="A22" s="46">
        <v>2017</v>
      </c>
      <c r="B22" s="40">
        <f>+L21*P$10</f>
        <v>21979.580850133279</v>
      </c>
      <c r="C22" s="40"/>
      <c r="D22" s="40">
        <f>+B22*P$2</f>
        <v>-2197.9580850133279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4125111.1455901079</v>
      </c>
      <c r="M22" s="40"/>
      <c r="N22" s="40">
        <f>(L21+L22)/2</f>
        <v>4136100.9360151747</v>
      </c>
      <c r="O22" s="40"/>
      <c r="P22" s="40">
        <f>N22*$P$12</f>
        <v>219749.11863533236</v>
      </c>
      <c r="Q22" s="40"/>
      <c r="R22" s="40">
        <f>R21+P22-B22-F22+D22</f>
        <v>2211872.9482210986</v>
      </c>
    </row>
    <row r="23" spans="1:18">
      <c r="A23" s="46">
        <f>A22+1</f>
        <v>2018</v>
      </c>
      <c r="B23" s="40">
        <f t="shared" ref="B23:B29" si="0">+L22*P$10</f>
        <v>21863.089071627572</v>
      </c>
      <c r="C23" s="40"/>
      <c r="D23" s="40">
        <f t="shared" ref="D23:D31" si="1">+B23*P$2</f>
        <v>-2186.3089071627574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31" si="2">L22+J23-B23-F23</f>
        <v>4103248.0565184802</v>
      </c>
      <c r="M23" s="40"/>
      <c r="N23" s="40">
        <f t="shared" ref="N23:N30" si="3">(L22+L23)/2</f>
        <v>4114179.601054294</v>
      </c>
      <c r="O23" s="40"/>
      <c r="P23" s="40">
        <f t="shared" ref="P23:P31" si="4">N23*$P$12</f>
        <v>218584.44830656509</v>
      </c>
      <c r="Q23" s="40"/>
      <c r="R23" s="40">
        <f t="shared" ref="R23:R31" si="5">R22+P23-B23-F23+D23</f>
        <v>2406407.9985488732</v>
      </c>
    </row>
    <row r="24" spans="1:18">
      <c r="A24" s="46">
        <f t="shared" ref="A24:A31" si="6">A23+1</f>
        <v>2019</v>
      </c>
      <c r="B24" s="40">
        <f t="shared" si="0"/>
        <v>21747.214699547945</v>
      </c>
      <c r="C24" s="40"/>
      <c r="D24" s="40">
        <f t="shared" si="1"/>
        <v>-2174.7214699547944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4081500.8418189324</v>
      </c>
      <c r="M24" s="40"/>
      <c r="N24" s="40">
        <f t="shared" si="3"/>
        <v>4092374.4491687063</v>
      </c>
      <c r="O24" s="40"/>
      <c r="P24" s="40">
        <f t="shared" si="4"/>
        <v>217425.95073054029</v>
      </c>
      <c r="Q24" s="40"/>
      <c r="R24" s="40">
        <f t="shared" si="5"/>
        <v>2599912.0131099112</v>
      </c>
    </row>
    <row r="25" spans="1:18">
      <c r="A25" s="46">
        <f t="shared" si="6"/>
        <v>2020</v>
      </c>
      <c r="B25" s="40">
        <f t="shared" si="0"/>
        <v>21631.954461640344</v>
      </c>
      <c r="C25" s="40"/>
      <c r="D25" s="40">
        <f t="shared" si="1"/>
        <v>-2163.1954461640344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4059868.8873572922</v>
      </c>
      <c r="M25" s="40"/>
      <c r="N25" s="40">
        <f t="shared" si="3"/>
        <v>4070684.8645881126</v>
      </c>
      <c r="O25" s="40"/>
      <c r="P25" s="40">
        <f t="shared" si="4"/>
        <v>216273.59319166845</v>
      </c>
      <c r="Q25" s="40"/>
      <c r="R25" s="40">
        <f t="shared" si="5"/>
        <v>2792390.4563937755</v>
      </c>
    </row>
    <row r="26" spans="1:18">
      <c r="A26" s="46">
        <f t="shared" si="6"/>
        <v>2021</v>
      </c>
      <c r="B26" s="40">
        <f t="shared" si="0"/>
        <v>21517.305102993651</v>
      </c>
      <c r="C26" s="40"/>
      <c r="D26" s="40">
        <f t="shared" si="1"/>
        <v>-2151.7305102993651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4038351.5822542985</v>
      </c>
      <c r="M26" s="40"/>
      <c r="N26" s="40">
        <f t="shared" si="3"/>
        <v>4049110.2348057954</v>
      </c>
      <c r="O26" s="40"/>
      <c r="P26" s="40">
        <f t="shared" si="4"/>
        <v>215127.3431477526</v>
      </c>
      <c r="Q26" s="40"/>
      <c r="R26" s="40">
        <f t="shared" si="5"/>
        <v>2983848.763928235</v>
      </c>
    </row>
    <row r="27" spans="1:18">
      <c r="A27" s="46">
        <f t="shared" si="6"/>
        <v>2022</v>
      </c>
      <c r="B27" s="40">
        <f t="shared" si="0"/>
        <v>21403.263385947783</v>
      </c>
      <c r="C27" s="40"/>
      <c r="D27" s="40">
        <f t="shared" si="1"/>
        <v>-2140.3263385947785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4016948.3188683507</v>
      </c>
      <c r="M27" s="40"/>
      <c r="N27" s="40">
        <f t="shared" si="3"/>
        <v>4027649.9505613246</v>
      </c>
      <c r="O27" s="40"/>
      <c r="P27" s="40">
        <f t="shared" si="4"/>
        <v>213987.1682290695</v>
      </c>
      <c r="Q27" s="40"/>
      <c r="R27" s="40">
        <f t="shared" si="5"/>
        <v>3174292.342432762</v>
      </c>
    </row>
    <row r="28" spans="1:18">
      <c r="A28" s="46">
        <f t="shared" si="6"/>
        <v>2023</v>
      </c>
      <c r="B28" s="40">
        <f t="shared" si="0"/>
        <v>21289.826090002258</v>
      </c>
      <c r="C28" s="40"/>
      <c r="D28" s="40">
        <f t="shared" si="1"/>
        <v>-2128.9826090002257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3995658.4927783483</v>
      </c>
      <c r="M28" s="40"/>
      <c r="N28" s="40">
        <f t="shared" si="3"/>
        <v>4006303.4058233495</v>
      </c>
      <c r="O28" s="40"/>
      <c r="P28" s="40">
        <f t="shared" si="4"/>
        <v>212853.03623745544</v>
      </c>
      <c r="Q28" s="40"/>
      <c r="R28" s="40">
        <f t="shared" si="5"/>
        <v>3363726.569971215</v>
      </c>
    </row>
    <row r="29" spans="1:18">
      <c r="A29" s="46">
        <f t="shared" si="6"/>
        <v>2024</v>
      </c>
      <c r="B29" s="40">
        <f t="shared" si="0"/>
        <v>21176.990011725247</v>
      </c>
      <c r="C29" s="40"/>
      <c r="D29" s="40">
        <f t="shared" si="1"/>
        <v>-2117.6990011725247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3974481.5027666232</v>
      </c>
      <c r="M29" s="40"/>
      <c r="N29" s="40">
        <f t="shared" si="3"/>
        <v>3985069.9977724859</v>
      </c>
      <c r="O29" s="40"/>
      <c r="P29" s="40">
        <f t="shared" si="4"/>
        <v>211724.91514539692</v>
      </c>
      <c r="Q29" s="40"/>
      <c r="R29" s="40">
        <f t="shared" si="5"/>
        <v>3552156.796103714</v>
      </c>
    </row>
    <row r="30" spans="1:18">
      <c r="A30" s="46">
        <f t="shared" si="6"/>
        <v>2025</v>
      </c>
      <c r="B30" s="40">
        <v>0</v>
      </c>
      <c r="C30" s="40"/>
      <c r="D30" s="40">
        <f t="shared" si="1"/>
        <v>0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3974481.5027666232</v>
      </c>
      <c r="M30" s="40"/>
      <c r="N30" s="40">
        <f t="shared" si="3"/>
        <v>3974481.5027666232</v>
      </c>
      <c r="O30" s="40"/>
      <c r="P30" s="40">
        <f t="shared" si="4"/>
        <v>211162.35333145468</v>
      </c>
      <c r="Q30" s="40"/>
      <c r="R30" s="40">
        <f t="shared" si="5"/>
        <v>3763319.1494351686</v>
      </c>
    </row>
    <row r="31" spans="1:18">
      <c r="A31" s="46">
        <f t="shared" si="6"/>
        <v>2026</v>
      </c>
      <c r="B31" s="40">
        <v>0</v>
      </c>
      <c r="C31" s="40"/>
      <c r="D31" s="40">
        <f t="shared" si="1"/>
        <v>0</v>
      </c>
      <c r="E31" s="40"/>
      <c r="F31" s="40">
        <f>L30</f>
        <v>3974481.5027666232</v>
      </c>
      <c r="G31" s="40"/>
      <c r="H31" s="40"/>
      <c r="I31" s="40"/>
      <c r="J31" s="40">
        <v>0</v>
      </c>
      <c r="K31" s="40"/>
      <c r="L31" s="40">
        <f t="shared" si="2"/>
        <v>0</v>
      </c>
      <c r="M31" s="40"/>
      <c r="N31" s="40">
        <f>+L30</f>
        <v>3974481.5027666232</v>
      </c>
      <c r="O31" s="40"/>
      <c r="P31" s="40">
        <f t="shared" si="4"/>
        <v>211162.35333145468</v>
      </c>
      <c r="Q31" s="40"/>
      <c r="R31" s="40">
        <f t="shared" si="5"/>
        <v>0</v>
      </c>
    </row>
    <row r="32" spans="1:18">
      <c r="A32" s="46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6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>
      <c r="A34" s="46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>
      <c r="A35" s="42" t="s">
        <v>38</v>
      </c>
      <c r="B35" s="38">
        <f>SUM(B22:B31)</f>
        <v>172609.22367361808</v>
      </c>
      <c r="C35" s="38" t="s">
        <v>39</v>
      </c>
      <c r="D35" s="38">
        <f>SUM(D22:D31)</f>
        <v>-17260.922367361811</v>
      </c>
      <c r="E35" s="38">
        <v>0</v>
      </c>
      <c r="F35" s="38">
        <f>SUM(F22:F31)</f>
        <v>3974481.5027666232</v>
      </c>
      <c r="G35" s="38" t="s">
        <v>39</v>
      </c>
      <c r="H35" s="38">
        <f>SUM(H22:H31)</f>
        <v>0</v>
      </c>
      <c r="I35" s="38">
        <v>0</v>
      </c>
      <c r="J35" s="38">
        <f>SUM(J22:J31)</f>
        <v>0</v>
      </c>
      <c r="K35" s="40"/>
      <c r="L35" s="40"/>
      <c r="M35" s="40"/>
      <c r="N35" s="38">
        <f>SUM(N22:N31)</f>
        <v>40430436.445322491</v>
      </c>
      <c r="O35" s="40"/>
      <c r="P35" s="38">
        <f>SUM(P22:P31)</f>
        <v>2148050.2802866898</v>
      </c>
      <c r="Q35" s="40"/>
      <c r="R35" s="4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IRC!$D$5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140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(D44+H44)/(B44+F44)</f>
        <v>-3.6038846759534067E-2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'!$J$200</f>
        <v>7.3576286092330472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N44/(L21+J44)</f>
        <v>17.716941503463463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25.074570112696509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0.13256134911927864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80665533.072577178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IRR!D4</f>
        <v>7.4999999999999997E-3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(L21+J44-D44-H44-R21)/N44</f>
        <v>5.0995116592987319E-2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1.4372667845374465E-3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4.9557849808449871E-2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Unit(Fcst)'!D18</f>
        <v>265342979.97746775</v>
      </c>
      <c r="M21" s="40"/>
      <c r="N21" s="40"/>
      <c r="O21" s="40"/>
      <c r="P21" s="40"/>
      <c r="Q21" s="40"/>
      <c r="R21" s="40">
        <f>'2016 YE Reserve by Unit(Fcst)'!D17</f>
        <v>35174223.405142866</v>
      </c>
    </row>
    <row r="22" spans="1:18">
      <c r="A22" s="46">
        <v>2017</v>
      </c>
      <c r="B22" s="40">
        <f>+L21*P$10</f>
        <v>1990072.3498310081</v>
      </c>
      <c r="C22" s="40"/>
      <c r="D22" s="40">
        <f>+B22*P$2</f>
        <v>-597021.70494930237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263352907.62763673</v>
      </c>
      <c r="M22" s="40"/>
      <c r="N22" s="40">
        <f>(L21+L22)/2</f>
        <v>264347943.80255222</v>
      </c>
      <c r="O22" s="40"/>
      <c r="P22" s="40">
        <f>N22*$P$12</f>
        <v>13480454.215327609</v>
      </c>
      <c r="Q22" s="40"/>
      <c r="R22" s="40">
        <f>R21+P22-B22-F22+D22</f>
        <v>46067583.565690167</v>
      </c>
    </row>
    <row r="23" spans="1:18">
      <c r="A23" s="46">
        <f>A22+1</f>
        <v>2018</v>
      </c>
      <c r="B23" s="40">
        <f t="shared" ref="B23:B38" si="0">+L22*P$10</f>
        <v>1975146.8072072754</v>
      </c>
      <c r="C23" s="40"/>
      <c r="D23" s="40">
        <f t="shared" ref="D23:D40" si="1">+B23*P$2</f>
        <v>-592544.04216218262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0" si="2">L22+J23-B23-F23</f>
        <v>261377760.82042944</v>
      </c>
      <c r="M23" s="40"/>
      <c r="N23" s="40">
        <f t="shared" ref="N23:N39" si="3">(L22+L23)/2</f>
        <v>262365334.22403309</v>
      </c>
      <c r="O23" s="40"/>
      <c r="P23" s="40">
        <f t="shared" ref="P23:P40" si="4">N23*$P$12</f>
        <v>13379350.808712654</v>
      </c>
      <c r="Q23" s="40"/>
      <c r="R23" s="40">
        <f t="shared" ref="R23:R40" si="5">R22+P23-B23-F23+D23</f>
        <v>56879243.525033362</v>
      </c>
    </row>
    <row r="24" spans="1:18">
      <c r="A24" s="46">
        <f t="shared" ref="A24:A40" si="6">A23+1</f>
        <v>2019</v>
      </c>
      <c r="B24" s="40">
        <f t="shared" si="0"/>
        <v>1960333.2061532207</v>
      </c>
      <c r="C24" s="40"/>
      <c r="D24" s="40">
        <f t="shared" si="1"/>
        <v>-588099.96184596617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259417427.61427623</v>
      </c>
      <c r="M24" s="40"/>
      <c r="N24" s="40">
        <f t="shared" si="3"/>
        <v>260397594.21735284</v>
      </c>
      <c r="O24" s="40"/>
      <c r="P24" s="40">
        <f t="shared" si="4"/>
        <v>13279005.677647308</v>
      </c>
      <c r="Q24" s="40"/>
      <c r="R24" s="40">
        <f t="shared" si="5"/>
        <v>67609816.034681499</v>
      </c>
    </row>
    <row r="25" spans="1:18">
      <c r="A25" s="46">
        <f t="shared" si="6"/>
        <v>2020</v>
      </c>
      <c r="B25" s="40">
        <f t="shared" si="0"/>
        <v>1945630.7071070718</v>
      </c>
      <c r="C25" s="40"/>
      <c r="D25" s="40">
        <f t="shared" si="1"/>
        <v>-583689.21213212155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257471796.90716916</v>
      </c>
      <c r="M25" s="40"/>
      <c r="N25" s="40">
        <f t="shared" si="3"/>
        <v>258444612.2607227</v>
      </c>
      <c r="O25" s="40"/>
      <c r="P25" s="40">
        <f t="shared" si="4"/>
        <v>13179413.135064954</v>
      </c>
      <c r="Q25" s="40"/>
      <c r="R25" s="40">
        <f t="shared" si="5"/>
        <v>78259909.250507265</v>
      </c>
    </row>
    <row r="26" spans="1:18">
      <c r="A26" s="46">
        <f t="shared" si="6"/>
        <v>2021</v>
      </c>
      <c r="B26" s="40">
        <f t="shared" si="0"/>
        <v>1931038.4768037687</v>
      </c>
      <c r="C26" s="40"/>
      <c r="D26" s="40">
        <f t="shared" si="1"/>
        <v>-579311.54304113053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255540758.43036538</v>
      </c>
      <c r="M26" s="40"/>
      <c r="N26" s="40">
        <f t="shared" si="3"/>
        <v>256506277.66876727</v>
      </c>
      <c r="O26" s="40"/>
      <c r="P26" s="40">
        <f t="shared" si="4"/>
        <v>13080567.536551967</v>
      </c>
      <c r="Q26" s="40"/>
      <c r="R26" s="40">
        <f t="shared" si="5"/>
        <v>88830126.767214343</v>
      </c>
    </row>
    <row r="27" spans="1:18">
      <c r="A27" s="46">
        <f t="shared" si="6"/>
        <v>2022</v>
      </c>
      <c r="B27" s="40">
        <f t="shared" si="0"/>
        <v>1916555.6882277403</v>
      </c>
      <c r="C27" s="40"/>
      <c r="D27" s="40">
        <f t="shared" si="1"/>
        <v>-574966.70646832208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253624202.74213764</v>
      </c>
      <c r="M27" s="40"/>
      <c r="N27" s="40">
        <f t="shared" si="3"/>
        <v>254582480.5862515</v>
      </c>
      <c r="O27" s="40"/>
      <c r="P27" s="40">
        <f t="shared" si="4"/>
        <v>12982463.280027825</v>
      </c>
      <c r="Q27" s="40"/>
      <c r="R27" s="40">
        <f t="shared" si="5"/>
        <v>99321067.652546093</v>
      </c>
    </row>
    <row r="28" spans="1:18">
      <c r="A28" s="46">
        <f t="shared" si="6"/>
        <v>2023</v>
      </c>
      <c r="B28" s="40">
        <f t="shared" si="0"/>
        <v>1902181.5205660323</v>
      </c>
      <c r="C28" s="40"/>
      <c r="D28" s="40">
        <f t="shared" si="1"/>
        <v>-570654.45616980968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251722021.22157159</v>
      </c>
      <c r="M28" s="40"/>
      <c r="N28" s="40">
        <f t="shared" si="3"/>
        <v>252673111.98185462</v>
      </c>
      <c r="O28" s="40"/>
      <c r="P28" s="40">
        <f t="shared" si="4"/>
        <v>12885094.805427616</v>
      </c>
      <c r="Q28" s="40"/>
      <c r="R28" s="40">
        <f t="shared" si="5"/>
        <v>109733326.48123786</v>
      </c>
    </row>
    <row r="29" spans="1:18">
      <c r="A29" s="46">
        <f t="shared" si="6"/>
        <v>2024</v>
      </c>
      <c r="B29" s="40">
        <f t="shared" si="0"/>
        <v>1887915.1591617868</v>
      </c>
      <c r="C29" s="40"/>
      <c r="D29" s="40">
        <f t="shared" si="1"/>
        <v>-566374.54774853599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249834106.06240982</v>
      </c>
      <c r="M29" s="40"/>
      <c r="N29" s="40">
        <f t="shared" si="3"/>
        <v>250778063.64199072</v>
      </c>
      <c r="O29" s="40"/>
      <c r="P29" s="40">
        <f t="shared" si="4"/>
        <v>12788456.594386911</v>
      </c>
      <c r="Q29" s="40"/>
      <c r="R29" s="40">
        <f t="shared" si="5"/>
        <v>120067493.36871444</v>
      </c>
    </row>
    <row r="30" spans="1:18">
      <c r="A30" s="46">
        <f t="shared" si="6"/>
        <v>2025</v>
      </c>
      <c r="B30" s="40">
        <f t="shared" si="0"/>
        <v>1873755.7954680736</v>
      </c>
      <c r="C30" s="40"/>
      <c r="D30" s="40">
        <f t="shared" si="1"/>
        <v>-562126.738640422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247960350.26694176</v>
      </c>
      <c r="M30" s="40"/>
      <c r="N30" s="40">
        <f t="shared" si="3"/>
        <v>248897228.16467577</v>
      </c>
      <c r="O30" s="40"/>
      <c r="P30" s="40">
        <f t="shared" si="4"/>
        <v>12692543.169929009</v>
      </c>
      <c r="Q30" s="40"/>
      <c r="R30" s="40">
        <f t="shared" si="5"/>
        <v>130324154.00453494</v>
      </c>
    </row>
    <row r="31" spans="1:18">
      <c r="A31" s="46">
        <f t="shared" si="6"/>
        <v>2026</v>
      </c>
      <c r="B31" s="40">
        <f t="shared" si="0"/>
        <v>1859702.6270020632</v>
      </c>
      <c r="C31" s="40"/>
      <c r="D31" s="40">
        <f t="shared" si="1"/>
        <v>-557910.78810061899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246100647.6399397</v>
      </c>
      <c r="M31" s="40"/>
      <c r="N31" s="40">
        <f t="shared" si="3"/>
        <v>247030498.95344073</v>
      </c>
      <c r="O31" s="40"/>
      <c r="P31" s="40">
        <f t="shared" si="4"/>
        <v>12597349.096154541</v>
      </c>
      <c r="Q31" s="40"/>
      <c r="R31" s="40">
        <f t="shared" si="5"/>
        <v>140503889.68558678</v>
      </c>
    </row>
    <row r="32" spans="1:18">
      <c r="A32" s="46">
        <f t="shared" si="6"/>
        <v>2027</v>
      </c>
      <c r="B32" s="40">
        <f t="shared" si="0"/>
        <v>1845754.8572995476</v>
      </c>
      <c r="C32" s="40"/>
      <c r="D32" s="40">
        <f t="shared" si="1"/>
        <v>-553726.45718986425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244254892.78264016</v>
      </c>
      <c r="M32" s="40"/>
      <c r="N32" s="40">
        <f t="shared" si="3"/>
        <v>245177770.21128994</v>
      </c>
      <c r="O32" s="40"/>
      <c r="P32" s="40">
        <f t="shared" si="4"/>
        <v>12502868.977933384</v>
      </c>
      <c r="Q32" s="40"/>
      <c r="R32" s="40">
        <f t="shared" si="5"/>
        <v>150607277.34903076</v>
      </c>
    </row>
    <row r="33" spans="1:18">
      <c r="A33" s="46">
        <f t="shared" si="6"/>
        <v>2028</v>
      </c>
      <c r="B33" s="40">
        <f t="shared" si="0"/>
        <v>1831911.6958698011</v>
      </c>
      <c r="C33" s="40"/>
      <c r="D33" s="40">
        <f t="shared" si="1"/>
        <v>-549573.50876094028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242422981.08677036</v>
      </c>
      <c r="M33" s="40"/>
      <c r="N33" s="40">
        <f t="shared" si="3"/>
        <v>243338936.93470526</v>
      </c>
      <c r="O33" s="40"/>
      <c r="P33" s="40">
        <f t="shared" si="4"/>
        <v>12409097.460598882</v>
      </c>
      <c r="Q33" s="40"/>
      <c r="R33" s="40">
        <f t="shared" si="5"/>
        <v>160634889.60499892</v>
      </c>
    </row>
    <row r="34" spans="1:18">
      <c r="A34" s="46">
        <f t="shared" si="6"/>
        <v>2029</v>
      </c>
      <c r="B34" s="40">
        <f t="shared" si="0"/>
        <v>1818172.3581507776</v>
      </c>
      <c r="C34" s="40"/>
      <c r="D34" s="40">
        <f t="shared" si="1"/>
        <v>-545451.70744523325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240604808.72861958</v>
      </c>
      <c r="M34" s="40"/>
      <c r="N34" s="40">
        <f t="shared" si="3"/>
        <v>241513894.90769497</v>
      </c>
      <c r="O34" s="40"/>
      <c r="P34" s="40">
        <f t="shared" si="4"/>
        <v>12316029.229644392</v>
      </c>
      <c r="Q34" s="40"/>
      <c r="R34" s="40">
        <f t="shared" si="5"/>
        <v>170587294.76904729</v>
      </c>
    </row>
    <row r="35" spans="1:18">
      <c r="A35" s="46">
        <f t="shared" si="6"/>
        <v>2030</v>
      </c>
      <c r="B35" s="40">
        <f t="shared" si="0"/>
        <v>1804536.0654646468</v>
      </c>
      <c r="C35" s="40"/>
      <c r="D35" s="40">
        <f t="shared" si="1"/>
        <v>-541360.81963939406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238800272.66315493</v>
      </c>
      <c r="M35" s="40"/>
      <c r="N35" s="40">
        <f t="shared" si="3"/>
        <v>239702540.69588727</v>
      </c>
      <c r="O35" s="40"/>
      <c r="P35" s="40">
        <f t="shared" si="4"/>
        <v>12223659.010422058</v>
      </c>
      <c r="Q35" s="40"/>
      <c r="R35" s="40">
        <f t="shared" si="5"/>
        <v>180465056.89436531</v>
      </c>
    </row>
    <row r="36" spans="1:18">
      <c r="A36" s="46">
        <f t="shared" si="6"/>
        <v>2031</v>
      </c>
      <c r="B36" s="40">
        <f t="shared" si="0"/>
        <v>1791002.0449736619</v>
      </c>
      <c r="C36" s="40"/>
      <c r="D36" s="40">
        <f t="shared" si="1"/>
        <v>-537300.61349209852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237009270.61818126</v>
      </c>
      <c r="M36" s="40"/>
      <c r="N36" s="40">
        <f t="shared" si="3"/>
        <v>237904771.64066809</v>
      </c>
      <c r="O36" s="40"/>
      <c r="P36" s="40">
        <f t="shared" si="4"/>
        <v>12131981.567843892</v>
      </c>
      <c r="Q36" s="40"/>
      <c r="R36" s="40">
        <f t="shared" si="5"/>
        <v>190268735.80374342</v>
      </c>
    </row>
    <row r="37" spans="1:18">
      <c r="A37" s="46">
        <f t="shared" si="6"/>
        <v>2032</v>
      </c>
      <c r="B37" s="40">
        <f t="shared" si="0"/>
        <v>1777569.5296363593</v>
      </c>
      <c r="C37" s="40"/>
      <c r="D37" s="40">
        <f t="shared" si="1"/>
        <v>-533270.85889090772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235231701.08854491</v>
      </c>
      <c r="M37" s="40"/>
      <c r="N37" s="40">
        <f t="shared" si="3"/>
        <v>236120485.8533631</v>
      </c>
      <c r="O37" s="40"/>
      <c r="P37" s="40">
        <f t="shared" si="4"/>
        <v>12040991.706085064</v>
      </c>
      <c r="Q37" s="40"/>
      <c r="R37" s="40">
        <f t="shared" si="5"/>
        <v>199998887.1213012</v>
      </c>
    </row>
    <row r="38" spans="1:18">
      <c r="A38" s="46">
        <f t="shared" si="6"/>
        <v>2033</v>
      </c>
      <c r="B38" s="40">
        <f t="shared" si="0"/>
        <v>1764237.7581640866</v>
      </c>
      <c r="C38" s="40"/>
      <c r="D38" s="40">
        <f t="shared" si="1"/>
        <v>-529271.32744922594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233467463.33038083</v>
      </c>
      <c r="M38" s="40"/>
      <c r="N38" s="40">
        <f t="shared" si="3"/>
        <v>234349582.20946288</v>
      </c>
      <c r="O38" s="40"/>
      <c r="P38" s="40">
        <f t="shared" si="4"/>
        <v>11950684.268289426</v>
      </c>
      <c r="Q38" s="40"/>
      <c r="R38" s="40">
        <f t="shared" si="5"/>
        <v>209656062.30397731</v>
      </c>
    </row>
    <row r="39" spans="1:18">
      <c r="A39" s="46">
        <f t="shared" si="6"/>
        <v>2034</v>
      </c>
      <c r="B39" s="40">
        <v>0</v>
      </c>
      <c r="C39" s="40"/>
      <c r="D39" s="40">
        <f t="shared" si="1"/>
        <v>0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233467463.33038083</v>
      </c>
      <c r="M39" s="40"/>
      <c r="N39" s="40">
        <f t="shared" si="3"/>
        <v>233467463.33038083</v>
      </c>
      <c r="O39" s="40"/>
      <c r="P39" s="40">
        <f t="shared" si="4"/>
        <v>11905700.513201762</v>
      </c>
      <c r="Q39" s="40"/>
      <c r="R39" s="40">
        <f t="shared" si="5"/>
        <v>221561762.81717908</v>
      </c>
    </row>
    <row r="40" spans="1:18">
      <c r="A40" s="46">
        <f t="shared" si="6"/>
        <v>2035</v>
      </c>
      <c r="B40" s="40">
        <v>0</v>
      </c>
      <c r="C40" s="40"/>
      <c r="D40" s="40">
        <f t="shared" si="1"/>
        <v>0</v>
      </c>
      <c r="E40" s="40"/>
      <c r="F40" s="40">
        <f>L39</f>
        <v>233467463.33038083</v>
      </c>
      <c r="G40" s="40"/>
      <c r="H40" s="40"/>
      <c r="I40" s="40"/>
      <c r="J40" s="40">
        <v>0</v>
      </c>
      <c r="K40" s="40"/>
      <c r="L40" s="40">
        <f t="shared" si="2"/>
        <v>0</v>
      </c>
      <c r="M40" s="40"/>
      <c r="N40" s="40">
        <f>+L39</f>
        <v>233467463.33038083</v>
      </c>
      <c r="O40" s="40"/>
      <c r="P40" s="40">
        <f t="shared" si="4"/>
        <v>11905700.513201762</v>
      </c>
      <c r="Q40" s="40"/>
      <c r="R40" s="40">
        <f t="shared" si="5"/>
        <v>2.9802322387695313E-8</v>
      </c>
    </row>
    <row r="41" spans="1:18">
      <c r="A41" s="46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6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6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>
      <c r="A44" s="42" t="s">
        <v>38</v>
      </c>
      <c r="B44" s="38">
        <f>SUM(B22:B40)</f>
        <v>31875516.647086918</v>
      </c>
      <c r="C44" s="38" t="s">
        <v>39</v>
      </c>
      <c r="D44" s="38">
        <f>SUM(D22:D40)</f>
        <v>-9562654.9941260759</v>
      </c>
      <c r="E44" s="38">
        <v>0</v>
      </c>
      <c r="F44" s="38">
        <f>SUM(F22:F40)</f>
        <v>233467463.33038083</v>
      </c>
      <c r="G44" s="38" t="s">
        <v>39</v>
      </c>
      <c r="H44" s="38">
        <f>SUM(H22:H40)</f>
        <v>0</v>
      </c>
      <c r="I44" s="38">
        <v>0</v>
      </c>
      <c r="J44" s="38">
        <f>SUM(J22:J40)</f>
        <v>0</v>
      </c>
      <c r="K44" s="40"/>
      <c r="L44" s="40"/>
      <c r="M44" s="40"/>
      <c r="N44" s="38">
        <f>SUM(N22:N40)</f>
        <v>4701066054.6154728</v>
      </c>
      <c r="O44" s="40"/>
      <c r="P44" s="38">
        <f>SUM(P22:P40)</f>
        <v>239731411.56645101</v>
      </c>
      <c r="Q44" s="40"/>
      <c r="R44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P2" sqref="P2"/>
    </sheetView>
  </sheetViews>
  <sheetFormatPr defaultRowHeight="15"/>
  <cols>
    <col min="1" max="1" width="11.28515625" style="35" bestFit="1" customWidth="1"/>
    <col min="2" max="2" width="15.28515625" style="35" customWidth="1"/>
    <col min="3" max="3" width="1.85546875" style="35" customWidth="1"/>
    <col min="4" max="4" width="12.28515625" style="35" customWidth="1"/>
    <col min="5" max="5" width="1.85546875" style="35" customWidth="1"/>
    <col min="6" max="6" width="14" style="35" bestFit="1" customWidth="1"/>
    <col min="7" max="7" width="1.85546875" style="35" customWidth="1"/>
    <col min="8" max="8" width="9.140625" style="35"/>
    <col min="9" max="9" width="1.85546875" style="35" customWidth="1"/>
    <col min="10" max="10" width="9.140625" style="35"/>
    <col min="11" max="11" width="1.85546875" style="35" customWidth="1"/>
    <col min="12" max="12" width="24.85546875" style="35" bestFit="1" customWidth="1"/>
    <col min="13" max="13" width="1.85546875" style="35" customWidth="1"/>
    <col min="14" max="14" width="15.7109375" style="35" bestFit="1" customWidth="1"/>
    <col min="15" max="15" width="1.85546875" style="35" customWidth="1"/>
    <col min="16" max="16" width="13.85546875" style="35" customWidth="1"/>
    <col min="17" max="17" width="1.85546875" style="35" customWidth="1"/>
    <col min="18" max="18" width="14" style="35" bestFit="1" customWidth="1"/>
    <col min="19" max="16384" width="9.140625" style="35"/>
  </cols>
  <sheetData>
    <row r="1" spans="1:18">
      <c r="A1" s="46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6"/>
      <c r="B2" s="45" t="s">
        <v>102</v>
      </c>
      <c r="C2" s="40"/>
      <c r="D2" s="40"/>
      <c r="E2" s="40"/>
      <c r="F2" s="40"/>
      <c r="G2" s="40"/>
      <c r="H2" s="40"/>
      <c r="I2" s="40"/>
      <c r="J2" s="40"/>
      <c r="K2" s="40"/>
      <c r="L2" s="45" t="s">
        <v>1</v>
      </c>
      <c r="M2" s="40"/>
      <c r="N2" s="40"/>
      <c r="O2" s="40"/>
      <c r="P2" s="47">
        <f>IRC!$D$6</f>
        <v>-0.3</v>
      </c>
      <c r="Q2" s="40"/>
      <c r="R2" s="40" t="s">
        <v>46</v>
      </c>
    </row>
    <row r="3" spans="1:18">
      <c r="A3" s="46"/>
      <c r="B3" s="45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5" t="s">
        <v>2</v>
      </c>
      <c r="M3" s="40"/>
      <c r="N3" s="40"/>
      <c r="O3" s="40"/>
      <c r="P3" s="47">
        <v>0</v>
      </c>
      <c r="Q3" s="40"/>
      <c r="R3" s="40" t="s">
        <v>48</v>
      </c>
    </row>
    <row r="4" spans="1:18">
      <c r="A4" s="46"/>
      <c r="B4" s="45" t="s">
        <v>140</v>
      </c>
      <c r="C4" s="40"/>
      <c r="D4" s="40"/>
      <c r="E4" s="40"/>
      <c r="F4" s="40"/>
      <c r="G4" s="40"/>
      <c r="H4" s="40"/>
      <c r="I4" s="40"/>
      <c r="J4" s="40"/>
      <c r="K4" s="40"/>
      <c r="L4" s="45" t="s">
        <v>3</v>
      </c>
      <c r="M4" s="40"/>
      <c r="N4" s="40"/>
      <c r="O4" s="40"/>
      <c r="P4" s="47">
        <f>(D44+H44)/(B44+F44)</f>
        <v>-5.0568622329798717E-2</v>
      </c>
      <c r="Q4" s="40"/>
      <c r="R4" s="40"/>
    </row>
    <row r="5" spans="1:18">
      <c r="A5" s="46"/>
      <c r="B5" s="40"/>
      <c r="C5" s="40"/>
      <c r="D5" s="40"/>
      <c r="E5" s="40"/>
      <c r="F5" s="40"/>
      <c r="G5" s="40"/>
      <c r="H5" s="40"/>
      <c r="I5" s="40"/>
      <c r="J5" s="40"/>
      <c r="K5" s="40"/>
      <c r="L5" s="45" t="s">
        <v>4</v>
      </c>
      <c r="M5" s="40"/>
      <c r="N5" s="40"/>
      <c r="O5" s="40"/>
      <c r="P5" s="43">
        <f>'Avg Age '!$J$227</f>
        <v>11.063765641378588</v>
      </c>
      <c r="Q5" s="40"/>
      <c r="R5" s="40" t="s">
        <v>98</v>
      </c>
    </row>
    <row r="6" spans="1:18">
      <c r="A6" s="46"/>
      <c r="B6" s="40"/>
      <c r="C6" s="40"/>
      <c r="D6" s="40"/>
      <c r="E6" s="40"/>
      <c r="F6" s="40"/>
      <c r="G6" s="40"/>
      <c r="H6" s="40"/>
      <c r="I6" s="40"/>
      <c r="J6" s="40"/>
      <c r="K6" s="40"/>
      <c r="L6" s="45" t="s">
        <v>5</v>
      </c>
      <c r="M6" s="40"/>
      <c r="N6" s="40"/>
      <c r="O6" s="40"/>
      <c r="P6" s="43">
        <f>N44/(L21+J44)</f>
        <v>17.186194298424123</v>
      </c>
      <c r="Q6" s="40"/>
      <c r="R6" s="40"/>
    </row>
    <row r="7" spans="1:18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5" t="s">
        <v>6</v>
      </c>
      <c r="M7" s="40"/>
      <c r="N7" s="40"/>
      <c r="O7" s="40"/>
      <c r="P7" s="43">
        <f>+P5+P6</f>
        <v>28.249959939802711</v>
      </c>
      <c r="Q7" s="40"/>
      <c r="R7" s="40"/>
    </row>
    <row r="8" spans="1:18">
      <c r="A8" s="46"/>
      <c r="B8" s="40"/>
      <c r="C8" s="40"/>
      <c r="D8" s="40"/>
      <c r="E8" s="40"/>
      <c r="F8" s="40"/>
      <c r="G8" s="40"/>
      <c r="H8" s="40"/>
      <c r="I8" s="40"/>
      <c r="J8" s="40"/>
      <c r="K8" s="40"/>
      <c r="L8" s="45" t="s">
        <v>7</v>
      </c>
      <c r="M8" s="40"/>
      <c r="N8" s="40"/>
      <c r="O8" s="40"/>
      <c r="P8" s="47">
        <f>+R21/L21</f>
        <v>0.27477305646916511</v>
      </c>
      <c r="Q8" s="40"/>
      <c r="R8" s="40"/>
    </row>
    <row r="9" spans="1:18">
      <c r="A9" s="46"/>
      <c r="B9" s="40"/>
      <c r="C9" s="40"/>
      <c r="D9" s="40"/>
      <c r="E9" s="40"/>
      <c r="F9" s="40"/>
      <c r="G9" s="40"/>
      <c r="H9" s="40"/>
      <c r="I9" s="40"/>
      <c r="J9" s="40"/>
      <c r="K9" s="40"/>
      <c r="L9" s="45" t="s">
        <v>8</v>
      </c>
      <c r="M9" s="40"/>
      <c r="N9" s="40"/>
      <c r="O9" s="40"/>
      <c r="P9" s="40">
        <f>((P5/P7)*((1-P4))*L21)</f>
        <v>19644132.86961377</v>
      </c>
      <c r="Q9" s="40"/>
      <c r="R9" s="40"/>
    </row>
    <row r="10" spans="1:18">
      <c r="A10" s="4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5" t="s">
        <v>9</v>
      </c>
      <c r="M10" s="40"/>
      <c r="N10" s="40"/>
      <c r="O10" s="40"/>
      <c r="P10" s="39">
        <f>IRR!D5</f>
        <v>1.0800000000000001E-2</v>
      </c>
      <c r="Q10" s="40"/>
      <c r="R10" s="40" t="s">
        <v>99</v>
      </c>
    </row>
    <row r="11" spans="1:18">
      <c r="A11" s="46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5" t="s">
        <v>10</v>
      </c>
      <c r="M11" s="40"/>
      <c r="N11" s="40"/>
      <c r="O11" s="40"/>
      <c r="P11" s="48">
        <v>0</v>
      </c>
      <c r="Q11" s="40"/>
      <c r="R11" s="40"/>
    </row>
    <row r="12" spans="1:18">
      <c r="A12" s="46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5" t="s">
        <v>11</v>
      </c>
      <c r="M12" s="40"/>
      <c r="N12" s="40"/>
      <c r="O12" s="40"/>
      <c r="P12" s="51">
        <f>(L21+J44-D44-H44-R21)/N44</f>
        <v>4.5140625806364222E-2</v>
      </c>
      <c r="Q12" s="40"/>
      <c r="R12" s="40"/>
    </row>
    <row r="13" spans="1:18">
      <c r="A13" s="46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36" t="s">
        <v>12</v>
      </c>
      <c r="M13" s="40"/>
      <c r="N13" s="40"/>
      <c r="O13" s="40"/>
      <c r="P13" s="51">
        <f>-P4/P7</f>
        <v>1.7900422668759321E-3</v>
      </c>
      <c r="Q13" s="40"/>
      <c r="R13" s="40"/>
    </row>
    <row r="14" spans="1:18">
      <c r="A14" s="4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5" t="s">
        <v>13</v>
      </c>
      <c r="M14" s="40"/>
      <c r="N14" s="40"/>
      <c r="O14" s="40"/>
      <c r="P14" s="51">
        <f>+P12-P13</f>
        <v>4.3350583539488292E-2</v>
      </c>
      <c r="Q14" s="40"/>
      <c r="R14" s="40"/>
    </row>
    <row r="15" spans="1:18">
      <c r="A15" s="46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5"/>
      <c r="M15" s="40"/>
      <c r="N15" s="40"/>
      <c r="O15" s="40"/>
      <c r="P15" s="37"/>
      <c r="Q15" s="40"/>
      <c r="R15" s="40"/>
    </row>
    <row r="16" spans="1:18">
      <c r="A16" s="42" t="s">
        <v>14</v>
      </c>
      <c r="B16" s="41" t="s">
        <v>15</v>
      </c>
      <c r="C16" s="41"/>
      <c r="D16" s="41" t="s">
        <v>16</v>
      </c>
      <c r="E16" s="41"/>
      <c r="F16" s="41" t="s">
        <v>17</v>
      </c>
      <c r="G16" s="41"/>
      <c r="H16" s="41" t="s">
        <v>18</v>
      </c>
      <c r="I16" s="41"/>
      <c r="J16" s="41" t="s">
        <v>19</v>
      </c>
      <c r="K16" s="40"/>
      <c r="L16" s="41" t="s">
        <v>20</v>
      </c>
      <c r="M16" s="40"/>
      <c r="N16" s="41" t="s">
        <v>21</v>
      </c>
      <c r="O16" s="41"/>
      <c r="P16" s="41" t="s">
        <v>22</v>
      </c>
      <c r="Q16" s="41"/>
      <c r="R16" s="41" t="s">
        <v>23</v>
      </c>
    </row>
    <row r="17" spans="1:18">
      <c r="A17" s="42"/>
      <c r="B17" s="41" t="s">
        <v>24</v>
      </c>
      <c r="C17" s="41"/>
      <c r="D17" s="41" t="s">
        <v>24</v>
      </c>
      <c r="E17" s="41"/>
      <c r="F17" s="41" t="s">
        <v>25</v>
      </c>
      <c r="G17" s="41"/>
      <c r="H17" s="41" t="s">
        <v>25</v>
      </c>
      <c r="I17" s="41"/>
      <c r="J17" s="41" t="s">
        <v>24</v>
      </c>
      <c r="K17" s="40"/>
      <c r="L17" s="41" t="s">
        <v>26</v>
      </c>
      <c r="M17" s="40"/>
      <c r="N17" s="41" t="s">
        <v>27</v>
      </c>
      <c r="O17" s="41"/>
      <c r="P17" s="42" t="s">
        <v>28</v>
      </c>
      <c r="Q17" s="42"/>
      <c r="R17" s="42" t="s">
        <v>26</v>
      </c>
    </row>
    <row r="18" spans="1:18">
      <c r="A18" s="44" t="s">
        <v>29</v>
      </c>
      <c r="B18" s="49" t="s">
        <v>30</v>
      </c>
      <c r="C18" s="49"/>
      <c r="D18" s="49" t="s">
        <v>31</v>
      </c>
      <c r="E18" s="49"/>
      <c r="F18" s="49" t="s">
        <v>32</v>
      </c>
      <c r="G18" s="49"/>
      <c r="H18" s="49" t="s">
        <v>31</v>
      </c>
      <c r="I18" s="49"/>
      <c r="J18" s="49" t="s">
        <v>33</v>
      </c>
      <c r="K18" s="40"/>
      <c r="L18" s="49" t="s">
        <v>34</v>
      </c>
      <c r="M18" s="40"/>
      <c r="N18" s="49" t="s">
        <v>34</v>
      </c>
      <c r="O18" s="49"/>
      <c r="P18" s="44" t="s">
        <v>35</v>
      </c>
      <c r="Q18" s="44"/>
      <c r="R18" s="50" t="s">
        <v>36</v>
      </c>
    </row>
    <row r="19" spans="1:18">
      <c r="A19" s="46"/>
      <c r="B19" s="41" t="s">
        <v>37</v>
      </c>
      <c r="C19" s="40"/>
      <c r="D19" s="41" t="s">
        <v>37</v>
      </c>
      <c r="E19" s="40"/>
      <c r="F19" s="41" t="s">
        <v>37</v>
      </c>
      <c r="G19" s="40"/>
      <c r="H19" s="41" t="s">
        <v>37</v>
      </c>
      <c r="I19" s="40"/>
      <c r="J19" s="41" t="s">
        <v>37</v>
      </c>
      <c r="K19" s="40"/>
      <c r="L19" s="41" t="s">
        <v>37</v>
      </c>
      <c r="M19" s="40"/>
      <c r="N19" s="41" t="s">
        <v>37</v>
      </c>
      <c r="O19" s="40"/>
      <c r="P19" s="42" t="s">
        <v>37</v>
      </c>
      <c r="Q19" s="42"/>
      <c r="R19" s="42" t="s">
        <v>37</v>
      </c>
    </row>
    <row r="20" spans="1:18">
      <c r="A20" s="4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10">
        <v>42735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f>'2016 YE Plant by Unit(Fcst)'!D19</f>
        <v>47744495.21617724</v>
      </c>
      <c r="M21" s="40"/>
      <c r="N21" s="40"/>
      <c r="O21" s="40"/>
      <c r="P21" s="40"/>
      <c r="Q21" s="40"/>
      <c r="R21" s="40">
        <f>'2016 YE Reserve by Unit(Fcst)'!D18</f>
        <v>13118900.880126452</v>
      </c>
    </row>
    <row r="22" spans="1:18">
      <c r="A22" s="46">
        <v>2017</v>
      </c>
      <c r="B22" s="40">
        <f>+L21*P$10</f>
        <v>515640.5483347142</v>
      </c>
      <c r="C22" s="40"/>
      <c r="D22" s="40">
        <f>+B22*P$2</f>
        <v>-154692.16450041425</v>
      </c>
      <c r="E22" s="40"/>
      <c r="F22" s="40"/>
      <c r="G22" s="40"/>
      <c r="H22" s="40"/>
      <c r="I22" s="40"/>
      <c r="J22" s="40">
        <v>0</v>
      </c>
      <c r="K22" s="40"/>
      <c r="L22" s="40">
        <f>L21+J22-B22-F22</f>
        <v>47228854.667842522</v>
      </c>
      <c r="M22" s="40"/>
      <c r="N22" s="40">
        <f>(L21+L22)/2</f>
        <v>47486674.942009881</v>
      </c>
      <c r="O22" s="40"/>
      <c r="P22" s="40">
        <f>N22*$P$12</f>
        <v>2143578.2243457204</v>
      </c>
      <c r="Q22" s="40"/>
      <c r="R22" s="40">
        <f>R21+P22-B22-F22+D22</f>
        <v>14592146.391637044</v>
      </c>
    </row>
    <row r="23" spans="1:18">
      <c r="A23" s="46">
        <f>A22+1</f>
        <v>2018</v>
      </c>
      <c r="B23" s="40">
        <f t="shared" ref="B23:B38" si="0">+L22*P$10</f>
        <v>510071.63041269925</v>
      </c>
      <c r="C23" s="40"/>
      <c r="D23" s="40">
        <f t="shared" ref="D23:D40" si="1">+B23*P$2</f>
        <v>-153021.48912380976</v>
      </c>
      <c r="E23" s="40"/>
      <c r="F23" s="40"/>
      <c r="G23" s="40"/>
      <c r="H23" s="40"/>
      <c r="I23" s="40"/>
      <c r="J23" s="40">
        <v>0</v>
      </c>
      <c r="K23" s="40"/>
      <c r="L23" s="40">
        <f t="shared" ref="L23:L40" si="2">L22+J23-B23-F23</f>
        <v>46718783.037429824</v>
      </c>
      <c r="M23" s="40"/>
      <c r="N23" s="40">
        <f t="shared" ref="N23:N39" si="3">(L22+L23)/2</f>
        <v>46973818.852636173</v>
      </c>
      <c r="O23" s="40"/>
      <c r="P23" s="40">
        <f t="shared" ref="P23:P40" si="4">N23*$P$12</f>
        <v>2120427.5795227867</v>
      </c>
      <c r="Q23" s="40"/>
      <c r="R23" s="40">
        <f t="shared" ref="R23:R40" si="5">R22+P23-B23-F23+D23</f>
        <v>16049480.851623321</v>
      </c>
    </row>
    <row r="24" spans="1:18">
      <c r="A24" s="46">
        <f t="shared" ref="A24:A40" si="6">A23+1</f>
        <v>2019</v>
      </c>
      <c r="B24" s="40">
        <f t="shared" si="0"/>
        <v>504562.85680424212</v>
      </c>
      <c r="C24" s="40"/>
      <c r="D24" s="40">
        <f t="shared" si="1"/>
        <v>-151368.85704127263</v>
      </c>
      <c r="E24" s="40"/>
      <c r="F24" s="40"/>
      <c r="G24" s="40"/>
      <c r="H24" s="40"/>
      <c r="I24" s="40"/>
      <c r="J24" s="40">
        <v>0</v>
      </c>
      <c r="K24" s="40"/>
      <c r="L24" s="40">
        <f t="shared" si="2"/>
        <v>46214220.18062558</v>
      </c>
      <c r="M24" s="40"/>
      <c r="N24" s="40">
        <f t="shared" si="3"/>
        <v>46466501.609027699</v>
      </c>
      <c r="O24" s="40"/>
      <c r="P24" s="40">
        <f t="shared" si="4"/>
        <v>2097526.9616639405</v>
      </c>
      <c r="Q24" s="40"/>
      <c r="R24" s="40">
        <f t="shared" si="5"/>
        <v>17491076.099441748</v>
      </c>
    </row>
    <row r="25" spans="1:18">
      <c r="A25" s="46">
        <f t="shared" si="6"/>
        <v>2020</v>
      </c>
      <c r="B25" s="40">
        <f t="shared" si="0"/>
        <v>499113.5779507563</v>
      </c>
      <c r="C25" s="40"/>
      <c r="D25" s="40">
        <f t="shared" si="1"/>
        <v>-149734.07338522689</v>
      </c>
      <c r="E25" s="40"/>
      <c r="F25" s="40"/>
      <c r="G25" s="40"/>
      <c r="H25" s="40"/>
      <c r="I25" s="40"/>
      <c r="J25" s="40">
        <v>0</v>
      </c>
      <c r="K25" s="40"/>
      <c r="L25" s="40">
        <f t="shared" si="2"/>
        <v>45715106.602674827</v>
      </c>
      <c r="M25" s="40"/>
      <c r="N25" s="40">
        <f t="shared" si="3"/>
        <v>45964663.3916502</v>
      </c>
      <c r="O25" s="40"/>
      <c r="P25" s="40">
        <f t="shared" si="4"/>
        <v>2074873.6704779698</v>
      </c>
      <c r="Q25" s="40"/>
      <c r="R25" s="40">
        <f t="shared" si="5"/>
        <v>18917102.118583735</v>
      </c>
    </row>
    <row r="26" spans="1:18">
      <c r="A26" s="46">
        <f t="shared" si="6"/>
        <v>2021</v>
      </c>
      <c r="B26" s="40">
        <f t="shared" si="0"/>
        <v>493723.15130888816</v>
      </c>
      <c r="C26" s="40"/>
      <c r="D26" s="40">
        <f t="shared" si="1"/>
        <v>-148116.94539266644</v>
      </c>
      <c r="E26" s="40"/>
      <c r="F26" s="40"/>
      <c r="G26" s="40"/>
      <c r="H26" s="40"/>
      <c r="I26" s="40"/>
      <c r="J26" s="40">
        <v>0</v>
      </c>
      <c r="K26" s="40"/>
      <c r="L26" s="40">
        <f t="shared" si="2"/>
        <v>45221383.45136594</v>
      </c>
      <c r="M26" s="40"/>
      <c r="N26" s="40">
        <f t="shared" si="3"/>
        <v>45468245.02702038</v>
      </c>
      <c r="O26" s="40"/>
      <c r="P26" s="40">
        <f t="shared" si="4"/>
        <v>2052465.0348368078</v>
      </c>
      <c r="Q26" s="40"/>
      <c r="R26" s="40">
        <f t="shared" si="5"/>
        <v>20327727.056718986</v>
      </c>
    </row>
    <row r="27" spans="1:18">
      <c r="A27" s="46">
        <f t="shared" si="6"/>
        <v>2022</v>
      </c>
      <c r="B27" s="40">
        <f t="shared" si="0"/>
        <v>488390.9412747522</v>
      </c>
      <c r="C27" s="40"/>
      <c r="D27" s="40">
        <f t="shared" si="1"/>
        <v>-146517.28238242565</v>
      </c>
      <c r="E27" s="40"/>
      <c r="F27" s="40"/>
      <c r="G27" s="40"/>
      <c r="H27" s="40"/>
      <c r="I27" s="40"/>
      <c r="J27" s="40">
        <v>0</v>
      </c>
      <c r="K27" s="40"/>
      <c r="L27" s="40">
        <f t="shared" si="2"/>
        <v>44732992.510091186</v>
      </c>
      <c r="M27" s="40"/>
      <c r="N27" s="40">
        <f t="shared" si="3"/>
        <v>44977187.980728567</v>
      </c>
      <c r="O27" s="40"/>
      <c r="P27" s="40">
        <f t="shared" si="4"/>
        <v>2030298.4124605707</v>
      </c>
      <c r="Q27" s="40"/>
      <c r="R27" s="40">
        <f t="shared" si="5"/>
        <v>21723117.24552238</v>
      </c>
    </row>
    <row r="28" spans="1:18">
      <c r="A28" s="46">
        <f t="shared" si="6"/>
        <v>2023</v>
      </c>
      <c r="B28" s="40">
        <f t="shared" si="0"/>
        <v>483116.31910898484</v>
      </c>
      <c r="C28" s="40"/>
      <c r="D28" s="40">
        <f t="shared" si="1"/>
        <v>-144934.89573269544</v>
      </c>
      <c r="E28" s="40"/>
      <c r="F28" s="40"/>
      <c r="G28" s="40"/>
      <c r="H28" s="40"/>
      <c r="I28" s="40"/>
      <c r="J28" s="40">
        <v>0</v>
      </c>
      <c r="K28" s="40"/>
      <c r="L28" s="40">
        <f t="shared" si="2"/>
        <v>44249876.1909822</v>
      </c>
      <c r="M28" s="40"/>
      <c r="N28" s="40">
        <f t="shared" si="3"/>
        <v>44491434.350536689</v>
      </c>
      <c r="O28" s="40"/>
      <c r="P28" s="40">
        <f t="shared" si="4"/>
        <v>2008371.189605996</v>
      </c>
      <c r="Q28" s="40"/>
      <c r="R28" s="40">
        <f t="shared" si="5"/>
        <v>23103437.220286693</v>
      </c>
    </row>
    <row r="29" spans="1:18">
      <c r="A29" s="46">
        <f t="shared" si="6"/>
        <v>2024</v>
      </c>
      <c r="B29" s="40">
        <f t="shared" si="0"/>
        <v>477898.6628626078</v>
      </c>
      <c r="C29" s="40"/>
      <c r="D29" s="40">
        <f t="shared" si="1"/>
        <v>-143369.59885878232</v>
      </c>
      <c r="E29" s="40"/>
      <c r="F29" s="40"/>
      <c r="G29" s="40"/>
      <c r="H29" s="40"/>
      <c r="I29" s="40"/>
      <c r="J29" s="40">
        <v>0</v>
      </c>
      <c r="K29" s="40"/>
      <c r="L29" s="40">
        <f t="shared" si="2"/>
        <v>43771977.528119594</v>
      </c>
      <c r="M29" s="40"/>
      <c r="N29" s="40">
        <f t="shared" si="3"/>
        <v>44010926.859550893</v>
      </c>
      <c r="O29" s="40"/>
      <c r="P29" s="40">
        <f t="shared" si="4"/>
        <v>1986680.7807582514</v>
      </c>
      <c r="Q29" s="40"/>
      <c r="R29" s="40">
        <f t="shared" si="5"/>
        <v>24468849.739323556</v>
      </c>
    </row>
    <row r="30" spans="1:18">
      <c r="A30" s="46">
        <f t="shared" si="6"/>
        <v>2025</v>
      </c>
      <c r="B30" s="40">
        <f t="shared" si="0"/>
        <v>472737.35730369162</v>
      </c>
      <c r="C30" s="40"/>
      <c r="D30" s="40">
        <f t="shared" si="1"/>
        <v>-141821.20719110747</v>
      </c>
      <c r="E30" s="40"/>
      <c r="F30" s="40"/>
      <c r="G30" s="40"/>
      <c r="H30" s="40"/>
      <c r="I30" s="40"/>
      <c r="J30" s="40">
        <v>0</v>
      </c>
      <c r="K30" s="40"/>
      <c r="L30" s="40">
        <f t="shared" si="2"/>
        <v>43299240.1708159</v>
      </c>
      <c r="M30" s="40"/>
      <c r="N30" s="40">
        <f t="shared" si="3"/>
        <v>43535608.849467747</v>
      </c>
      <c r="O30" s="40"/>
      <c r="P30" s="40">
        <f t="shared" si="4"/>
        <v>1965224.6283260623</v>
      </c>
      <c r="Q30" s="40"/>
      <c r="R30" s="40">
        <f t="shared" si="5"/>
        <v>25819515.803154822</v>
      </c>
    </row>
    <row r="31" spans="1:18">
      <c r="A31" s="46">
        <f t="shared" si="6"/>
        <v>2026</v>
      </c>
      <c r="B31" s="40">
        <f t="shared" si="0"/>
        <v>467631.79384481173</v>
      </c>
      <c r="C31" s="40"/>
      <c r="D31" s="40">
        <f t="shared" si="1"/>
        <v>-140289.53815344351</v>
      </c>
      <c r="E31" s="40"/>
      <c r="F31" s="40"/>
      <c r="G31" s="40"/>
      <c r="H31" s="40"/>
      <c r="I31" s="40"/>
      <c r="J31" s="40">
        <v>0</v>
      </c>
      <c r="K31" s="40"/>
      <c r="L31" s="40">
        <f t="shared" si="2"/>
        <v>42831608.376971088</v>
      </c>
      <c r="M31" s="40"/>
      <c r="N31" s="40">
        <f t="shared" si="3"/>
        <v>43065424.27389349</v>
      </c>
      <c r="O31" s="40"/>
      <c r="P31" s="40">
        <f t="shared" si="4"/>
        <v>1944000.2023401407</v>
      </c>
      <c r="Q31" s="40"/>
      <c r="R31" s="40">
        <f t="shared" si="5"/>
        <v>27155594.673496708</v>
      </c>
    </row>
    <row r="32" spans="1:18">
      <c r="A32" s="46">
        <f t="shared" si="6"/>
        <v>2027</v>
      </c>
      <c r="B32" s="40">
        <f t="shared" si="0"/>
        <v>462581.37047128775</v>
      </c>
      <c r="C32" s="40"/>
      <c r="D32" s="40">
        <f t="shared" si="1"/>
        <v>-138774.41114138631</v>
      </c>
      <c r="E32" s="40"/>
      <c r="F32" s="40"/>
      <c r="G32" s="40"/>
      <c r="H32" s="40"/>
      <c r="I32" s="40"/>
      <c r="J32" s="40">
        <v>0</v>
      </c>
      <c r="K32" s="40"/>
      <c r="L32" s="40">
        <f t="shared" si="2"/>
        <v>42369027.006499797</v>
      </c>
      <c r="M32" s="40"/>
      <c r="N32" s="40">
        <f t="shared" si="3"/>
        <v>42600317.691735446</v>
      </c>
      <c r="O32" s="40"/>
      <c r="P32" s="40">
        <f t="shared" si="4"/>
        <v>1923005.0001548675</v>
      </c>
      <c r="Q32" s="40"/>
      <c r="R32" s="40">
        <f t="shared" si="5"/>
        <v>28477243.8920389</v>
      </c>
    </row>
    <row r="33" spans="1:18">
      <c r="A33" s="46">
        <f t="shared" si="6"/>
        <v>2028</v>
      </c>
      <c r="B33" s="40">
        <f t="shared" si="0"/>
        <v>457585.49167019781</v>
      </c>
      <c r="C33" s="40"/>
      <c r="D33" s="40">
        <f t="shared" si="1"/>
        <v>-137275.64750105934</v>
      </c>
      <c r="E33" s="40"/>
      <c r="F33" s="40"/>
      <c r="G33" s="40"/>
      <c r="H33" s="40"/>
      <c r="I33" s="40"/>
      <c r="J33" s="40">
        <v>0</v>
      </c>
      <c r="K33" s="40"/>
      <c r="L33" s="40">
        <f t="shared" si="2"/>
        <v>41911441.514829598</v>
      </c>
      <c r="M33" s="40"/>
      <c r="N33" s="40">
        <f t="shared" si="3"/>
        <v>42140234.260664701</v>
      </c>
      <c r="O33" s="40"/>
      <c r="P33" s="40">
        <f t="shared" si="4"/>
        <v>1902236.5461531947</v>
      </c>
      <c r="Q33" s="40"/>
      <c r="R33" s="40">
        <f t="shared" si="5"/>
        <v>29784619.299020838</v>
      </c>
    </row>
    <row r="34" spans="1:18">
      <c r="A34" s="46">
        <f t="shared" si="6"/>
        <v>2029</v>
      </c>
      <c r="B34" s="40">
        <f t="shared" si="0"/>
        <v>452643.5683601597</v>
      </c>
      <c r="C34" s="40"/>
      <c r="D34" s="40">
        <f t="shared" si="1"/>
        <v>-135793.07050804791</v>
      </c>
      <c r="E34" s="40"/>
      <c r="F34" s="40"/>
      <c r="G34" s="40"/>
      <c r="H34" s="40"/>
      <c r="I34" s="40"/>
      <c r="J34" s="40">
        <v>0</v>
      </c>
      <c r="K34" s="40"/>
      <c r="L34" s="40">
        <f t="shared" si="2"/>
        <v>41458797.946469441</v>
      </c>
      <c r="M34" s="40"/>
      <c r="N34" s="40">
        <f t="shared" si="3"/>
        <v>41685119.730649516</v>
      </c>
      <c r="O34" s="40"/>
      <c r="P34" s="40">
        <f t="shared" si="4"/>
        <v>1881692.39145474</v>
      </c>
      <c r="Q34" s="40"/>
      <c r="R34" s="40">
        <f t="shared" si="5"/>
        <v>31077875.05160737</v>
      </c>
    </row>
    <row r="35" spans="1:18">
      <c r="A35" s="46">
        <f t="shared" si="6"/>
        <v>2030</v>
      </c>
      <c r="B35" s="40">
        <f t="shared" si="0"/>
        <v>447755.01782186999</v>
      </c>
      <c r="C35" s="40"/>
      <c r="D35" s="40">
        <f t="shared" si="1"/>
        <v>-134326.505346561</v>
      </c>
      <c r="E35" s="40"/>
      <c r="F35" s="40"/>
      <c r="G35" s="40"/>
      <c r="H35" s="40"/>
      <c r="I35" s="40"/>
      <c r="J35" s="40">
        <v>0</v>
      </c>
      <c r="K35" s="40"/>
      <c r="L35" s="40">
        <f t="shared" si="2"/>
        <v>41011042.92864757</v>
      </c>
      <c r="M35" s="40"/>
      <c r="N35" s="40">
        <f t="shared" si="3"/>
        <v>41234920.437558502</v>
      </c>
      <c r="O35" s="40"/>
      <c r="P35" s="40">
        <f t="shared" si="4"/>
        <v>1861370.1136270289</v>
      </c>
      <c r="Q35" s="40"/>
      <c r="R35" s="40">
        <f t="shared" si="5"/>
        <v>32357163.642065965</v>
      </c>
    </row>
    <row r="36" spans="1:18">
      <c r="A36" s="46">
        <f t="shared" si="6"/>
        <v>2031</v>
      </c>
      <c r="B36" s="40">
        <f t="shared" si="0"/>
        <v>442919.26362939377</v>
      </c>
      <c r="C36" s="40"/>
      <c r="D36" s="40">
        <f t="shared" si="1"/>
        <v>-132875.77908881812</v>
      </c>
      <c r="E36" s="40"/>
      <c r="F36" s="40"/>
      <c r="G36" s="40"/>
      <c r="H36" s="40"/>
      <c r="I36" s="40"/>
      <c r="J36" s="40">
        <v>0</v>
      </c>
      <c r="K36" s="40"/>
      <c r="L36" s="40">
        <f t="shared" si="2"/>
        <v>40568123.665018179</v>
      </c>
      <c r="M36" s="40"/>
      <c r="N36" s="40">
        <f t="shared" si="3"/>
        <v>40789583.296832874</v>
      </c>
      <c r="O36" s="40"/>
      <c r="P36" s="40">
        <f t="shared" si="4"/>
        <v>1841267.3163998572</v>
      </c>
      <c r="Q36" s="40"/>
      <c r="R36" s="40">
        <f t="shared" si="5"/>
        <v>33622635.915747613</v>
      </c>
    </row>
    <row r="37" spans="1:18">
      <c r="A37" s="46">
        <f t="shared" si="6"/>
        <v>2032</v>
      </c>
      <c r="B37" s="40">
        <f t="shared" si="0"/>
        <v>438135.73558219633</v>
      </c>
      <c r="C37" s="40"/>
      <c r="D37" s="40">
        <f t="shared" si="1"/>
        <v>-131440.72067465889</v>
      </c>
      <c r="E37" s="40"/>
      <c r="F37" s="40"/>
      <c r="G37" s="40"/>
      <c r="H37" s="40"/>
      <c r="I37" s="40"/>
      <c r="J37" s="40">
        <v>0</v>
      </c>
      <c r="K37" s="40"/>
      <c r="L37" s="40">
        <f t="shared" si="2"/>
        <v>40129987.929435983</v>
      </c>
      <c r="M37" s="40"/>
      <c r="N37" s="40">
        <f t="shared" si="3"/>
        <v>40349055.797227085</v>
      </c>
      <c r="O37" s="40"/>
      <c r="P37" s="40">
        <f t="shared" si="4"/>
        <v>1821381.6293827388</v>
      </c>
      <c r="Q37" s="40"/>
      <c r="R37" s="40">
        <f t="shared" si="5"/>
        <v>34874441.088873498</v>
      </c>
    </row>
    <row r="38" spans="1:18">
      <c r="A38" s="46">
        <f t="shared" si="6"/>
        <v>2033</v>
      </c>
      <c r="B38" s="40">
        <f t="shared" si="0"/>
        <v>433403.86963790865</v>
      </c>
      <c r="C38" s="40"/>
      <c r="D38" s="40">
        <f t="shared" si="1"/>
        <v>-130021.16089137259</v>
      </c>
      <c r="E38" s="40"/>
      <c r="F38" s="40"/>
      <c r="G38" s="40"/>
      <c r="H38" s="40"/>
      <c r="I38" s="40"/>
      <c r="J38" s="40">
        <v>0</v>
      </c>
      <c r="K38" s="40"/>
      <c r="L38" s="40">
        <f t="shared" si="2"/>
        <v>39696584.059798077</v>
      </c>
      <c r="M38" s="40"/>
      <c r="N38" s="40">
        <f t="shared" si="3"/>
        <v>39913285.99461703</v>
      </c>
      <c r="O38" s="40"/>
      <c r="P38" s="40">
        <f t="shared" si="4"/>
        <v>1801710.7077854052</v>
      </c>
      <c r="Q38" s="40"/>
      <c r="R38" s="40">
        <f t="shared" si="5"/>
        <v>36112726.766129628</v>
      </c>
    </row>
    <row r="39" spans="1:18">
      <c r="A39" s="46">
        <f t="shared" si="6"/>
        <v>2034</v>
      </c>
      <c r="B39" s="40">
        <v>0</v>
      </c>
      <c r="C39" s="40"/>
      <c r="D39" s="40">
        <f t="shared" si="1"/>
        <v>0</v>
      </c>
      <c r="E39" s="40"/>
      <c r="F39" s="40"/>
      <c r="G39" s="40"/>
      <c r="H39" s="40"/>
      <c r="I39" s="40"/>
      <c r="J39" s="40">
        <v>0</v>
      </c>
      <c r="K39" s="40"/>
      <c r="L39" s="40">
        <f t="shared" si="2"/>
        <v>39696584.059798077</v>
      </c>
      <c r="M39" s="40"/>
      <c r="N39" s="40">
        <f t="shared" si="3"/>
        <v>39696584.059798077</v>
      </c>
      <c r="O39" s="40"/>
      <c r="P39" s="40">
        <f t="shared" si="4"/>
        <v>1791928.6468342277</v>
      </c>
      <c r="Q39" s="40"/>
      <c r="R39" s="40">
        <f t="shared" si="5"/>
        <v>37904655.412963852</v>
      </c>
    </row>
    <row r="40" spans="1:18">
      <c r="A40" s="46">
        <f t="shared" si="6"/>
        <v>2035</v>
      </c>
      <c r="B40" s="40">
        <v>0</v>
      </c>
      <c r="C40" s="40"/>
      <c r="D40" s="40">
        <f t="shared" si="1"/>
        <v>0</v>
      </c>
      <c r="E40" s="40"/>
      <c r="F40" s="40">
        <f>L39</f>
        <v>39696584.059798077</v>
      </c>
      <c r="G40" s="40"/>
      <c r="H40" s="40"/>
      <c r="I40" s="40"/>
      <c r="J40" s="40">
        <v>0</v>
      </c>
      <c r="K40" s="40"/>
      <c r="L40" s="40">
        <f t="shared" si="2"/>
        <v>0</v>
      </c>
      <c r="M40" s="40"/>
      <c r="N40" s="40">
        <f>+L39</f>
        <v>39696584.059798077</v>
      </c>
      <c r="O40" s="40"/>
      <c r="P40" s="40">
        <f t="shared" si="4"/>
        <v>1791928.6468342277</v>
      </c>
      <c r="Q40" s="40"/>
      <c r="R40" s="40">
        <f t="shared" si="5"/>
        <v>0</v>
      </c>
    </row>
    <row r="41" spans="1:18">
      <c r="A41" s="46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>
      <c r="A42" s="46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>
      <c r="A43" s="46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>
      <c r="A44" s="42" t="s">
        <v>38</v>
      </c>
      <c r="B44" s="38">
        <f>SUM(B22:B40)</f>
        <v>8047911.1563791623</v>
      </c>
      <c r="C44" s="38" t="s">
        <v>39</v>
      </c>
      <c r="D44" s="38">
        <f>SUM(D22:D40)</f>
        <v>-2414373.3469137484</v>
      </c>
      <c r="E44" s="38">
        <v>0</v>
      </c>
      <c r="F44" s="38">
        <f>SUM(F22:F40)</f>
        <v>39696584.059798077</v>
      </c>
      <c r="G44" s="38" t="s">
        <v>39</v>
      </c>
      <c r="H44" s="38">
        <f>SUM(H22:H40)</f>
        <v>0</v>
      </c>
      <c r="I44" s="38">
        <v>0</v>
      </c>
      <c r="J44" s="38">
        <f>SUM(J22:J40)</f>
        <v>0</v>
      </c>
      <c r="K44" s="40"/>
      <c r="L44" s="40"/>
      <c r="M44" s="40"/>
      <c r="N44" s="38">
        <f>SUM(N22:N40)</f>
        <v>820546171.46540308</v>
      </c>
      <c r="O44" s="40"/>
      <c r="P44" s="38">
        <f>SUM(P22:P40)</f>
        <v>37039967.682964526</v>
      </c>
      <c r="Q44" s="40"/>
      <c r="R44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91662-F39D-4E62-8E92-2322E61849E8}">
  <ds:schemaRefs>
    <ds:schemaRef ds:uri="3b2b225c-bba3-4d8f-86c2-6a6ee720f379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7D69EF-3E11-4E33-B660-DE91B99D6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b225c-bba3-4d8f-86c2-6a6ee720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96941C-4CE3-4F80-90FF-05A8C3CF49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2</vt:i4>
      </vt:variant>
    </vt:vector>
  </HeadingPairs>
  <TitlesOfParts>
    <vt:vector size="55" baseType="lpstr">
      <vt:lpstr>Template Life_COR</vt:lpstr>
      <vt:lpstr>Crist 4 -312</vt:lpstr>
      <vt:lpstr>Crist 4 -314</vt:lpstr>
      <vt:lpstr>Crist 4 -315</vt:lpstr>
      <vt:lpstr>Crist 5 -312</vt:lpstr>
      <vt:lpstr>Crist 5 -314</vt:lpstr>
      <vt:lpstr>Crist 5 -315</vt:lpstr>
      <vt:lpstr>Crist 6 -312</vt:lpstr>
      <vt:lpstr>Crist 6 -314</vt:lpstr>
      <vt:lpstr>Crist 6 -315</vt:lpstr>
      <vt:lpstr>Crist 7 -312</vt:lpstr>
      <vt:lpstr>Crist 7 -314</vt:lpstr>
      <vt:lpstr>Crist 7 -315</vt:lpstr>
      <vt:lpstr>Crist Comm -311</vt:lpstr>
      <vt:lpstr>Crist Comm-312</vt:lpstr>
      <vt:lpstr>Crist Comm-314</vt:lpstr>
      <vt:lpstr>Crist Comm-315</vt:lpstr>
      <vt:lpstr>Crist Comm-316</vt:lpstr>
      <vt:lpstr>Daniel 310.1</vt:lpstr>
      <vt:lpstr>Daniel-311 Rail Cars</vt:lpstr>
      <vt:lpstr>Daniel 1-311</vt:lpstr>
      <vt:lpstr>Daniel 1-312</vt:lpstr>
      <vt:lpstr>Daniel 1-314</vt:lpstr>
      <vt:lpstr>Daniel 1-315</vt:lpstr>
      <vt:lpstr>Daniel 1-316</vt:lpstr>
      <vt:lpstr>Daniel 2-311</vt:lpstr>
      <vt:lpstr>Daniel 2-312</vt:lpstr>
      <vt:lpstr>Daniel 2-314</vt:lpstr>
      <vt:lpstr>Daniel 2-315</vt:lpstr>
      <vt:lpstr>Daniel 2-316</vt:lpstr>
      <vt:lpstr>Daniel Comm-311</vt:lpstr>
      <vt:lpstr>Daniel Comm-312</vt:lpstr>
      <vt:lpstr>Daniel Comm-314</vt:lpstr>
      <vt:lpstr>Daniel Comm-315</vt:lpstr>
      <vt:lpstr>Daniel Comm-316</vt:lpstr>
      <vt:lpstr>Scherer-311</vt:lpstr>
      <vt:lpstr>Scherer-312</vt:lpstr>
      <vt:lpstr>Scherer-314</vt:lpstr>
      <vt:lpstr>Scherer-315</vt:lpstr>
      <vt:lpstr>Scherer-316</vt:lpstr>
      <vt:lpstr>Scholz-311</vt:lpstr>
      <vt:lpstr>Scholz-312</vt:lpstr>
      <vt:lpstr>Scholz-314</vt:lpstr>
      <vt:lpstr>Scholz-315</vt:lpstr>
      <vt:lpstr>Scholz-316</vt:lpstr>
      <vt:lpstr>IRR</vt:lpstr>
      <vt:lpstr>IRC</vt:lpstr>
      <vt:lpstr>Avg Age </vt:lpstr>
      <vt:lpstr>2016 YE Plant by Unit(Fcst)</vt:lpstr>
      <vt:lpstr>2016 YE Reserve by Unit(Fcst)</vt:lpstr>
      <vt:lpstr>Composite Accrual Rate</vt:lpstr>
      <vt:lpstr>Comparison</vt:lpstr>
      <vt:lpstr>RL vs WL</vt:lpstr>
      <vt:lpstr>'Avg Age '!Print_Area</vt:lpstr>
      <vt:lpstr>'Avg Age '!Print_Titles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Richards</dc:creator>
  <cp:lastModifiedBy>Adair, Traci</cp:lastModifiedBy>
  <cp:lastPrinted>2016-04-05T14:13:51Z</cp:lastPrinted>
  <dcterms:created xsi:type="dcterms:W3CDTF">2016-03-07T16:12:27Z</dcterms:created>
  <dcterms:modified xsi:type="dcterms:W3CDTF">2016-12-29T16:14:23Z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-525369651</vt:i4>
  </property>
  <property fmtid="{D5CDD505-2E9C-101B-9397-08002B2CF9AE}" pid="4" name="_NewReviewCycle">
    <vt:lpwstr/>
  </property>
  <property fmtid="{D5CDD505-2E9C-101B-9397-08002B2CF9AE}" pid="5" name="_EmailSubject">
    <vt:lpwstr>Jackie:  Staff 9th  POD 66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</Properties>
</file>