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90" windowWidth="22980" windowHeight="10050"/>
  </bookViews>
  <sheets>
    <sheet name="2013" sheetId="1" r:id="rId1"/>
  </sheets>
  <definedNames>
    <definedName name="JanComparison">#REF!</definedName>
    <definedName name="Latefiledest">#REF!</definedName>
    <definedName name="_xlnm.Print_Area" localSheetId="0">'2013'!$A$1:$Y$48</definedName>
    <definedName name="_xlnm.Print_Titles" localSheetId="0">'2013'!$A:$C,'2013'!$1:$4</definedName>
  </definedNames>
  <calcPr calcId="171027" concurrentCalc="0"/>
</workbook>
</file>

<file path=xl/calcChain.xml><?xml version="1.0" encoding="utf-8"?>
<calcChain xmlns="http://schemas.openxmlformats.org/spreadsheetml/2006/main">
  <c r="T5" i="1" l="1"/>
  <c r="X45" i="1"/>
  <c r="W41" i="1"/>
  <c r="W39" i="1"/>
  <c r="W38" i="1"/>
  <c r="W37" i="1"/>
  <c r="W35" i="1"/>
  <c r="W34" i="1"/>
  <c r="W33" i="1"/>
  <c r="W32" i="1"/>
  <c r="W29" i="1"/>
  <c r="W28" i="1"/>
  <c r="W27" i="1"/>
  <c r="W26" i="1"/>
  <c r="W25" i="1"/>
  <c r="W24" i="1"/>
  <c r="W23" i="1"/>
  <c r="W21" i="1"/>
  <c r="W16" i="1"/>
  <c r="W15" i="1"/>
  <c r="W14" i="1"/>
  <c r="W13" i="1"/>
  <c r="W12" i="1"/>
  <c r="W11" i="1"/>
  <c r="W10" i="1"/>
  <c r="W8" i="1"/>
  <c r="W7" i="1"/>
  <c r="T30" i="1"/>
  <c r="T22" i="1"/>
  <c r="T17" i="1"/>
  <c r="W6" i="1"/>
  <c r="T43" i="1"/>
  <c r="V16" i="1"/>
  <c r="AB37" i="1"/>
  <c r="X33" i="1"/>
  <c r="X31" i="1"/>
  <c r="X16" i="1"/>
  <c r="S30" i="1"/>
  <c r="S22" i="1"/>
  <c r="S17" i="1"/>
  <c r="S5" i="1"/>
  <c r="R19" i="1"/>
  <c r="W19" i="1"/>
  <c r="S43" i="1"/>
  <c r="R40" i="1"/>
  <c r="W40" i="1"/>
  <c r="R20" i="1"/>
  <c r="W20" i="1"/>
  <c r="R18" i="1"/>
  <c r="R22" i="1"/>
  <c r="R9" i="1"/>
  <c r="W9" i="1"/>
  <c r="R36" i="1"/>
  <c r="W36" i="1"/>
  <c r="R30" i="1"/>
  <c r="W30" i="1"/>
  <c r="W43" i="1"/>
  <c r="W18" i="1"/>
  <c r="R17" i="1"/>
  <c r="W17" i="1"/>
  <c r="R5" i="1"/>
  <c r="W5" i="1"/>
  <c r="W22" i="1"/>
  <c r="R43" i="1"/>
  <c r="Q25" i="1"/>
  <c r="Q21" i="1"/>
  <c r="Q24" i="1"/>
  <c r="Q13" i="1"/>
  <c r="Q14" i="1"/>
  <c r="P21" i="1"/>
  <c r="Q6" i="1"/>
  <c r="Q29" i="1"/>
  <c r="Q40" i="1"/>
  <c r="Q41" i="1"/>
  <c r="Q39" i="1"/>
  <c r="Q7" i="1"/>
  <c r="Q5" i="1"/>
  <c r="O41" i="1"/>
  <c r="N41" i="1"/>
  <c r="P41" i="1"/>
  <c r="P40" i="1"/>
  <c r="P36" i="1"/>
  <c r="P24" i="1"/>
  <c r="P25" i="1"/>
  <c r="P26" i="1"/>
  <c r="P29" i="1"/>
  <c r="O40" i="1"/>
  <c r="O21" i="1"/>
  <c r="P13" i="1"/>
  <c r="P6" i="1"/>
  <c r="P5" i="1"/>
  <c r="P32" i="1"/>
  <c r="P14" i="1"/>
  <c r="O15" i="1"/>
  <c r="N15" i="1"/>
  <c r="M15" i="1"/>
  <c r="L15" i="1"/>
  <c r="K15" i="1"/>
  <c r="J15" i="1"/>
  <c r="I15" i="1"/>
  <c r="H15" i="1"/>
  <c r="G15" i="1"/>
  <c r="F15" i="1"/>
  <c r="F5" i="1"/>
  <c r="E15" i="1"/>
  <c r="E5" i="1"/>
  <c r="D15" i="1"/>
  <c r="V15" i="1"/>
  <c r="X15" i="1"/>
  <c r="O32" i="1"/>
  <c r="O36" i="1"/>
  <c r="O9" i="1"/>
  <c r="O18" i="1"/>
  <c r="O12" i="1"/>
  <c r="O19" i="1"/>
  <c r="O6" i="1"/>
  <c r="O5" i="1"/>
  <c r="O7" i="1"/>
  <c r="O13" i="1"/>
  <c r="O37" i="1"/>
  <c r="O25" i="1"/>
  <c r="N21" i="1"/>
  <c r="V36" i="1"/>
  <c r="X36" i="1"/>
  <c r="N6" i="1"/>
  <c r="N26" i="1"/>
  <c r="N25" i="1"/>
  <c r="N38" i="1"/>
  <c r="N7" i="1"/>
  <c r="N5" i="1"/>
  <c r="N12" i="1"/>
  <c r="N9" i="1"/>
  <c r="N19" i="1"/>
  <c r="N18" i="1"/>
  <c r="N29" i="1"/>
  <c r="N39" i="1"/>
  <c r="M41" i="1"/>
  <c r="L41" i="1"/>
  <c r="M21" i="1"/>
  <c r="M35" i="1"/>
  <c r="M29" i="1"/>
  <c r="M6" i="1"/>
  <c r="M37" i="1"/>
  <c r="M39" i="1"/>
  <c r="M32" i="1"/>
  <c r="M24" i="1"/>
  <c r="M40" i="1"/>
  <c r="V40" i="1"/>
  <c r="X40" i="1"/>
  <c r="M12" i="1"/>
  <c r="M11" i="1"/>
  <c r="M9" i="1"/>
  <c r="M20" i="1"/>
  <c r="M19" i="1"/>
  <c r="M18" i="1"/>
  <c r="M25" i="1"/>
  <c r="M26" i="1"/>
  <c r="Q22" i="1"/>
  <c r="P22" i="1"/>
  <c r="O22" i="1"/>
  <c r="N22" i="1"/>
  <c r="M38" i="1"/>
  <c r="L32" i="1"/>
  <c r="M14" i="1"/>
  <c r="M13" i="1"/>
  <c r="G30" i="1"/>
  <c r="F30" i="1"/>
  <c r="E30" i="1"/>
  <c r="D30" i="1"/>
  <c r="M5" i="1"/>
  <c r="M22" i="1"/>
  <c r="M30" i="1"/>
  <c r="G22" i="1"/>
  <c r="E22" i="1"/>
  <c r="L21" i="1"/>
  <c r="L24" i="1"/>
  <c r="V41" i="1"/>
  <c r="X41" i="1"/>
  <c r="L14" i="1"/>
  <c r="L13" i="1"/>
  <c r="L38" i="1"/>
  <c r="L29" i="1"/>
  <c r="L22" i="1"/>
  <c r="L39" i="1"/>
  <c r="L18" i="1"/>
  <c r="L35" i="1"/>
  <c r="L37" i="1"/>
  <c r="V37" i="1"/>
  <c r="X37" i="1"/>
  <c r="L12" i="1"/>
  <c r="L9" i="1"/>
  <c r="L20" i="1"/>
  <c r="L19" i="1"/>
  <c r="L5" i="1"/>
  <c r="L30" i="1"/>
  <c r="K38" i="1"/>
  <c r="K21" i="1"/>
  <c r="K8" i="1"/>
  <c r="K14" i="1"/>
  <c r="K35" i="1"/>
  <c r="K13" i="1"/>
  <c r="K32" i="1"/>
  <c r="K29" i="1"/>
  <c r="K22" i="1"/>
  <c r="K39" i="1"/>
  <c r="K30" i="1"/>
  <c r="K12" i="1"/>
  <c r="K9" i="1"/>
  <c r="K5" i="1"/>
  <c r="K19" i="1"/>
  <c r="K20" i="1"/>
  <c r="K11" i="1"/>
  <c r="K18" i="1"/>
  <c r="V32" i="1"/>
  <c r="X32" i="1"/>
  <c r="J38" i="1"/>
  <c r="J21" i="1"/>
  <c r="J39" i="1"/>
  <c r="J12" i="1"/>
  <c r="J11" i="1"/>
  <c r="J9" i="1"/>
  <c r="J20" i="1"/>
  <c r="J19" i="1"/>
  <c r="J18" i="1"/>
  <c r="J24" i="1"/>
  <c r="J29" i="1"/>
  <c r="J22" i="1"/>
  <c r="Q30" i="1"/>
  <c r="P30" i="1"/>
  <c r="O30" i="1"/>
  <c r="N30" i="1"/>
  <c r="J35" i="1"/>
  <c r="J30" i="1"/>
  <c r="J14" i="1"/>
  <c r="J13" i="1"/>
  <c r="J6" i="1"/>
  <c r="J5" i="1"/>
  <c r="I29" i="1"/>
  <c r="I24" i="1"/>
  <c r="I21" i="1"/>
  <c r="I22" i="1"/>
  <c r="I39" i="1"/>
  <c r="V39" i="1"/>
  <c r="X39" i="1"/>
  <c r="I8" i="1"/>
  <c r="I6" i="1"/>
  <c r="I38" i="1"/>
  <c r="V38" i="1"/>
  <c r="X38" i="1"/>
  <c r="I20" i="1"/>
  <c r="I12" i="1"/>
  <c r="I18" i="1"/>
  <c r="V18" i="1"/>
  <c r="X18" i="1"/>
  <c r="I19" i="1"/>
  <c r="I9" i="1"/>
  <c r="I5" i="1"/>
  <c r="H20" i="1"/>
  <c r="H19" i="1"/>
  <c r="I34" i="1"/>
  <c r="I35" i="1"/>
  <c r="V35" i="1"/>
  <c r="X35" i="1"/>
  <c r="I14" i="1"/>
  <c r="I13" i="1"/>
  <c r="H21" i="1"/>
  <c r="H6" i="1"/>
  <c r="H8" i="1"/>
  <c r="H29" i="1"/>
  <c r="H23" i="1"/>
  <c r="H34" i="1"/>
  <c r="H18" i="1"/>
  <c r="G20" i="1"/>
  <c r="V20" i="1"/>
  <c r="X20" i="1"/>
  <c r="G19" i="1"/>
  <c r="G18" i="1"/>
  <c r="G21" i="1"/>
  <c r="G8" i="1"/>
  <c r="E21" i="1"/>
  <c r="F21" i="1"/>
  <c r="F26" i="1"/>
  <c r="F22" i="1"/>
  <c r="D28" i="1"/>
  <c r="V28" i="1"/>
  <c r="X28" i="1"/>
  <c r="D27" i="1"/>
  <c r="V27" i="1"/>
  <c r="X27" i="1"/>
  <c r="D26" i="1"/>
  <c r="D25" i="1"/>
  <c r="D24" i="1"/>
  <c r="V24" i="1"/>
  <c r="X24" i="1"/>
  <c r="D23" i="1"/>
  <c r="V23" i="1"/>
  <c r="X23" i="1"/>
  <c r="D21" i="1"/>
  <c r="Q17" i="1"/>
  <c r="P17" i="1"/>
  <c r="O17" i="1"/>
  <c r="O43" i="1"/>
  <c r="N17" i="1"/>
  <c r="M17" i="1"/>
  <c r="L17" i="1"/>
  <c r="K17" i="1"/>
  <c r="J17" i="1"/>
  <c r="F17" i="1"/>
  <c r="E17" i="1"/>
  <c r="D17" i="1"/>
  <c r="D14" i="1"/>
  <c r="V14" i="1"/>
  <c r="X14" i="1"/>
  <c r="D13" i="1"/>
  <c r="V13" i="1"/>
  <c r="X13" i="1"/>
  <c r="D12" i="1"/>
  <c r="D11" i="1"/>
  <c r="V11" i="1"/>
  <c r="X11" i="1"/>
  <c r="D10" i="1"/>
  <c r="V10" i="1"/>
  <c r="X10" i="1"/>
  <c r="D9" i="1"/>
  <c r="D7" i="1"/>
  <c r="D6" i="1"/>
  <c r="V8" i="1"/>
  <c r="X8" i="1"/>
  <c r="G5" i="1"/>
  <c r="H30" i="1"/>
  <c r="V34" i="1"/>
  <c r="X34" i="1"/>
  <c r="H5" i="1"/>
  <c r="D5" i="1"/>
  <c r="D22" i="1"/>
  <c r="D43" i="1"/>
  <c r="P43" i="1"/>
  <c r="Q43" i="1"/>
  <c r="V19" i="1"/>
  <c r="X19" i="1"/>
  <c r="H17" i="1"/>
  <c r="V21" i="1"/>
  <c r="X21" i="1"/>
  <c r="V26" i="1"/>
  <c r="X26" i="1"/>
  <c r="V25" i="1"/>
  <c r="X25" i="1"/>
  <c r="V9" i="1"/>
  <c r="X9" i="1"/>
  <c r="V12" i="1"/>
  <c r="X12" i="1"/>
  <c r="N43" i="1"/>
  <c r="G17" i="1"/>
  <c r="G43" i="1"/>
  <c r="J43" i="1"/>
  <c r="L43" i="1"/>
  <c r="H22" i="1"/>
  <c r="I30" i="1"/>
  <c r="K43" i="1"/>
  <c r="M43" i="1"/>
  <c r="F43" i="1"/>
  <c r="E43" i="1"/>
  <c r="V29" i="1"/>
  <c r="X29" i="1"/>
  <c r="I17" i="1"/>
  <c r="V6" i="1"/>
  <c r="X6" i="1"/>
  <c r="V7" i="1"/>
  <c r="X7" i="1"/>
  <c r="V5" i="1"/>
  <c r="V17" i="1"/>
  <c r="X17" i="1"/>
  <c r="H43" i="1"/>
  <c r="V22" i="1"/>
  <c r="X22" i="1"/>
  <c r="X5" i="1"/>
  <c r="I43" i="1"/>
  <c r="V30" i="1"/>
  <c r="X30" i="1"/>
  <c r="X43" i="1"/>
  <c r="X48" i="1"/>
  <c r="V43" i="1"/>
</calcChain>
</file>

<file path=xl/sharedStrings.xml><?xml version="1.0" encoding="utf-8"?>
<sst xmlns="http://schemas.openxmlformats.org/spreadsheetml/2006/main" count="55" uniqueCount="54">
  <si>
    <t>Gulf Power Company</t>
  </si>
  <si>
    <t>Consultants</t>
  </si>
  <si>
    <t>Cost of Service</t>
  </si>
  <si>
    <t>Vander Weide</t>
  </si>
  <si>
    <t>Deason</t>
  </si>
  <si>
    <t>Dr. Peggy Frailey</t>
  </si>
  <si>
    <t>Towers Watson</t>
  </si>
  <si>
    <t>Storm Study</t>
  </si>
  <si>
    <t>Legal</t>
  </si>
  <si>
    <t>Beggs &amp; Lane</t>
  </si>
  <si>
    <t>Meals &amp; Travel</t>
  </si>
  <si>
    <t>Miscellaneous Expenses:</t>
  </si>
  <si>
    <t>Computer Supplies</t>
  </si>
  <si>
    <t>Office Supplies</t>
  </si>
  <si>
    <t>Postage</t>
  </si>
  <si>
    <t>Printing Services</t>
  </si>
  <si>
    <t>Advertising</t>
  </si>
  <si>
    <t>Miscellaneous</t>
  </si>
  <si>
    <t>SCS Charges</t>
  </si>
  <si>
    <t>Labor</t>
  </si>
  <si>
    <t>Reconciling Items</t>
  </si>
  <si>
    <t>General Legder Balance</t>
  </si>
  <si>
    <t>Difference</t>
  </si>
  <si>
    <t>Rates Case Expenses</t>
  </si>
  <si>
    <t>2013 Rate Case Expenses</t>
  </si>
  <si>
    <t>Non-Exempt OT &amp; Adders</t>
  </si>
  <si>
    <t>BWO 4716JD</t>
  </si>
  <si>
    <t>Misc. Notes</t>
  </si>
  <si>
    <t>Generation Consulting Svcs</t>
  </si>
  <si>
    <t>Witness Preparation</t>
  </si>
  <si>
    <t xml:space="preserve">Depreciation Study </t>
  </si>
  <si>
    <t>Christenssen</t>
  </si>
  <si>
    <t>Brattle</t>
  </si>
  <si>
    <t>AON Hewitt</t>
  </si>
  <si>
    <t>Huck</t>
  </si>
  <si>
    <t>Harris</t>
  </si>
  <si>
    <t xml:space="preserve">Forecasting </t>
  </si>
  <si>
    <t xml:space="preserve">Compensation </t>
  </si>
  <si>
    <t xml:space="preserve">Pension/Benefits </t>
  </si>
  <si>
    <t>E&amp;Y Contract Accounting</t>
  </si>
  <si>
    <t>Accustaff</t>
  </si>
  <si>
    <t>Return on Equity</t>
  </si>
  <si>
    <t xml:space="preserve">Regulatory </t>
  </si>
  <si>
    <t>2013 Total</t>
  </si>
  <si>
    <t>2014 Total</t>
  </si>
  <si>
    <t>Total</t>
  </si>
  <si>
    <t>Credit Rating</t>
  </si>
  <si>
    <t>Fetter</t>
  </si>
  <si>
    <t>Normal January Activity</t>
  </si>
  <si>
    <r>
      <t xml:space="preserve">Corp Acct Jan. entries moving </t>
    </r>
    <r>
      <rPr>
        <u/>
        <sz val="12"/>
        <color theme="1"/>
        <rFont val="Garamond"/>
        <family val="1"/>
      </rPr>
      <t>balance to create Regulatory Asset</t>
    </r>
  </si>
  <si>
    <t>893-0002F 12/31/13 Balance</t>
  </si>
  <si>
    <t>893-0002F 1/31/14 Balance</t>
  </si>
  <si>
    <t>893-0002F Balance</t>
  </si>
  <si>
    <t>Expenses moved to Regulatory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</si>
</sst>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\-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u/>
      <sz val="12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43" fontId="0" fillId="0" borderId="0" xfId="0" applyNumberFormat="1"/>
    <xf numFmtId="49" fontId="0" fillId="0" borderId="0" xfId="0" applyNumberFormat="1"/>
    <xf numFmtId="43" fontId="1" fillId="0" borderId="0" xfId="0" applyNumberFormat="1" applyFont="1"/>
    <xf numFmtId="164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1" fillId="0" borderId="0" xfId="0" applyNumberFormat="1" applyFont="1"/>
    <xf numFmtId="49" fontId="4" fillId="3" borderId="0" xfId="0" applyNumberFormat="1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/>
    <xf numFmtId="43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43" fontId="0" fillId="0" borderId="0" xfId="0" applyNumberFormat="1" applyFill="1"/>
    <xf numFmtId="43" fontId="1" fillId="0" borderId="0" xfId="0" applyNumberFormat="1" applyFont="1" applyFill="1"/>
    <xf numFmtId="43" fontId="4" fillId="0" borderId="0" xfId="0" applyNumberFormat="1" applyFont="1" applyFill="1"/>
    <xf numFmtId="49" fontId="2" fillId="0" borderId="1" xfId="0" applyNumberFormat="1" applyFont="1" applyBorder="1"/>
    <xf numFmtId="43" fontId="2" fillId="0" borderId="1" xfId="0" applyNumberFormat="1" applyFont="1" applyBorder="1"/>
    <xf numFmtId="49" fontId="0" fillId="0" borderId="2" xfId="0" applyNumberFormat="1" applyBorder="1"/>
    <xf numFmtId="43" fontId="0" fillId="0" borderId="2" xfId="0" applyNumberFormat="1" applyBorder="1"/>
    <xf numFmtId="49" fontId="0" fillId="0" borderId="1" xfId="0" applyNumberFormat="1" applyBorder="1"/>
    <xf numFmtId="43" fontId="0" fillId="0" borderId="1" xfId="0" applyNumberFormat="1" applyBorder="1"/>
    <xf numFmtId="49" fontId="2" fillId="0" borderId="2" xfId="0" applyNumberFormat="1" applyFont="1" applyBorder="1"/>
    <xf numFmtId="43" fontId="2" fillId="0" borderId="2" xfId="0" applyNumberFormat="1" applyFont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0" fillId="0" borderId="0" xfId="0" applyNumberFormat="1" applyBorder="1"/>
    <xf numFmtId="0" fontId="0" fillId="0" borderId="0" xfId="0" applyBorder="1"/>
    <xf numFmtId="43" fontId="1" fillId="0" borderId="0" xfId="0" applyNumberFormat="1" applyFont="1" applyBorder="1"/>
    <xf numFmtId="43" fontId="4" fillId="3" borderId="0" xfId="0" applyNumberFormat="1" applyFont="1" applyFill="1" applyBorder="1"/>
    <xf numFmtId="49" fontId="2" fillId="0" borderId="2" xfId="0" applyNumberFormat="1" applyFont="1" applyBorder="1" applyAlignment="1">
      <alignment horizontal="left"/>
    </xf>
    <xf numFmtId="43" fontId="4" fillId="3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3" fontId="6" fillId="2" borderId="0" xfId="0" applyNumberFormat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43" fontId="6" fillId="2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49" fontId="10" fillId="0" borderId="0" xfId="0" applyNumberFormat="1" applyFont="1" applyAlignment="1">
      <alignment horizontal="left" indent="2"/>
    </xf>
    <xf numFmtId="43" fontId="9" fillId="0" borderId="0" xfId="0" applyNumberFormat="1" applyFont="1"/>
    <xf numFmtId="43" fontId="9" fillId="0" borderId="0" xfId="0" applyNumberFormat="1" applyFont="1" applyFill="1"/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Border="1"/>
    <xf numFmtId="43" fontId="3" fillId="3" borderId="0" xfId="0" applyNumberFormat="1" applyFont="1" applyFill="1"/>
    <xf numFmtId="43" fontId="12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3" fontId="15" fillId="0" borderId="0" xfId="0" applyNumberFormat="1" applyFont="1" applyFill="1"/>
    <xf numFmtId="43" fontId="0" fillId="4" borderId="0" xfId="0" applyNumberFormat="1" applyFill="1" applyBorder="1"/>
    <xf numFmtId="43" fontId="0" fillId="4" borderId="0" xfId="0" applyNumberFormat="1" applyFill="1"/>
    <xf numFmtId="43" fontId="3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0" fillId="0" borderId="0" xfId="0" applyNumberFormat="1" applyFill="1" applyBorder="1"/>
    <xf numFmtId="43" fontId="2" fillId="0" borderId="0" xfId="0" applyNumberFormat="1" applyFont="1" applyFill="1" applyBorder="1" applyAlignment="1">
      <alignment vertical="center"/>
    </xf>
    <xf numFmtId="43" fontId="2" fillId="0" borderId="0" xfId="0" applyNumberFormat="1" applyFont="1" applyBorder="1"/>
    <xf numFmtId="43" fontId="1" fillId="0" borderId="0" xfId="0" applyNumberFormat="1" applyFont="1" applyFill="1" applyBorder="1"/>
    <xf numFmtId="43" fontId="6" fillId="0" borderId="0" xfId="0" applyNumberFormat="1" applyFont="1" applyFill="1" applyBorder="1" applyAlignment="1">
      <alignment vertical="center"/>
    </xf>
    <xf numFmtId="43" fontId="9" fillId="0" borderId="0" xfId="0" applyNumberFormat="1" applyFont="1" applyFill="1" applyBorder="1"/>
    <xf numFmtId="0" fontId="0" fillId="4" borderId="0" xfId="0" applyFill="1"/>
    <xf numFmtId="49" fontId="1" fillId="4" borderId="0" xfId="0" applyNumberFormat="1" applyFont="1" applyFill="1"/>
    <xf numFmtId="49" fontId="0" fillId="4" borderId="0" xfId="0" applyNumberFormat="1" applyFill="1"/>
    <xf numFmtId="43" fontId="16" fillId="4" borderId="0" xfId="0" applyNumberFormat="1" applyFont="1" applyFill="1"/>
    <xf numFmtId="43" fontId="17" fillId="0" borderId="0" xfId="0" applyNumberFormat="1" applyFont="1" applyFill="1"/>
    <xf numFmtId="49" fontId="0" fillId="0" borderId="2" xfId="0" applyNumberFormat="1" applyFont="1" applyBorder="1"/>
    <xf numFmtId="49" fontId="5" fillId="0" borderId="2" xfId="0" applyNumberFormat="1" applyFont="1" applyBorder="1"/>
    <xf numFmtId="43" fontId="0" fillId="0" borderId="0" xfId="0" applyNumberFormat="1"/>
    <xf numFmtId="0" fontId="2" fillId="0" borderId="0" xfId="0" applyFont="1" applyFill="1"/>
    <xf numFmtId="49" fontId="0" fillId="0" borderId="2" xfId="0" applyNumberFormat="1" applyBorder="1"/>
    <xf numFmtId="43" fontId="0" fillId="0" borderId="2" xfId="0" applyNumberFormat="1" applyBorder="1"/>
    <xf numFmtId="43" fontId="2" fillId="0" borderId="2" xfId="0" applyNumberFormat="1" applyFont="1" applyBorder="1"/>
    <xf numFmtId="49" fontId="2" fillId="0" borderId="2" xfId="0" applyNumberFormat="1" applyFont="1" applyBorder="1" applyAlignment="1">
      <alignment horizontal="left"/>
    </xf>
    <xf numFmtId="43" fontId="0" fillId="0" borderId="0" xfId="0" applyNumberFormat="1" applyFill="1" applyBorder="1"/>
    <xf numFmtId="49" fontId="1" fillId="0" borderId="2" xfId="0" applyNumberFormat="1" applyFont="1" applyBorder="1"/>
    <xf numFmtId="0" fontId="14" fillId="4" borderId="0" xfId="0" applyFont="1" applyFill="1"/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43" fontId="18" fillId="4" borderId="0" xfId="0" applyNumberFormat="1" applyFont="1" applyFill="1"/>
    <xf numFmtId="0" fontId="20" fillId="4" borderId="0" xfId="0" applyFont="1" applyFill="1" applyAlignment="1">
      <alignment vertical="center"/>
    </xf>
    <xf numFmtId="43" fontId="18" fillId="4" borderId="3" xfId="0" applyNumberFormat="1" applyFont="1" applyFill="1" applyBorder="1"/>
    <xf numFmtId="43" fontId="2" fillId="4" borderId="0" xfId="0" applyNumberFormat="1" applyFont="1" applyFill="1"/>
    <xf numFmtId="0" fontId="2" fillId="4" borderId="0" xfId="0" applyFont="1" applyFill="1"/>
    <xf numFmtId="0" fontId="19" fillId="4" borderId="0" xfId="0" applyFont="1" applyFill="1" applyAlignment="1">
      <alignment vertical="center"/>
    </xf>
    <xf numFmtId="39" fontId="2" fillId="4" borderId="0" xfId="0" applyNumberFormat="1" applyFont="1" applyFill="1"/>
    <xf numFmtId="49" fontId="0" fillId="5" borderId="2" xfId="0" applyNumberFormat="1" applyFill="1" applyBorder="1"/>
    <xf numFmtId="49" fontId="0" fillId="5" borderId="2" xfId="0" applyNumberFormat="1" applyFont="1" applyFill="1" applyBorder="1"/>
    <xf numFmtId="49" fontId="1" fillId="5" borderId="2" xfId="0" applyNumberFormat="1" applyFont="1" applyFill="1" applyBorder="1"/>
    <xf numFmtId="0" fontId="0" fillId="5" borderId="0" xfId="0" applyFont="1" applyFill="1"/>
    <xf numFmtId="0" fontId="18" fillId="4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545"/>
  <sheetViews>
    <sheetView tabSelected="1" view="pageBreakPreview" zoomScale="70" zoomScaleNormal="85" zoomScaleSheetLayoutView="70" workbookViewId="0">
      <selection activeCell="E55" sqref="E55"/>
    </sheetView>
  </sheetViews>
  <sheetFormatPr defaultColWidth="8.85546875" defaultRowHeight="15" x14ac:dyDescent="0.25"/>
  <cols>
    <col min="1" max="1" width="1.7109375" style="8" customWidth="1"/>
    <col min="2" max="2" width="2.7109375" customWidth="1"/>
    <col min="3" max="3" width="32.7109375" bestFit="1" customWidth="1"/>
    <col min="4" max="15" width="14" customWidth="1"/>
    <col min="16" max="16" width="13.85546875" customWidth="1"/>
    <col min="17" max="20" width="14" customWidth="1"/>
    <col min="21" max="21" width="2.28515625" style="26" customWidth="1"/>
    <col min="22" max="23" width="17.7109375" customWidth="1"/>
    <col min="24" max="24" width="16.7109375" bestFit="1" customWidth="1"/>
    <col min="25" max="25" width="16" style="8" bestFit="1" customWidth="1"/>
    <col min="26" max="26" width="11.28515625" style="8" bestFit="1" customWidth="1"/>
    <col min="27" max="27" width="32.140625" style="8" customWidth="1"/>
    <col min="28" max="28" width="14" style="8" bestFit="1" customWidth="1"/>
    <col min="29" max="29" width="8.85546875" style="8"/>
    <col min="30" max="30" width="14.7109375" style="8" bestFit="1" customWidth="1"/>
    <col min="31" max="31" width="8.85546875" style="8"/>
    <col min="32" max="32" width="12.28515625" style="8" bestFit="1" customWidth="1"/>
    <col min="33" max="16384" width="8.85546875" style="8"/>
  </cols>
  <sheetData>
    <row r="1" spans="1:112" ht="25.9" x14ac:dyDescent="0.5">
      <c r="A1" s="26"/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112" ht="18" x14ac:dyDescent="0.35">
      <c r="A2" s="26"/>
      <c r="B2" s="97" t="s">
        <v>24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112" ht="14.45" x14ac:dyDescent="0.3">
      <c r="A3" s="26"/>
      <c r="B3" s="2"/>
      <c r="C3" s="2"/>
      <c r="V3" s="30"/>
      <c r="W3" s="30"/>
      <c r="X3" s="30"/>
    </row>
    <row r="4" spans="1:112" s="9" customFormat="1" ht="18" x14ac:dyDescent="0.35">
      <c r="A4" s="27"/>
      <c r="B4" s="5"/>
      <c r="C4" s="5"/>
      <c r="D4" s="4">
        <v>41214</v>
      </c>
      <c r="E4" s="4">
        <v>41244</v>
      </c>
      <c r="F4" s="4">
        <v>41275</v>
      </c>
      <c r="G4" s="4">
        <v>41306</v>
      </c>
      <c r="H4" s="4">
        <v>41334</v>
      </c>
      <c r="I4" s="4">
        <v>41365</v>
      </c>
      <c r="J4" s="4">
        <v>41395</v>
      </c>
      <c r="K4" s="4">
        <v>41426</v>
      </c>
      <c r="L4" s="4">
        <v>41456</v>
      </c>
      <c r="M4" s="4">
        <v>41487</v>
      </c>
      <c r="N4" s="4">
        <v>41518</v>
      </c>
      <c r="O4" s="4">
        <v>41548</v>
      </c>
      <c r="P4" s="4">
        <v>41579</v>
      </c>
      <c r="Q4" s="4">
        <v>41609</v>
      </c>
      <c r="R4" s="4">
        <v>41640</v>
      </c>
      <c r="S4" s="4">
        <v>41671</v>
      </c>
      <c r="T4" s="4">
        <v>41913</v>
      </c>
      <c r="U4" s="58"/>
      <c r="V4" s="34" t="s">
        <v>43</v>
      </c>
      <c r="W4" s="34" t="s">
        <v>44</v>
      </c>
      <c r="X4" s="34" t="s">
        <v>45</v>
      </c>
      <c r="Y4" s="70" t="s">
        <v>27</v>
      </c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</row>
    <row r="5" spans="1:112" s="12" customFormat="1" ht="15.6" x14ac:dyDescent="0.3">
      <c r="A5" s="28"/>
      <c r="B5" s="18" t="s">
        <v>1</v>
      </c>
      <c r="C5" s="18"/>
      <c r="D5" s="19">
        <f t="shared" ref="D5:O5" si="0">SUM(D6:D16)</f>
        <v>26663</v>
      </c>
      <c r="E5" s="19">
        <f t="shared" si="0"/>
        <v>0</v>
      </c>
      <c r="F5" s="19">
        <f t="shared" si="0"/>
        <v>28271.5</v>
      </c>
      <c r="G5" s="19">
        <f t="shared" si="0"/>
        <v>13845</v>
      </c>
      <c r="H5" s="19">
        <f t="shared" si="0"/>
        <v>76703.86</v>
      </c>
      <c r="I5" s="19">
        <f t="shared" si="0"/>
        <v>155427.28999999998</v>
      </c>
      <c r="J5" s="19">
        <f t="shared" si="0"/>
        <v>116949.12999999999</v>
      </c>
      <c r="K5" s="19">
        <f t="shared" si="0"/>
        <v>56369.990000000005</v>
      </c>
      <c r="L5" s="19">
        <f t="shared" si="0"/>
        <v>30790.149999999998</v>
      </c>
      <c r="M5" s="19">
        <f t="shared" si="0"/>
        <v>6642.2399999999989</v>
      </c>
      <c r="N5" s="19">
        <f t="shared" si="0"/>
        <v>67443.02</v>
      </c>
      <c r="O5" s="19">
        <f t="shared" si="0"/>
        <v>150039.29999999999</v>
      </c>
      <c r="P5" s="19">
        <f>SUM(P6:P16)</f>
        <v>132261.94</v>
      </c>
      <c r="Q5" s="19">
        <f>SUM(Q6:Q16)</f>
        <v>72554.03</v>
      </c>
      <c r="R5" s="19">
        <f>SUM(R6:R16)</f>
        <v>-2705.45</v>
      </c>
      <c r="S5" s="19">
        <f>SUM(S6:S16)</f>
        <v>0</v>
      </c>
      <c r="T5" s="19">
        <f>SUM(T6:T16)</f>
        <v>-309</v>
      </c>
      <c r="U5" s="59"/>
      <c r="V5" s="19">
        <f t="shared" ref="V5:V19" si="1">SUM(D5:Q5)</f>
        <v>933960.45</v>
      </c>
      <c r="W5" s="19">
        <f>SUM($R5:T5)</f>
        <v>-3014.45</v>
      </c>
      <c r="X5" s="19">
        <f>V5+W5</f>
        <v>930946</v>
      </c>
      <c r="Y5" s="14"/>
      <c r="Z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</row>
    <row r="6" spans="1:112" ht="14.45" x14ac:dyDescent="0.3">
      <c r="A6" s="26"/>
      <c r="B6" s="20"/>
      <c r="C6" s="20" t="s">
        <v>2</v>
      </c>
      <c r="D6" s="21">
        <f>6457+20206</f>
        <v>26663</v>
      </c>
      <c r="E6" s="21">
        <v>0</v>
      </c>
      <c r="F6" s="21">
        <v>22144</v>
      </c>
      <c r="G6" s="21"/>
      <c r="H6" s="21">
        <f>14559+9383</f>
        <v>23942</v>
      </c>
      <c r="I6" s="21">
        <f>-14559+14559+10005+20000</f>
        <v>30005</v>
      </c>
      <c r="J6" s="21">
        <f>-20000+19473+39100</f>
        <v>38573</v>
      </c>
      <c r="K6" s="21">
        <v>27475</v>
      </c>
      <c r="L6" s="21">
        <v>10671</v>
      </c>
      <c r="M6" s="21">
        <f>13467-10671+691.52</f>
        <v>3487.52</v>
      </c>
      <c r="N6" s="21">
        <f>26409+12100</f>
        <v>38509</v>
      </c>
      <c r="O6" s="21">
        <f>-5535+3425</f>
        <v>-2110</v>
      </c>
      <c r="P6" s="21">
        <f>-15525+7600+16648</f>
        <v>8723</v>
      </c>
      <c r="Q6" s="21">
        <f>-16648-7600+16648+8100</f>
        <v>500</v>
      </c>
      <c r="R6" s="76">
        <v>0</v>
      </c>
      <c r="S6" s="76">
        <v>0</v>
      </c>
      <c r="T6" s="29">
        <v>-309</v>
      </c>
      <c r="U6" s="60"/>
      <c r="V6" s="21">
        <f t="shared" si="1"/>
        <v>228582.52</v>
      </c>
      <c r="W6" s="76">
        <f>SUM($R6:T6)</f>
        <v>-309</v>
      </c>
      <c r="X6" s="76">
        <f t="shared" ref="X6:X41" si="2">V6+W6</f>
        <v>228273.52</v>
      </c>
      <c r="Y6" s="48" t="s">
        <v>31</v>
      </c>
      <c r="Z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</row>
    <row r="7" spans="1:112" ht="14.45" x14ac:dyDescent="0.3">
      <c r="A7" s="26"/>
      <c r="B7" s="20"/>
      <c r="C7" s="20" t="s">
        <v>41</v>
      </c>
      <c r="D7" s="21">
        <f>0</f>
        <v>0</v>
      </c>
      <c r="E7" s="21">
        <v>0</v>
      </c>
      <c r="F7" s="21">
        <v>0</v>
      </c>
      <c r="G7" s="21">
        <v>0</v>
      </c>
      <c r="H7" s="21">
        <v>0</v>
      </c>
      <c r="I7" s="21">
        <v>19125</v>
      </c>
      <c r="J7" s="21">
        <v>0</v>
      </c>
      <c r="K7" s="21">
        <v>3293.75</v>
      </c>
      <c r="L7" s="21">
        <v>5000</v>
      </c>
      <c r="M7" s="21">
        <v>4675</v>
      </c>
      <c r="N7" s="21">
        <f>-5000+10000</f>
        <v>5000</v>
      </c>
      <c r="O7" s="21">
        <f>-10000+24000</f>
        <v>14000</v>
      </c>
      <c r="P7" s="21">
        <v>0</v>
      </c>
      <c r="Q7" s="21">
        <f>-24000+35956.13</f>
        <v>11956.129999999997</v>
      </c>
      <c r="R7" s="76">
        <v>0</v>
      </c>
      <c r="S7" s="76">
        <v>0</v>
      </c>
      <c r="T7" s="76">
        <v>0</v>
      </c>
      <c r="U7" s="60"/>
      <c r="V7" s="21">
        <f t="shared" si="1"/>
        <v>63049.88</v>
      </c>
      <c r="W7" s="76">
        <f>SUM($R7:T7)</f>
        <v>0</v>
      </c>
      <c r="X7" s="76">
        <f t="shared" si="2"/>
        <v>63049.88</v>
      </c>
      <c r="Y7" s="48" t="s">
        <v>3</v>
      </c>
      <c r="Z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</row>
    <row r="8" spans="1:112" ht="14.45" x14ac:dyDescent="0.3">
      <c r="A8" s="26"/>
      <c r="B8" s="20"/>
      <c r="C8" s="20" t="s">
        <v>36</v>
      </c>
      <c r="D8" s="21">
        <v>0</v>
      </c>
      <c r="E8" s="21">
        <v>0</v>
      </c>
      <c r="F8" s="21">
        <v>6127.5</v>
      </c>
      <c r="G8" s="21">
        <f>-6127.5+5782.5+14190</f>
        <v>13845</v>
      </c>
      <c r="H8" s="21">
        <f>-14190+13902.5+36462.5</f>
        <v>36175</v>
      </c>
      <c r="I8" s="21">
        <f>-36462.5+12162.5+37555</f>
        <v>13255</v>
      </c>
      <c r="J8" s="21">
        <v>6917.5</v>
      </c>
      <c r="K8" s="21">
        <f>-6917.5+6917.5</f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76">
        <v>0</v>
      </c>
      <c r="S8" s="76">
        <v>0</v>
      </c>
      <c r="T8" s="76">
        <v>0</v>
      </c>
      <c r="U8" s="29"/>
      <c r="V8" s="21">
        <f>SUM(D8:R8)</f>
        <v>76320</v>
      </c>
      <c r="W8" s="76">
        <f>SUM($R8:T8)</f>
        <v>0</v>
      </c>
      <c r="X8" s="76">
        <f t="shared" si="2"/>
        <v>76320</v>
      </c>
      <c r="Y8" s="48" t="s">
        <v>32</v>
      </c>
      <c r="Z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</row>
    <row r="9" spans="1:112" ht="14.45" x14ac:dyDescent="0.3">
      <c r="A9" s="26"/>
      <c r="B9" s="20"/>
      <c r="C9" s="20" t="s">
        <v>42</v>
      </c>
      <c r="D9" s="21">
        <f>0</f>
        <v>0</v>
      </c>
      <c r="E9" s="21">
        <v>0</v>
      </c>
      <c r="F9" s="21">
        <v>0</v>
      </c>
      <c r="G9" s="21">
        <v>0</v>
      </c>
      <c r="H9" s="21">
        <v>0</v>
      </c>
      <c r="I9" s="21">
        <f>22869+1309.68+14866</f>
        <v>39044.68</v>
      </c>
      <c r="J9" s="21">
        <f>-14866+14269.5+596.63+35506.11</f>
        <v>35506.239999999998</v>
      </c>
      <c r="K9" s="21">
        <f>1450.11+34056-35506.11+18740.5</f>
        <v>18740.5</v>
      </c>
      <c r="L9" s="21">
        <f>615.94+18124.5+10000-18740.5</f>
        <v>9999.9399999999987</v>
      </c>
      <c r="M9" s="21">
        <f>18124.5+615.94+2898-18124.5-615.94+3000-10000</f>
        <v>-4102.0000000000018</v>
      </c>
      <c r="N9" s="21">
        <f>-3000+2646+12150</f>
        <v>11796</v>
      </c>
      <c r="O9" s="21">
        <f>12201-12150+41000+22000</f>
        <v>63051</v>
      </c>
      <c r="P9" s="21">
        <v>62784</v>
      </c>
      <c r="Q9" s="21">
        <v>5196.3900000000003</v>
      </c>
      <c r="R9" s="76">
        <f>-2775+69.55</f>
        <v>-2705.45</v>
      </c>
      <c r="S9" s="76">
        <v>0</v>
      </c>
      <c r="T9" s="76">
        <v>0</v>
      </c>
      <c r="U9" s="60"/>
      <c r="V9" s="21">
        <f t="shared" si="1"/>
        <v>242016.75</v>
      </c>
      <c r="W9" s="76">
        <f>SUM($R9:T9)</f>
        <v>-2705.45</v>
      </c>
      <c r="X9" s="76">
        <f t="shared" si="2"/>
        <v>239311.3</v>
      </c>
      <c r="Y9" s="48" t="s">
        <v>4</v>
      </c>
      <c r="Z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</row>
    <row r="10" spans="1:112" ht="14.45" x14ac:dyDescent="0.3">
      <c r="A10" s="26"/>
      <c r="B10" s="20"/>
      <c r="C10" s="20" t="s">
        <v>29</v>
      </c>
      <c r="D10" s="21">
        <f>0</f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7587.56</v>
      </c>
      <c r="P10" s="76">
        <v>14727.76</v>
      </c>
      <c r="Q10" s="21">
        <v>0</v>
      </c>
      <c r="R10" s="76">
        <v>0</v>
      </c>
      <c r="S10" s="76">
        <v>0</v>
      </c>
      <c r="T10" s="76">
        <v>0</v>
      </c>
      <c r="U10" s="60"/>
      <c r="V10" s="21">
        <f>SUM(D10:R10)</f>
        <v>22315.32</v>
      </c>
      <c r="W10" s="76">
        <f>SUM($R10:T10)</f>
        <v>0</v>
      </c>
      <c r="X10" s="76">
        <f t="shared" si="2"/>
        <v>22315.32</v>
      </c>
      <c r="Y10" s="48" t="s">
        <v>5</v>
      </c>
      <c r="Z10" s="15"/>
      <c r="AA10" s="15"/>
      <c r="AB10" s="80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</row>
    <row r="11" spans="1:112" ht="15.6" x14ac:dyDescent="0.3">
      <c r="A11" s="26"/>
      <c r="B11" s="20"/>
      <c r="C11" s="20" t="s">
        <v>37</v>
      </c>
      <c r="D11" s="21">
        <f>0</f>
        <v>0</v>
      </c>
      <c r="E11" s="21">
        <v>0</v>
      </c>
      <c r="F11" s="21">
        <v>0</v>
      </c>
      <c r="G11" s="21">
        <v>0</v>
      </c>
      <c r="H11" s="21"/>
      <c r="I11" s="21">
        <v>47000</v>
      </c>
      <c r="J11" s="21">
        <f>-47000+45850.13+5600</f>
        <v>4450.1299999999974</v>
      </c>
      <c r="K11" s="21">
        <f>5509.16-5600</f>
        <v>-90.840000000000146</v>
      </c>
      <c r="L11" s="21">
        <v>1500</v>
      </c>
      <c r="M11" s="21">
        <f>1498+368-1500</f>
        <v>366</v>
      </c>
      <c r="N11" s="21">
        <v>-368</v>
      </c>
      <c r="O11" s="21">
        <v>3450</v>
      </c>
      <c r="P11" s="21">
        <v>20926.3</v>
      </c>
      <c r="Q11" s="21">
        <v>-400.01</v>
      </c>
      <c r="R11" s="76">
        <v>0</v>
      </c>
      <c r="S11" s="76">
        <v>0</v>
      </c>
      <c r="T11" s="76">
        <v>0</v>
      </c>
      <c r="U11" s="60"/>
      <c r="V11" s="21">
        <f>SUM(D11:R11)</f>
        <v>76833.58</v>
      </c>
      <c r="W11" s="76">
        <f>SUM($R11:T11)</f>
        <v>0</v>
      </c>
      <c r="X11" s="76">
        <f t="shared" si="2"/>
        <v>76833.58</v>
      </c>
      <c r="Y11" s="48" t="s">
        <v>6</v>
      </c>
      <c r="Z11" s="15"/>
      <c r="AB11" s="81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</row>
    <row r="12" spans="1:112" ht="14.45" x14ac:dyDescent="0.3">
      <c r="A12" s="26"/>
      <c r="B12" s="2"/>
      <c r="C12" s="2" t="s">
        <v>38</v>
      </c>
      <c r="D12" s="1">
        <f>0</f>
        <v>0</v>
      </c>
      <c r="E12" s="21">
        <v>0</v>
      </c>
      <c r="F12" s="21">
        <v>0</v>
      </c>
      <c r="G12" s="21">
        <v>0</v>
      </c>
      <c r="H12" s="1">
        <v>7586.86</v>
      </c>
      <c r="I12" s="1">
        <f>-7586.86+7586.86+1787.61+5300</f>
        <v>7087.61</v>
      </c>
      <c r="J12" s="1">
        <f>-5300+5024.48+9270+3192.78</f>
        <v>12187.26</v>
      </c>
      <c r="K12" s="1">
        <f>3192.78-3192.78+2889.5</f>
        <v>2889.5</v>
      </c>
      <c r="L12" s="1">
        <f>2889.71+688-2889.5</f>
        <v>688.21</v>
      </c>
      <c r="M12" s="1">
        <f>2889.71+687.72-2889.71+2526-688</f>
        <v>2525.7200000000003</v>
      </c>
      <c r="N12" s="1">
        <f>-2526+2526.02+12131</f>
        <v>12131.02</v>
      </c>
      <c r="O12" s="1">
        <f>-12131+11098+13513.74</f>
        <v>12480.74</v>
      </c>
      <c r="P12" s="1">
        <v>0.16</v>
      </c>
      <c r="Q12" s="1">
        <v>0</v>
      </c>
      <c r="R12" s="73">
        <v>0</v>
      </c>
      <c r="S12" s="76">
        <v>0</v>
      </c>
      <c r="T12" s="76">
        <v>0</v>
      </c>
      <c r="U12" s="60"/>
      <c r="V12" s="29">
        <f t="shared" si="1"/>
        <v>57577.079999999994</v>
      </c>
      <c r="W12" s="76">
        <f>SUM($R12:T12)</f>
        <v>0</v>
      </c>
      <c r="X12" s="29">
        <f t="shared" si="2"/>
        <v>57577.079999999994</v>
      </c>
      <c r="Y12" s="48" t="s">
        <v>33</v>
      </c>
      <c r="Z12" s="15"/>
      <c r="AB12" s="80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</row>
    <row r="13" spans="1:112" ht="14.45" x14ac:dyDescent="0.3">
      <c r="A13" s="26"/>
      <c r="B13" s="20"/>
      <c r="C13" s="20" t="s">
        <v>7</v>
      </c>
      <c r="D13" s="21">
        <f>0</f>
        <v>0</v>
      </c>
      <c r="E13" s="21">
        <v>0</v>
      </c>
      <c r="F13" s="21">
        <v>0</v>
      </c>
      <c r="G13" s="21">
        <v>0</v>
      </c>
      <c r="H13" s="21">
        <v>4500</v>
      </c>
      <c r="I13" s="21">
        <f>3410-4500</f>
        <v>-1090</v>
      </c>
      <c r="J13" s="21">
        <f>-3410+15100</f>
        <v>11690</v>
      </c>
      <c r="K13" s="21">
        <f>-15100+14742.25+310</f>
        <v>-47.75</v>
      </c>
      <c r="L13" s="21">
        <f>2491-310</f>
        <v>2181</v>
      </c>
      <c r="M13" s="21">
        <f>2181-2491</f>
        <v>-310</v>
      </c>
      <c r="N13" s="21">
        <v>2250</v>
      </c>
      <c r="O13" s="21">
        <f>-2250+29250</f>
        <v>27000</v>
      </c>
      <c r="P13" s="21">
        <f>11250-29250+31824.72</f>
        <v>13824.720000000001</v>
      </c>
      <c r="Q13" s="21">
        <f>-11250+17190.62</f>
        <v>5940.619999999999</v>
      </c>
      <c r="R13" s="76">
        <v>0</v>
      </c>
      <c r="S13" s="76">
        <v>0</v>
      </c>
      <c r="T13" s="76">
        <v>0</v>
      </c>
      <c r="U13" s="60"/>
      <c r="V13" s="21">
        <f t="shared" si="1"/>
        <v>65938.59</v>
      </c>
      <c r="W13" s="76">
        <f>SUM($R13:T13)</f>
        <v>0</v>
      </c>
      <c r="X13" s="76">
        <f t="shared" si="2"/>
        <v>65938.59</v>
      </c>
      <c r="Y13" s="48" t="s">
        <v>34</v>
      </c>
      <c r="Z13" s="15"/>
      <c r="AB13" s="7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</row>
    <row r="14" spans="1:112" ht="13.9" customHeight="1" x14ac:dyDescent="0.3">
      <c r="A14" s="26"/>
      <c r="B14" s="22"/>
      <c r="C14" s="22" t="s">
        <v>30</v>
      </c>
      <c r="D14" s="23">
        <f>0</f>
        <v>0</v>
      </c>
      <c r="E14" s="21">
        <v>0</v>
      </c>
      <c r="F14" s="21">
        <v>0</v>
      </c>
      <c r="G14" s="21">
        <v>0</v>
      </c>
      <c r="H14" s="23">
        <v>4500</v>
      </c>
      <c r="I14" s="23">
        <f>5500-4500</f>
        <v>1000</v>
      </c>
      <c r="J14" s="23">
        <f>-5500+13125</f>
        <v>7625</v>
      </c>
      <c r="K14" s="23">
        <f>-13125+16109.83+1125</f>
        <v>4109.83</v>
      </c>
      <c r="L14" s="23">
        <f>1875-1125</f>
        <v>750</v>
      </c>
      <c r="M14" s="23">
        <f>1875-1875</f>
        <v>0</v>
      </c>
      <c r="N14" s="23">
        <v>-1875</v>
      </c>
      <c r="O14" s="23">
        <v>24580</v>
      </c>
      <c r="P14" s="23">
        <f>7451+3200</f>
        <v>10651</v>
      </c>
      <c r="Q14" s="23">
        <f>-3200-7451-24580+24580+9234.3</f>
        <v>-1416.7000000000007</v>
      </c>
      <c r="R14" s="23">
        <v>0</v>
      </c>
      <c r="S14" s="76">
        <v>0</v>
      </c>
      <c r="T14" s="76">
        <v>0</v>
      </c>
      <c r="U14" s="60"/>
      <c r="V14" s="23">
        <f t="shared" si="1"/>
        <v>49924.130000000005</v>
      </c>
      <c r="W14" s="76">
        <f>SUM($R14:T14)</f>
        <v>0</v>
      </c>
      <c r="X14" s="23">
        <f t="shared" si="2"/>
        <v>49924.130000000005</v>
      </c>
      <c r="Y14" s="48" t="s">
        <v>35</v>
      </c>
      <c r="Z14" s="15"/>
      <c r="AB14" s="7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</row>
    <row r="15" spans="1:112" ht="13.9" customHeight="1" x14ac:dyDescent="0.3">
      <c r="A15" s="26"/>
      <c r="B15" s="22"/>
      <c r="C15" s="22" t="s">
        <v>28</v>
      </c>
      <c r="D15" s="23">
        <f>0</f>
        <v>0</v>
      </c>
      <c r="E15" s="23">
        <f>0</f>
        <v>0</v>
      </c>
      <c r="F15" s="23">
        <f>0</f>
        <v>0</v>
      </c>
      <c r="G15" s="23">
        <f>0</f>
        <v>0</v>
      </c>
      <c r="H15" s="23">
        <f>0</f>
        <v>0</v>
      </c>
      <c r="I15" s="23">
        <f>0</f>
        <v>0</v>
      </c>
      <c r="J15" s="23">
        <f>0</f>
        <v>0</v>
      </c>
      <c r="K15" s="23">
        <f>0</f>
        <v>0</v>
      </c>
      <c r="L15" s="23">
        <f>0</f>
        <v>0</v>
      </c>
      <c r="M15" s="23">
        <f>0</f>
        <v>0</v>
      </c>
      <c r="N15" s="23">
        <f>0</f>
        <v>0</v>
      </c>
      <c r="O15" s="23">
        <f>0</f>
        <v>0</v>
      </c>
      <c r="P15" s="23">
        <v>625</v>
      </c>
      <c r="Q15" s="23">
        <v>0</v>
      </c>
      <c r="R15" s="23">
        <v>0</v>
      </c>
      <c r="S15" s="76">
        <v>0</v>
      </c>
      <c r="T15" s="76">
        <v>0</v>
      </c>
      <c r="U15" s="60"/>
      <c r="V15" s="23">
        <f t="shared" si="1"/>
        <v>625</v>
      </c>
      <c r="W15" s="76">
        <f>SUM($R15:T15)</f>
        <v>0</v>
      </c>
      <c r="X15" s="23">
        <f t="shared" si="2"/>
        <v>625</v>
      </c>
      <c r="Y15" s="48"/>
      <c r="Z15" s="15"/>
      <c r="AB15" s="7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</row>
    <row r="16" spans="1:112" ht="14.45" x14ac:dyDescent="0.3">
      <c r="A16" s="26"/>
      <c r="B16" s="22"/>
      <c r="C16" s="22" t="s">
        <v>46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50777.599999999999</v>
      </c>
      <c r="R16" s="23">
        <v>0</v>
      </c>
      <c r="S16" s="76">
        <v>0</v>
      </c>
      <c r="T16" s="76">
        <v>0</v>
      </c>
      <c r="U16" s="79"/>
      <c r="V16" s="23">
        <f>SUM(D16:R16)</f>
        <v>50777.599999999999</v>
      </c>
      <c r="W16" s="76">
        <f>SUM($R16:T16)</f>
        <v>0</v>
      </c>
      <c r="X16" s="23">
        <f t="shared" si="2"/>
        <v>50777.599999999999</v>
      </c>
      <c r="Y16" s="48" t="s">
        <v>47</v>
      </c>
      <c r="Z16" s="15"/>
      <c r="AB16" s="7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</row>
    <row r="17" spans="1:112" s="12" customFormat="1" ht="15.6" x14ac:dyDescent="0.3">
      <c r="A17" s="28"/>
      <c r="B17" s="24" t="s">
        <v>8</v>
      </c>
      <c r="C17" s="24"/>
      <c r="D17" s="25">
        <f>SUM(D18:D20)</f>
        <v>0</v>
      </c>
      <c r="E17" s="25">
        <f t="shared" ref="E17:S17" si="3">SUM(E18:E20)</f>
        <v>0</v>
      </c>
      <c r="F17" s="25">
        <f t="shared" si="3"/>
        <v>0</v>
      </c>
      <c r="G17" s="25">
        <f t="shared" si="3"/>
        <v>179341.44</v>
      </c>
      <c r="H17" s="25">
        <f t="shared" si="3"/>
        <v>143133.60999999999</v>
      </c>
      <c r="I17" s="25">
        <f t="shared" si="3"/>
        <v>173335.99</v>
      </c>
      <c r="J17" s="25">
        <f t="shared" si="3"/>
        <v>243410.49000000002</v>
      </c>
      <c r="K17" s="25">
        <f t="shared" si="3"/>
        <v>212348.21000000002</v>
      </c>
      <c r="L17" s="25">
        <f t="shared" si="3"/>
        <v>138968.39000000001</v>
      </c>
      <c r="M17" s="25">
        <f t="shared" si="3"/>
        <v>187314.75</v>
      </c>
      <c r="N17" s="25">
        <f t="shared" si="3"/>
        <v>182787.96</v>
      </c>
      <c r="O17" s="25">
        <f t="shared" si="3"/>
        <v>260477.32</v>
      </c>
      <c r="P17" s="25">
        <f t="shared" si="3"/>
        <v>334145.03000000003</v>
      </c>
      <c r="Q17" s="25">
        <f t="shared" si="3"/>
        <v>231022.91</v>
      </c>
      <c r="R17" s="77">
        <f t="shared" si="3"/>
        <v>53873.49</v>
      </c>
      <c r="S17" s="77">
        <f t="shared" si="3"/>
        <v>0</v>
      </c>
      <c r="T17" s="77">
        <f t="shared" ref="T17" si="4">SUM(T18:T20)</f>
        <v>0</v>
      </c>
      <c r="U17" s="59"/>
      <c r="V17" s="25">
        <f t="shared" si="1"/>
        <v>2286286.1</v>
      </c>
      <c r="W17" s="77">
        <f>SUM($R17:T17)</f>
        <v>53873.49</v>
      </c>
      <c r="X17" s="77">
        <f t="shared" si="2"/>
        <v>2340159.5900000003</v>
      </c>
      <c r="Y17" s="14"/>
      <c r="Z17" s="14"/>
      <c r="AA17" s="14"/>
      <c r="AB17" s="75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</row>
    <row r="18" spans="1:112" ht="14.45" x14ac:dyDescent="0.3">
      <c r="A18" s="26"/>
      <c r="B18" s="20"/>
      <c r="C18" s="20" t="s">
        <v>9</v>
      </c>
      <c r="D18" s="21"/>
      <c r="E18" s="21">
        <v>0</v>
      </c>
      <c r="F18" s="21">
        <v>0</v>
      </c>
      <c r="G18" s="21">
        <f>80245.5+727.96</f>
        <v>80973.460000000006</v>
      </c>
      <c r="H18" s="21">
        <f>71734+411.64</f>
        <v>72145.64</v>
      </c>
      <c r="I18" s="21">
        <f>-71734+71734+96024.5+1302.14</f>
        <v>97326.64</v>
      </c>
      <c r="J18" s="21">
        <f>123614+449.76</f>
        <v>124063.76</v>
      </c>
      <c r="K18" s="21">
        <f>521.66+134709</f>
        <v>135230.66</v>
      </c>
      <c r="L18" s="21">
        <f>98633.5+490.35</f>
        <v>99123.85</v>
      </c>
      <c r="M18" s="21">
        <f>98633.5+102.74+108731.5-98633.5</f>
        <v>108834.23999999999</v>
      </c>
      <c r="N18" s="21">
        <f>109228+1133.51</f>
        <v>110361.51</v>
      </c>
      <c r="O18" s="21">
        <f>2438.37+134202.5</f>
        <v>136640.87</v>
      </c>
      <c r="P18" s="21">
        <v>157543.45000000001</v>
      </c>
      <c r="Q18" s="21">
        <v>222870.41</v>
      </c>
      <c r="R18" s="76">
        <f>1473.04+48417.5+1984.5</f>
        <v>51875.040000000001</v>
      </c>
      <c r="S18" s="76">
        <v>0</v>
      </c>
      <c r="T18" s="76">
        <v>0</v>
      </c>
      <c r="U18" s="60"/>
      <c r="V18" s="21">
        <f t="shared" si="1"/>
        <v>1345114.49</v>
      </c>
      <c r="W18" s="76">
        <f>SUM($R18:T18)</f>
        <v>51875.040000000001</v>
      </c>
      <c r="X18" s="76">
        <f t="shared" si="2"/>
        <v>1396989.53</v>
      </c>
      <c r="Y18" s="15"/>
      <c r="Z18" s="15"/>
      <c r="AA18" s="15"/>
      <c r="AB18" s="7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</row>
    <row r="19" spans="1:112" ht="14.45" x14ac:dyDescent="0.3">
      <c r="A19" s="26"/>
      <c r="B19" s="20"/>
      <c r="C19" s="91"/>
      <c r="D19" s="21"/>
      <c r="E19" s="21">
        <v>0</v>
      </c>
      <c r="F19" s="21">
        <v>0</v>
      </c>
      <c r="G19" s="21">
        <f>42520.5+108.24+37395</f>
        <v>80023.739999999991</v>
      </c>
      <c r="H19" s="21">
        <f>-37395+36234+1162.47+45490.5</f>
        <v>45491.97</v>
      </c>
      <c r="I19" s="21">
        <f>-36234+36234-45490.5+45490.5+154.57+45837</f>
        <v>45991.57</v>
      </c>
      <c r="J19" s="21">
        <f>543.57+87475.25</f>
        <v>88018.82</v>
      </c>
      <c r="K19" s="21">
        <f>1235.8+87451-87475.25+57688.5</f>
        <v>58900.05</v>
      </c>
      <c r="L19" s="21">
        <f>58858.5+667.46+26334-57688.5</f>
        <v>28171.459999999992</v>
      </c>
      <c r="M19" s="21">
        <f>58858.5+667.46+49.95+26334-667.46-58858.5-26334+54351</f>
        <v>54400.95</v>
      </c>
      <c r="N19" s="21">
        <f>30.45+59796</f>
        <v>59826.45</v>
      </c>
      <c r="O19" s="21">
        <f>87270+21.45</f>
        <v>87291.45</v>
      </c>
      <c r="P19" s="21">
        <v>119117.39000000003</v>
      </c>
      <c r="Q19" s="21">
        <v>6682.5</v>
      </c>
      <c r="R19" s="76">
        <f>-6682.5+1997.4+1.05+6682.5</f>
        <v>1998.4499999999998</v>
      </c>
      <c r="S19" s="76">
        <v>0</v>
      </c>
      <c r="T19" s="76">
        <v>0</v>
      </c>
      <c r="U19" s="60"/>
      <c r="V19" s="21">
        <f t="shared" si="1"/>
        <v>673916.35</v>
      </c>
      <c r="W19" s="76">
        <f>SUM($R19:T19)</f>
        <v>1998.4499999999998</v>
      </c>
      <c r="X19" s="76">
        <f t="shared" si="2"/>
        <v>675914.79999999993</v>
      </c>
      <c r="Y19" s="15"/>
      <c r="Z19" s="15"/>
      <c r="AA19" s="15"/>
      <c r="AB19" s="7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</row>
    <row r="20" spans="1:112" ht="14.45" x14ac:dyDescent="0.3">
      <c r="A20" s="26"/>
      <c r="B20" s="20"/>
      <c r="C20" s="91"/>
      <c r="D20" s="21"/>
      <c r="E20" s="21">
        <v>0</v>
      </c>
      <c r="F20" s="21">
        <v>0</v>
      </c>
      <c r="G20" s="21">
        <f>10465+319.24+7560</f>
        <v>18344.239999999998</v>
      </c>
      <c r="H20" s="21">
        <f>-7560+7560+25496</f>
        <v>25496</v>
      </c>
      <c r="I20" s="21">
        <f>-7560+7560-25496+23765+1731.78+30017</f>
        <v>30017.78</v>
      </c>
      <c r="J20" s="21">
        <f>-30017+29330+686.4+31328.51</f>
        <v>31327.91</v>
      </c>
      <c r="K20" s="21">
        <f>1508.51+29820-31328.51+18217.5</f>
        <v>18217.5</v>
      </c>
      <c r="L20" s="21">
        <f>17640+577.58+11673-18217.5</f>
        <v>11673.080000000002</v>
      </c>
      <c r="M20" s="21">
        <f>17640+577.58+11305+367.56-577.58-17640+24080-11673</f>
        <v>24079.559999999998</v>
      </c>
      <c r="N20" s="21">
        <v>12600</v>
      </c>
      <c r="O20" s="21">
        <v>36545</v>
      </c>
      <c r="P20" s="21">
        <v>57484.19</v>
      </c>
      <c r="Q20" s="21">
        <v>1470</v>
      </c>
      <c r="R20" s="76">
        <f>-1470+1470</f>
        <v>0</v>
      </c>
      <c r="S20" s="76">
        <v>0</v>
      </c>
      <c r="T20" s="76">
        <v>0</v>
      </c>
      <c r="U20" s="60"/>
      <c r="V20" s="21">
        <f>SUM(D20:R20)</f>
        <v>267255.26</v>
      </c>
      <c r="W20" s="76">
        <f>SUM($R20:T20)</f>
        <v>0</v>
      </c>
      <c r="X20" s="76">
        <f t="shared" si="2"/>
        <v>267255.26</v>
      </c>
      <c r="Y20" s="15"/>
      <c r="Z20" s="15"/>
      <c r="AA20" s="15"/>
      <c r="AB20" s="7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</row>
    <row r="21" spans="1:112" s="54" customFormat="1" ht="23.45" customHeight="1" x14ac:dyDescent="0.3">
      <c r="A21" s="49"/>
      <c r="B21" s="50" t="s">
        <v>10</v>
      </c>
      <c r="C21" s="51"/>
      <c r="D21" s="52">
        <f>0</f>
        <v>0</v>
      </c>
      <c r="E21" s="52">
        <f>0</f>
        <v>0</v>
      </c>
      <c r="F21" s="52">
        <f>574.71+302.33+101.2</f>
        <v>978.24</v>
      </c>
      <c r="G21" s="52">
        <f>23.65+734.75+467.24</f>
        <v>1225.6399999999999</v>
      </c>
      <c r="H21" s="52">
        <f>153.18+155.33+155.33+85.14+54.36+138.25+268.75+12.9+430+62.01+186.52+175.26</f>
        <v>1877.03</v>
      </c>
      <c r="I21" s="52">
        <f>-42.96-40.68-8.5-2.01+171.2+187.5+19.52+67.53+7.62+62.27+26.82+10.88+35.32+376.88+214.7+229.11+94.22+94.22-85.14-430-138.25-268.75-12.9-54.36+54.36+54.36+173.25+150.75+32.25+138.25+12.9+200+59.17+13+12.17+29+85.14+268.75+130</f>
        <v>1927.5900000000001</v>
      </c>
      <c r="J21" s="52">
        <f>192.1+166.14+332.28+206.23+29.14+139.35+49.95+73.69+205.22+865.32+820.49+15.59+50+49.16+1017.18-710.12+145.13+1296.8+13.9+45+34.67+6.77+12.43+61.78+6.77+50.42+48.92+46.26+22.91+50.29</f>
        <v>5343.7700000000013</v>
      </c>
      <c r="K21" s="52">
        <f>522.64+45.4+196+80.58+207-206.23+94.98+210.48+31.2</f>
        <v>1182.05</v>
      </c>
      <c r="L21" s="52">
        <f>69.86+26.77+-1296.8-94.98-94.98+110+70.95+138.95+108.34+159.95+172+69+50.13+28.55+122.63+122.63+48.86+13.74+224.31+6.77+10.3+47.82+6.63+190.64+204.29+174.5+165.83+186+252.63+107.5+300.04+96.39+29.7+11.83+41.94+57.46+106.01+20.96+7.09+7.09+23.32+26+23.32+122.97</f>
        <v>2276.9400000000005</v>
      </c>
      <c r="M21" s="52">
        <f>10.44+6.82+13.25+9.74+11.02+107.51+19.57+12.99+446.28+190.58+149.31+190.13+190.13+190.13+190.13+190.13+30.78+87.5+6.77+28.34+64.9+197.22+19.91+43.95+132.72+43.55+21+123.86+89.61+190.13+190.13+113.37+224.31+190.13+190.13+1257.07+87.5+87.5+49.16+50.96+306.57+20.49+9.28+107.2+49.67+51.61+121.16+61.04</f>
        <v>6175.6799999999994</v>
      </c>
      <c r="N21" s="52">
        <f>9.94+59.56+578.49+651.78+569.61+114.27+57.34+91.79+15.74+94.6+89.59-446.28+207.74+347.16+66.81+220.35+35.32+1598.52</f>
        <v>4362.33</v>
      </c>
      <c r="O21" s="52">
        <f>2639.15-528.71</f>
        <v>2110.44</v>
      </c>
      <c r="P21" s="52">
        <f>126.21+16.21+6.45+8.17+6.45+33.56+13.58+52+55.14+45.64+62.95+82.71+134.97+173.25+133.88+59.56+340.97+336.48-59.56+224.31+278.88+137.17+371.63+5103.2+863.62+1162.63</f>
        <v>9770.0600000000013</v>
      </c>
      <c r="Q21" s="52">
        <f>79.78+25.99+38.44+5-11.83-20-25.36-121.59-61.86-1.39-22.53-11.83-10.76-39.12-10.76+37287.76+155.97+106.63+256+14.94+417.26+26.75+80+417.26+401.01+140.74+197.86+426.42+107.12+702.02+419.26+746.39+207.4+256.1+706.98+1426.16+1250.77+1239.92+169.86+424.33-278.88+4+1404.34-863.62-340.97-(82.71+134.97+173.25+133.88+59.56)</f>
        <v>46737.590000000004</v>
      </c>
      <c r="R21" s="52">
        <v>0</v>
      </c>
      <c r="S21" s="52">
        <v>0</v>
      </c>
      <c r="T21" s="52">
        <v>0</v>
      </c>
      <c r="U21" s="61"/>
      <c r="V21" s="52">
        <f t="shared" ref="V21:V26" si="5">SUM(D21:Q21)</f>
        <v>83967.360000000001</v>
      </c>
      <c r="W21" s="77">
        <f>SUM($R21:T21)</f>
        <v>0</v>
      </c>
      <c r="X21" s="52">
        <f t="shared" si="2"/>
        <v>83967.360000000001</v>
      </c>
      <c r="Y21" s="14"/>
      <c r="Z21" s="53"/>
      <c r="AA21" s="53"/>
      <c r="AB21" s="75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</row>
    <row r="22" spans="1:112" s="12" customFormat="1" ht="15.6" x14ac:dyDescent="0.3">
      <c r="A22" s="28"/>
      <c r="B22" s="24" t="s">
        <v>11</v>
      </c>
      <c r="C22" s="24"/>
      <c r="D22" s="25">
        <f>SUM(D23:D28)</f>
        <v>0</v>
      </c>
      <c r="E22" s="25">
        <f>SUM(E23:E29)</f>
        <v>193.44</v>
      </c>
      <c r="F22" s="25">
        <f t="shared" ref="F22:S22" si="6">SUM(F23:F29)</f>
        <v>731</v>
      </c>
      <c r="G22" s="25">
        <f t="shared" si="6"/>
        <v>0</v>
      </c>
      <c r="H22" s="25">
        <f t="shared" si="6"/>
        <v>9767.35</v>
      </c>
      <c r="I22" s="25">
        <f t="shared" si="6"/>
        <v>17021.72</v>
      </c>
      <c r="J22" s="25">
        <f t="shared" si="6"/>
        <v>38547.57</v>
      </c>
      <c r="K22" s="25">
        <f t="shared" si="6"/>
        <v>17873.939999999999</v>
      </c>
      <c r="L22" s="25">
        <f t="shared" si="6"/>
        <v>18224.77</v>
      </c>
      <c r="M22" s="25">
        <f t="shared" si="6"/>
        <v>292626.13</v>
      </c>
      <c r="N22" s="25">
        <f t="shared" si="6"/>
        <v>1978.1800000000076</v>
      </c>
      <c r="O22" s="25">
        <f t="shared" si="6"/>
        <v>30848.99</v>
      </c>
      <c r="P22" s="25">
        <f t="shared" si="6"/>
        <v>19503.91</v>
      </c>
      <c r="Q22" s="25">
        <f t="shared" si="6"/>
        <v>5601.57</v>
      </c>
      <c r="R22" s="77">
        <f t="shared" si="6"/>
        <v>743.46</v>
      </c>
      <c r="S22" s="77">
        <f t="shared" si="6"/>
        <v>0</v>
      </c>
      <c r="T22" s="77">
        <f t="shared" ref="T22" si="7">SUM(T23:T29)</f>
        <v>0</v>
      </c>
      <c r="U22" s="62"/>
      <c r="V22" s="25">
        <f t="shared" si="5"/>
        <v>452918.57</v>
      </c>
      <c r="W22" s="77">
        <f>SUM($R22:T22)</f>
        <v>743.46</v>
      </c>
      <c r="X22" s="77">
        <f t="shared" si="2"/>
        <v>453662.03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</row>
    <row r="23" spans="1:112" ht="14.45" x14ac:dyDescent="0.3">
      <c r="A23" s="26"/>
      <c r="B23" s="20"/>
      <c r="C23" s="22" t="s">
        <v>12</v>
      </c>
      <c r="D23" s="23">
        <f>0</f>
        <v>0</v>
      </c>
      <c r="E23" s="21">
        <v>0</v>
      </c>
      <c r="F23" s="21">
        <v>0</v>
      </c>
      <c r="G23" s="21">
        <v>0</v>
      </c>
      <c r="H23" s="23">
        <f>242.13+78.94</f>
        <v>321.07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76">
        <v>0</v>
      </c>
      <c r="T23" s="76">
        <v>0</v>
      </c>
      <c r="U23" s="60"/>
      <c r="V23" s="23">
        <f>SUM(D23:R23)</f>
        <v>321.07</v>
      </c>
      <c r="W23" s="76">
        <f>SUM($R23:T23)</f>
        <v>0</v>
      </c>
      <c r="X23" s="23">
        <f t="shared" si="2"/>
        <v>321.07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</row>
    <row r="24" spans="1:112" ht="14.45" x14ac:dyDescent="0.3">
      <c r="A24" s="26"/>
      <c r="B24" s="20"/>
      <c r="C24" s="20" t="s">
        <v>13</v>
      </c>
      <c r="D24" s="21">
        <f>0</f>
        <v>0</v>
      </c>
      <c r="E24" s="21">
        <v>0</v>
      </c>
      <c r="F24" s="21">
        <v>0</v>
      </c>
      <c r="G24" s="21">
        <v>0</v>
      </c>
      <c r="H24" s="21">
        <v>0</v>
      </c>
      <c r="I24" s="21">
        <f>183.85+32.83+268.75+430</f>
        <v>915.43000000000006</v>
      </c>
      <c r="J24" s="21">
        <f>159.34+84.48+268.75</f>
        <v>512.56999999999994</v>
      </c>
      <c r="K24" s="21">
        <v>0</v>
      </c>
      <c r="L24" s="21">
        <f>118.1+2366.48+197.8</f>
        <v>2682.38</v>
      </c>
      <c r="M24" s="21">
        <f>277.91+93.5+2544.47</f>
        <v>2915.8799999999997</v>
      </c>
      <c r="N24" s="21">
        <v>860</v>
      </c>
      <c r="O24" s="21">
        <v>719.28</v>
      </c>
      <c r="P24" s="21">
        <f>39.37+2.83+7.91+2.83+122.32+9.67+60.28+69.5+432.59+20.9</f>
        <v>768.19999999999993</v>
      </c>
      <c r="Q24" s="21">
        <f>87.87</f>
        <v>87.87</v>
      </c>
      <c r="R24" s="76">
        <v>0</v>
      </c>
      <c r="S24" s="76">
        <v>0</v>
      </c>
      <c r="T24" s="76">
        <v>0</v>
      </c>
      <c r="U24" s="60"/>
      <c r="V24" s="21">
        <f t="shared" si="5"/>
        <v>9461.6100000000024</v>
      </c>
      <c r="W24" s="76">
        <f>SUM($R24:T24)</f>
        <v>0</v>
      </c>
      <c r="X24" s="76">
        <f t="shared" si="2"/>
        <v>9461.6100000000024</v>
      </c>
      <c r="Y24" s="15"/>
      <c r="Z24" s="15"/>
      <c r="AA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</row>
    <row r="25" spans="1:112" ht="14.45" x14ac:dyDescent="0.3">
      <c r="A25" s="26"/>
      <c r="B25" s="2"/>
      <c r="C25" s="2" t="s">
        <v>14</v>
      </c>
      <c r="D25" s="1">
        <f>0</f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f>25.61+25.61+25.55+25.55+25.55+34.29+41.72+25.61+25.61+25.61+34.29+21.48+34.29+34.13+24.62+168750</f>
        <v>169179.51999999999</v>
      </c>
      <c r="N25" s="1">
        <f>56080.75+852.19-55925.81-35653.48</f>
        <v>-34646.35</v>
      </c>
      <c r="O25" s="1">
        <f>183.16-16.26+1892.92</f>
        <v>2059.8200000000002</v>
      </c>
      <c r="P25" s="1">
        <f>-417.77+3200.28-34.6-82.71-134.97-173.25-133.88-59.56</f>
        <v>2163.5400000000004</v>
      </c>
      <c r="Q25" s="1">
        <f>34.6-34.6+2627.05-3200.28+(82.71+134.97+173.25+133.88+59.56)</f>
        <v>11.139999999999873</v>
      </c>
      <c r="R25" s="73">
        <v>0</v>
      </c>
      <c r="S25" s="76">
        <v>0</v>
      </c>
      <c r="T25" s="76">
        <v>0</v>
      </c>
      <c r="U25" s="60"/>
      <c r="V25" s="29">
        <f t="shared" si="5"/>
        <v>138767.67000000001</v>
      </c>
      <c r="W25" s="76">
        <f>SUM($R25:T25)</f>
        <v>0</v>
      </c>
      <c r="X25" s="29">
        <f t="shared" si="2"/>
        <v>138767.67000000001</v>
      </c>
      <c r="Y25" s="15"/>
      <c r="Z25" s="15"/>
      <c r="AA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</row>
    <row r="26" spans="1:112" ht="14.45" x14ac:dyDescent="0.3">
      <c r="A26" s="26"/>
      <c r="B26" s="20"/>
      <c r="C26" s="20" t="s">
        <v>15</v>
      </c>
      <c r="D26" s="21">
        <f>0</f>
        <v>0</v>
      </c>
      <c r="E26" s="21">
        <v>0</v>
      </c>
      <c r="F26" s="21">
        <f>731</f>
        <v>731</v>
      </c>
      <c r="G26" s="21">
        <v>0</v>
      </c>
      <c r="H26" s="21">
        <v>0</v>
      </c>
      <c r="I26" s="21">
        <v>0</v>
      </c>
      <c r="J26" s="21">
        <v>520.51</v>
      </c>
      <c r="K26" s="21">
        <v>5861.4</v>
      </c>
      <c r="L26" s="21">
        <v>0</v>
      </c>
      <c r="M26" s="21">
        <f>55925.81+0.63+0.84+43405.07+2029.32</f>
        <v>101361.67</v>
      </c>
      <c r="N26" s="21">
        <f>265.36+70.55</f>
        <v>335.91</v>
      </c>
      <c r="O26" s="21">
        <v>6829.75</v>
      </c>
      <c r="P26" s="21">
        <f>63.75+5483.87+0.84</f>
        <v>5548.46</v>
      </c>
      <c r="Q26" s="21">
        <v>10.92</v>
      </c>
      <c r="R26" s="76">
        <v>0</v>
      </c>
      <c r="S26" s="76">
        <v>0</v>
      </c>
      <c r="T26" s="76">
        <v>0</v>
      </c>
      <c r="U26" s="60"/>
      <c r="V26" s="21">
        <f t="shared" si="5"/>
        <v>121199.62000000001</v>
      </c>
      <c r="W26" s="76">
        <f>SUM($R26:T26)</f>
        <v>0</v>
      </c>
      <c r="X26" s="76">
        <f t="shared" si="2"/>
        <v>121199.62000000001</v>
      </c>
      <c r="Y26" s="15"/>
      <c r="Z26" s="15"/>
      <c r="AA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</row>
    <row r="27" spans="1:112" ht="14.45" x14ac:dyDescent="0.3">
      <c r="A27" s="26"/>
      <c r="B27" s="20"/>
      <c r="C27" s="20" t="s">
        <v>16</v>
      </c>
      <c r="D27" s="21">
        <f>0</f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98.24</v>
      </c>
      <c r="N27" s="21">
        <v>0</v>
      </c>
      <c r="O27" s="21">
        <v>135.9</v>
      </c>
      <c r="P27" s="21">
        <v>0</v>
      </c>
      <c r="Q27" s="21">
        <v>0</v>
      </c>
      <c r="R27" s="76">
        <v>0</v>
      </c>
      <c r="S27" s="76">
        <v>0</v>
      </c>
      <c r="T27" s="76">
        <v>0</v>
      </c>
      <c r="U27" s="60"/>
      <c r="V27" s="21">
        <f>SUM(D27:R27)</f>
        <v>234.14</v>
      </c>
      <c r="W27" s="76">
        <f>SUM($R27:T27)</f>
        <v>0</v>
      </c>
      <c r="X27" s="76">
        <f t="shared" si="2"/>
        <v>234.14</v>
      </c>
      <c r="Y27" s="15"/>
      <c r="Z27" s="15"/>
      <c r="AA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</row>
    <row r="28" spans="1:112" ht="14.45" x14ac:dyDescent="0.3">
      <c r="A28" s="26"/>
      <c r="B28" s="20"/>
      <c r="C28" s="20" t="s">
        <v>17</v>
      </c>
      <c r="D28" s="21">
        <f>0</f>
        <v>0</v>
      </c>
      <c r="E28" s="21">
        <v>193.44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268.75</v>
      </c>
      <c r="R28" s="76">
        <v>405.61</v>
      </c>
      <c r="S28" s="76">
        <v>0</v>
      </c>
      <c r="T28" s="76">
        <v>0</v>
      </c>
      <c r="U28" s="60"/>
      <c r="V28" s="21">
        <f>SUM(D28:R28)</f>
        <v>867.8</v>
      </c>
      <c r="W28" s="76">
        <f>SUM($R28:T28)</f>
        <v>405.61</v>
      </c>
      <c r="X28" s="76">
        <f t="shared" si="2"/>
        <v>1273.4099999999999</v>
      </c>
      <c r="Y28" s="15"/>
      <c r="Z28" s="15"/>
      <c r="AA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</row>
    <row r="29" spans="1:112" ht="14.45" x14ac:dyDescent="0.3">
      <c r="A29" s="26"/>
      <c r="B29" s="20"/>
      <c r="C29" s="20" t="s">
        <v>18</v>
      </c>
      <c r="D29" s="21">
        <v>0</v>
      </c>
      <c r="E29" s="21">
        <v>0</v>
      </c>
      <c r="F29" s="21">
        <v>0</v>
      </c>
      <c r="G29" s="21">
        <v>0</v>
      </c>
      <c r="H29" s="21">
        <f>395.94+9050.34</f>
        <v>9446.2800000000007</v>
      </c>
      <c r="I29" s="21">
        <f>15998.03+108.26</f>
        <v>16106.29</v>
      </c>
      <c r="J29" s="21">
        <f>-24.39+4184+2631.78+4536.4+1449.75+24736.95</f>
        <v>37514.49</v>
      </c>
      <c r="K29" s="21">
        <f>3536.23+8476.31</f>
        <v>12012.539999999999</v>
      </c>
      <c r="L29" s="21">
        <f>5315.47+1836.31+6514.6+1876.01</f>
        <v>15542.390000000001</v>
      </c>
      <c r="M29" s="21">
        <f>5195.01-8390.61+2464.43+17251.08+2550.91</f>
        <v>19070.82</v>
      </c>
      <c r="N29" s="21">
        <f>12576.92+5097.26+1735.31+7013.93+335.73+8669.47</f>
        <v>35428.620000000003</v>
      </c>
      <c r="O29" s="21">
        <v>21104.240000000002</v>
      </c>
      <c r="P29" s="21">
        <f>5903.89+948.78+433.14+1093.2+2644.7</f>
        <v>11023.71</v>
      </c>
      <c r="Q29" s="21">
        <f>778.11+618.88+771.75+3054.15</f>
        <v>5222.8899999999994</v>
      </c>
      <c r="R29" s="76">
        <v>337.85</v>
      </c>
      <c r="S29" s="76">
        <v>0</v>
      </c>
      <c r="T29" s="76">
        <v>0</v>
      </c>
      <c r="U29" s="60"/>
      <c r="V29" s="21">
        <f>SUM(D29:Q29)</f>
        <v>182472.26999999996</v>
      </c>
      <c r="W29" s="76">
        <f>SUM($R29:T29)</f>
        <v>337.85</v>
      </c>
      <c r="X29" s="76">
        <f t="shared" si="2"/>
        <v>182810.11999999997</v>
      </c>
      <c r="Y29" s="15"/>
      <c r="Z29" s="15"/>
      <c r="AA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</row>
    <row r="30" spans="1:112" s="12" customFormat="1" ht="15.6" x14ac:dyDescent="0.3">
      <c r="B30" s="33" t="s">
        <v>19</v>
      </c>
      <c r="C30" s="24"/>
      <c r="D30" s="25">
        <f t="shared" ref="D30:Q30" si="8">SUM(D32:D41)</f>
        <v>0</v>
      </c>
      <c r="E30" s="25">
        <f t="shared" si="8"/>
        <v>0</v>
      </c>
      <c r="F30" s="25">
        <f t="shared" si="8"/>
        <v>0</v>
      </c>
      <c r="G30" s="25">
        <f t="shared" si="8"/>
        <v>0</v>
      </c>
      <c r="H30" s="25">
        <f t="shared" si="8"/>
        <v>14202.9</v>
      </c>
      <c r="I30" s="25">
        <f t="shared" si="8"/>
        <v>28411.57</v>
      </c>
      <c r="J30" s="25">
        <f t="shared" si="8"/>
        <v>23029.15</v>
      </c>
      <c r="K30" s="25">
        <f t="shared" si="8"/>
        <v>22441.02</v>
      </c>
      <c r="L30" s="25">
        <f t="shared" si="8"/>
        <v>24960.239999999998</v>
      </c>
      <c r="M30" s="25">
        <f t="shared" si="8"/>
        <v>57659.66</v>
      </c>
      <c r="N30" s="25">
        <f t="shared" si="8"/>
        <v>29405.13</v>
      </c>
      <c r="O30" s="25">
        <f t="shared" si="8"/>
        <v>34633.46</v>
      </c>
      <c r="P30" s="25">
        <f t="shared" si="8"/>
        <v>29237.86</v>
      </c>
      <c r="Q30" s="25">
        <f t="shared" si="8"/>
        <v>11545.36</v>
      </c>
      <c r="R30" s="77">
        <f>SUM(R32:R41)</f>
        <v>9383.5600000000013</v>
      </c>
      <c r="S30" s="77">
        <f>SUM(S32:S41)</f>
        <v>0</v>
      </c>
      <c r="T30" s="77">
        <f>SUM(T32:T41)</f>
        <v>0</v>
      </c>
      <c r="U30" s="60"/>
      <c r="V30" s="25">
        <f>SUM(D30:Q30)</f>
        <v>275526.34999999998</v>
      </c>
      <c r="W30" s="77">
        <f>SUM($R30:T30)</f>
        <v>9383.5600000000013</v>
      </c>
      <c r="X30" s="77">
        <f t="shared" si="2"/>
        <v>284909.90999999997</v>
      </c>
      <c r="Y30" s="14"/>
      <c r="Z30" s="14"/>
      <c r="AA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</row>
    <row r="31" spans="1:112" s="74" customFormat="1" ht="15.6" x14ac:dyDescent="0.3">
      <c r="B31" s="78"/>
      <c r="C31" s="72" t="s">
        <v>39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9"/>
      <c r="V31" s="77"/>
      <c r="W31" s="77"/>
      <c r="X31" s="77">
        <f t="shared" si="2"/>
        <v>0</v>
      </c>
      <c r="Y31" s="14"/>
      <c r="Z31" s="14"/>
      <c r="AA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</row>
    <row r="32" spans="1:112" s="12" customFormat="1" ht="15.6" x14ac:dyDescent="0.3">
      <c r="B32" s="20"/>
      <c r="C32" s="94"/>
      <c r="D32" s="21">
        <v>0</v>
      </c>
      <c r="E32" s="21">
        <v>0</v>
      </c>
      <c r="F32" s="21">
        <v>0</v>
      </c>
      <c r="G32" s="21">
        <v>0</v>
      </c>
      <c r="H32" s="21">
        <v>10024</v>
      </c>
      <c r="I32" s="21">
        <v>17312</v>
      </c>
      <c r="J32" s="21">
        <v>13237</v>
      </c>
      <c r="K32" s="21">
        <f>13237-13237+12114</f>
        <v>12114</v>
      </c>
      <c r="L32" s="21">
        <f>-12114+12584</f>
        <v>470</v>
      </c>
      <c r="M32" s="21">
        <f>12584-12584+8224+12114</f>
        <v>20338</v>
      </c>
      <c r="N32" s="21">
        <v>6079</v>
      </c>
      <c r="O32" s="21">
        <f>10879</f>
        <v>10879</v>
      </c>
      <c r="P32" s="21">
        <f>4100</f>
        <v>4100</v>
      </c>
      <c r="Q32" s="21">
        <v>-4100</v>
      </c>
      <c r="R32" s="76">
        <v>0</v>
      </c>
      <c r="S32" s="76">
        <v>0</v>
      </c>
      <c r="T32" s="76">
        <v>0</v>
      </c>
      <c r="U32" s="60"/>
      <c r="V32" s="21">
        <f>SUM(D32:Q32)</f>
        <v>90453</v>
      </c>
      <c r="W32" s="76">
        <f>SUM($R32:T32)</f>
        <v>0</v>
      </c>
      <c r="X32" s="76">
        <f t="shared" si="2"/>
        <v>90453</v>
      </c>
      <c r="Y32" s="14"/>
      <c r="Z32" s="14"/>
      <c r="AA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</row>
    <row r="33" spans="1:112" s="74" customFormat="1" ht="15.6" x14ac:dyDescent="0.3">
      <c r="B33" s="75"/>
      <c r="C33" s="72" t="s">
        <v>40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9"/>
      <c r="V33" s="76"/>
      <c r="W33" s="76">
        <f>SUM($R33:T33)</f>
        <v>0</v>
      </c>
      <c r="X33" s="76">
        <f t="shared" si="2"/>
        <v>0</v>
      </c>
      <c r="Y33" s="14"/>
      <c r="Z33" s="14"/>
      <c r="AA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</row>
    <row r="34" spans="1:112" s="12" customFormat="1" ht="15.6" x14ac:dyDescent="0.3">
      <c r="B34" s="20"/>
      <c r="C34" s="92"/>
      <c r="D34" s="21">
        <v>0</v>
      </c>
      <c r="E34" s="21">
        <v>0</v>
      </c>
      <c r="F34" s="21">
        <v>0</v>
      </c>
      <c r="G34" s="21">
        <v>0</v>
      </c>
      <c r="H34" s="21">
        <f>792+792+910.8+376.2+594</f>
        <v>3465</v>
      </c>
      <c r="I34" s="21">
        <f>772.2+594+866.25</f>
        <v>2232.4499999999998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76">
        <v>0</v>
      </c>
      <c r="S34" s="76">
        <v>0</v>
      </c>
      <c r="T34" s="76">
        <v>0</v>
      </c>
      <c r="U34" s="60"/>
      <c r="V34" s="21">
        <f>SUM(D34:R34)</f>
        <v>5697.45</v>
      </c>
      <c r="W34" s="76">
        <f>SUM($R34:T34)</f>
        <v>0</v>
      </c>
      <c r="X34" s="76">
        <f t="shared" si="2"/>
        <v>5697.45</v>
      </c>
      <c r="Y34" s="14"/>
      <c r="Z34" s="14"/>
      <c r="AA34" s="82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</row>
    <row r="35" spans="1:112" s="12" customFormat="1" ht="15.6" x14ac:dyDescent="0.3">
      <c r="B35" s="20"/>
      <c r="C35" s="92"/>
      <c r="D35" s="21">
        <v>0</v>
      </c>
      <c r="E35" s="21">
        <v>0</v>
      </c>
      <c r="F35" s="21">
        <v>0</v>
      </c>
      <c r="G35" s="21">
        <v>0</v>
      </c>
      <c r="H35" s="21">
        <v>713.9</v>
      </c>
      <c r="I35" s="21">
        <f>859.1+695.75+943.8+665.5+895.4</f>
        <v>4059.5499999999997</v>
      </c>
      <c r="J35" s="21">
        <f>738.1+968+889.35+762.3</f>
        <v>3357.75</v>
      </c>
      <c r="K35" s="21">
        <f>-762.3+762.3+859.1+961.95+968+968</f>
        <v>3757.05</v>
      </c>
      <c r="L35" s="21">
        <f>937.75+1104.13+901.45+995.23+1403.6</f>
        <v>5342.16</v>
      </c>
      <c r="M35" s="21">
        <f>1176.73+1312.85+695.75+919.6</f>
        <v>4104.93</v>
      </c>
      <c r="N35" s="21">
        <v>1058.75</v>
      </c>
      <c r="O35" s="21">
        <v>0</v>
      </c>
      <c r="P35" s="21">
        <v>0</v>
      </c>
      <c r="Q35" s="21">
        <v>0</v>
      </c>
      <c r="R35" s="76">
        <v>0</v>
      </c>
      <c r="S35" s="76">
        <v>0</v>
      </c>
      <c r="T35" s="76">
        <v>0</v>
      </c>
      <c r="U35" s="60"/>
      <c r="V35" s="21">
        <f>SUM(D35:R35)</f>
        <v>22394.09</v>
      </c>
      <c r="W35" s="76">
        <f>SUM($R35:T35)</f>
        <v>0</v>
      </c>
      <c r="X35" s="76">
        <f t="shared" si="2"/>
        <v>22394.09</v>
      </c>
      <c r="Y35" s="14"/>
      <c r="Z35" s="14"/>
      <c r="AA35" s="83" t="s">
        <v>50</v>
      </c>
      <c r="AB35" s="84">
        <v>4032658.83</v>
      </c>
      <c r="AC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</row>
    <row r="36" spans="1:112" s="12" customFormat="1" ht="15.6" x14ac:dyDescent="0.3">
      <c r="B36" s="20"/>
      <c r="C36" s="92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475.2</v>
      </c>
      <c r="O36" s="21">
        <f>792+782.1+792</f>
        <v>2366.1</v>
      </c>
      <c r="P36" s="21">
        <f>792+792+792+633.6+574.2</f>
        <v>3583.8</v>
      </c>
      <c r="Q36" s="21">
        <v>3484.8</v>
      </c>
      <c r="R36" s="76">
        <f>712.8+475.2</f>
        <v>1188</v>
      </c>
      <c r="S36" s="76">
        <v>0</v>
      </c>
      <c r="T36" s="76">
        <v>0</v>
      </c>
      <c r="U36" s="60"/>
      <c r="V36" s="21">
        <f t="shared" ref="V36:V41" si="9">SUM(D36:Q36)</f>
        <v>9909.9000000000015</v>
      </c>
      <c r="W36" s="76">
        <f>SUM($R36:T36)</f>
        <v>1188</v>
      </c>
      <c r="X36" s="76">
        <f t="shared" si="2"/>
        <v>11097.900000000001</v>
      </c>
      <c r="Y36" s="14"/>
      <c r="Z36" s="14"/>
      <c r="AA36" s="85" t="s">
        <v>48</v>
      </c>
      <c r="AB36" s="86">
        <v>61295.06</v>
      </c>
      <c r="AC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</row>
    <row r="37" spans="1:112" s="12" customFormat="1" ht="15.6" x14ac:dyDescent="0.3">
      <c r="B37" s="20"/>
      <c r="C37" s="92"/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1604.46</v>
      </c>
      <c r="L37" s="21">
        <f>617.76+686.4+617.76+686.4+982.41+776.49</f>
        <v>4367.2199999999993</v>
      </c>
      <c r="M37" s="21">
        <f>549.12+617.76+686.4+892.32</f>
        <v>2745.6000000000004</v>
      </c>
      <c r="N37" s="21">
        <v>2520.54</v>
      </c>
      <c r="O37" s="21">
        <f>11253.53-7587.56</f>
        <v>3665.9700000000003</v>
      </c>
      <c r="P37" s="21">
        <v>720.72</v>
      </c>
      <c r="Q37" s="21">
        <v>0</v>
      </c>
      <c r="R37" s="76">
        <v>0</v>
      </c>
      <c r="S37" s="76">
        <v>0</v>
      </c>
      <c r="T37" s="76">
        <v>0</v>
      </c>
      <c r="U37" s="60"/>
      <c r="V37" s="21">
        <f>SUM(D37:R37)</f>
        <v>15624.51</v>
      </c>
      <c r="W37" s="76">
        <f>SUM($R37:T37)</f>
        <v>0</v>
      </c>
      <c r="X37" s="76">
        <f t="shared" si="2"/>
        <v>15624.51</v>
      </c>
      <c r="Y37" s="14"/>
      <c r="Z37" s="14"/>
      <c r="AA37" s="83" t="s">
        <v>52</v>
      </c>
      <c r="AB37" s="84">
        <f>SUM(AB35:AB36)</f>
        <v>4093953.89</v>
      </c>
      <c r="AC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</row>
    <row r="38" spans="1:112" s="12" customFormat="1" ht="15.75" x14ac:dyDescent="0.25">
      <c r="B38" s="20"/>
      <c r="C38" s="93"/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>1362.45+1563.93</f>
        <v>2926.38</v>
      </c>
      <c r="J38" s="21">
        <f>1278.75+1339.2</f>
        <v>2617.9499999999998</v>
      </c>
      <c r="K38" s="21">
        <f>-1278.75+1278.75+785.85+1125.3</f>
        <v>1911.15</v>
      </c>
      <c r="L38" s="21">
        <f>1125.3+1406.36+1655.4-1125.3</f>
        <v>3061.7599999999993</v>
      </c>
      <c r="M38" s="21">
        <f>-1655.4+1655.4+1704.23+1477.49</f>
        <v>3181.7200000000003</v>
      </c>
      <c r="N38" s="21">
        <f>1400+1617.65+1255</f>
        <v>4272.6499999999996</v>
      </c>
      <c r="O38" s="21">
        <v>1510</v>
      </c>
      <c r="P38" s="21">
        <v>0</v>
      </c>
      <c r="Q38" s="21">
        <v>0</v>
      </c>
      <c r="R38" s="76">
        <v>0</v>
      </c>
      <c r="S38" s="76">
        <v>0</v>
      </c>
      <c r="T38" s="76">
        <v>0</v>
      </c>
      <c r="U38" s="60"/>
      <c r="V38" s="21">
        <f>SUM(D38:R38)</f>
        <v>19481.61</v>
      </c>
      <c r="W38" s="76">
        <f>SUM($R38:T38)</f>
        <v>0</v>
      </c>
      <c r="X38" s="76">
        <f t="shared" si="2"/>
        <v>19481.61</v>
      </c>
      <c r="Y38" s="14"/>
      <c r="Z38" s="14"/>
      <c r="AA38" s="87"/>
      <c r="AB38" s="88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</row>
    <row r="39" spans="1:112" s="12" customFormat="1" ht="15.75" x14ac:dyDescent="0.25">
      <c r="B39" s="20"/>
      <c r="C39" s="92"/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f>843.36+913.64+124.19</f>
        <v>1881.19</v>
      </c>
      <c r="J39" s="21">
        <f>940+1124.48+1405.6+92.24+254.13</f>
        <v>3816.45</v>
      </c>
      <c r="K39" s="21">
        <f>201.72+2852.64</f>
        <v>3054.3599999999997</v>
      </c>
      <c r="L39" s="21">
        <f>309.12+1433.6+376.32+1433.6</f>
        <v>3552.64</v>
      </c>
      <c r="M39" s="21">
        <f>1433.6+1263.36</f>
        <v>2696.96</v>
      </c>
      <c r="N39" s="21">
        <f>94.08+1433.6+1433.6</f>
        <v>2961.2799999999997</v>
      </c>
      <c r="O39" s="21">
        <v>3203.2</v>
      </c>
      <c r="P39" s="21">
        <v>4704</v>
      </c>
      <c r="Q39" s="21">
        <f>1433.6+1433.6+13.44</f>
        <v>2880.64</v>
      </c>
      <c r="R39" s="76">
        <v>2360.69</v>
      </c>
      <c r="S39" s="76">
        <v>0</v>
      </c>
      <c r="T39" s="76">
        <v>0</v>
      </c>
      <c r="U39" s="60"/>
      <c r="V39" s="21">
        <f t="shared" si="9"/>
        <v>28750.719999999998</v>
      </c>
      <c r="W39" s="76">
        <f>SUM($R39:T39)</f>
        <v>2360.69</v>
      </c>
      <c r="X39" s="76">
        <f t="shared" si="2"/>
        <v>31111.409999999996</v>
      </c>
      <c r="Y39" s="14"/>
      <c r="Z39" s="14"/>
      <c r="AA39" s="95" t="s">
        <v>49</v>
      </c>
      <c r="AB39" s="84">
        <v>-4035383.81</v>
      </c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</row>
    <row r="40" spans="1:112" s="12" customFormat="1" ht="15.75" x14ac:dyDescent="0.25">
      <c r="B40" s="20"/>
      <c r="C40" s="92"/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f>8390.61+13225.83</f>
        <v>21616.440000000002</v>
      </c>
      <c r="N40" s="21">
        <v>9363.83</v>
      </c>
      <c r="O40" s="21">
        <f>9994.55+2646.32</f>
        <v>12640.869999999999</v>
      </c>
      <c r="P40" s="21">
        <f>-8390.61+27595.89+8390.61-18356.14</f>
        <v>9239.75</v>
      </c>
      <c r="Q40" s="21">
        <f>5921.79+2796.48</f>
        <v>8718.27</v>
      </c>
      <c r="R40" s="76">
        <f>1548.65+4286.22</f>
        <v>5834.8700000000008</v>
      </c>
      <c r="S40" s="76">
        <v>0</v>
      </c>
      <c r="T40" s="76">
        <v>0</v>
      </c>
      <c r="U40" s="60"/>
      <c r="V40" s="21">
        <f t="shared" si="9"/>
        <v>61579.16</v>
      </c>
      <c r="W40" s="76">
        <f>SUM($R40:T40)</f>
        <v>5834.8700000000008</v>
      </c>
      <c r="X40" s="76">
        <f t="shared" si="2"/>
        <v>67414.03</v>
      </c>
      <c r="Y40" s="48" t="s">
        <v>26</v>
      </c>
      <c r="Z40" s="14"/>
      <c r="AA40" s="95"/>
      <c r="AB40" s="86">
        <v>-58570.080000000002</v>
      </c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</row>
    <row r="41" spans="1:112" s="12" customFormat="1" ht="15.6" x14ac:dyDescent="0.3">
      <c r="B41" s="20"/>
      <c r="C41" s="71" t="s">
        <v>25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f>689.79+268.79+315.02+443.21+270.01+174.71+229.25+604.08+306.1+343.06+312.9+664.7+380.02+400.65+142.79+486.55+328.25+46.6+448.24+138.21+21.49+104.9+190.38+140.08+716.68</f>
        <v>8166.4599999999991</v>
      </c>
      <c r="M41" s="21">
        <f>914.73+764.77+338.62+232.02+106.56+228.28+387.9+3.13</f>
        <v>2976.01</v>
      </c>
      <c r="N41" s="21">
        <f>122.63+(-45.09+23.6)+(-218.83+113.93)+(-290.19+150.11)-3.08+262.12+472.36+688.29+94.06+206.94+((604.27+40.26+194.9+257.6))</f>
        <v>2673.88</v>
      </c>
      <c r="O41" s="21">
        <f>1198.46+((-542.5-23.6-113.93-150.11))</f>
        <v>368.32000000000005</v>
      </c>
      <c r="P41" s="21">
        <f>647.94+414.98+266.03+518.62+1278.35-61.78+1465.61+1139.66+442.06+778.12</f>
        <v>6889.59</v>
      </c>
      <c r="Q41" s="21">
        <f>23.95+214.44+74.98+93.06+155.22</f>
        <v>561.65</v>
      </c>
      <c r="R41" s="76">
        <v>0</v>
      </c>
      <c r="S41" s="76">
        <v>0</v>
      </c>
      <c r="T41" s="76">
        <v>0</v>
      </c>
      <c r="U41" s="60"/>
      <c r="V41" s="21">
        <f t="shared" si="9"/>
        <v>21635.91</v>
      </c>
      <c r="W41" s="76">
        <f>SUM($R41:T41)</f>
        <v>0</v>
      </c>
      <c r="X41" s="76">
        <f t="shared" si="2"/>
        <v>21635.91</v>
      </c>
      <c r="Y41" s="14"/>
      <c r="Z41" s="14"/>
      <c r="AA41" s="89" t="s">
        <v>51</v>
      </c>
      <c r="AB41" s="90">
        <v>0</v>
      </c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</row>
    <row r="42" spans="1:112" s="10" customFormat="1" ht="6" customHeight="1" x14ac:dyDescent="0.3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63"/>
      <c r="V42" s="31"/>
      <c r="W42" s="31"/>
      <c r="X42" s="31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</row>
    <row r="43" spans="1:112" s="11" customFormat="1" ht="18" x14ac:dyDescent="0.35">
      <c r="B43" s="7" t="s">
        <v>23</v>
      </c>
      <c r="C43" s="7"/>
      <c r="D43" s="47">
        <f t="shared" ref="D43:R43" si="10">D30+D22+D21+D17+D5</f>
        <v>26663</v>
      </c>
      <c r="E43" s="47">
        <f t="shared" si="10"/>
        <v>193.44</v>
      </c>
      <c r="F43" s="47">
        <f t="shared" si="10"/>
        <v>29980.74</v>
      </c>
      <c r="G43" s="47">
        <f t="shared" si="10"/>
        <v>194412.08000000002</v>
      </c>
      <c r="H43" s="47">
        <f t="shared" si="10"/>
        <v>245684.75</v>
      </c>
      <c r="I43" s="47">
        <f t="shared" si="10"/>
        <v>376124.15999999997</v>
      </c>
      <c r="J43" s="47">
        <f t="shared" si="10"/>
        <v>427280.11000000004</v>
      </c>
      <c r="K43" s="47">
        <f t="shared" si="10"/>
        <v>310215.21000000002</v>
      </c>
      <c r="L43" s="47">
        <f t="shared" si="10"/>
        <v>215220.49000000002</v>
      </c>
      <c r="M43" s="47">
        <f t="shared" si="10"/>
        <v>550418.46</v>
      </c>
      <c r="N43" s="47">
        <f t="shared" si="10"/>
        <v>285976.62</v>
      </c>
      <c r="O43" s="47">
        <f t="shared" si="10"/>
        <v>478109.51</v>
      </c>
      <c r="P43" s="47">
        <f t="shared" si="10"/>
        <v>524918.80000000005</v>
      </c>
      <c r="Q43" s="47">
        <f t="shared" si="10"/>
        <v>367461.45999999996</v>
      </c>
      <c r="R43" s="47">
        <f t="shared" si="10"/>
        <v>61295.06</v>
      </c>
      <c r="S43" s="47">
        <f>S30+S22+S21+S17+S5</f>
        <v>0</v>
      </c>
      <c r="T43" s="47">
        <f>T30+T22+T21+T17+T5</f>
        <v>-309</v>
      </c>
      <c r="U43" s="63"/>
      <c r="V43" s="32">
        <f>V30+V22+V21+V17+V5</f>
        <v>4032658.83</v>
      </c>
      <c r="W43" s="32">
        <f>W30+W22+W21+W17+W5</f>
        <v>60986.06</v>
      </c>
      <c r="X43" s="32">
        <f>X30+X22+X21+X17+X5</f>
        <v>4093644.89</v>
      </c>
      <c r="Y43" s="55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</row>
    <row r="44" spans="1:112" s="66" customFormat="1" ht="21.6" hidden="1" customHeight="1" x14ac:dyDescent="0.45">
      <c r="B44" s="67" t="s">
        <v>20</v>
      </c>
      <c r="C44" s="68"/>
      <c r="D44" s="57"/>
      <c r="E44" s="57"/>
      <c r="F44" s="57"/>
      <c r="G44" s="57"/>
      <c r="H44" s="57"/>
      <c r="I44" s="57"/>
      <c r="J44" s="57"/>
      <c r="K44" s="57"/>
      <c r="L44" s="69"/>
      <c r="M44" s="69"/>
      <c r="N44" s="57"/>
      <c r="O44" s="57"/>
      <c r="P44" s="57"/>
      <c r="Q44" s="57"/>
      <c r="R44" s="57"/>
      <c r="S44" s="57"/>
      <c r="T44" s="57"/>
      <c r="U44" s="56"/>
      <c r="V44" s="56"/>
      <c r="W44" s="56"/>
      <c r="X44" s="56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</row>
    <row r="45" spans="1:112" s="74" customFormat="1" ht="15.75" x14ac:dyDescent="0.25">
      <c r="B45" s="75"/>
      <c r="C45" s="71" t="s">
        <v>53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>
        <v>-4093953.89</v>
      </c>
      <c r="S45" s="76">
        <v>0</v>
      </c>
      <c r="T45" s="76">
        <v>309</v>
      </c>
      <c r="U45" s="79"/>
      <c r="V45" s="76"/>
      <c r="W45" s="76"/>
      <c r="X45" s="76">
        <f>SUM(F45:T45)</f>
        <v>-4093644.89</v>
      </c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</row>
    <row r="46" spans="1:112" ht="6.6" customHeight="1" x14ac:dyDescent="0.25">
      <c r="B46" s="2"/>
      <c r="C46" s="2"/>
      <c r="D46" s="1"/>
      <c r="E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73"/>
      <c r="S46" s="73"/>
      <c r="T46" s="73"/>
      <c r="U46" s="60"/>
      <c r="V46" s="29"/>
      <c r="W46" s="29"/>
      <c r="X46" s="29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</row>
    <row r="47" spans="1:112" s="40" customFormat="1" ht="18.75" x14ac:dyDescent="0.25">
      <c r="A47" s="35"/>
      <c r="B47" s="36" t="s">
        <v>21</v>
      </c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64"/>
      <c r="V47" s="39"/>
      <c r="W47" s="39"/>
      <c r="X47" s="39">
        <v>0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</row>
    <row r="48" spans="1:112" s="41" customFormat="1" ht="15.75" x14ac:dyDescent="0.25">
      <c r="B48" s="42" t="s">
        <v>22</v>
      </c>
      <c r="C48" s="45" t="s">
        <v>22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65"/>
      <c r="V48" s="46"/>
      <c r="W48" s="46"/>
      <c r="X48" s="46">
        <f>SUM(X43:X45)-X47</f>
        <v>0</v>
      </c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</row>
    <row r="49" spans="2:112" x14ac:dyDescent="0.25"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73"/>
      <c r="S49" s="73"/>
      <c r="T49" s="73"/>
      <c r="U49" s="60"/>
      <c r="V49" s="29"/>
      <c r="W49" s="29"/>
      <c r="X49" s="29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</row>
    <row r="50" spans="2:112" x14ac:dyDescent="0.25">
      <c r="B50" s="1"/>
      <c r="C50" s="1"/>
      <c r="D50" s="1"/>
      <c r="E50" s="7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73"/>
      <c r="S50" s="73"/>
      <c r="T50" s="73"/>
      <c r="U50" s="29"/>
      <c r="V50" s="29"/>
      <c r="W50" s="29"/>
      <c r="X50" s="29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</row>
    <row r="51" spans="2:1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73"/>
      <c r="S51" s="73"/>
      <c r="T51" s="73"/>
      <c r="U51" s="60"/>
      <c r="V51" s="1"/>
      <c r="W51" s="73"/>
      <c r="X51" s="73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</row>
    <row r="52" spans="2:1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73"/>
      <c r="S52" s="73"/>
      <c r="T52" s="73"/>
      <c r="U52" s="60"/>
      <c r="V52" s="1"/>
      <c r="W52" s="73"/>
      <c r="X52" s="73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</row>
    <row r="53" spans="2:1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73"/>
      <c r="N53" s="73"/>
      <c r="O53" s="73"/>
      <c r="P53" s="73"/>
      <c r="Q53" s="1"/>
      <c r="R53" s="73"/>
      <c r="S53" s="73"/>
      <c r="T53" s="73"/>
      <c r="U53" s="60"/>
      <c r="V53" s="1"/>
      <c r="W53" s="73"/>
      <c r="X53" s="73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</row>
    <row r="54" spans="2:1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73"/>
      <c r="S54" s="73"/>
      <c r="T54" s="73"/>
      <c r="U54" s="60"/>
      <c r="V54" s="1"/>
      <c r="W54" s="73"/>
      <c r="X54" s="73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</row>
    <row r="55" spans="2:1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73"/>
      <c r="S55" s="73"/>
      <c r="T55" s="73"/>
      <c r="U55" s="60"/>
      <c r="V55" s="1"/>
      <c r="W55" s="73"/>
      <c r="X55" s="73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</row>
    <row r="56" spans="2:1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73"/>
      <c r="S56" s="73"/>
      <c r="T56" s="73"/>
      <c r="U56" s="60"/>
      <c r="V56" s="1"/>
      <c r="W56" s="73"/>
      <c r="X56" s="73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</row>
    <row r="57" spans="2:1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73"/>
      <c r="S57" s="73"/>
      <c r="T57" s="73"/>
      <c r="U57" s="60"/>
      <c r="V57" s="1"/>
      <c r="W57" s="73"/>
      <c r="X57" s="73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</row>
    <row r="58" spans="2:1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73"/>
      <c r="S58" s="73"/>
      <c r="T58" s="73"/>
      <c r="U58" s="60"/>
      <c r="V58" s="1"/>
      <c r="W58" s="73"/>
      <c r="X58" s="73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</row>
    <row r="59" spans="2:1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73"/>
      <c r="S59" s="73"/>
      <c r="T59" s="73"/>
      <c r="U59" s="60"/>
      <c r="V59" s="1"/>
      <c r="W59" s="73"/>
      <c r="X59" s="73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</row>
    <row r="60" spans="2:1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73"/>
      <c r="S60" s="73"/>
      <c r="T60" s="73"/>
      <c r="U60" s="60"/>
      <c r="V60" s="1"/>
      <c r="W60" s="73"/>
      <c r="X60" s="73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</row>
    <row r="61" spans="2:1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73"/>
      <c r="S61" s="73"/>
      <c r="T61" s="73"/>
      <c r="U61" s="60"/>
      <c r="V61" s="1"/>
      <c r="W61" s="73"/>
      <c r="X61" s="73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</row>
    <row r="62" spans="2:1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73"/>
      <c r="S62" s="73"/>
      <c r="T62" s="73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</row>
    <row r="63" spans="2:1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73"/>
      <c r="S63" s="73"/>
      <c r="T63" s="73"/>
      <c r="U63" s="60"/>
      <c r="V63" s="1"/>
      <c r="W63" s="73"/>
      <c r="X63" s="73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</row>
    <row r="64" spans="2:112" x14ac:dyDescent="0.25">
      <c r="B64" s="1"/>
      <c r="C64" s="1"/>
      <c r="D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73"/>
      <c r="S64" s="73"/>
      <c r="T64" s="73"/>
      <c r="U64" s="60"/>
      <c r="V64" s="1"/>
      <c r="W64" s="73"/>
      <c r="X64" s="73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</row>
    <row r="65" spans="2:9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73"/>
      <c r="S65" s="73"/>
      <c r="T65" s="73"/>
      <c r="U65" s="60"/>
      <c r="V65" s="1"/>
      <c r="W65" s="73"/>
      <c r="X65" s="73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</row>
    <row r="66" spans="2:9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73"/>
      <c r="S66" s="73"/>
      <c r="T66" s="73"/>
      <c r="U66" s="60"/>
      <c r="V66" s="1"/>
      <c r="W66" s="73"/>
      <c r="X66" s="73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</row>
    <row r="67" spans="2:9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73"/>
      <c r="S67" s="73"/>
      <c r="T67" s="73"/>
      <c r="U67" s="60"/>
      <c r="V67" s="1"/>
      <c r="W67" s="73"/>
      <c r="X67" s="73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</row>
    <row r="68" spans="2:9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73"/>
      <c r="S68" s="73"/>
      <c r="T68" s="73"/>
      <c r="U68" s="60"/>
      <c r="V68" s="1"/>
      <c r="W68" s="73"/>
      <c r="X68" s="73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</row>
    <row r="69" spans="2:9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73"/>
      <c r="S69" s="73"/>
      <c r="T69" s="73"/>
      <c r="U69" s="60"/>
      <c r="V69" s="1"/>
      <c r="W69" s="73"/>
      <c r="X69" s="73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</row>
    <row r="70" spans="2:9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73"/>
      <c r="S70" s="73"/>
      <c r="T70" s="73"/>
      <c r="U70" s="60"/>
      <c r="V70" s="1"/>
      <c r="W70" s="73"/>
      <c r="X70" s="73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</row>
    <row r="71" spans="2:9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73"/>
      <c r="S71" s="73"/>
      <c r="T71" s="73"/>
      <c r="U71" s="60"/>
      <c r="V71" s="1"/>
      <c r="W71" s="73"/>
      <c r="X71" s="73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</row>
    <row r="72" spans="2:9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73"/>
      <c r="S72" s="73"/>
      <c r="T72" s="73"/>
      <c r="U72" s="60"/>
      <c r="V72" s="1"/>
      <c r="W72" s="73"/>
      <c r="X72" s="73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</row>
    <row r="73" spans="2:9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73"/>
      <c r="S73" s="73"/>
      <c r="T73" s="73"/>
      <c r="U73" s="60"/>
      <c r="V73" s="1"/>
      <c r="W73" s="73"/>
      <c r="X73" s="73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</row>
    <row r="74" spans="2:9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73"/>
      <c r="S74" s="73"/>
      <c r="T74" s="73"/>
      <c r="U74" s="60"/>
      <c r="V74" s="1"/>
      <c r="W74" s="73"/>
      <c r="X74" s="73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</row>
    <row r="75" spans="2:9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73"/>
      <c r="S75" s="73"/>
      <c r="T75" s="73"/>
      <c r="U75" s="60"/>
      <c r="V75" s="1"/>
      <c r="W75" s="73"/>
      <c r="X75" s="73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</row>
    <row r="76" spans="2:9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73"/>
      <c r="S76" s="73"/>
      <c r="T76" s="73"/>
      <c r="U76" s="60"/>
      <c r="V76" s="1"/>
      <c r="W76" s="73"/>
      <c r="X76" s="73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</row>
    <row r="77" spans="2:9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73"/>
      <c r="S77" s="73"/>
      <c r="T77" s="73"/>
      <c r="U77" s="60"/>
      <c r="V77" s="1"/>
      <c r="W77" s="73"/>
      <c r="X77" s="73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</row>
    <row r="78" spans="2:9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73"/>
      <c r="S78" s="73"/>
      <c r="T78" s="73"/>
      <c r="U78" s="60"/>
      <c r="V78" s="1"/>
      <c r="W78" s="73"/>
      <c r="X78" s="73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</row>
    <row r="79" spans="2:9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73"/>
      <c r="S79" s="73"/>
      <c r="T79" s="73"/>
      <c r="U79" s="60"/>
      <c r="V79" s="1"/>
      <c r="W79" s="73"/>
      <c r="X79" s="73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</row>
    <row r="80" spans="2:9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73"/>
      <c r="S80" s="73"/>
      <c r="T80" s="73"/>
      <c r="U80" s="60"/>
      <c r="V80" s="1"/>
      <c r="W80" s="73"/>
      <c r="X80" s="73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</row>
    <row r="81" spans="2:9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73"/>
      <c r="S81" s="73"/>
      <c r="T81" s="73"/>
      <c r="U81" s="60"/>
      <c r="V81" s="1"/>
      <c r="W81" s="73"/>
      <c r="X81" s="73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</row>
    <row r="82" spans="2:9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73"/>
      <c r="S82" s="73"/>
      <c r="T82" s="73"/>
      <c r="U82" s="60"/>
      <c r="V82" s="1"/>
      <c r="W82" s="73"/>
      <c r="X82" s="73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</row>
    <row r="83" spans="2:9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73"/>
      <c r="S83" s="73"/>
      <c r="T83" s="73"/>
      <c r="U83" s="60"/>
      <c r="V83" s="1"/>
      <c r="W83" s="73"/>
      <c r="X83" s="73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</row>
    <row r="84" spans="2:9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73"/>
      <c r="S84" s="73"/>
      <c r="T84" s="73"/>
      <c r="U84" s="60"/>
      <c r="V84" s="1"/>
      <c r="W84" s="73"/>
      <c r="X84" s="73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</row>
    <row r="85" spans="2:9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73"/>
      <c r="S85" s="73"/>
      <c r="T85" s="73"/>
      <c r="U85" s="60"/>
      <c r="V85" s="1"/>
      <c r="W85" s="73"/>
      <c r="X85" s="73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</row>
    <row r="86" spans="2:9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73"/>
      <c r="S86" s="73"/>
      <c r="T86" s="73"/>
      <c r="U86" s="60"/>
      <c r="V86" s="1"/>
      <c r="W86" s="73"/>
      <c r="X86" s="73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</row>
    <row r="87" spans="2:9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73"/>
      <c r="S87" s="73"/>
      <c r="T87" s="73"/>
      <c r="U87" s="60"/>
      <c r="V87" s="1"/>
      <c r="W87" s="73"/>
      <c r="X87" s="73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</row>
    <row r="88" spans="2:9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73"/>
      <c r="S88" s="73"/>
      <c r="T88" s="73"/>
      <c r="U88" s="60"/>
      <c r="V88" s="1"/>
      <c r="W88" s="73"/>
      <c r="X88" s="73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</row>
    <row r="89" spans="2:9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73"/>
      <c r="S89" s="73"/>
      <c r="T89" s="73"/>
      <c r="U89" s="60"/>
      <c r="V89" s="1"/>
      <c r="W89" s="73"/>
      <c r="X89" s="73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</row>
    <row r="90" spans="2:9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73"/>
      <c r="S90" s="73"/>
      <c r="T90" s="73"/>
      <c r="U90" s="60"/>
      <c r="V90" s="1"/>
      <c r="W90" s="73"/>
      <c r="X90" s="73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</row>
    <row r="91" spans="2:9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73"/>
      <c r="S91" s="73"/>
      <c r="T91" s="73"/>
      <c r="U91" s="60"/>
      <c r="V91" s="1"/>
      <c r="W91" s="73"/>
      <c r="X91" s="73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</row>
    <row r="92" spans="2:9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73"/>
      <c r="S92" s="73"/>
      <c r="T92" s="73"/>
      <c r="U92" s="60"/>
      <c r="V92" s="1"/>
      <c r="W92" s="73"/>
      <c r="X92" s="73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</row>
    <row r="93" spans="2:9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73"/>
      <c r="S93" s="73"/>
      <c r="T93" s="73"/>
      <c r="U93" s="60"/>
      <c r="V93" s="1"/>
      <c r="W93" s="73"/>
      <c r="X93" s="73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</row>
    <row r="94" spans="2:9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73"/>
      <c r="S94" s="73"/>
      <c r="T94" s="73"/>
      <c r="U94" s="60"/>
      <c r="V94" s="1"/>
      <c r="W94" s="73"/>
      <c r="X94" s="73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</row>
    <row r="95" spans="2:9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73"/>
      <c r="S95" s="73"/>
      <c r="T95" s="73"/>
      <c r="U95" s="60"/>
      <c r="V95" s="1"/>
      <c r="W95" s="73"/>
      <c r="X95" s="73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</row>
    <row r="96" spans="2:9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73"/>
      <c r="S96" s="73"/>
      <c r="T96" s="73"/>
      <c r="U96" s="60"/>
      <c r="V96" s="1"/>
      <c r="W96" s="73"/>
      <c r="X96" s="73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</row>
    <row r="97" spans="2:9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73"/>
      <c r="S97" s="73"/>
      <c r="T97" s="73"/>
      <c r="U97" s="60"/>
      <c r="V97" s="1"/>
      <c r="W97" s="73"/>
      <c r="X97" s="73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</row>
    <row r="98" spans="2:9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73"/>
      <c r="S98" s="73"/>
      <c r="T98" s="73"/>
      <c r="U98" s="60"/>
      <c r="V98" s="1"/>
      <c r="W98" s="73"/>
      <c r="X98" s="73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</row>
    <row r="99" spans="2:9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73"/>
      <c r="S99" s="73"/>
      <c r="T99" s="73"/>
      <c r="U99" s="60"/>
      <c r="V99" s="1"/>
      <c r="W99" s="73"/>
      <c r="X99" s="73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</row>
    <row r="100" spans="2:9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73"/>
      <c r="S100" s="73"/>
      <c r="T100" s="73"/>
      <c r="U100" s="60"/>
      <c r="V100" s="1"/>
      <c r="W100" s="73"/>
      <c r="X100" s="73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</row>
    <row r="101" spans="2:9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73"/>
      <c r="S101" s="73"/>
      <c r="T101" s="73"/>
      <c r="U101" s="60"/>
      <c r="V101" s="1"/>
      <c r="W101" s="73"/>
      <c r="X101" s="73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</row>
    <row r="102" spans="2:9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73"/>
      <c r="S102" s="73"/>
      <c r="T102" s="73"/>
      <c r="U102" s="60"/>
      <c r="V102" s="1"/>
      <c r="W102" s="73"/>
      <c r="X102" s="73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</row>
    <row r="103" spans="2:9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73"/>
      <c r="S103" s="73"/>
      <c r="T103" s="73"/>
      <c r="U103" s="60"/>
      <c r="V103" s="1"/>
      <c r="W103" s="73"/>
      <c r="X103" s="73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</row>
    <row r="104" spans="2:9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73"/>
      <c r="S104" s="73"/>
      <c r="T104" s="73"/>
      <c r="U104" s="60"/>
      <c r="V104" s="1"/>
      <c r="W104" s="73"/>
      <c r="X104" s="73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</row>
    <row r="105" spans="2:9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73"/>
      <c r="S105" s="73"/>
      <c r="T105" s="73"/>
      <c r="U105" s="60"/>
      <c r="V105" s="1"/>
      <c r="W105" s="73"/>
      <c r="X105" s="73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</row>
    <row r="106" spans="2:96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73"/>
      <c r="S106" s="73"/>
      <c r="T106" s="73"/>
      <c r="U106" s="60"/>
      <c r="V106" s="1"/>
      <c r="W106" s="73"/>
      <c r="X106" s="73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</row>
    <row r="107" spans="2:96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73"/>
      <c r="S107" s="73"/>
      <c r="T107" s="73"/>
      <c r="U107" s="60"/>
      <c r="V107" s="1"/>
      <c r="W107" s="73"/>
      <c r="X107" s="73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</row>
    <row r="108" spans="2:96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73"/>
      <c r="S108" s="73"/>
      <c r="T108" s="73"/>
      <c r="U108" s="60"/>
      <c r="V108" s="1"/>
      <c r="W108" s="73"/>
      <c r="X108" s="73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</row>
    <row r="109" spans="2:96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73"/>
      <c r="S109" s="73"/>
      <c r="T109" s="73"/>
      <c r="U109" s="60"/>
      <c r="V109" s="1"/>
      <c r="W109" s="73"/>
      <c r="X109" s="73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</row>
    <row r="110" spans="2:9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73"/>
      <c r="S110" s="73"/>
      <c r="T110" s="73"/>
      <c r="U110" s="60"/>
      <c r="V110" s="1"/>
      <c r="W110" s="73"/>
      <c r="X110" s="73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</row>
    <row r="111" spans="2:96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73"/>
      <c r="S111" s="73"/>
      <c r="T111" s="73"/>
      <c r="U111" s="60"/>
      <c r="V111" s="1"/>
      <c r="W111" s="73"/>
      <c r="X111" s="73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</row>
    <row r="112" spans="2:96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73"/>
      <c r="S112" s="73"/>
      <c r="T112" s="73"/>
      <c r="U112" s="60"/>
      <c r="V112" s="1"/>
      <c r="W112" s="73"/>
      <c r="X112" s="73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</row>
    <row r="113" spans="2:96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73"/>
      <c r="S113" s="73"/>
      <c r="T113" s="73"/>
      <c r="U113" s="60"/>
      <c r="V113" s="1"/>
      <c r="W113" s="73"/>
      <c r="X113" s="73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</row>
    <row r="114" spans="2:96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73"/>
      <c r="S114" s="73"/>
      <c r="T114" s="73"/>
      <c r="U114" s="60"/>
      <c r="V114" s="1"/>
      <c r="W114" s="73"/>
      <c r="X114" s="73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</row>
    <row r="115" spans="2:96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73"/>
      <c r="S115" s="73"/>
      <c r="T115" s="73"/>
      <c r="U115" s="60"/>
      <c r="V115" s="1"/>
      <c r="W115" s="73"/>
      <c r="X115" s="73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</row>
    <row r="116" spans="2:9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73"/>
      <c r="S116" s="73"/>
      <c r="T116" s="73"/>
      <c r="U116" s="60"/>
      <c r="V116" s="1"/>
      <c r="W116" s="73"/>
      <c r="X116" s="73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</row>
    <row r="117" spans="2:96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73"/>
      <c r="S117" s="73"/>
      <c r="T117" s="73"/>
      <c r="U117" s="60"/>
      <c r="V117" s="1"/>
      <c r="W117" s="73"/>
      <c r="X117" s="73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</row>
    <row r="118" spans="2:96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73"/>
      <c r="S118" s="73"/>
      <c r="T118" s="73"/>
      <c r="U118" s="60"/>
      <c r="V118" s="1"/>
      <c r="W118" s="73"/>
      <c r="X118" s="73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</row>
    <row r="119" spans="2:96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73"/>
      <c r="S119" s="73"/>
      <c r="T119" s="73"/>
      <c r="U119" s="60"/>
      <c r="V119" s="1"/>
      <c r="W119" s="73"/>
      <c r="X119" s="73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</row>
    <row r="120" spans="2:96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73"/>
      <c r="S120" s="73"/>
      <c r="T120" s="73"/>
      <c r="U120" s="60"/>
      <c r="V120" s="1"/>
      <c r="W120" s="73"/>
      <c r="X120" s="73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</row>
    <row r="121" spans="2:96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73"/>
      <c r="S121" s="73"/>
      <c r="T121" s="73"/>
      <c r="U121" s="60"/>
      <c r="V121" s="1"/>
      <c r="W121" s="73"/>
      <c r="X121" s="73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</row>
    <row r="122" spans="2:96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73"/>
      <c r="S122" s="73"/>
      <c r="T122" s="73"/>
      <c r="U122" s="60"/>
      <c r="V122" s="1"/>
      <c r="W122" s="73"/>
      <c r="X122" s="73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</row>
    <row r="123" spans="2:96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73"/>
      <c r="S123" s="73"/>
      <c r="T123" s="73"/>
      <c r="U123" s="60"/>
      <c r="V123" s="1"/>
      <c r="W123" s="73"/>
      <c r="X123" s="73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</row>
    <row r="124" spans="2:96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73"/>
      <c r="S124" s="73"/>
      <c r="T124" s="73"/>
      <c r="U124" s="60"/>
      <c r="V124" s="1"/>
      <c r="W124" s="73"/>
      <c r="X124" s="73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</row>
    <row r="125" spans="2:9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73"/>
      <c r="S125" s="73"/>
      <c r="T125" s="73"/>
      <c r="U125" s="60"/>
      <c r="V125" s="1"/>
      <c r="W125" s="73"/>
      <c r="X125" s="73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</row>
    <row r="126" spans="2:96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73"/>
      <c r="S126" s="73"/>
      <c r="T126" s="73"/>
      <c r="U126" s="60"/>
      <c r="V126" s="1"/>
      <c r="W126" s="73"/>
      <c r="X126" s="73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</row>
    <row r="127" spans="2:96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73"/>
      <c r="S127" s="73"/>
      <c r="T127" s="73"/>
      <c r="U127" s="60"/>
      <c r="V127" s="1"/>
      <c r="W127" s="73"/>
      <c r="X127" s="73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</row>
    <row r="128" spans="2:96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73"/>
      <c r="S128" s="73"/>
      <c r="T128" s="73"/>
      <c r="U128" s="60"/>
      <c r="V128" s="1"/>
      <c r="W128" s="73"/>
      <c r="X128" s="73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</row>
    <row r="129" spans="2:96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73"/>
      <c r="S129" s="73"/>
      <c r="T129" s="73"/>
      <c r="U129" s="60"/>
      <c r="V129" s="1"/>
      <c r="W129" s="73"/>
      <c r="X129" s="73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</row>
    <row r="130" spans="2:96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73"/>
      <c r="S130" s="73"/>
      <c r="T130" s="73"/>
      <c r="U130" s="60"/>
      <c r="V130" s="1"/>
      <c r="W130" s="73"/>
      <c r="X130" s="73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</row>
    <row r="131" spans="2:96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73"/>
      <c r="S131" s="73"/>
      <c r="T131" s="73"/>
      <c r="U131" s="60"/>
      <c r="V131" s="1"/>
      <c r="W131" s="73"/>
      <c r="X131" s="73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</row>
    <row r="132" spans="2:96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73"/>
      <c r="S132" s="73"/>
      <c r="T132" s="73"/>
      <c r="U132" s="60"/>
      <c r="V132" s="1"/>
      <c r="W132" s="73"/>
      <c r="X132" s="73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</row>
    <row r="133" spans="2:96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73"/>
      <c r="S133" s="73"/>
      <c r="T133" s="73"/>
      <c r="U133" s="60"/>
      <c r="V133" s="1"/>
      <c r="W133" s="73"/>
      <c r="X133" s="73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</row>
    <row r="134" spans="2:96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73"/>
      <c r="S134" s="73"/>
      <c r="T134" s="73"/>
      <c r="U134" s="60"/>
      <c r="V134" s="1"/>
      <c r="W134" s="73"/>
      <c r="X134" s="73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</row>
    <row r="135" spans="2:96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73"/>
      <c r="S135" s="73"/>
      <c r="T135" s="73"/>
      <c r="U135" s="60"/>
      <c r="V135" s="1"/>
      <c r="W135" s="73"/>
      <c r="X135" s="73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</row>
    <row r="136" spans="2:96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73"/>
      <c r="S136" s="73"/>
      <c r="T136" s="73"/>
      <c r="U136" s="60"/>
      <c r="V136" s="1"/>
      <c r="W136" s="73"/>
      <c r="X136" s="73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</row>
    <row r="137" spans="2:96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73"/>
      <c r="S137" s="73"/>
      <c r="T137" s="73"/>
      <c r="U137" s="60"/>
      <c r="V137" s="1"/>
      <c r="W137" s="73"/>
      <c r="X137" s="73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</row>
    <row r="138" spans="2:96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73"/>
      <c r="S138" s="73"/>
      <c r="T138" s="73"/>
      <c r="U138" s="60"/>
      <c r="V138" s="1"/>
      <c r="W138" s="73"/>
      <c r="X138" s="73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</row>
    <row r="139" spans="2:96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73"/>
      <c r="S139" s="73"/>
      <c r="T139" s="73"/>
      <c r="U139" s="60"/>
      <c r="V139" s="1"/>
      <c r="W139" s="73"/>
      <c r="X139" s="73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</row>
    <row r="140" spans="2:96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73"/>
      <c r="S140" s="73"/>
      <c r="T140" s="73"/>
      <c r="U140" s="60"/>
      <c r="V140" s="1"/>
      <c r="W140" s="73"/>
      <c r="X140" s="73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</row>
    <row r="141" spans="2:96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73"/>
      <c r="S141" s="73"/>
      <c r="T141" s="73"/>
      <c r="U141" s="60"/>
      <c r="V141" s="1"/>
      <c r="W141" s="73"/>
      <c r="X141" s="73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</row>
    <row r="142" spans="2:96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73"/>
      <c r="S142" s="73"/>
      <c r="T142" s="73"/>
      <c r="U142" s="60"/>
      <c r="V142" s="1"/>
      <c r="W142" s="73"/>
      <c r="X142" s="73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</row>
    <row r="143" spans="2:96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73"/>
      <c r="S143" s="73"/>
      <c r="T143" s="73"/>
      <c r="U143" s="60"/>
      <c r="V143" s="1"/>
      <c r="W143" s="73"/>
      <c r="X143" s="73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</row>
    <row r="144" spans="2:96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73"/>
      <c r="S144" s="73"/>
      <c r="T144" s="73"/>
      <c r="U144" s="60"/>
      <c r="V144" s="1"/>
      <c r="W144" s="73"/>
      <c r="X144" s="73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</row>
    <row r="145" spans="2:96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73"/>
      <c r="S145" s="73"/>
      <c r="T145" s="73"/>
      <c r="U145" s="60"/>
      <c r="V145" s="1"/>
      <c r="W145" s="73"/>
      <c r="X145" s="73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</row>
    <row r="146" spans="2:96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73"/>
      <c r="S146" s="73"/>
      <c r="T146" s="73"/>
      <c r="U146" s="60"/>
      <c r="V146" s="1"/>
      <c r="W146" s="73"/>
      <c r="X146" s="73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</row>
    <row r="147" spans="2:96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73"/>
      <c r="S147" s="73"/>
      <c r="T147" s="73"/>
      <c r="U147" s="60"/>
      <c r="V147" s="1"/>
      <c r="W147" s="73"/>
      <c r="X147" s="73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</row>
    <row r="148" spans="2:96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73"/>
      <c r="S148" s="73"/>
      <c r="T148" s="73"/>
      <c r="U148" s="60"/>
      <c r="V148" s="1"/>
      <c r="W148" s="73"/>
      <c r="X148" s="73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</row>
    <row r="149" spans="2:96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73"/>
      <c r="S149" s="73"/>
      <c r="T149" s="73"/>
      <c r="U149" s="60"/>
      <c r="V149" s="1"/>
      <c r="W149" s="73"/>
      <c r="X149" s="73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</row>
    <row r="150" spans="2:96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73"/>
      <c r="S150" s="73"/>
      <c r="T150" s="73"/>
      <c r="U150" s="60"/>
      <c r="V150" s="1"/>
      <c r="W150" s="73"/>
      <c r="X150" s="73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</row>
    <row r="151" spans="2:96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73"/>
      <c r="S151" s="73"/>
      <c r="T151" s="73"/>
      <c r="U151" s="60"/>
      <c r="V151" s="1"/>
      <c r="W151" s="73"/>
      <c r="X151" s="73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</row>
    <row r="152" spans="2:96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73"/>
      <c r="S152" s="73"/>
      <c r="T152" s="73"/>
      <c r="U152" s="60"/>
      <c r="V152" s="1"/>
      <c r="W152" s="73"/>
      <c r="X152" s="73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</row>
    <row r="153" spans="2:96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73"/>
      <c r="S153" s="73"/>
      <c r="T153" s="73"/>
      <c r="U153" s="60"/>
      <c r="V153" s="1"/>
      <c r="W153" s="73"/>
      <c r="X153" s="73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</row>
    <row r="154" spans="2:96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73"/>
      <c r="S154" s="73"/>
      <c r="T154" s="73"/>
      <c r="U154" s="60"/>
      <c r="V154" s="1"/>
      <c r="W154" s="73"/>
      <c r="X154" s="73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</row>
    <row r="155" spans="2:96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73"/>
      <c r="S155" s="73"/>
      <c r="T155" s="73"/>
      <c r="U155" s="60"/>
      <c r="V155" s="1"/>
      <c r="W155" s="73"/>
      <c r="X155" s="73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</row>
    <row r="156" spans="2:96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73"/>
      <c r="S156" s="73"/>
      <c r="T156" s="73"/>
      <c r="U156" s="60"/>
      <c r="V156" s="1"/>
      <c r="W156" s="73"/>
      <c r="X156" s="73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</row>
    <row r="157" spans="2:96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73"/>
      <c r="S157" s="73"/>
      <c r="T157" s="73"/>
      <c r="U157" s="60"/>
      <c r="V157" s="1"/>
      <c r="W157" s="73"/>
      <c r="X157" s="73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</row>
    <row r="158" spans="2:96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73"/>
      <c r="S158" s="73"/>
      <c r="T158" s="73"/>
      <c r="U158" s="60"/>
      <c r="V158" s="1"/>
      <c r="W158" s="73"/>
      <c r="X158" s="73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</row>
    <row r="159" spans="2:96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73"/>
      <c r="S159" s="73"/>
      <c r="T159" s="73"/>
      <c r="U159" s="60"/>
      <c r="V159" s="1"/>
      <c r="W159" s="73"/>
      <c r="X159" s="73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</row>
    <row r="160" spans="2:96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73"/>
      <c r="S160" s="73"/>
      <c r="T160" s="73"/>
      <c r="U160" s="60"/>
      <c r="V160" s="1"/>
      <c r="W160" s="73"/>
      <c r="X160" s="73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</row>
    <row r="161" spans="2:96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73"/>
      <c r="S161" s="73"/>
      <c r="T161" s="73"/>
      <c r="U161" s="60"/>
      <c r="V161" s="1"/>
      <c r="W161" s="73"/>
      <c r="X161" s="73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</row>
    <row r="162" spans="2:96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73"/>
      <c r="S162" s="73"/>
      <c r="T162" s="73"/>
      <c r="U162" s="60"/>
      <c r="V162" s="1"/>
      <c r="W162" s="73"/>
      <c r="X162" s="73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</row>
    <row r="163" spans="2:96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73"/>
      <c r="S163" s="73"/>
      <c r="T163" s="73"/>
      <c r="U163" s="60"/>
      <c r="V163" s="1"/>
      <c r="W163" s="73"/>
      <c r="X163" s="73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</row>
    <row r="164" spans="2:96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73"/>
      <c r="S164" s="73"/>
      <c r="T164" s="73"/>
      <c r="U164" s="60"/>
      <c r="V164" s="1"/>
      <c r="W164" s="73"/>
      <c r="X164" s="73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</row>
    <row r="165" spans="2:96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73"/>
      <c r="S165" s="73"/>
      <c r="T165" s="73"/>
      <c r="U165" s="60"/>
      <c r="V165" s="1"/>
      <c r="W165" s="73"/>
      <c r="X165" s="73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</row>
    <row r="166" spans="2:96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73"/>
      <c r="S166" s="73"/>
      <c r="T166" s="73"/>
      <c r="U166" s="60"/>
      <c r="V166" s="1"/>
      <c r="W166" s="73"/>
      <c r="X166" s="73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</row>
    <row r="167" spans="2:96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73"/>
      <c r="S167" s="73"/>
      <c r="T167" s="73"/>
      <c r="U167" s="60"/>
      <c r="V167" s="1"/>
      <c r="W167" s="73"/>
      <c r="X167" s="73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</row>
    <row r="168" spans="2:96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73"/>
      <c r="S168" s="73"/>
      <c r="T168" s="73"/>
      <c r="U168" s="60"/>
      <c r="V168" s="1"/>
      <c r="W168" s="73"/>
      <c r="X168" s="73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</row>
    <row r="169" spans="2:96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73"/>
      <c r="S169" s="73"/>
      <c r="T169" s="73"/>
      <c r="U169" s="60"/>
      <c r="V169" s="1"/>
      <c r="W169" s="73"/>
      <c r="X169" s="73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</row>
    <row r="170" spans="2:96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73"/>
      <c r="S170" s="73"/>
      <c r="T170" s="73"/>
      <c r="U170" s="60"/>
      <c r="V170" s="1"/>
      <c r="W170" s="73"/>
      <c r="X170" s="73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</row>
    <row r="171" spans="2:96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73"/>
      <c r="S171" s="73"/>
      <c r="T171" s="73"/>
      <c r="U171" s="60"/>
      <c r="V171" s="1"/>
      <c r="W171" s="73"/>
      <c r="X171" s="73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</row>
    <row r="172" spans="2:96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73"/>
      <c r="S172" s="73"/>
      <c r="T172" s="73"/>
      <c r="U172" s="60"/>
      <c r="V172" s="1"/>
      <c r="W172" s="73"/>
      <c r="X172" s="73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</row>
    <row r="173" spans="2:96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73"/>
      <c r="S173" s="73"/>
      <c r="T173" s="73"/>
      <c r="U173" s="60"/>
      <c r="V173" s="1"/>
      <c r="W173" s="73"/>
      <c r="X173" s="73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</row>
    <row r="174" spans="2:96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73"/>
      <c r="S174" s="73"/>
      <c r="T174" s="73"/>
      <c r="U174" s="60"/>
      <c r="V174" s="1"/>
      <c r="W174" s="73"/>
      <c r="X174" s="73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</row>
    <row r="175" spans="2:96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73"/>
      <c r="S175" s="73"/>
      <c r="T175" s="73"/>
      <c r="U175" s="60"/>
      <c r="V175" s="1"/>
      <c r="W175" s="73"/>
      <c r="X175" s="73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</row>
    <row r="176" spans="2:96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73"/>
      <c r="S176" s="73"/>
      <c r="T176" s="73"/>
      <c r="U176" s="60"/>
      <c r="V176" s="1"/>
      <c r="W176" s="73"/>
      <c r="X176" s="73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</row>
    <row r="177" spans="2:112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73"/>
      <c r="S177" s="73"/>
      <c r="T177" s="73"/>
      <c r="U177" s="60"/>
      <c r="V177" s="1"/>
      <c r="W177" s="73"/>
      <c r="X177" s="73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</row>
    <row r="178" spans="2:112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73"/>
      <c r="S178" s="73"/>
      <c r="T178" s="73"/>
      <c r="U178" s="60"/>
      <c r="V178" s="1"/>
      <c r="W178" s="73"/>
      <c r="X178" s="73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</row>
    <row r="179" spans="2:112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73"/>
      <c r="S179" s="73"/>
      <c r="T179" s="73"/>
      <c r="U179" s="60"/>
      <c r="V179" s="1"/>
      <c r="W179" s="73"/>
      <c r="X179" s="73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</row>
    <row r="180" spans="2:112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73"/>
      <c r="S180" s="73"/>
      <c r="T180" s="73"/>
      <c r="U180" s="60"/>
      <c r="V180" s="1"/>
      <c r="W180" s="73"/>
      <c r="X180" s="73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</row>
    <row r="181" spans="2:112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73"/>
      <c r="S181" s="73"/>
      <c r="T181" s="73"/>
      <c r="U181" s="60"/>
      <c r="V181" s="1"/>
      <c r="W181" s="73"/>
      <c r="X181" s="73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</row>
    <row r="182" spans="2:112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73"/>
      <c r="S182" s="73"/>
      <c r="T182" s="73"/>
      <c r="U182" s="60"/>
      <c r="V182" s="1"/>
      <c r="W182" s="73"/>
      <c r="X182" s="73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</row>
    <row r="183" spans="2:112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73"/>
      <c r="S183" s="73"/>
      <c r="T183" s="73"/>
      <c r="U183" s="60"/>
      <c r="V183" s="1"/>
      <c r="W183" s="73"/>
      <c r="X183" s="73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</row>
    <row r="184" spans="2:112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73"/>
      <c r="S184" s="73"/>
      <c r="T184" s="73"/>
      <c r="U184" s="60"/>
      <c r="V184" s="1"/>
      <c r="W184" s="73"/>
      <c r="X184" s="73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</row>
    <row r="185" spans="2:112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73"/>
      <c r="S185" s="73"/>
      <c r="T185" s="73"/>
      <c r="U185" s="60"/>
      <c r="V185" s="1"/>
      <c r="W185" s="73"/>
      <c r="X185" s="73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</row>
    <row r="186" spans="2:112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73"/>
      <c r="S186" s="73"/>
      <c r="T186" s="73"/>
      <c r="U186" s="60"/>
      <c r="V186" s="1"/>
      <c r="W186" s="73"/>
      <c r="X186" s="73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</row>
    <row r="187" spans="2:112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73"/>
      <c r="S187" s="73"/>
      <c r="T187" s="73"/>
      <c r="U187" s="60"/>
      <c r="V187" s="1"/>
      <c r="W187" s="73"/>
      <c r="X187" s="73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</row>
    <row r="188" spans="2:112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73"/>
      <c r="S188" s="73"/>
      <c r="T188" s="73"/>
      <c r="U188" s="60"/>
      <c r="V188" s="1"/>
      <c r="W188" s="73"/>
      <c r="X188" s="73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</row>
    <row r="189" spans="2:112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73"/>
      <c r="S189" s="73"/>
      <c r="T189" s="73"/>
      <c r="U189" s="60"/>
      <c r="V189" s="1"/>
      <c r="W189" s="73"/>
      <c r="X189" s="73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</row>
    <row r="190" spans="2:112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73"/>
      <c r="S190" s="73"/>
      <c r="T190" s="73"/>
      <c r="U190" s="60"/>
      <c r="V190" s="1"/>
      <c r="W190" s="73"/>
      <c r="X190" s="73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</row>
    <row r="191" spans="2:112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73"/>
      <c r="S191" s="73"/>
      <c r="T191" s="73"/>
      <c r="U191" s="60"/>
      <c r="V191" s="1"/>
      <c r="W191" s="73"/>
      <c r="X191" s="73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</row>
    <row r="192" spans="2:112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73"/>
      <c r="S192" s="73"/>
      <c r="T192" s="73"/>
      <c r="U192" s="60"/>
      <c r="V192" s="1"/>
      <c r="W192" s="73"/>
      <c r="X192" s="73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</row>
    <row r="193" spans="2:112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73"/>
      <c r="S193" s="73"/>
      <c r="T193" s="73"/>
      <c r="U193" s="60"/>
      <c r="V193" s="1"/>
      <c r="W193" s="73"/>
      <c r="X193" s="73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</row>
    <row r="194" spans="2:112" x14ac:dyDescent="0.25">
      <c r="B194" s="8"/>
      <c r="C194" s="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73"/>
      <c r="S194" s="73"/>
      <c r="T194" s="73"/>
      <c r="U194" s="60"/>
      <c r="V194" s="1"/>
      <c r="W194" s="73"/>
      <c r="X194" s="73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</row>
    <row r="195" spans="2:112" x14ac:dyDescent="0.25">
      <c r="B195" s="8"/>
      <c r="C195" s="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73"/>
      <c r="S195" s="73"/>
      <c r="T195" s="73"/>
      <c r="U195" s="60"/>
      <c r="V195" s="1"/>
      <c r="W195" s="73"/>
      <c r="X195" s="73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</row>
    <row r="196" spans="2:112" x14ac:dyDescent="0.25">
      <c r="B196" s="8"/>
      <c r="C196" s="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73"/>
      <c r="S196" s="73"/>
      <c r="T196" s="73"/>
      <c r="U196" s="60"/>
      <c r="V196" s="1"/>
      <c r="W196" s="73"/>
      <c r="X196" s="73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</row>
    <row r="197" spans="2:112" x14ac:dyDescent="0.25">
      <c r="B197" s="8"/>
      <c r="C197" s="8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73"/>
      <c r="S197" s="73"/>
      <c r="T197" s="73"/>
      <c r="U197" s="60"/>
      <c r="V197" s="1"/>
      <c r="W197" s="73"/>
      <c r="X197" s="73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</row>
    <row r="198" spans="2:112" x14ac:dyDescent="0.25">
      <c r="B198" s="8"/>
      <c r="C198" s="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73"/>
      <c r="S198" s="73"/>
      <c r="T198" s="73"/>
      <c r="U198" s="60"/>
      <c r="V198" s="1"/>
      <c r="W198" s="73"/>
      <c r="X198" s="73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</row>
    <row r="199" spans="2:112" x14ac:dyDescent="0.25">
      <c r="B199" s="8"/>
      <c r="C199" s="8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73"/>
      <c r="S199" s="73"/>
      <c r="T199" s="73"/>
      <c r="U199" s="60"/>
      <c r="V199" s="1"/>
      <c r="W199" s="73"/>
      <c r="X199" s="73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</row>
    <row r="200" spans="2:112" x14ac:dyDescent="0.25">
      <c r="B200" s="8"/>
      <c r="C200" s="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73"/>
      <c r="S200" s="73"/>
      <c r="T200" s="73"/>
      <c r="U200" s="60"/>
      <c r="V200" s="1"/>
      <c r="W200" s="73"/>
      <c r="X200" s="73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</row>
    <row r="201" spans="2:112" x14ac:dyDescent="0.25">
      <c r="B201" s="8"/>
      <c r="C201" s="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73"/>
      <c r="S201" s="73"/>
      <c r="T201" s="73"/>
      <c r="U201" s="60"/>
      <c r="V201" s="1"/>
      <c r="W201" s="73"/>
      <c r="X201" s="73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</row>
    <row r="202" spans="2:112" x14ac:dyDescent="0.25">
      <c r="B202" s="8"/>
      <c r="C202" s="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73"/>
      <c r="S202" s="73"/>
      <c r="T202" s="73"/>
      <c r="U202" s="60"/>
      <c r="V202" s="1"/>
      <c r="W202" s="73"/>
      <c r="X202" s="73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</row>
    <row r="203" spans="2:112" x14ac:dyDescent="0.25">
      <c r="B203" s="8"/>
      <c r="C203" s="8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73"/>
      <c r="S203" s="73"/>
      <c r="T203" s="73"/>
      <c r="U203" s="60"/>
      <c r="V203" s="1"/>
      <c r="W203" s="73"/>
      <c r="X203" s="73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</row>
    <row r="204" spans="2:112" x14ac:dyDescent="0.25">
      <c r="B204" s="8"/>
      <c r="C204" s="8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73"/>
      <c r="S204" s="73"/>
      <c r="T204" s="73"/>
      <c r="U204" s="60"/>
      <c r="V204" s="1"/>
      <c r="W204" s="73"/>
      <c r="X204" s="73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</row>
    <row r="205" spans="2:112" x14ac:dyDescent="0.25">
      <c r="B205" s="8"/>
      <c r="C205" s="8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73"/>
      <c r="S205" s="73"/>
      <c r="T205" s="73"/>
      <c r="U205" s="60"/>
      <c r="V205" s="1"/>
      <c r="W205" s="73"/>
      <c r="X205" s="73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</row>
    <row r="206" spans="2:112" x14ac:dyDescent="0.25">
      <c r="B206" s="8"/>
      <c r="C206" s="8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73"/>
      <c r="S206" s="73"/>
      <c r="T206" s="73"/>
      <c r="U206" s="60"/>
      <c r="V206" s="1"/>
      <c r="W206" s="73"/>
      <c r="X206" s="73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</row>
    <row r="207" spans="2:112" x14ac:dyDescent="0.25">
      <c r="B207" s="8"/>
      <c r="C207" s="8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73"/>
      <c r="S207" s="73"/>
      <c r="T207" s="73"/>
      <c r="U207" s="60"/>
      <c r="V207" s="1"/>
      <c r="W207" s="73"/>
      <c r="X207" s="73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</row>
    <row r="208" spans="2:112" x14ac:dyDescent="0.25">
      <c r="B208" s="8"/>
      <c r="C208" s="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73"/>
      <c r="S208" s="73"/>
      <c r="T208" s="73"/>
      <c r="U208" s="60"/>
      <c r="V208" s="1"/>
      <c r="W208" s="73"/>
      <c r="X208" s="73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</row>
    <row r="209" spans="2:112" x14ac:dyDescent="0.25">
      <c r="B209" s="8"/>
      <c r="C209" s="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73"/>
      <c r="S209" s="73"/>
      <c r="T209" s="73"/>
      <c r="U209" s="60"/>
      <c r="V209" s="1"/>
      <c r="W209" s="73"/>
      <c r="X209" s="73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</row>
    <row r="210" spans="2:112" x14ac:dyDescent="0.25">
      <c r="B210" s="8"/>
      <c r="C210" s="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73"/>
      <c r="S210" s="73"/>
      <c r="T210" s="73"/>
      <c r="U210" s="60"/>
      <c r="V210" s="1"/>
      <c r="W210" s="73"/>
      <c r="X210" s="73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</row>
    <row r="211" spans="2:112" x14ac:dyDescent="0.25">
      <c r="B211" s="8"/>
      <c r="C211" s="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73"/>
      <c r="S211" s="73"/>
      <c r="T211" s="73"/>
      <c r="U211" s="60"/>
      <c r="V211" s="1"/>
      <c r="W211" s="73"/>
      <c r="X211" s="73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</row>
    <row r="212" spans="2:112" x14ac:dyDescent="0.25">
      <c r="B212" s="8"/>
      <c r="C212" s="8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73"/>
      <c r="S212" s="73"/>
      <c r="T212" s="73"/>
      <c r="U212" s="60"/>
      <c r="V212" s="1"/>
      <c r="W212" s="73"/>
      <c r="X212" s="73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</row>
    <row r="213" spans="2:112" x14ac:dyDescent="0.25">
      <c r="B213" s="8"/>
      <c r="C213" s="8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73"/>
      <c r="S213" s="73"/>
      <c r="T213" s="73"/>
      <c r="U213" s="60"/>
      <c r="V213" s="1"/>
      <c r="W213" s="73"/>
      <c r="X213" s="73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</row>
    <row r="214" spans="2:112" x14ac:dyDescent="0.25">
      <c r="B214" s="8"/>
      <c r="C214" s="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73"/>
      <c r="S214" s="73"/>
      <c r="T214" s="73"/>
      <c r="U214" s="60"/>
      <c r="V214" s="1"/>
      <c r="W214" s="73"/>
      <c r="X214" s="73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</row>
    <row r="215" spans="2:112" x14ac:dyDescent="0.25">
      <c r="B215" s="8"/>
      <c r="C215" s="8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73"/>
      <c r="S215" s="73"/>
      <c r="T215" s="73"/>
      <c r="U215" s="60"/>
      <c r="V215" s="1"/>
      <c r="W215" s="73"/>
      <c r="X215" s="73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</row>
    <row r="216" spans="2:112" x14ac:dyDescent="0.25">
      <c r="B216" s="8"/>
      <c r="C216" s="8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73"/>
      <c r="S216" s="73"/>
      <c r="T216" s="73"/>
      <c r="U216" s="60"/>
      <c r="V216" s="1"/>
      <c r="W216" s="73"/>
      <c r="X216" s="73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</row>
    <row r="217" spans="2:112" x14ac:dyDescent="0.25">
      <c r="B217" s="8"/>
      <c r="C217" s="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73"/>
      <c r="S217" s="73"/>
      <c r="T217" s="73"/>
      <c r="U217" s="60"/>
      <c r="V217" s="1"/>
      <c r="W217" s="73"/>
      <c r="X217" s="73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</row>
    <row r="218" spans="2:112" x14ac:dyDescent="0.25">
      <c r="B218" s="8"/>
      <c r="C218" s="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73"/>
      <c r="S218" s="73"/>
      <c r="T218" s="73"/>
      <c r="U218" s="60"/>
      <c r="V218" s="1"/>
      <c r="W218" s="73"/>
      <c r="X218" s="73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</row>
    <row r="219" spans="2:112" x14ac:dyDescent="0.25">
      <c r="B219" s="8"/>
      <c r="C219" s="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73"/>
      <c r="S219" s="73"/>
      <c r="T219" s="73"/>
      <c r="U219" s="60"/>
      <c r="V219" s="1"/>
      <c r="W219" s="73"/>
      <c r="X219" s="73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</row>
    <row r="220" spans="2:112" x14ac:dyDescent="0.25">
      <c r="B220" s="8"/>
      <c r="C220" s="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73"/>
      <c r="S220" s="73"/>
      <c r="T220" s="73"/>
      <c r="U220" s="60"/>
      <c r="V220" s="1"/>
      <c r="W220" s="73"/>
      <c r="X220" s="73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</row>
    <row r="221" spans="2:112" x14ac:dyDescent="0.25">
      <c r="B221" s="8"/>
      <c r="C221" s="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73"/>
      <c r="S221" s="73"/>
      <c r="T221" s="73"/>
      <c r="U221" s="60"/>
      <c r="V221" s="1"/>
      <c r="W221" s="73"/>
      <c r="X221" s="73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</row>
    <row r="222" spans="2:112" x14ac:dyDescent="0.25">
      <c r="B222" s="8"/>
      <c r="C222" s="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73"/>
      <c r="S222" s="73"/>
      <c r="T222" s="73"/>
      <c r="U222" s="60"/>
      <c r="V222" s="1"/>
      <c r="W222" s="73"/>
      <c r="X222" s="73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</row>
    <row r="223" spans="2:112" x14ac:dyDescent="0.25">
      <c r="B223" s="8"/>
      <c r="C223" s="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73"/>
      <c r="S223" s="73"/>
      <c r="T223" s="73"/>
      <c r="U223" s="60"/>
      <c r="V223" s="1"/>
      <c r="W223" s="73"/>
      <c r="X223" s="73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</row>
    <row r="224" spans="2:112" x14ac:dyDescent="0.25">
      <c r="B224" s="8"/>
      <c r="C224" s="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73"/>
      <c r="S224" s="73"/>
      <c r="T224" s="73"/>
      <c r="U224" s="60"/>
      <c r="V224" s="1"/>
      <c r="W224" s="73"/>
      <c r="X224" s="73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</row>
    <row r="225" spans="2:112" x14ac:dyDescent="0.25">
      <c r="B225" s="8"/>
      <c r="C225" s="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73"/>
      <c r="S225" s="73"/>
      <c r="T225" s="73"/>
      <c r="U225" s="60"/>
      <c r="V225" s="1"/>
      <c r="W225" s="73"/>
      <c r="X225" s="73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</row>
    <row r="226" spans="2:112" x14ac:dyDescent="0.25">
      <c r="B226" s="8"/>
      <c r="C226" s="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73"/>
      <c r="S226" s="73"/>
      <c r="T226" s="73"/>
      <c r="U226" s="60"/>
      <c r="V226" s="1"/>
      <c r="W226" s="73"/>
      <c r="X226" s="73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</row>
    <row r="227" spans="2:112" x14ac:dyDescent="0.25">
      <c r="B227" s="8"/>
      <c r="C227" s="8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73"/>
      <c r="S227" s="73"/>
      <c r="T227" s="73"/>
      <c r="U227" s="60"/>
      <c r="V227" s="1"/>
      <c r="W227" s="73"/>
      <c r="X227" s="73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</row>
    <row r="228" spans="2:112" x14ac:dyDescent="0.25">
      <c r="B228" s="8"/>
      <c r="C228" s="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73"/>
      <c r="S228" s="73"/>
      <c r="T228" s="73"/>
      <c r="U228" s="60"/>
      <c r="V228" s="1"/>
      <c r="W228" s="73"/>
      <c r="X228" s="73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</row>
    <row r="229" spans="2:112" x14ac:dyDescent="0.25">
      <c r="B229" s="8"/>
      <c r="C229" s="8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73"/>
      <c r="S229" s="73"/>
      <c r="T229" s="73"/>
      <c r="U229" s="60"/>
      <c r="V229" s="1"/>
      <c r="W229" s="73"/>
      <c r="X229" s="73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</row>
    <row r="230" spans="2:112" x14ac:dyDescent="0.25">
      <c r="B230" s="8"/>
      <c r="C230" s="8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73"/>
      <c r="S230" s="73"/>
      <c r="T230" s="73"/>
      <c r="U230" s="60"/>
      <c r="V230" s="1"/>
      <c r="W230" s="73"/>
      <c r="X230" s="73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</row>
    <row r="231" spans="2:112" x14ac:dyDescent="0.25">
      <c r="B231" s="8"/>
      <c r="C231" s="8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73"/>
      <c r="S231" s="73"/>
      <c r="T231" s="73"/>
      <c r="U231" s="60"/>
      <c r="V231" s="1"/>
      <c r="W231" s="73"/>
      <c r="X231" s="73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</row>
    <row r="232" spans="2:112" x14ac:dyDescent="0.25">
      <c r="B232" s="8"/>
      <c r="C232" s="8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73"/>
      <c r="S232" s="73"/>
      <c r="T232" s="73"/>
      <c r="U232" s="60"/>
      <c r="V232" s="1"/>
      <c r="W232" s="73"/>
      <c r="X232" s="73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</row>
    <row r="233" spans="2:112" x14ac:dyDescent="0.25">
      <c r="B233" s="8"/>
      <c r="C233" s="8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73"/>
      <c r="S233" s="73"/>
      <c r="T233" s="73"/>
      <c r="U233" s="60"/>
      <c r="V233" s="1"/>
      <c r="W233" s="73"/>
      <c r="X233" s="73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</row>
    <row r="234" spans="2:112" x14ac:dyDescent="0.25">
      <c r="B234" s="8"/>
      <c r="C234" s="8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73"/>
      <c r="S234" s="73"/>
      <c r="T234" s="73"/>
      <c r="U234" s="60"/>
      <c r="V234" s="1"/>
      <c r="W234" s="73"/>
      <c r="X234" s="73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</row>
    <row r="235" spans="2:112" x14ac:dyDescent="0.25">
      <c r="B235" s="8"/>
      <c r="C235" s="8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73"/>
      <c r="S235" s="73"/>
      <c r="T235" s="73"/>
      <c r="U235" s="60"/>
      <c r="V235" s="1"/>
      <c r="W235" s="73"/>
      <c r="X235" s="73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</row>
    <row r="236" spans="2:112" x14ac:dyDescent="0.25">
      <c r="B236" s="8"/>
      <c r="C236" s="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73"/>
      <c r="S236" s="73"/>
      <c r="T236" s="73"/>
      <c r="U236" s="60"/>
      <c r="V236" s="1"/>
      <c r="W236" s="73"/>
      <c r="X236" s="73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</row>
    <row r="237" spans="2:112" x14ac:dyDescent="0.25">
      <c r="B237" s="8"/>
      <c r="C237" s="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73"/>
      <c r="S237" s="73"/>
      <c r="T237" s="73"/>
      <c r="U237" s="60"/>
      <c r="V237" s="1"/>
      <c r="W237" s="73"/>
      <c r="X237" s="73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</row>
    <row r="238" spans="2:112" x14ac:dyDescent="0.25">
      <c r="B238" s="8"/>
      <c r="C238" s="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73"/>
      <c r="S238" s="73"/>
      <c r="T238" s="73"/>
      <c r="U238" s="60"/>
      <c r="V238" s="1"/>
      <c r="W238" s="73"/>
      <c r="X238" s="73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</row>
    <row r="239" spans="2:112" x14ac:dyDescent="0.25">
      <c r="B239" s="8"/>
      <c r="C239" s="8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73"/>
      <c r="S239" s="73"/>
      <c r="T239" s="73"/>
      <c r="U239" s="60"/>
      <c r="V239" s="1"/>
      <c r="W239" s="73"/>
      <c r="X239" s="73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</row>
    <row r="240" spans="2:112" x14ac:dyDescent="0.25">
      <c r="B240" s="8"/>
      <c r="C240" s="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73"/>
      <c r="S240" s="73"/>
      <c r="T240" s="73"/>
      <c r="U240" s="60"/>
      <c r="V240" s="1"/>
      <c r="W240" s="73"/>
      <c r="X240" s="73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</row>
    <row r="241" spans="2:112" x14ac:dyDescent="0.25">
      <c r="B241" s="8"/>
      <c r="C241" s="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73"/>
      <c r="S241" s="73"/>
      <c r="T241" s="73"/>
      <c r="U241" s="60"/>
      <c r="V241" s="1"/>
      <c r="W241" s="73"/>
      <c r="X241" s="73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</row>
    <row r="242" spans="2:112" x14ac:dyDescent="0.25">
      <c r="B242" s="8"/>
      <c r="C242" s="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73"/>
      <c r="S242" s="73"/>
      <c r="T242" s="73"/>
      <c r="U242" s="60"/>
      <c r="V242" s="1"/>
      <c r="W242" s="73"/>
      <c r="X242" s="73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</row>
    <row r="243" spans="2:112" x14ac:dyDescent="0.25">
      <c r="B243" s="8"/>
      <c r="C243" s="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73"/>
      <c r="S243" s="73"/>
      <c r="T243" s="73"/>
      <c r="U243" s="60"/>
      <c r="V243" s="1"/>
      <c r="W243" s="73"/>
      <c r="X243" s="73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</row>
    <row r="244" spans="2:112" x14ac:dyDescent="0.25">
      <c r="B244" s="8"/>
      <c r="C244" s="8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73"/>
      <c r="S244" s="73"/>
      <c r="T244" s="73"/>
      <c r="U244" s="60"/>
      <c r="V244" s="1"/>
      <c r="W244" s="73"/>
      <c r="X244" s="73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</row>
    <row r="245" spans="2:112" x14ac:dyDescent="0.25">
      <c r="B245" s="8"/>
      <c r="C245" s="8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73"/>
      <c r="S245" s="73"/>
      <c r="T245" s="73"/>
      <c r="U245" s="60"/>
      <c r="V245" s="1"/>
      <c r="W245" s="73"/>
      <c r="X245" s="73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</row>
    <row r="246" spans="2:112" x14ac:dyDescent="0.25">
      <c r="B246" s="8"/>
      <c r="C246" s="8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73"/>
      <c r="S246" s="73"/>
      <c r="T246" s="73"/>
      <c r="U246" s="60"/>
      <c r="V246" s="1"/>
      <c r="W246" s="73"/>
      <c r="X246" s="73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</row>
    <row r="247" spans="2:112" x14ac:dyDescent="0.25">
      <c r="B247" s="8"/>
      <c r="C247" s="8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73"/>
      <c r="S247" s="73"/>
      <c r="T247" s="73"/>
      <c r="U247" s="60"/>
      <c r="V247" s="1"/>
      <c r="W247" s="73"/>
      <c r="X247" s="73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</row>
    <row r="248" spans="2:112" x14ac:dyDescent="0.25">
      <c r="B248" s="8"/>
      <c r="C248" s="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73"/>
      <c r="S248" s="73"/>
      <c r="T248" s="73"/>
      <c r="U248" s="60"/>
      <c r="V248" s="1"/>
      <c r="W248" s="73"/>
      <c r="X248" s="73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</row>
    <row r="249" spans="2:112" x14ac:dyDescent="0.25">
      <c r="B249" s="8"/>
      <c r="C249" s="8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73"/>
      <c r="S249" s="73"/>
      <c r="T249" s="73"/>
      <c r="U249" s="60"/>
      <c r="V249" s="1"/>
      <c r="W249" s="73"/>
      <c r="X249" s="73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5"/>
    </row>
    <row r="250" spans="2:112" x14ac:dyDescent="0.25">
      <c r="B250" s="8"/>
      <c r="C250" s="8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73"/>
      <c r="S250" s="73"/>
      <c r="T250" s="73"/>
      <c r="U250" s="60"/>
      <c r="V250" s="1"/>
      <c r="W250" s="73"/>
      <c r="X250" s="73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</row>
    <row r="251" spans="2:112" x14ac:dyDescent="0.25">
      <c r="B251" s="8"/>
      <c r="C251" s="8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73"/>
      <c r="S251" s="73"/>
      <c r="T251" s="73"/>
      <c r="U251" s="60"/>
      <c r="V251" s="1"/>
      <c r="W251" s="73"/>
      <c r="X251" s="73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15"/>
      <c r="DF251" s="15"/>
      <c r="DG251" s="15"/>
      <c r="DH251" s="15"/>
    </row>
    <row r="252" spans="2:112" x14ac:dyDescent="0.25">
      <c r="B252" s="8"/>
      <c r="C252" s="8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73"/>
      <c r="S252" s="73"/>
      <c r="T252" s="73"/>
      <c r="U252" s="60"/>
      <c r="V252" s="1"/>
      <c r="W252" s="73"/>
      <c r="X252" s="73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15"/>
      <c r="DF252" s="15"/>
      <c r="DG252" s="15"/>
      <c r="DH252" s="15"/>
    </row>
    <row r="253" spans="2:112" x14ac:dyDescent="0.25">
      <c r="B253" s="8"/>
      <c r="C253" s="8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73"/>
      <c r="S253" s="73"/>
      <c r="T253" s="73"/>
      <c r="U253" s="60"/>
      <c r="V253" s="1"/>
      <c r="W253" s="73"/>
      <c r="X253" s="73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5"/>
    </row>
    <row r="254" spans="2:112" x14ac:dyDescent="0.25">
      <c r="B254" s="8"/>
      <c r="C254" s="8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73"/>
      <c r="S254" s="73"/>
      <c r="T254" s="73"/>
      <c r="U254" s="60"/>
      <c r="V254" s="1"/>
      <c r="W254" s="73"/>
      <c r="X254" s="73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</row>
    <row r="255" spans="2:112" x14ac:dyDescent="0.25">
      <c r="B255" s="8"/>
      <c r="C255" s="8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73"/>
      <c r="S255" s="73"/>
      <c r="T255" s="73"/>
      <c r="U255" s="60"/>
      <c r="V255" s="1"/>
      <c r="W255" s="73"/>
      <c r="X255" s="73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5"/>
    </row>
    <row r="256" spans="2:112" x14ac:dyDescent="0.25">
      <c r="B256" s="8"/>
      <c r="C256" s="8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73"/>
      <c r="S256" s="73"/>
      <c r="T256" s="73"/>
      <c r="U256" s="60"/>
      <c r="V256" s="1"/>
      <c r="W256" s="73"/>
      <c r="X256" s="73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5"/>
    </row>
    <row r="257" spans="2:112" x14ac:dyDescent="0.25">
      <c r="B257" s="8"/>
      <c r="C257" s="8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73"/>
      <c r="S257" s="73"/>
      <c r="T257" s="73"/>
      <c r="U257" s="60"/>
      <c r="V257" s="1"/>
      <c r="W257" s="73"/>
      <c r="X257" s="73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</row>
    <row r="258" spans="2:112" x14ac:dyDescent="0.25">
      <c r="B258" s="8"/>
      <c r="C258" s="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73"/>
      <c r="S258" s="73"/>
      <c r="T258" s="73"/>
      <c r="U258" s="60"/>
      <c r="V258" s="1"/>
      <c r="W258" s="73"/>
      <c r="X258" s="73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</row>
    <row r="259" spans="2:112" x14ac:dyDescent="0.25">
      <c r="B259" s="8"/>
      <c r="C259" s="8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73"/>
      <c r="S259" s="73"/>
      <c r="T259" s="73"/>
      <c r="U259" s="60"/>
      <c r="V259" s="1"/>
      <c r="W259" s="73"/>
      <c r="X259" s="73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5"/>
    </row>
    <row r="260" spans="2:112" x14ac:dyDescent="0.25">
      <c r="B260" s="8"/>
      <c r="C260" s="8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73"/>
      <c r="S260" s="73"/>
      <c r="T260" s="73"/>
      <c r="U260" s="60"/>
      <c r="V260" s="1"/>
      <c r="W260" s="73"/>
      <c r="X260" s="73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</row>
    <row r="261" spans="2:112" x14ac:dyDescent="0.25">
      <c r="B261" s="8"/>
      <c r="C261" s="8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73"/>
      <c r="S261" s="73"/>
      <c r="T261" s="73"/>
      <c r="U261" s="60"/>
      <c r="V261" s="1"/>
      <c r="W261" s="73"/>
      <c r="X261" s="73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5"/>
    </row>
    <row r="262" spans="2:112" x14ac:dyDescent="0.25">
      <c r="B262" s="8"/>
      <c r="C262" s="8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73"/>
      <c r="S262" s="73"/>
      <c r="T262" s="73"/>
      <c r="U262" s="60"/>
      <c r="V262" s="1"/>
      <c r="W262" s="73"/>
      <c r="X262" s="73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5"/>
    </row>
    <row r="263" spans="2:112" x14ac:dyDescent="0.25">
      <c r="B263" s="8"/>
      <c r="C263" s="8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73"/>
      <c r="S263" s="73"/>
      <c r="T263" s="73"/>
      <c r="U263" s="60"/>
      <c r="V263" s="1"/>
      <c r="W263" s="73"/>
      <c r="X263" s="73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5"/>
    </row>
    <row r="264" spans="2:112" x14ac:dyDescent="0.25">
      <c r="B264" s="8"/>
      <c r="C264" s="8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73"/>
      <c r="S264" s="73"/>
      <c r="T264" s="73"/>
      <c r="U264" s="60"/>
      <c r="V264" s="1"/>
      <c r="W264" s="73"/>
      <c r="X264" s="73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5"/>
    </row>
    <row r="265" spans="2:112" x14ac:dyDescent="0.25">
      <c r="B265" s="8"/>
      <c r="C265" s="8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73"/>
      <c r="S265" s="73"/>
      <c r="T265" s="73"/>
      <c r="U265" s="60"/>
      <c r="V265" s="1"/>
      <c r="W265" s="73"/>
      <c r="X265" s="73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</row>
    <row r="266" spans="2:112" x14ac:dyDescent="0.25">
      <c r="B266" s="8"/>
      <c r="C266" s="8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73"/>
      <c r="S266" s="73"/>
      <c r="T266" s="73"/>
      <c r="U266" s="60"/>
      <c r="V266" s="1"/>
      <c r="W266" s="73"/>
      <c r="X266" s="73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5"/>
    </row>
    <row r="267" spans="2:112" x14ac:dyDescent="0.25">
      <c r="B267" s="8"/>
      <c r="C267" s="8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73"/>
      <c r="S267" s="73"/>
      <c r="T267" s="73"/>
      <c r="U267" s="60"/>
      <c r="V267" s="1"/>
      <c r="W267" s="73"/>
      <c r="X267" s="73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5"/>
    </row>
    <row r="268" spans="2:112" x14ac:dyDescent="0.25">
      <c r="B268" s="8"/>
      <c r="C268" s="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73"/>
      <c r="S268" s="73"/>
      <c r="T268" s="73"/>
      <c r="U268" s="60"/>
      <c r="V268" s="1"/>
      <c r="W268" s="73"/>
      <c r="X268" s="73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5"/>
    </row>
    <row r="269" spans="2:112" x14ac:dyDescent="0.25">
      <c r="B269" s="8"/>
      <c r="C269" s="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73"/>
      <c r="S269" s="73"/>
      <c r="T269" s="73"/>
      <c r="U269" s="60"/>
      <c r="V269" s="1"/>
      <c r="W269" s="73"/>
      <c r="X269" s="73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5"/>
    </row>
    <row r="270" spans="2:112" x14ac:dyDescent="0.25">
      <c r="B270" s="8"/>
      <c r="C270" s="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73"/>
      <c r="S270" s="73"/>
      <c r="T270" s="73"/>
      <c r="U270" s="60"/>
      <c r="V270" s="1"/>
      <c r="W270" s="73"/>
      <c r="X270" s="73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5"/>
    </row>
    <row r="271" spans="2:112" x14ac:dyDescent="0.25">
      <c r="B271" s="8"/>
      <c r="C271" s="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73"/>
      <c r="S271" s="73"/>
      <c r="T271" s="73"/>
      <c r="U271" s="60"/>
      <c r="V271" s="1"/>
      <c r="W271" s="73"/>
      <c r="X271" s="73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5"/>
    </row>
    <row r="272" spans="2:112" x14ac:dyDescent="0.25">
      <c r="B272" s="8"/>
      <c r="C272" s="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73"/>
      <c r="S272" s="73"/>
      <c r="T272" s="73"/>
      <c r="U272" s="60"/>
      <c r="V272" s="1"/>
      <c r="W272" s="73"/>
      <c r="X272" s="73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5"/>
    </row>
    <row r="273" spans="2:112" x14ac:dyDescent="0.25">
      <c r="B273" s="8"/>
      <c r="C273" s="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73"/>
      <c r="S273" s="73"/>
      <c r="T273" s="73"/>
      <c r="U273" s="60"/>
      <c r="V273" s="1"/>
      <c r="W273" s="73"/>
      <c r="X273" s="73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5"/>
    </row>
    <row r="274" spans="2:112" x14ac:dyDescent="0.25">
      <c r="B274" s="8"/>
      <c r="C274" s="8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73"/>
      <c r="S274" s="73"/>
      <c r="T274" s="73"/>
      <c r="U274" s="60"/>
      <c r="V274" s="1"/>
      <c r="W274" s="73"/>
      <c r="X274" s="73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</row>
    <row r="275" spans="2:112" x14ac:dyDescent="0.25">
      <c r="B275" s="8"/>
      <c r="C275" s="8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73"/>
      <c r="S275" s="73"/>
      <c r="T275" s="73"/>
      <c r="U275" s="60"/>
      <c r="V275" s="1"/>
      <c r="W275" s="73"/>
      <c r="X275" s="73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</row>
    <row r="276" spans="2:112" x14ac:dyDescent="0.25">
      <c r="B276" s="8"/>
      <c r="C276" s="8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73"/>
      <c r="S276" s="73"/>
      <c r="T276" s="73"/>
      <c r="U276" s="60"/>
      <c r="V276" s="1"/>
      <c r="W276" s="73"/>
      <c r="X276" s="73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</row>
    <row r="277" spans="2:112" x14ac:dyDescent="0.25">
      <c r="B277" s="8"/>
      <c r="C277" s="8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73"/>
      <c r="S277" s="73"/>
      <c r="T277" s="73"/>
      <c r="U277" s="60"/>
      <c r="V277" s="1"/>
      <c r="W277" s="73"/>
      <c r="X277" s="73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</row>
    <row r="278" spans="2:112" x14ac:dyDescent="0.25">
      <c r="B278" s="8"/>
      <c r="C278" s="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73"/>
      <c r="S278" s="73"/>
      <c r="T278" s="73"/>
      <c r="U278" s="60"/>
      <c r="V278" s="1"/>
      <c r="W278" s="73"/>
      <c r="X278" s="73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</row>
    <row r="279" spans="2:112" x14ac:dyDescent="0.25">
      <c r="B279" s="8"/>
      <c r="C279" s="8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73"/>
      <c r="S279" s="73"/>
      <c r="T279" s="73"/>
      <c r="U279" s="60"/>
      <c r="V279" s="1"/>
      <c r="W279" s="73"/>
      <c r="X279" s="73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</row>
    <row r="280" spans="2:112" x14ac:dyDescent="0.25">
      <c r="B280" s="8"/>
      <c r="C280" s="8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73"/>
      <c r="S280" s="73"/>
      <c r="T280" s="73"/>
      <c r="U280" s="60"/>
      <c r="V280" s="1"/>
      <c r="W280" s="73"/>
      <c r="X280" s="73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</row>
    <row r="281" spans="2:112" x14ac:dyDescent="0.25">
      <c r="B281" s="8"/>
      <c r="C281" s="8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73"/>
      <c r="S281" s="73"/>
      <c r="T281" s="73"/>
      <c r="U281" s="60"/>
      <c r="V281" s="1"/>
      <c r="W281" s="73"/>
      <c r="X281" s="73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</row>
    <row r="282" spans="2:112" x14ac:dyDescent="0.25">
      <c r="B282" s="8"/>
      <c r="C282" s="8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73"/>
      <c r="S282" s="73"/>
      <c r="T282" s="73"/>
      <c r="U282" s="60"/>
      <c r="V282" s="1"/>
      <c r="W282" s="73"/>
      <c r="X282" s="73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</row>
    <row r="283" spans="2:112" x14ac:dyDescent="0.25">
      <c r="B283" s="8"/>
      <c r="C283" s="8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73"/>
      <c r="S283" s="73"/>
      <c r="T283" s="73"/>
      <c r="U283" s="60"/>
      <c r="V283" s="1"/>
      <c r="W283" s="73"/>
      <c r="X283" s="73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</row>
    <row r="284" spans="2:112" x14ac:dyDescent="0.25">
      <c r="B284" s="8"/>
      <c r="C284" s="8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73"/>
      <c r="S284" s="73"/>
      <c r="T284" s="73"/>
      <c r="U284" s="60"/>
      <c r="V284" s="1"/>
      <c r="W284" s="73"/>
      <c r="X284" s="73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</row>
    <row r="285" spans="2:112" x14ac:dyDescent="0.25">
      <c r="B285" s="8"/>
      <c r="C285" s="8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73"/>
      <c r="S285" s="73"/>
      <c r="T285" s="73"/>
      <c r="U285" s="60"/>
      <c r="V285" s="1"/>
      <c r="W285" s="73"/>
      <c r="X285" s="73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</row>
    <row r="286" spans="2:112" x14ac:dyDescent="0.25">
      <c r="B286" s="8"/>
      <c r="C286" s="8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73"/>
      <c r="S286" s="73"/>
      <c r="T286" s="73"/>
      <c r="U286" s="60"/>
      <c r="V286" s="1"/>
      <c r="W286" s="73"/>
      <c r="X286" s="73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</row>
    <row r="287" spans="2:112" x14ac:dyDescent="0.25">
      <c r="B287" s="8"/>
      <c r="C287" s="8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73"/>
      <c r="S287" s="73"/>
      <c r="T287" s="73"/>
      <c r="U287" s="60"/>
      <c r="V287" s="1"/>
      <c r="W287" s="73"/>
      <c r="X287" s="73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</row>
    <row r="288" spans="2:112" x14ac:dyDescent="0.25">
      <c r="B288" s="8"/>
      <c r="C288" s="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73"/>
      <c r="S288" s="73"/>
      <c r="T288" s="73"/>
      <c r="U288" s="60"/>
      <c r="V288" s="1"/>
      <c r="W288" s="73"/>
      <c r="X288" s="73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</row>
    <row r="289" spans="2:112" x14ac:dyDescent="0.25">
      <c r="B289" s="8"/>
      <c r="C289" s="8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73"/>
      <c r="S289" s="73"/>
      <c r="T289" s="73"/>
      <c r="U289" s="60"/>
      <c r="V289" s="1"/>
      <c r="W289" s="73"/>
      <c r="X289" s="73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/>
      <c r="DB289" s="15"/>
      <c r="DC289" s="15"/>
      <c r="DD289" s="15"/>
      <c r="DE289" s="15"/>
      <c r="DF289" s="15"/>
      <c r="DG289" s="15"/>
      <c r="DH289" s="15"/>
    </row>
    <row r="290" spans="2:112" x14ac:dyDescent="0.25">
      <c r="B290" s="8"/>
      <c r="C290" s="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73"/>
      <c r="S290" s="73"/>
      <c r="T290" s="73"/>
      <c r="U290" s="60"/>
      <c r="V290" s="1"/>
      <c r="W290" s="73"/>
      <c r="X290" s="73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5"/>
    </row>
    <row r="291" spans="2:112" x14ac:dyDescent="0.25">
      <c r="B291" s="8"/>
      <c r="C291" s="8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73"/>
      <c r="S291" s="73"/>
      <c r="T291" s="73"/>
      <c r="U291" s="60"/>
      <c r="V291" s="1"/>
      <c r="W291" s="73"/>
      <c r="X291" s="73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</row>
    <row r="292" spans="2:112" x14ac:dyDescent="0.25">
      <c r="B292" s="8"/>
      <c r="C292" s="8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73"/>
      <c r="S292" s="73"/>
      <c r="T292" s="73"/>
      <c r="U292" s="60"/>
      <c r="V292" s="1"/>
      <c r="W292" s="73"/>
      <c r="X292" s="73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</row>
    <row r="293" spans="2:112" x14ac:dyDescent="0.25">
      <c r="B293" s="8"/>
      <c r="C293" s="8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73"/>
      <c r="S293" s="73"/>
      <c r="T293" s="73"/>
      <c r="U293" s="60"/>
      <c r="V293" s="1"/>
      <c r="W293" s="73"/>
      <c r="X293" s="73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5"/>
      <c r="DH293" s="15"/>
    </row>
    <row r="294" spans="2:112" x14ac:dyDescent="0.25">
      <c r="B294" s="8"/>
      <c r="C294" s="8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73"/>
      <c r="S294" s="73"/>
      <c r="T294" s="73"/>
      <c r="U294" s="60"/>
      <c r="V294" s="1"/>
      <c r="W294" s="73"/>
      <c r="X294" s="73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5"/>
      <c r="DH294" s="15"/>
    </row>
    <row r="295" spans="2:112" x14ac:dyDescent="0.25">
      <c r="B295" s="8"/>
      <c r="C295" s="8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73"/>
      <c r="S295" s="73"/>
      <c r="T295" s="73"/>
      <c r="U295" s="60"/>
      <c r="V295" s="1"/>
      <c r="W295" s="73"/>
      <c r="X295" s="73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</row>
    <row r="296" spans="2:112" x14ac:dyDescent="0.25">
      <c r="B296" s="8"/>
      <c r="C296" s="8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73"/>
      <c r="S296" s="73"/>
      <c r="T296" s="73"/>
      <c r="U296" s="60"/>
      <c r="V296" s="1"/>
      <c r="W296" s="73"/>
      <c r="X296" s="73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5"/>
      <c r="CZ296" s="15"/>
      <c r="DA296" s="15"/>
      <c r="DB296" s="15"/>
      <c r="DC296" s="15"/>
      <c r="DD296" s="15"/>
      <c r="DE296" s="15"/>
      <c r="DF296" s="15"/>
      <c r="DG296" s="15"/>
      <c r="DH296" s="15"/>
    </row>
    <row r="297" spans="2:112" x14ac:dyDescent="0.25">
      <c r="B297" s="8"/>
      <c r="C297" s="8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73"/>
      <c r="S297" s="73"/>
      <c r="T297" s="73"/>
      <c r="U297" s="60"/>
      <c r="V297" s="1"/>
      <c r="W297" s="73"/>
      <c r="X297" s="73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5"/>
      <c r="CZ297" s="15"/>
      <c r="DA297" s="15"/>
      <c r="DB297" s="15"/>
      <c r="DC297" s="15"/>
      <c r="DD297" s="15"/>
      <c r="DE297" s="15"/>
      <c r="DF297" s="15"/>
      <c r="DG297" s="15"/>
      <c r="DH297" s="15"/>
    </row>
    <row r="298" spans="2:112" x14ac:dyDescent="0.25">
      <c r="B298" s="8"/>
      <c r="C298" s="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73"/>
      <c r="S298" s="73"/>
      <c r="T298" s="73"/>
      <c r="U298" s="60"/>
      <c r="V298" s="1"/>
      <c r="W298" s="73"/>
      <c r="X298" s="73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/>
      <c r="DB298" s="15"/>
      <c r="DC298" s="15"/>
      <c r="DD298" s="15"/>
      <c r="DE298" s="15"/>
      <c r="DF298" s="15"/>
      <c r="DG298" s="15"/>
      <c r="DH298" s="15"/>
    </row>
    <row r="299" spans="2:112" x14ac:dyDescent="0.25">
      <c r="B299" s="8"/>
      <c r="C299" s="8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73"/>
      <c r="S299" s="73"/>
      <c r="T299" s="73"/>
      <c r="U299" s="60"/>
      <c r="V299" s="1"/>
      <c r="W299" s="73"/>
      <c r="X299" s="73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/>
      <c r="DB299" s="15"/>
      <c r="DC299" s="15"/>
      <c r="DD299" s="15"/>
      <c r="DE299" s="15"/>
      <c r="DF299" s="15"/>
      <c r="DG299" s="15"/>
      <c r="DH299" s="15"/>
    </row>
    <row r="300" spans="2:112" x14ac:dyDescent="0.25">
      <c r="B300" s="8"/>
      <c r="C300" s="8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73"/>
      <c r="S300" s="73"/>
      <c r="T300" s="73"/>
      <c r="U300" s="60"/>
      <c r="V300" s="1"/>
      <c r="W300" s="73"/>
      <c r="X300" s="73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5"/>
      <c r="DH300" s="15"/>
    </row>
    <row r="301" spans="2:112" x14ac:dyDescent="0.25">
      <c r="B301" s="8"/>
      <c r="C301" s="8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73"/>
      <c r="S301" s="73"/>
      <c r="T301" s="73"/>
      <c r="U301" s="60"/>
      <c r="V301" s="1"/>
      <c r="W301" s="73"/>
      <c r="X301" s="73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5"/>
      <c r="DH301" s="15"/>
    </row>
    <row r="302" spans="2:112" x14ac:dyDescent="0.25">
      <c r="B302" s="8"/>
      <c r="C302" s="8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73"/>
      <c r="S302" s="73"/>
      <c r="T302" s="73"/>
      <c r="U302" s="60"/>
      <c r="V302" s="1"/>
      <c r="W302" s="73"/>
      <c r="X302" s="73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</row>
    <row r="303" spans="2:112" x14ac:dyDescent="0.25">
      <c r="B303" s="8"/>
      <c r="C303" s="8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73"/>
      <c r="S303" s="73"/>
      <c r="T303" s="73"/>
      <c r="U303" s="60"/>
      <c r="V303" s="1"/>
      <c r="W303" s="73"/>
      <c r="X303" s="73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</row>
    <row r="304" spans="2:112" x14ac:dyDescent="0.25">
      <c r="B304" s="8"/>
      <c r="C304" s="8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73"/>
      <c r="S304" s="73"/>
      <c r="T304" s="73"/>
      <c r="U304" s="60"/>
      <c r="V304" s="1"/>
      <c r="W304" s="73"/>
      <c r="X304" s="73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5"/>
      <c r="DH304" s="15"/>
    </row>
    <row r="305" spans="2:112" x14ac:dyDescent="0.25">
      <c r="B305" s="8"/>
      <c r="C305" s="8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73"/>
      <c r="S305" s="73"/>
      <c r="T305" s="73"/>
      <c r="U305" s="60"/>
      <c r="V305" s="1"/>
      <c r="W305" s="73"/>
      <c r="X305" s="73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</row>
    <row r="306" spans="2:112" x14ac:dyDescent="0.25">
      <c r="B306" s="8"/>
      <c r="C306" s="8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73"/>
      <c r="S306" s="73"/>
      <c r="T306" s="73"/>
      <c r="U306" s="60"/>
      <c r="V306" s="1"/>
      <c r="W306" s="73"/>
      <c r="X306" s="73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5"/>
      <c r="DH306" s="15"/>
    </row>
    <row r="307" spans="2:112" x14ac:dyDescent="0.25">
      <c r="B307" s="8"/>
      <c r="C307" s="8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73"/>
      <c r="S307" s="73"/>
      <c r="T307" s="73"/>
      <c r="U307" s="60"/>
      <c r="V307" s="1"/>
      <c r="W307" s="73"/>
      <c r="X307" s="73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5"/>
      <c r="DH307" s="15"/>
    </row>
    <row r="308" spans="2:112" x14ac:dyDescent="0.25">
      <c r="B308" s="8"/>
      <c r="C308" s="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73"/>
      <c r="S308" s="73"/>
      <c r="T308" s="73"/>
      <c r="U308" s="60"/>
      <c r="V308" s="1"/>
      <c r="W308" s="73"/>
      <c r="X308" s="73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</row>
    <row r="309" spans="2:112" x14ac:dyDescent="0.25">
      <c r="B309" s="8"/>
      <c r="C309" s="8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73"/>
      <c r="S309" s="73"/>
      <c r="T309" s="73"/>
      <c r="U309" s="60"/>
      <c r="V309" s="1"/>
      <c r="W309" s="73"/>
      <c r="X309" s="73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</row>
    <row r="310" spans="2:112" x14ac:dyDescent="0.25">
      <c r="B310" s="8"/>
      <c r="C310" s="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73"/>
      <c r="S310" s="73"/>
      <c r="T310" s="73"/>
      <c r="U310" s="60"/>
      <c r="V310" s="1"/>
      <c r="W310" s="73"/>
      <c r="X310" s="73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5"/>
    </row>
    <row r="311" spans="2:112" x14ac:dyDescent="0.25">
      <c r="B311" s="8"/>
      <c r="C311" s="8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73"/>
      <c r="S311" s="73"/>
      <c r="T311" s="73"/>
      <c r="U311" s="60"/>
      <c r="V311" s="1"/>
      <c r="W311" s="73"/>
      <c r="X311" s="73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5"/>
    </row>
    <row r="312" spans="2:112" x14ac:dyDescent="0.25">
      <c r="B312" s="8"/>
      <c r="C312" s="8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73"/>
      <c r="S312" s="73"/>
      <c r="T312" s="73"/>
      <c r="U312" s="60"/>
      <c r="V312" s="1"/>
      <c r="W312" s="73"/>
      <c r="X312" s="73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5"/>
    </row>
    <row r="313" spans="2:112" x14ac:dyDescent="0.25">
      <c r="B313" s="8"/>
      <c r="C313" s="8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73"/>
      <c r="S313" s="73"/>
      <c r="T313" s="73"/>
      <c r="U313" s="60"/>
      <c r="V313" s="1"/>
      <c r="W313" s="73"/>
      <c r="X313" s="73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5"/>
    </row>
    <row r="314" spans="2:112" x14ac:dyDescent="0.25">
      <c r="B314" s="8"/>
      <c r="C314" s="8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73"/>
      <c r="S314" s="73"/>
      <c r="T314" s="73"/>
      <c r="U314" s="60"/>
      <c r="V314" s="1"/>
      <c r="W314" s="73"/>
      <c r="X314" s="73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5"/>
    </row>
    <row r="315" spans="2:112" x14ac:dyDescent="0.25">
      <c r="B315" s="8"/>
      <c r="C315" s="8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73"/>
      <c r="S315" s="73"/>
      <c r="T315" s="73"/>
      <c r="U315" s="60"/>
      <c r="V315" s="1"/>
      <c r="W315" s="73"/>
      <c r="X315" s="73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5"/>
    </row>
    <row r="316" spans="2:112" x14ac:dyDescent="0.25">
      <c r="B316" s="8"/>
      <c r="C316" s="8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73"/>
      <c r="S316" s="73"/>
      <c r="T316" s="73"/>
      <c r="U316" s="60"/>
      <c r="V316" s="1"/>
      <c r="W316" s="73"/>
      <c r="X316" s="73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5"/>
    </row>
    <row r="317" spans="2:112" x14ac:dyDescent="0.25">
      <c r="B317" s="8"/>
      <c r="C317" s="8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73"/>
      <c r="S317" s="73"/>
      <c r="T317" s="73"/>
      <c r="U317" s="60"/>
      <c r="V317" s="1"/>
      <c r="W317" s="73"/>
      <c r="X317" s="73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5"/>
    </row>
    <row r="318" spans="2:112" x14ac:dyDescent="0.25">
      <c r="B318" s="8"/>
      <c r="C318" s="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73"/>
      <c r="S318" s="73"/>
      <c r="T318" s="73"/>
      <c r="U318" s="60"/>
      <c r="V318" s="1"/>
      <c r="W318" s="73"/>
      <c r="X318" s="73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5"/>
    </row>
    <row r="319" spans="2:112" x14ac:dyDescent="0.25">
      <c r="B319" s="8"/>
      <c r="C319" s="8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73"/>
      <c r="S319" s="73"/>
      <c r="T319" s="73"/>
      <c r="U319" s="60"/>
      <c r="V319" s="1"/>
      <c r="W319" s="73"/>
      <c r="X319" s="73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/>
      <c r="DC319" s="15"/>
      <c r="DD319" s="15"/>
      <c r="DE319" s="15"/>
      <c r="DF319" s="15"/>
      <c r="DG319" s="15"/>
      <c r="DH319" s="15"/>
    </row>
    <row r="320" spans="2:112" x14ac:dyDescent="0.25">
      <c r="B320" s="8"/>
      <c r="C320" s="8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73"/>
      <c r="S320" s="73"/>
      <c r="T320" s="73"/>
      <c r="U320" s="60"/>
      <c r="V320" s="1"/>
      <c r="W320" s="73"/>
      <c r="X320" s="73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</row>
    <row r="321" spans="2:112" x14ac:dyDescent="0.25">
      <c r="B321" s="8"/>
      <c r="C321" s="8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73"/>
      <c r="S321" s="73"/>
      <c r="T321" s="73"/>
      <c r="U321" s="60"/>
      <c r="V321" s="1"/>
      <c r="W321" s="73"/>
      <c r="X321" s="73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5"/>
    </row>
    <row r="322" spans="2:112" x14ac:dyDescent="0.25">
      <c r="B322" s="8"/>
      <c r="C322" s="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73"/>
      <c r="S322" s="73"/>
      <c r="T322" s="73"/>
      <c r="U322" s="60"/>
      <c r="V322" s="1"/>
      <c r="W322" s="73"/>
      <c r="X322" s="73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</row>
    <row r="323" spans="2:112" x14ac:dyDescent="0.25">
      <c r="B323" s="8"/>
      <c r="C323" s="8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73"/>
      <c r="S323" s="73"/>
      <c r="T323" s="73"/>
      <c r="U323" s="60"/>
      <c r="V323" s="1"/>
      <c r="W323" s="73"/>
      <c r="X323" s="73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</row>
    <row r="324" spans="2:112" x14ac:dyDescent="0.25">
      <c r="B324" s="8"/>
      <c r="C324" s="8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73"/>
      <c r="S324" s="73"/>
      <c r="T324" s="73"/>
      <c r="U324" s="60"/>
      <c r="V324" s="1"/>
      <c r="W324" s="73"/>
      <c r="X324" s="73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</row>
    <row r="325" spans="2:112" x14ac:dyDescent="0.25">
      <c r="B325" s="8"/>
      <c r="C325" s="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73"/>
      <c r="S325" s="73"/>
      <c r="T325" s="73"/>
      <c r="U325" s="60"/>
      <c r="V325" s="1"/>
      <c r="W325" s="73"/>
      <c r="X325" s="73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5"/>
    </row>
    <row r="326" spans="2:112" x14ac:dyDescent="0.25">
      <c r="B326" s="8"/>
      <c r="C326" s="8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73"/>
      <c r="S326" s="73"/>
      <c r="T326" s="73"/>
      <c r="U326" s="60"/>
      <c r="V326" s="1"/>
      <c r="W326" s="73"/>
      <c r="X326" s="73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/>
      <c r="DC326" s="15"/>
      <c r="DD326" s="15"/>
      <c r="DE326" s="15"/>
      <c r="DF326" s="15"/>
      <c r="DG326" s="15"/>
      <c r="DH326" s="15"/>
    </row>
    <row r="327" spans="2:112" x14ac:dyDescent="0.25">
      <c r="B327" s="8"/>
      <c r="C327" s="8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73"/>
      <c r="S327" s="73"/>
      <c r="T327" s="73"/>
      <c r="U327" s="60"/>
      <c r="V327" s="1"/>
      <c r="W327" s="73"/>
      <c r="X327" s="73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</row>
    <row r="328" spans="2:112" x14ac:dyDescent="0.25">
      <c r="B328" s="8"/>
      <c r="C328" s="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73"/>
      <c r="S328" s="73"/>
      <c r="T328" s="73"/>
      <c r="U328" s="60"/>
      <c r="V328" s="1"/>
      <c r="W328" s="73"/>
      <c r="X328" s="73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</row>
    <row r="329" spans="2:112" x14ac:dyDescent="0.25">
      <c r="B329" s="8"/>
      <c r="C329" s="8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73"/>
      <c r="S329" s="73"/>
      <c r="T329" s="73"/>
      <c r="U329" s="60"/>
      <c r="V329" s="1"/>
      <c r="W329" s="73"/>
      <c r="X329" s="73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</row>
    <row r="330" spans="2:112" x14ac:dyDescent="0.25">
      <c r="B330" s="8"/>
      <c r="C330" s="8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73"/>
      <c r="S330" s="73"/>
      <c r="T330" s="73"/>
      <c r="U330" s="60"/>
      <c r="V330" s="1"/>
      <c r="W330" s="73"/>
      <c r="X330" s="73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5"/>
    </row>
    <row r="331" spans="2:112" x14ac:dyDescent="0.25">
      <c r="B331" s="8"/>
      <c r="C331" s="8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73"/>
      <c r="S331" s="73"/>
      <c r="T331" s="73"/>
      <c r="U331" s="60"/>
      <c r="V331" s="1"/>
      <c r="W331" s="73"/>
      <c r="X331" s="73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5"/>
    </row>
    <row r="332" spans="2:112" x14ac:dyDescent="0.25">
      <c r="B332" s="8"/>
      <c r="C332" s="8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73"/>
      <c r="S332" s="73"/>
      <c r="T332" s="73"/>
      <c r="U332" s="60"/>
      <c r="V332" s="1"/>
      <c r="W332" s="73"/>
      <c r="X332" s="73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5"/>
    </row>
    <row r="333" spans="2:112" x14ac:dyDescent="0.25">
      <c r="B333" s="8"/>
      <c r="C333" s="8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73"/>
      <c r="S333" s="73"/>
      <c r="T333" s="73"/>
      <c r="U333" s="60"/>
      <c r="V333" s="1"/>
      <c r="W333" s="73"/>
      <c r="X333" s="73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5"/>
    </row>
    <row r="334" spans="2:112" x14ac:dyDescent="0.25">
      <c r="B334" s="8"/>
      <c r="C334" s="8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73"/>
      <c r="S334" s="73"/>
      <c r="T334" s="73"/>
      <c r="U334" s="60"/>
      <c r="V334" s="1"/>
      <c r="W334" s="73"/>
      <c r="X334" s="73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5"/>
    </row>
    <row r="335" spans="2:112" x14ac:dyDescent="0.25">
      <c r="B335" s="8"/>
      <c r="C335" s="8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73"/>
      <c r="S335" s="73"/>
      <c r="T335" s="73"/>
      <c r="U335" s="60"/>
      <c r="V335" s="1"/>
      <c r="W335" s="73"/>
      <c r="X335" s="73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</row>
    <row r="336" spans="2:112" x14ac:dyDescent="0.25">
      <c r="B336" s="8"/>
      <c r="C336" s="8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73"/>
      <c r="S336" s="73"/>
      <c r="T336" s="73"/>
      <c r="U336" s="60"/>
      <c r="V336" s="1"/>
      <c r="W336" s="73"/>
      <c r="X336" s="73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</row>
    <row r="337" spans="2:112" x14ac:dyDescent="0.25">
      <c r="B337" s="8"/>
      <c r="C337" s="8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73"/>
      <c r="S337" s="73"/>
      <c r="T337" s="73"/>
      <c r="U337" s="60"/>
      <c r="V337" s="1"/>
      <c r="W337" s="73"/>
      <c r="X337" s="73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/>
      <c r="DC337" s="15"/>
      <c r="DD337" s="15"/>
      <c r="DE337" s="15"/>
      <c r="DF337" s="15"/>
      <c r="DG337" s="15"/>
      <c r="DH337" s="15"/>
    </row>
    <row r="338" spans="2:112" x14ac:dyDescent="0.25">
      <c r="B338" s="8"/>
      <c r="C338" s="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73"/>
      <c r="S338" s="73"/>
      <c r="T338" s="73"/>
      <c r="U338" s="60"/>
      <c r="V338" s="1"/>
      <c r="W338" s="73"/>
      <c r="X338" s="73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</row>
    <row r="339" spans="2:112" x14ac:dyDescent="0.25">
      <c r="B339" s="8"/>
      <c r="C339" s="8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73"/>
      <c r="S339" s="73"/>
      <c r="T339" s="73"/>
      <c r="U339" s="60"/>
      <c r="V339" s="1"/>
      <c r="W339" s="73"/>
      <c r="X339" s="73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5"/>
    </row>
    <row r="340" spans="2:112" x14ac:dyDescent="0.25">
      <c r="B340" s="8"/>
      <c r="C340" s="8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73"/>
      <c r="S340" s="73"/>
      <c r="T340" s="73"/>
      <c r="U340" s="60"/>
      <c r="V340" s="1"/>
      <c r="W340" s="73"/>
      <c r="X340" s="73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</row>
    <row r="341" spans="2:112" x14ac:dyDescent="0.25">
      <c r="B341" s="8"/>
      <c r="C341" s="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73"/>
      <c r="S341" s="73"/>
      <c r="T341" s="73"/>
      <c r="U341" s="60"/>
      <c r="V341" s="1"/>
      <c r="W341" s="73"/>
      <c r="X341" s="73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</row>
    <row r="342" spans="2:112" x14ac:dyDescent="0.25">
      <c r="B342" s="8"/>
      <c r="C342" s="8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73"/>
      <c r="S342" s="73"/>
      <c r="T342" s="73"/>
      <c r="U342" s="60"/>
      <c r="V342" s="1"/>
      <c r="W342" s="73"/>
      <c r="X342" s="73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</row>
    <row r="343" spans="2:112" x14ac:dyDescent="0.25">
      <c r="B343" s="8"/>
      <c r="C343" s="8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73"/>
      <c r="S343" s="73"/>
      <c r="T343" s="73"/>
      <c r="U343" s="60"/>
      <c r="V343" s="1"/>
      <c r="W343" s="73"/>
      <c r="X343" s="73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</row>
    <row r="344" spans="2:112" x14ac:dyDescent="0.25">
      <c r="B344" s="8"/>
      <c r="C344" s="8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73"/>
      <c r="S344" s="73"/>
      <c r="T344" s="73"/>
      <c r="U344" s="60"/>
      <c r="V344" s="1"/>
      <c r="W344" s="73"/>
      <c r="X344" s="73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</row>
    <row r="345" spans="2:112" x14ac:dyDescent="0.25">
      <c r="B345" s="8"/>
      <c r="C345" s="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73"/>
      <c r="S345" s="73"/>
      <c r="T345" s="73"/>
      <c r="U345" s="60"/>
      <c r="V345" s="1"/>
      <c r="W345" s="73"/>
      <c r="X345" s="73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</row>
    <row r="346" spans="2:112" x14ac:dyDescent="0.25">
      <c r="B346" s="8"/>
      <c r="C346" s="8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73"/>
      <c r="S346" s="73"/>
      <c r="T346" s="73"/>
      <c r="U346" s="60"/>
      <c r="V346" s="1"/>
      <c r="W346" s="73"/>
      <c r="X346" s="73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</row>
    <row r="347" spans="2:112" x14ac:dyDescent="0.25">
      <c r="B347" s="8"/>
      <c r="C347" s="8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73"/>
      <c r="S347" s="73"/>
      <c r="T347" s="73"/>
      <c r="U347" s="60"/>
      <c r="V347" s="1"/>
      <c r="W347" s="73"/>
      <c r="X347" s="73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</row>
    <row r="348" spans="2:112" x14ac:dyDescent="0.25">
      <c r="B348" s="8"/>
      <c r="C348" s="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73"/>
      <c r="S348" s="73"/>
      <c r="T348" s="73"/>
      <c r="U348" s="60"/>
      <c r="V348" s="1"/>
      <c r="W348" s="73"/>
      <c r="X348" s="73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5"/>
    </row>
    <row r="349" spans="2:112" x14ac:dyDescent="0.25">
      <c r="B349" s="8"/>
      <c r="C349" s="8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73"/>
      <c r="S349" s="73"/>
      <c r="T349" s="73"/>
      <c r="U349" s="60"/>
      <c r="V349" s="1"/>
      <c r="W349" s="73"/>
      <c r="X349" s="73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</row>
    <row r="350" spans="2:112" x14ac:dyDescent="0.25">
      <c r="B350" s="8"/>
      <c r="C350" s="8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73"/>
      <c r="S350" s="73"/>
      <c r="T350" s="73"/>
      <c r="U350" s="60"/>
      <c r="V350" s="1"/>
      <c r="W350" s="73"/>
      <c r="X350" s="73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5"/>
    </row>
    <row r="351" spans="2:112" x14ac:dyDescent="0.25">
      <c r="B351" s="8"/>
      <c r="C351" s="8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73"/>
      <c r="S351" s="73"/>
      <c r="T351" s="73"/>
      <c r="U351" s="60"/>
      <c r="V351" s="1"/>
      <c r="W351" s="73"/>
      <c r="X351" s="73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5"/>
    </row>
    <row r="352" spans="2:112" x14ac:dyDescent="0.25">
      <c r="B352" s="8"/>
      <c r="C352" s="8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73"/>
      <c r="S352" s="73"/>
      <c r="T352" s="73"/>
      <c r="U352" s="60"/>
      <c r="V352" s="1"/>
      <c r="W352" s="73"/>
      <c r="X352" s="73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</row>
    <row r="353" spans="2:112" x14ac:dyDescent="0.25">
      <c r="B353" s="8"/>
      <c r="C353" s="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73"/>
      <c r="S353" s="73"/>
      <c r="T353" s="73"/>
      <c r="U353" s="60"/>
      <c r="V353" s="1"/>
      <c r="W353" s="73"/>
      <c r="X353" s="73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5"/>
      <c r="DH353" s="15"/>
    </row>
    <row r="354" spans="2:112" x14ac:dyDescent="0.25">
      <c r="B354" s="8"/>
      <c r="C354" s="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73"/>
      <c r="S354" s="73"/>
      <c r="T354" s="73"/>
      <c r="U354" s="60"/>
      <c r="V354" s="1"/>
      <c r="W354" s="73"/>
      <c r="X354" s="73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5"/>
      <c r="CZ354" s="15"/>
      <c r="DA354" s="15"/>
      <c r="DB354" s="15"/>
      <c r="DC354" s="15"/>
      <c r="DD354" s="15"/>
      <c r="DE354" s="15"/>
      <c r="DF354" s="15"/>
      <c r="DG354" s="15"/>
      <c r="DH354" s="15"/>
    </row>
    <row r="355" spans="2:112" x14ac:dyDescent="0.25">
      <c r="B355" s="8"/>
      <c r="C355" s="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73"/>
      <c r="S355" s="73"/>
      <c r="T355" s="73"/>
      <c r="U355" s="60"/>
      <c r="V355" s="1"/>
      <c r="W355" s="73"/>
      <c r="X355" s="73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5"/>
      <c r="CZ355" s="15"/>
      <c r="DA355" s="15"/>
      <c r="DB355" s="15"/>
      <c r="DC355" s="15"/>
      <c r="DD355" s="15"/>
      <c r="DE355" s="15"/>
      <c r="DF355" s="15"/>
      <c r="DG355" s="15"/>
      <c r="DH355" s="15"/>
    </row>
    <row r="356" spans="2:112" x14ac:dyDescent="0.25">
      <c r="B356" s="8"/>
      <c r="C356" s="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73"/>
      <c r="S356" s="73"/>
      <c r="T356" s="73"/>
      <c r="U356" s="60"/>
      <c r="V356" s="1"/>
      <c r="W356" s="73"/>
      <c r="X356" s="73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5"/>
      <c r="CZ356" s="15"/>
      <c r="DA356" s="15"/>
      <c r="DB356" s="15"/>
      <c r="DC356" s="15"/>
      <c r="DD356" s="15"/>
      <c r="DE356" s="15"/>
      <c r="DF356" s="15"/>
      <c r="DG356" s="15"/>
      <c r="DH356" s="15"/>
    </row>
    <row r="357" spans="2:112" x14ac:dyDescent="0.25">
      <c r="B357" s="8"/>
      <c r="C357" s="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73"/>
      <c r="S357" s="73"/>
      <c r="T357" s="73"/>
      <c r="U357" s="60"/>
      <c r="V357" s="1"/>
      <c r="W357" s="73"/>
      <c r="X357" s="73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</row>
    <row r="358" spans="2:112" x14ac:dyDescent="0.25">
      <c r="B358" s="8"/>
      <c r="C358" s="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73"/>
      <c r="S358" s="73"/>
      <c r="T358" s="73"/>
      <c r="U358" s="60"/>
      <c r="V358" s="1"/>
      <c r="W358" s="73"/>
      <c r="X358" s="73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</row>
    <row r="359" spans="2:112" x14ac:dyDescent="0.25">
      <c r="B359" s="8"/>
      <c r="C359" s="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73"/>
      <c r="S359" s="73"/>
      <c r="T359" s="73"/>
      <c r="U359" s="60"/>
      <c r="V359" s="1"/>
      <c r="W359" s="73"/>
      <c r="X359" s="73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5"/>
    </row>
    <row r="360" spans="2:112" x14ac:dyDescent="0.25">
      <c r="B360" s="8"/>
      <c r="C360" s="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73"/>
      <c r="S360" s="73"/>
      <c r="T360" s="73"/>
      <c r="U360" s="60"/>
      <c r="V360" s="1"/>
      <c r="W360" s="73"/>
      <c r="X360" s="73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</row>
    <row r="361" spans="2:112" x14ac:dyDescent="0.25">
      <c r="B361" s="8"/>
      <c r="C361" s="8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73"/>
      <c r="S361" s="73"/>
      <c r="T361" s="73"/>
      <c r="U361" s="60"/>
      <c r="V361" s="1"/>
      <c r="W361" s="73"/>
      <c r="X361" s="73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5"/>
    </row>
    <row r="362" spans="2:112" x14ac:dyDescent="0.25">
      <c r="B362" s="8"/>
      <c r="C362" s="8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73"/>
      <c r="S362" s="73"/>
      <c r="T362" s="73"/>
      <c r="U362" s="60"/>
      <c r="V362" s="1"/>
      <c r="W362" s="73"/>
      <c r="X362" s="73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5"/>
    </row>
    <row r="363" spans="2:112" x14ac:dyDescent="0.25">
      <c r="B363" s="8"/>
      <c r="C363" s="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73"/>
      <c r="S363" s="73"/>
      <c r="T363" s="73"/>
      <c r="U363" s="60"/>
      <c r="V363" s="1"/>
      <c r="W363" s="73"/>
      <c r="X363" s="73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</row>
    <row r="364" spans="2:112" x14ac:dyDescent="0.25">
      <c r="B364" s="8"/>
      <c r="C364" s="8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73"/>
      <c r="S364" s="73"/>
      <c r="T364" s="73"/>
      <c r="U364" s="60"/>
      <c r="V364" s="1"/>
      <c r="W364" s="73"/>
      <c r="X364" s="73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</row>
    <row r="365" spans="2:112" x14ac:dyDescent="0.25">
      <c r="B365" s="8"/>
      <c r="C365" s="8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73"/>
      <c r="S365" s="73"/>
      <c r="T365" s="73"/>
      <c r="U365" s="60"/>
      <c r="V365" s="1"/>
      <c r="W365" s="73"/>
      <c r="X365" s="73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</row>
    <row r="366" spans="2:112" x14ac:dyDescent="0.25">
      <c r="B366" s="8"/>
      <c r="C366" s="8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73"/>
      <c r="S366" s="73"/>
      <c r="T366" s="73"/>
      <c r="U366" s="60"/>
      <c r="V366" s="1"/>
      <c r="W366" s="73"/>
      <c r="X366" s="73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</row>
    <row r="367" spans="2:112" x14ac:dyDescent="0.25">
      <c r="B367" s="8"/>
      <c r="C367" s="8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73"/>
      <c r="S367" s="73"/>
      <c r="T367" s="73"/>
      <c r="U367" s="60"/>
      <c r="V367" s="1"/>
      <c r="W367" s="73"/>
      <c r="X367" s="73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5"/>
    </row>
    <row r="368" spans="2:112" x14ac:dyDescent="0.25">
      <c r="B368" s="8"/>
      <c r="C368" s="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73"/>
      <c r="S368" s="73"/>
      <c r="T368" s="73"/>
      <c r="U368" s="60"/>
      <c r="V368" s="1"/>
      <c r="W368" s="73"/>
      <c r="X368" s="73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5"/>
    </row>
    <row r="369" spans="2:112" x14ac:dyDescent="0.25">
      <c r="B369" s="8"/>
      <c r="C369" s="8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73"/>
      <c r="S369" s="73"/>
      <c r="T369" s="73"/>
      <c r="U369" s="60"/>
      <c r="V369" s="1"/>
      <c r="W369" s="73"/>
      <c r="X369" s="73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5"/>
    </row>
    <row r="370" spans="2:112" x14ac:dyDescent="0.25">
      <c r="B370" s="8"/>
      <c r="C370" s="8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73"/>
      <c r="S370" s="73"/>
      <c r="T370" s="73"/>
      <c r="U370" s="60"/>
      <c r="V370" s="1"/>
      <c r="W370" s="73"/>
      <c r="X370" s="73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</row>
    <row r="371" spans="2:112" x14ac:dyDescent="0.25">
      <c r="B371" s="8"/>
      <c r="C371" s="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73"/>
      <c r="S371" s="73"/>
      <c r="T371" s="73"/>
      <c r="U371" s="60"/>
      <c r="V371" s="1"/>
      <c r="W371" s="73"/>
      <c r="X371" s="73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5"/>
      <c r="CZ371" s="15"/>
      <c r="DA371" s="15"/>
      <c r="DB371" s="15"/>
      <c r="DC371" s="15"/>
      <c r="DD371" s="15"/>
      <c r="DE371" s="15"/>
      <c r="DF371" s="15"/>
      <c r="DG371" s="15"/>
      <c r="DH371" s="15"/>
    </row>
    <row r="372" spans="2:112" x14ac:dyDescent="0.25">
      <c r="B372" s="8"/>
      <c r="C372" s="8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73"/>
      <c r="S372" s="73"/>
      <c r="T372" s="73"/>
      <c r="U372" s="60"/>
      <c r="V372" s="1"/>
      <c r="W372" s="73"/>
      <c r="X372" s="73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5"/>
      <c r="CZ372" s="15"/>
      <c r="DA372" s="15"/>
      <c r="DB372" s="15"/>
      <c r="DC372" s="15"/>
      <c r="DD372" s="15"/>
      <c r="DE372" s="15"/>
      <c r="DF372" s="15"/>
      <c r="DG372" s="15"/>
      <c r="DH372" s="15"/>
    </row>
    <row r="373" spans="2:112" x14ac:dyDescent="0.25">
      <c r="B373" s="8"/>
      <c r="C373" s="8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73"/>
      <c r="S373" s="73"/>
      <c r="T373" s="73"/>
      <c r="U373" s="60"/>
      <c r="V373" s="1"/>
      <c r="W373" s="73"/>
      <c r="X373" s="73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5"/>
      <c r="CZ373" s="15"/>
      <c r="DA373" s="15"/>
      <c r="DB373" s="15"/>
      <c r="DC373" s="15"/>
      <c r="DD373" s="15"/>
      <c r="DE373" s="15"/>
      <c r="DF373" s="15"/>
      <c r="DG373" s="15"/>
      <c r="DH373" s="15"/>
    </row>
    <row r="374" spans="2:112" x14ac:dyDescent="0.25">
      <c r="B374" s="8"/>
      <c r="C374" s="8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73"/>
      <c r="S374" s="73"/>
      <c r="T374" s="73"/>
      <c r="U374" s="60"/>
      <c r="V374" s="1"/>
      <c r="W374" s="73"/>
      <c r="X374" s="73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5"/>
      <c r="CZ374" s="15"/>
      <c r="DA374" s="15"/>
      <c r="DB374" s="15"/>
      <c r="DC374" s="15"/>
      <c r="DD374" s="15"/>
      <c r="DE374" s="15"/>
      <c r="DF374" s="15"/>
      <c r="DG374" s="15"/>
      <c r="DH374" s="15"/>
    </row>
    <row r="375" spans="2:112" x14ac:dyDescent="0.25">
      <c r="B375" s="8"/>
      <c r="C375" s="8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73"/>
      <c r="S375" s="73"/>
      <c r="T375" s="73"/>
      <c r="U375" s="60"/>
      <c r="V375" s="1"/>
      <c r="W375" s="73"/>
      <c r="X375" s="73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</row>
    <row r="376" spans="2:112" x14ac:dyDescent="0.25">
      <c r="B376" s="8"/>
      <c r="C376" s="8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73"/>
      <c r="S376" s="73"/>
      <c r="T376" s="73"/>
      <c r="U376" s="60"/>
      <c r="V376" s="1"/>
      <c r="W376" s="73"/>
      <c r="X376" s="73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5"/>
      <c r="CZ376" s="15"/>
      <c r="DA376" s="15"/>
      <c r="DB376" s="15"/>
      <c r="DC376" s="15"/>
      <c r="DD376" s="15"/>
      <c r="DE376" s="15"/>
      <c r="DF376" s="15"/>
      <c r="DG376" s="15"/>
      <c r="DH376" s="15"/>
    </row>
    <row r="377" spans="2:112" x14ac:dyDescent="0.25">
      <c r="B377" s="8"/>
      <c r="C377" s="8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73"/>
      <c r="S377" s="73"/>
      <c r="T377" s="73"/>
      <c r="U377" s="60"/>
      <c r="V377" s="1"/>
      <c r="W377" s="73"/>
      <c r="X377" s="73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5"/>
      <c r="CZ377" s="15"/>
      <c r="DA377" s="15"/>
      <c r="DB377" s="15"/>
      <c r="DC377" s="15"/>
      <c r="DD377" s="15"/>
      <c r="DE377" s="15"/>
      <c r="DF377" s="15"/>
      <c r="DG377" s="15"/>
      <c r="DH377" s="15"/>
    </row>
    <row r="378" spans="2:112" x14ac:dyDescent="0.25">
      <c r="B378" s="8"/>
      <c r="C378" s="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73"/>
      <c r="S378" s="73"/>
      <c r="T378" s="73"/>
      <c r="U378" s="60"/>
      <c r="V378" s="1"/>
      <c r="W378" s="73"/>
      <c r="X378" s="73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  <c r="DA378" s="15"/>
      <c r="DB378" s="15"/>
      <c r="DC378" s="15"/>
      <c r="DD378" s="15"/>
      <c r="DE378" s="15"/>
      <c r="DF378" s="15"/>
      <c r="DG378" s="15"/>
      <c r="DH378" s="15"/>
    </row>
    <row r="379" spans="2:112" x14ac:dyDescent="0.25">
      <c r="B379" s="8"/>
      <c r="C379" s="8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73"/>
      <c r="S379" s="73"/>
      <c r="T379" s="73"/>
      <c r="U379" s="60"/>
      <c r="V379" s="1"/>
      <c r="W379" s="73"/>
      <c r="X379" s="73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  <c r="DA379" s="15"/>
      <c r="DB379" s="15"/>
      <c r="DC379" s="15"/>
      <c r="DD379" s="15"/>
      <c r="DE379" s="15"/>
      <c r="DF379" s="15"/>
      <c r="DG379" s="15"/>
      <c r="DH379" s="15"/>
    </row>
    <row r="380" spans="2:112" x14ac:dyDescent="0.25">
      <c r="B380" s="8"/>
      <c r="C380" s="8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73"/>
      <c r="S380" s="73"/>
      <c r="T380" s="73"/>
      <c r="U380" s="60"/>
      <c r="V380" s="1"/>
      <c r="W380" s="73"/>
      <c r="X380" s="73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5"/>
      <c r="CZ380" s="15"/>
      <c r="DA380" s="15"/>
      <c r="DB380" s="15"/>
      <c r="DC380" s="15"/>
      <c r="DD380" s="15"/>
      <c r="DE380" s="15"/>
      <c r="DF380" s="15"/>
      <c r="DG380" s="15"/>
      <c r="DH380" s="15"/>
    </row>
    <row r="381" spans="2:112" x14ac:dyDescent="0.25">
      <c r="B381" s="8"/>
      <c r="C381" s="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73"/>
      <c r="S381" s="73"/>
      <c r="T381" s="73"/>
      <c r="U381" s="60"/>
      <c r="V381" s="1"/>
      <c r="W381" s="73"/>
      <c r="X381" s="73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5"/>
      <c r="CZ381" s="15"/>
      <c r="DA381" s="15"/>
      <c r="DB381" s="15"/>
      <c r="DC381" s="15"/>
      <c r="DD381" s="15"/>
      <c r="DE381" s="15"/>
      <c r="DF381" s="15"/>
      <c r="DG381" s="15"/>
      <c r="DH381" s="15"/>
    </row>
    <row r="382" spans="2:112" x14ac:dyDescent="0.25">
      <c r="B382" s="8"/>
      <c r="C382" s="8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73"/>
      <c r="S382" s="73"/>
      <c r="T382" s="73"/>
      <c r="U382" s="60"/>
      <c r="V382" s="1"/>
      <c r="W382" s="73"/>
      <c r="X382" s="73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5"/>
      <c r="CZ382" s="15"/>
      <c r="DA382" s="15"/>
      <c r="DB382" s="15"/>
      <c r="DC382" s="15"/>
      <c r="DD382" s="15"/>
      <c r="DE382" s="15"/>
      <c r="DF382" s="15"/>
      <c r="DG382" s="15"/>
      <c r="DH382" s="15"/>
    </row>
    <row r="383" spans="2:112" x14ac:dyDescent="0.25">
      <c r="B383" s="8"/>
      <c r="C383" s="8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73"/>
      <c r="S383" s="73"/>
      <c r="T383" s="73"/>
      <c r="U383" s="60"/>
      <c r="V383" s="1"/>
      <c r="W383" s="73"/>
      <c r="X383" s="73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5"/>
      <c r="CZ383" s="15"/>
      <c r="DA383" s="15"/>
      <c r="DB383" s="15"/>
      <c r="DC383" s="15"/>
      <c r="DD383" s="15"/>
      <c r="DE383" s="15"/>
      <c r="DF383" s="15"/>
      <c r="DG383" s="15"/>
      <c r="DH383" s="15"/>
    </row>
    <row r="384" spans="2:112" x14ac:dyDescent="0.25">
      <c r="B384" s="8"/>
      <c r="C384" s="8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73"/>
      <c r="S384" s="73"/>
      <c r="T384" s="73"/>
      <c r="U384" s="60"/>
      <c r="V384" s="1"/>
      <c r="W384" s="73"/>
      <c r="X384" s="73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5"/>
      <c r="CZ384" s="15"/>
      <c r="DA384" s="15"/>
      <c r="DB384" s="15"/>
      <c r="DC384" s="15"/>
      <c r="DD384" s="15"/>
      <c r="DE384" s="15"/>
      <c r="DF384" s="15"/>
      <c r="DG384" s="15"/>
      <c r="DH384" s="15"/>
    </row>
    <row r="385" spans="2:112" x14ac:dyDescent="0.25">
      <c r="B385" s="8"/>
      <c r="C385" s="8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73"/>
      <c r="S385" s="73"/>
      <c r="T385" s="73"/>
      <c r="U385" s="60"/>
      <c r="V385" s="1"/>
      <c r="W385" s="73"/>
      <c r="X385" s="73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5"/>
      <c r="CZ385" s="15"/>
      <c r="DA385" s="15"/>
      <c r="DB385" s="15"/>
      <c r="DC385" s="15"/>
      <c r="DD385" s="15"/>
      <c r="DE385" s="15"/>
      <c r="DF385" s="15"/>
      <c r="DG385" s="15"/>
      <c r="DH385" s="15"/>
    </row>
    <row r="386" spans="2:112" x14ac:dyDescent="0.25">
      <c r="B386" s="8"/>
      <c r="C386" s="8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73"/>
      <c r="S386" s="73"/>
      <c r="T386" s="73"/>
      <c r="U386" s="60"/>
      <c r="V386" s="1"/>
      <c r="W386" s="73"/>
      <c r="X386" s="73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5"/>
      <c r="CZ386" s="15"/>
      <c r="DA386" s="15"/>
      <c r="DB386" s="15"/>
      <c r="DC386" s="15"/>
      <c r="DD386" s="15"/>
      <c r="DE386" s="15"/>
      <c r="DF386" s="15"/>
      <c r="DG386" s="15"/>
      <c r="DH386" s="15"/>
    </row>
    <row r="387" spans="2:112" x14ac:dyDescent="0.25">
      <c r="B387" s="8"/>
      <c r="C387" s="8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73"/>
      <c r="S387" s="73"/>
      <c r="T387" s="73"/>
      <c r="U387" s="60"/>
      <c r="V387" s="1"/>
      <c r="W387" s="73"/>
      <c r="X387" s="73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5"/>
      <c r="CZ387" s="15"/>
      <c r="DA387" s="15"/>
      <c r="DB387" s="15"/>
      <c r="DC387" s="15"/>
      <c r="DD387" s="15"/>
      <c r="DE387" s="15"/>
      <c r="DF387" s="15"/>
      <c r="DG387" s="15"/>
      <c r="DH387" s="15"/>
    </row>
    <row r="388" spans="2:112" x14ac:dyDescent="0.25">
      <c r="B388" s="8"/>
      <c r="C388" s="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73"/>
      <c r="S388" s="73"/>
      <c r="T388" s="73"/>
      <c r="U388" s="60"/>
      <c r="V388" s="1"/>
      <c r="W388" s="73"/>
      <c r="X388" s="73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5"/>
      <c r="CZ388" s="15"/>
      <c r="DA388" s="15"/>
      <c r="DB388" s="15"/>
      <c r="DC388" s="15"/>
      <c r="DD388" s="15"/>
      <c r="DE388" s="15"/>
      <c r="DF388" s="15"/>
      <c r="DG388" s="15"/>
      <c r="DH388" s="15"/>
    </row>
    <row r="389" spans="2:112" x14ac:dyDescent="0.25">
      <c r="B389" s="8"/>
      <c r="C389" s="8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73"/>
      <c r="S389" s="73"/>
      <c r="T389" s="73"/>
      <c r="U389" s="60"/>
      <c r="V389" s="1"/>
      <c r="W389" s="73"/>
      <c r="X389" s="73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5"/>
      <c r="CZ389" s="15"/>
      <c r="DA389" s="15"/>
      <c r="DB389" s="15"/>
      <c r="DC389" s="15"/>
      <c r="DD389" s="15"/>
      <c r="DE389" s="15"/>
      <c r="DF389" s="15"/>
      <c r="DG389" s="15"/>
      <c r="DH389" s="15"/>
    </row>
    <row r="390" spans="2:112" x14ac:dyDescent="0.25">
      <c r="B390" s="8"/>
      <c r="C390" s="8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73"/>
      <c r="S390" s="73"/>
      <c r="T390" s="73"/>
      <c r="U390" s="60"/>
      <c r="V390" s="1"/>
      <c r="W390" s="73"/>
      <c r="X390" s="73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</row>
    <row r="391" spans="2:112" x14ac:dyDescent="0.25">
      <c r="B391" s="8"/>
      <c r="C391" s="8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73"/>
      <c r="S391" s="73"/>
      <c r="T391" s="73"/>
      <c r="U391" s="60"/>
      <c r="V391" s="1"/>
      <c r="W391" s="73"/>
      <c r="X391" s="73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5"/>
      <c r="CZ391" s="15"/>
      <c r="DA391" s="15"/>
      <c r="DB391" s="15"/>
      <c r="DC391" s="15"/>
      <c r="DD391" s="15"/>
      <c r="DE391" s="15"/>
      <c r="DF391" s="15"/>
      <c r="DG391" s="15"/>
      <c r="DH391" s="15"/>
    </row>
    <row r="392" spans="2:112" x14ac:dyDescent="0.25">
      <c r="B392" s="8"/>
      <c r="C392" s="8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73"/>
      <c r="S392" s="73"/>
      <c r="T392" s="73"/>
      <c r="U392" s="60"/>
      <c r="V392" s="1"/>
      <c r="W392" s="73"/>
      <c r="X392" s="73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</row>
    <row r="393" spans="2:112" x14ac:dyDescent="0.25">
      <c r="B393" s="8"/>
      <c r="C393" s="8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73"/>
      <c r="S393" s="73"/>
      <c r="T393" s="73"/>
      <c r="U393" s="60"/>
      <c r="V393" s="1"/>
      <c r="W393" s="73"/>
      <c r="X393" s="73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</row>
    <row r="394" spans="2:112" x14ac:dyDescent="0.25">
      <c r="B394" s="8"/>
      <c r="C394" s="8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73"/>
      <c r="S394" s="73"/>
      <c r="T394" s="73"/>
      <c r="U394" s="60"/>
      <c r="V394" s="1"/>
      <c r="W394" s="73"/>
      <c r="X394" s="73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</row>
    <row r="395" spans="2:112" x14ac:dyDescent="0.25">
      <c r="B395" s="8"/>
      <c r="C395" s="8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73"/>
      <c r="S395" s="73"/>
      <c r="T395" s="73"/>
      <c r="U395" s="60"/>
      <c r="V395" s="1"/>
      <c r="W395" s="73"/>
      <c r="X395" s="73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</row>
    <row r="396" spans="2:112" x14ac:dyDescent="0.25">
      <c r="B396" s="8"/>
      <c r="C396" s="8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73"/>
      <c r="S396" s="73"/>
      <c r="T396" s="73"/>
      <c r="U396" s="60"/>
      <c r="V396" s="1"/>
      <c r="W396" s="73"/>
      <c r="X396" s="73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</row>
    <row r="397" spans="2:112" x14ac:dyDescent="0.25">
      <c r="B397" s="8"/>
      <c r="C397" s="8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73"/>
      <c r="S397" s="73"/>
      <c r="T397" s="73"/>
      <c r="U397" s="60"/>
      <c r="V397" s="1"/>
      <c r="W397" s="73"/>
      <c r="X397" s="73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5"/>
      <c r="CZ397" s="15"/>
      <c r="DA397" s="15"/>
      <c r="DB397" s="15"/>
      <c r="DC397" s="15"/>
      <c r="DD397" s="15"/>
      <c r="DE397" s="15"/>
      <c r="DF397" s="15"/>
      <c r="DG397" s="15"/>
      <c r="DH397" s="15"/>
    </row>
    <row r="398" spans="2:112" x14ac:dyDescent="0.25">
      <c r="B398" s="8"/>
      <c r="C398" s="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73"/>
      <c r="S398" s="73"/>
      <c r="T398" s="73"/>
      <c r="U398" s="60"/>
      <c r="V398" s="1"/>
      <c r="W398" s="73"/>
      <c r="X398" s="73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5"/>
      <c r="CZ398" s="15"/>
      <c r="DA398" s="15"/>
      <c r="DB398" s="15"/>
      <c r="DC398" s="15"/>
      <c r="DD398" s="15"/>
      <c r="DE398" s="15"/>
      <c r="DF398" s="15"/>
      <c r="DG398" s="15"/>
      <c r="DH398" s="15"/>
    </row>
    <row r="399" spans="2:112" x14ac:dyDescent="0.25">
      <c r="B399" s="8"/>
      <c r="C399" s="8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73"/>
      <c r="S399" s="73"/>
      <c r="T399" s="73"/>
      <c r="U399" s="60"/>
      <c r="V399" s="1"/>
      <c r="W399" s="73"/>
      <c r="X399" s="73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5"/>
      <c r="CZ399" s="15"/>
      <c r="DA399" s="15"/>
      <c r="DB399" s="15"/>
      <c r="DC399" s="15"/>
      <c r="DD399" s="15"/>
      <c r="DE399" s="15"/>
      <c r="DF399" s="15"/>
      <c r="DG399" s="15"/>
      <c r="DH399" s="15"/>
    </row>
    <row r="400" spans="2:112" x14ac:dyDescent="0.25">
      <c r="B400" s="8"/>
      <c r="C400" s="8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73"/>
      <c r="S400" s="73"/>
      <c r="T400" s="73"/>
      <c r="U400" s="60"/>
      <c r="V400" s="1"/>
      <c r="W400" s="73"/>
      <c r="X400" s="73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5"/>
      <c r="CZ400" s="15"/>
      <c r="DA400" s="15"/>
      <c r="DB400" s="15"/>
      <c r="DC400" s="15"/>
      <c r="DD400" s="15"/>
      <c r="DE400" s="15"/>
      <c r="DF400" s="15"/>
      <c r="DG400" s="15"/>
      <c r="DH400" s="15"/>
    </row>
    <row r="401" spans="2:112" x14ac:dyDescent="0.25">
      <c r="B401" s="8"/>
      <c r="C401" s="8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73"/>
      <c r="S401" s="73"/>
      <c r="T401" s="73"/>
      <c r="U401" s="60"/>
      <c r="V401" s="1"/>
      <c r="W401" s="73"/>
      <c r="X401" s="73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5"/>
      <c r="CZ401" s="15"/>
      <c r="DA401" s="15"/>
      <c r="DB401" s="15"/>
      <c r="DC401" s="15"/>
      <c r="DD401" s="15"/>
      <c r="DE401" s="15"/>
      <c r="DF401" s="15"/>
      <c r="DG401" s="15"/>
      <c r="DH401" s="15"/>
    </row>
    <row r="402" spans="2:112" x14ac:dyDescent="0.25">
      <c r="B402" s="8"/>
      <c r="C402" s="8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73"/>
      <c r="S402" s="73"/>
      <c r="T402" s="73"/>
      <c r="U402" s="60"/>
      <c r="V402" s="1"/>
      <c r="W402" s="73"/>
      <c r="X402" s="73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5"/>
      <c r="CZ402" s="15"/>
      <c r="DA402" s="15"/>
      <c r="DB402" s="15"/>
      <c r="DC402" s="15"/>
      <c r="DD402" s="15"/>
      <c r="DE402" s="15"/>
      <c r="DF402" s="15"/>
      <c r="DG402" s="15"/>
      <c r="DH402" s="15"/>
    </row>
    <row r="403" spans="2:112" x14ac:dyDescent="0.25">
      <c r="B403" s="8"/>
      <c r="C403" s="8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73"/>
      <c r="S403" s="73"/>
      <c r="T403" s="73"/>
      <c r="U403" s="60"/>
      <c r="V403" s="1"/>
      <c r="W403" s="73"/>
      <c r="X403" s="73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5"/>
      <c r="CZ403" s="15"/>
      <c r="DA403" s="15"/>
      <c r="DB403" s="15"/>
      <c r="DC403" s="15"/>
      <c r="DD403" s="15"/>
      <c r="DE403" s="15"/>
      <c r="DF403" s="15"/>
      <c r="DG403" s="15"/>
      <c r="DH403" s="15"/>
    </row>
    <row r="404" spans="2:112" x14ac:dyDescent="0.25">
      <c r="B404" s="8"/>
      <c r="C404" s="8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73"/>
      <c r="S404" s="73"/>
      <c r="T404" s="73"/>
      <c r="U404" s="60"/>
      <c r="V404" s="1"/>
      <c r="W404" s="73"/>
      <c r="X404" s="73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</row>
    <row r="405" spans="2:112" x14ac:dyDescent="0.25">
      <c r="B405" s="8"/>
      <c r="C405" s="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73"/>
      <c r="S405" s="73"/>
      <c r="T405" s="73"/>
      <c r="U405" s="60"/>
      <c r="V405" s="1"/>
      <c r="W405" s="73"/>
      <c r="X405" s="73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</row>
    <row r="406" spans="2:112" x14ac:dyDescent="0.25">
      <c r="B406" s="8"/>
      <c r="C406" s="8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73"/>
      <c r="S406" s="73"/>
      <c r="T406" s="73"/>
      <c r="U406" s="60"/>
      <c r="V406" s="1"/>
      <c r="W406" s="73"/>
      <c r="X406" s="73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</row>
    <row r="407" spans="2:112" x14ac:dyDescent="0.25">
      <c r="B407" s="8"/>
      <c r="C407" s="8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73"/>
      <c r="S407" s="73"/>
      <c r="T407" s="73"/>
      <c r="U407" s="60"/>
      <c r="V407" s="1"/>
      <c r="W407" s="73"/>
      <c r="X407" s="73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</row>
    <row r="408" spans="2:112" x14ac:dyDescent="0.25">
      <c r="B408" s="8"/>
      <c r="C408" s="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73"/>
      <c r="S408" s="73"/>
      <c r="T408" s="73"/>
      <c r="U408" s="60"/>
      <c r="V408" s="1"/>
      <c r="W408" s="73"/>
      <c r="X408" s="73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5"/>
      <c r="CZ408" s="15"/>
      <c r="DA408" s="15"/>
      <c r="DB408" s="15"/>
      <c r="DC408" s="15"/>
      <c r="DD408" s="15"/>
      <c r="DE408" s="15"/>
      <c r="DF408" s="15"/>
      <c r="DG408" s="15"/>
      <c r="DH408" s="15"/>
    </row>
    <row r="409" spans="2:112" x14ac:dyDescent="0.25">
      <c r="B409" s="8"/>
      <c r="C409" s="8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73"/>
      <c r="S409" s="73"/>
      <c r="T409" s="73"/>
      <c r="U409" s="60"/>
      <c r="V409" s="1"/>
      <c r="W409" s="73"/>
      <c r="X409" s="73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5"/>
      <c r="CZ409" s="15"/>
      <c r="DA409" s="15"/>
      <c r="DB409" s="15"/>
      <c r="DC409" s="15"/>
      <c r="DD409" s="15"/>
      <c r="DE409" s="15"/>
      <c r="DF409" s="15"/>
      <c r="DG409" s="15"/>
      <c r="DH409" s="15"/>
    </row>
    <row r="410" spans="2:112" x14ac:dyDescent="0.25">
      <c r="B410" s="8"/>
      <c r="C410" s="8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73"/>
      <c r="S410" s="73"/>
      <c r="T410" s="73"/>
      <c r="U410" s="60"/>
      <c r="V410" s="1"/>
      <c r="W410" s="73"/>
      <c r="X410" s="73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</row>
    <row r="411" spans="2:112" x14ac:dyDescent="0.25">
      <c r="B411" s="8"/>
      <c r="C411" s="8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73"/>
      <c r="S411" s="73"/>
      <c r="T411" s="73"/>
      <c r="U411" s="60"/>
      <c r="V411" s="1"/>
      <c r="W411" s="73"/>
      <c r="X411" s="73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5"/>
      <c r="CZ411" s="15"/>
      <c r="DA411" s="15"/>
      <c r="DB411" s="15"/>
      <c r="DC411" s="15"/>
      <c r="DD411" s="15"/>
      <c r="DE411" s="15"/>
      <c r="DF411" s="15"/>
      <c r="DG411" s="15"/>
      <c r="DH411" s="15"/>
    </row>
    <row r="412" spans="2:112" x14ac:dyDescent="0.25">
      <c r="B412" s="8"/>
      <c r="C412" s="8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73"/>
      <c r="S412" s="73"/>
      <c r="T412" s="73"/>
      <c r="U412" s="60"/>
      <c r="V412" s="1"/>
      <c r="W412" s="73"/>
      <c r="X412" s="73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5"/>
      <c r="CZ412" s="15"/>
      <c r="DA412" s="15"/>
      <c r="DB412" s="15"/>
      <c r="DC412" s="15"/>
      <c r="DD412" s="15"/>
      <c r="DE412" s="15"/>
      <c r="DF412" s="15"/>
      <c r="DG412" s="15"/>
      <c r="DH412" s="15"/>
    </row>
    <row r="413" spans="2:112" x14ac:dyDescent="0.25">
      <c r="B413" s="8"/>
      <c r="C413" s="8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73"/>
      <c r="S413" s="73"/>
      <c r="T413" s="73"/>
      <c r="U413" s="60"/>
      <c r="V413" s="1"/>
      <c r="W413" s="73"/>
      <c r="X413" s="73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5"/>
      <c r="CZ413" s="15"/>
      <c r="DA413" s="15"/>
      <c r="DB413" s="15"/>
      <c r="DC413" s="15"/>
      <c r="DD413" s="15"/>
      <c r="DE413" s="15"/>
      <c r="DF413" s="15"/>
      <c r="DG413" s="15"/>
      <c r="DH413" s="15"/>
    </row>
    <row r="414" spans="2:112" x14ac:dyDescent="0.25">
      <c r="B414" s="8"/>
      <c r="C414" s="8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73"/>
      <c r="S414" s="73"/>
      <c r="T414" s="73"/>
      <c r="U414" s="60"/>
      <c r="V414" s="1"/>
      <c r="W414" s="73"/>
      <c r="X414" s="73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5"/>
      <c r="CZ414" s="15"/>
      <c r="DA414" s="15"/>
      <c r="DB414" s="15"/>
      <c r="DC414" s="15"/>
      <c r="DD414" s="15"/>
      <c r="DE414" s="15"/>
      <c r="DF414" s="15"/>
      <c r="DG414" s="15"/>
      <c r="DH414" s="15"/>
    </row>
    <row r="415" spans="2:112" x14ac:dyDescent="0.25">
      <c r="B415" s="8"/>
      <c r="C415" s="8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73"/>
      <c r="S415" s="73"/>
      <c r="T415" s="73"/>
      <c r="U415" s="60"/>
      <c r="V415" s="1"/>
      <c r="W415" s="73"/>
      <c r="X415" s="73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5"/>
      <c r="CZ415" s="15"/>
      <c r="DA415" s="15"/>
      <c r="DB415" s="15"/>
      <c r="DC415" s="15"/>
      <c r="DD415" s="15"/>
      <c r="DE415" s="15"/>
      <c r="DF415" s="15"/>
      <c r="DG415" s="15"/>
      <c r="DH415" s="15"/>
    </row>
    <row r="416" spans="2:112" x14ac:dyDescent="0.25">
      <c r="B416" s="8"/>
      <c r="C416" s="8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73"/>
      <c r="S416" s="73"/>
      <c r="T416" s="73"/>
      <c r="U416" s="60"/>
      <c r="V416" s="1"/>
      <c r="W416" s="73"/>
      <c r="X416" s="73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5"/>
      <c r="CZ416" s="15"/>
      <c r="DA416" s="15"/>
      <c r="DB416" s="15"/>
      <c r="DC416" s="15"/>
      <c r="DD416" s="15"/>
      <c r="DE416" s="15"/>
      <c r="DF416" s="15"/>
      <c r="DG416" s="15"/>
      <c r="DH416" s="15"/>
    </row>
    <row r="417" spans="2:112" x14ac:dyDescent="0.25">
      <c r="B417" s="8"/>
      <c r="C417" s="8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73"/>
      <c r="S417" s="73"/>
      <c r="T417" s="73"/>
      <c r="U417" s="60"/>
      <c r="V417" s="1"/>
      <c r="W417" s="73"/>
      <c r="X417" s="73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5"/>
      <c r="CZ417" s="15"/>
      <c r="DA417" s="15"/>
      <c r="DB417" s="15"/>
      <c r="DC417" s="15"/>
      <c r="DD417" s="15"/>
      <c r="DE417" s="15"/>
      <c r="DF417" s="15"/>
      <c r="DG417" s="15"/>
      <c r="DH417" s="15"/>
    </row>
    <row r="418" spans="2:112" x14ac:dyDescent="0.25">
      <c r="B418" s="8"/>
      <c r="C418" s="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73"/>
      <c r="S418" s="73"/>
      <c r="T418" s="73"/>
      <c r="U418" s="60"/>
      <c r="V418" s="1"/>
      <c r="W418" s="73"/>
      <c r="X418" s="73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  <c r="CR418" s="15"/>
      <c r="CS418" s="15"/>
      <c r="CT418" s="15"/>
      <c r="CU418" s="15"/>
      <c r="CV418" s="15"/>
      <c r="CW418" s="15"/>
      <c r="CX418" s="15"/>
      <c r="CY418" s="15"/>
      <c r="CZ418" s="15"/>
      <c r="DA418" s="15"/>
      <c r="DB418" s="15"/>
      <c r="DC418" s="15"/>
      <c r="DD418" s="15"/>
      <c r="DE418" s="15"/>
      <c r="DF418" s="15"/>
      <c r="DG418" s="15"/>
      <c r="DH418" s="15"/>
    </row>
    <row r="419" spans="2:112" x14ac:dyDescent="0.25">
      <c r="B419" s="8"/>
      <c r="C419" s="8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73"/>
      <c r="S419" s="73"/>
      <c r="T419" s="73"/>
      <c r="U419" s="60"/>
      <c r="V419" s="1"/>
      <c r="W419" s="73"/>
      <c r="X419" s="73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  <c r="CR419" s="15"/>
      <c r="CS419" s="15"/>
      <c r="CT419" s="15"/>
      <c r="CU419" s="15"/>
      <c r="CV419" s="15"/>
      <c r="CW419" s="15"/>
      <c r="CX419" s="15"/>
      <c r="CY419" s="15"/>
      <c r="CZ419" s="15"/>
      <c r="DA419" s="15"/>
      <c r="DB419" s="15"/>
      <c r="DC419" s="15"/>
      <c r="DD419" s="15"/>
      <c r="DE419" s="15"/>
      <c r="DF419" s="15"/>
      <c r="DG419" s="15"/>
      <c r="DH419" s="15"/>
    </row>
    <row r="420" spans="2:112" x14ac:dyDescent="0.25">
      <c r="B420" s="8"/>
      <c r="C420" s="8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73"/>
      <c r="S420" s="73"/>
      <c r="T420" s="73"/>
      <c r="U420" s="60"/>
      <c r="V420" s="1"/>
      <c r="W420" s="73"/>
      <c r="X420" s="73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  <c r="CR420" s="15"/>
      <c r="CS420" s="15"/>
      <c r="CT420" s="15"/>
      <c r="CU420" s="15"/>
      <c r="CV420" s="15"/>
      <c r="CW420" s="15"/>
      <c r="CX420" s="15"/>
      <c r="CY420" s="15"/>
      <c r="CZ420" s="15"/>
      <c r="DA420" s="15"/>
      <c r="DB420" s="15"/>
      <c r="DC420" s="15"/>
      <c r="DD420" s="15"/>
      <c r="DE420" s="15"/>
      <c r="DF420" s="15"/>
      <c r="DG420" s="15"/>
      <c r="DH420" s="15"/>
    </row>
    <row r="421" spans="2:112" x14ac:dyDescent="0.25">
      <c r="B421" s="8"/>
      <c r="C421" s="8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73"/>
      <c r="S421" s="73"/>
      <c r="T421" s="73"/>
      <c r="U421" s="60"/>
      <c r="V421" s="1"/>
      <c r="W421" s="73"/>
      <c r="X421" s="73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  <c r="CD421" s="15"/>
      <c r="CE421" s="15"/>
      <c r="CF421" s="15"/>
      <c r="CG421" s="15"/>
      <c r="CH421" s="15"/>
      <c r="CI421" s="15"/>
      <c r="CJ421" s="15"/>
      <c r="CK421" s="15"/>
      <c r="CL421" s="15"/>
      <c r="CM421" s="15"/>
      <c r="CN421" s="15"/>
      <c r="CO421" s="15"/>
      <c r="CP421" s="15"/>
      <c r="CQ421" s="15"/>
      <c r="CR421" s="15"/>
      <c r="CS421" s="15"/>
      <c r="CT421" s="15"/>
      <c r="CU421" s="15"/>
      <c r="CV421" s="15"/>
      <c r="CW421" s="15"/>
      <c r="CX421" s="15"/>
      <c r="CY421" s="15"/>
      <c r="CZ421" s="15"/>
      <c r="DA421" s="15"/>
      <c r="DB421" s="15"/>
      <c r="DC421" s="15"/>
      <c r="DD421" s="15"/>
      <c r="DE421" s="15"/>
      <c r="DF421" s="15"/>
      <c r="DG421" s="15"/>
      <c r="DH421" s="15"/>
    </row>
    <row r="422" spans="2:112" x14ac:dyDescent="0.25">
      <c r="B422" s="8"/>
      <c r="C422" s="8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73"/>
      <c r="S422" s="73"/>
      <c r="T422" s="73"/>
      <c r="U422" s="60"/>
      <c r="V422" s="1"/>
      <c r="W422" s="73"/>
      <c r="X422" s="73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  <c r="CR422" s="15"/>
      <c r="CS422" s="15"/>
      <c r="CT422" s="15"/>
      <c r="CU422" s="15"/>
      <c r="CV422" s="15"/>
      <c r="CW422" s="15"/>
      <c r="CX422" s="15"/>
      <c r="CY422" s="15"/>
      <c r="CZ422" s="15"/>
      <c r="DA422" s="15"/>
      <c r="DB422" s="15"/>
      <c r="DC422" s="15"/>
      <c r="DD422" s="15"/>
      <c r="DE422" s="15"/>
      <c r="DF422" s="15"/>
      <c r="DG422" s="15"/>
      <c r="DH422" s="15"/>
    </row>
    <row r="423" spans="2:112" x14ac:dyDescent="0.25">
      <c r="B423" s="8"/>
      <c r="C423" s="8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73"/>
      <c r="S423" s="73"/>
      <c r="T423" s="73"/>
      <c r="U423" s="60"/>
      <c r="V423" s="1"/>
      <c r="W423" s="73"/>
      <c r="X423" s="73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  <c r="CR423" s="15"/>
      <c r="CS423" s="15"/>
      <c r="CT423" s="15"/>
      <c r="CU423" s="15"/>
      <c r="CV423" s="15"/>
      <c r="CW423" s="15"/>
      <c r="CX423" s="15"/>
      <c r="CY423" s="15"/>
      <c r="CZ423" s="15"/>
      <c r="DA423" s="15"/>
      <c r="DB423" s="15"/>
      <c r="DC423" s="15"/>
      <c r="DD423" s="15"/>
      <c r="DE423" s="15"/>
      <c r="DF423" s="15"/>
      <c r="DG423" s="15"/>
      <c r="DH423" s="15"/>
    </row>
    <row r="424" spans="2:112" x14ac:dyDescent="0.25">
      <c r="B424" s="8"/>
      <c r="C424" s="8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73"/>
      <c r="S424" s="73"/>
      <c r="T424" s="73"/>
      <c r="U424" s="60"/>
      <c r="V424" s="1"/>
      <c r="W424" s="73"/>
      <c r="X424" s="73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  <c r="CR424" s="15"/>
      <c r="CS424" s="15"/>
      <c r="CT424" s="15"/>
      <c r="CU424" s="15"/>
      <c r="CV424" s="15"/>
      <c r="CW424" s="15"/>
      <c r="CX424" s="15"/>
      <c r="CY424" s="15"/>
      <c r="CZ424" s="15"/>
      <c r="DA424" s="15"/>
      <c r="DB424" s="15"/>
      <c r="DC424" s="15"/>
      <c r="DD424" s="15"/>
      <c r="DE424" s="15"/>
      <c r="DF424" s="15"/>
      <c r="DG424" s="15"/>
      <c r="DH424" s="15"/>
    </row>
    <row r="425" spans="2:112" x14ac:dyDescent="0.25">
      <c r="B425" s="8"/>
      <c r="C425" s="8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73"/>
      <c r="S425" s="73"/>
      <c r="T425" s="73"/>
      <c r="U425" s="60"/>
      <c r="V425" s="1"/>
      <c r="W425" s="73"/>
      <c r="X425" s="73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  <c r="CI425" s="15"/>
      <c r="CJ425" s="15"/>
      <c r="CK425" s="15"/>
      <c r="CL425" s="15"/>
      <c r="CM425" s="15"/>
      <c r="CN425" s="15"/>
      <c r="CO425" s="15"/>
      <c r="CP425" s="15"/>
      <c r="CQ425" s="15"/>
      <c r="CR425" s="15"/>
      <c r="CS425" s="15"/>
      <c r="CT425" s="15"/>
      <c r="CU425" s="15"/>
      <c r="CV425" s="15"/>
      <c r="CW425" s="15"/>
      <c r="CX425" s="15"/>
      <c r="CY425" s="15"/>
      <c r="CZ425" s="15"/>
      <c r="DA425" s="15"/>
      <c r="DB425" s="15"/>
      <c r="DC425" s="15"/>
      <c r="DD425" s="15"/>
      <c r="DE425" s="15"/>
      <c r="DF425" s="15"/>
      <c r="DG425" s="15"/>
      <c r="DH425" s="15"/>
    </row>
    <row r="426" spans="2:112" x14ac:dyDescent="0.25">
      <c r="B426" s="8"/>
      <c r="C426" s="8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73"/>
      <c r="S426" s="73"/>
      <c r="T426" s="73"/>
      <c r="U426" s="60"/>
      <c r="V426" s="1"/>
      <c r="W426" s="73"/>
      <c r="X426" s="73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  <c r="CI426" s="15"/>
      <c r="CJ426" s="15"/>
      <c r="CK426" s="15"/>
      <c r="CL426" s="15"/>
      <c r="CM426" s="15"/>
      <c r="CN426" s="15"/>
      <c r="CO426" s="15"/>
      <c r="CP426" s="15"/>
      <c r="CQ426" s="15"/>
      <c r="CR426" s="15"/>
      <c r="CS426" s="15"/>
      <c r="CT426" s="15"/>
      <c r="CU426" s="15"/>
      <c r="CV426" s="15"/>
      <c r="CW426" s="15"/>
      <c r="CX426" s="15"/>
      <c r="CY426" s="15"/>
      <c r="CZ426" s="15"/>
      <c r="DA426" s="15"/>
      <c r="DB426" s="15"/>
      <c r="DC426" s="15"/>
      <c r="DD426" s="15"/>
      <c r="DE426" s="15"/>
      <c r="DF426" s="15"/>
      <c r="DG426" s="15"/>
      <c r="DH426" s="15"/>
    </row>
    <row r="427" spans="2:112" x14ac:dyDescent="0.25">
      <c r="B427" s="8"/>
      <c r="C427" s="8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73"/>
      <c r="S427" s="73"/>
      <c r="T427" s="73"/>
      <c r="U427" s="60"/>
      <c r="V427" s="1"/>
      <c r="W427" s="73"/>
      <c r="X427" s="73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  <c r="CD427" s="15"/>
      <c r="CE427" s="15"/>
      <c r="CF427" s="15"/>
      <c r="CG427" s="15"/>
      <c r="CH427" s="15"/>
      <c r="CI427" s="15"/>
      <c r="CJ427" s="15"/>
      <c r="CK427" s="15"/>
      <c r="CL427" s="15"/>
      <c r="CM427" s="15"/>
      <c r="CN427" s="15"/>
      <c r="CO427" s="15"/>
      <c r="CP427" s="15"/>
      <c r="CQ427" s="15"/>
      <c r="CR427" s="15"/>
      <c r="CS427" s="15"/>
      <c r="CT427" s="15"/>
      <c r="CU427" s="15"/>
      <c r="CV427" s="15"/>
      <c r="CW427" s="15"/>
      <c r="CX427" s="15"/>
      <c r="CY427" s="15"/>
      <c r="CZ427" s="15"/>
      <c r="DA427" s="15"/>
      <c r="DB427" s="15"/>
      <c r="DC427" s="15"/>
      <c r="DD427" s="15"/>
      <c r="DE427" s="15"/>
      <c r="DF427" s="15"/>
      <c r="DG427" s="15"/>
      <c r="DH427" s="15"/>
    </row>
    <row r="428" spans="2:112" x14ac:dyDescent="0.25">
      <c r="B428" s="8"/>
      <c r="C428" s="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73"/>
      <c r="S428" s="73"/>
      <c r="T428" s="73"/>
      <c r="U428" s="60"/>
      <c r="V428" s="1"/>
      <c r="W428" s="73"/>
      <c r="X428" s="73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  <c r="CI428" s="15"/>
      <c r="CJ428" s="15"/>
      <c r="CK428" s="15"/>
      <c r="CL428" s="15"/>
      <c r="CM428" s="15"/>
      <c r="CN428" s="15"/>
      <c r="CO428" s="15"/>
      <c r="CP428" s="15"/>
      <c r="CQ428" s="15"/>
      <c r="CR428" s="15"/>
      <c r="CS428" s="15"/>
      <c r="CT428" s="15"/>
      <c r="CU428" s="15"/>
      <c r="CV428" s="15"/>
      <c r="CW428" s="15"/>
      <c r="CX428" s="15"/>
      <c r="CY428" s="15"/>
      <c r="CZ428" s="15"/>
      <c r="DA428" s="15"/>
      <c r="DB428" s="15"/>
      <c r="DC428" s="15"/>
      <c r="DD428" s="15"/>
      <c r="DE428" s="15"/>
      <c r="DF428" s="15"/>
      <c r="DG428" s="15"/>
      <c r="DH428" s="15"/>
    </row>
    <row r="429" spans="2:112" x14ac:dyDescent="0.25">
      <c r="B429" s="8"/>
      <c r="C429" s="8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73"/>
      <c r="S429" s="73"/>
      <c r="T429" s="73"/>
      <c r="U429" s="60"/>
      <c r="V429" s="1"/>
      <c r="W429" s="73"/>
      <c r="X429" s="73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  <c r="CI429" s="15"/>
      <c r="CJ429" s="15"/>
      <c r="CK429" s="15"/>
      <c r="CL429" s="15"/>
      <c r="CM429" s="15"/>
      <c r="CN429" s="15"/>
      <c r="CO429" s="15"/>
      <c r="CP429" s="15"/>
      <c r="CQ429" s="15"/>
      <c r="CR429" s="15"/>
      <c r="CS429" s="15"/>
      <c r="CT429" s="15"/>
      <c r="CU429" s="15"/>
      <c r="CV429" s="15"/>
      <c r="CW429" s="15"/>
      <c r="CX429" s="15"/>
      <c r="CY429" s="15"/>
      <c r="CZ429" s="15"/>
      <c r="DA429" s="15"/>
      <c r="DB429" s="15"/>
      <c r="DC429" s="15"/>
      <c r="DD429" s="15"/>
      <c r="DE429" s="15"/>
      <c r="DF429" s="15"/>
      <c r="DG429" s="15"/>
      <c r="DH429" s="15"/>
    </row>
    <row r="430" spans="2:112" x14ac:dyDescent="0.25">
      <c r="B430" s="8"/>
      <c r="C430" s="8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73"/>
      <c r="S430" s="73"/>
      <c r="T430" s="73"/>
      <c r="U430" s="60"/>
      <c r="V430" s="1"/>
      <c r="W430" s="73"/>
      <c r="X430" s="73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</row>
    <row r="431" spans="2:112" x14ac:dyDescent="0.25">
      <c r="B431" s="8"/>
      <c r="C431" s="8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73"/>
      <c r="S431" s="73"/>
      <c r="T431" s="73"/>
      <c r="U431" s="60"/>
      <c r="V431" s="1"/>
      <c r="W431" s="73"/>
      <c r="X431" s="73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  <c r="CR431" s="15"/>
      <c r="CS431" s="15"/>
      <c r="CT431" s="15"/>
      <c r="CU431" s="15"/>
      <c r="CV431" s="15"/>
      <c r="CW431" s="15"/>
      <c r="CX431" s="15"/>
      <c r="CY431" s="15"/>
      <c r="CZ431" s="15"/>
      <c r="DA431" s="15"/>
      <c r="DB431" s="15"/>
      <c r="DC431" s="15"/>
      <c r="DD431" s="15"/>
      <c r="DE431" s="15"/>
      <c r="DF431" s="15"/>
      <c r="DG431" s="15"/>
      <c r="DH431" s="15"/>
    </row>
    <row r="432" spans="2:112" x14ac:dyDescent="0.25">
      <c r="B432" s="8"/>
      <c r="C432" s="8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73"/>
      <c r="S432" s="73"/>
      <c r="T432" s="73"/>
      <c r="U432" s="60"/>
      <c r="V432" s="1"/>
      <c r="W432" s="73"/>
      <c r="X432" s="73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  <c r="CR432" s="15"/>
      <c r="CS432" s="15"/>
      <c r="CT432" s="15"/>
      <c r="CU432" s="15"/>
      <c r="CV432" s="15"/>
      <c r="CW432" s="15"/>
      <c r="CX432" s="15"/>
      <c r="CY432" s="15"/>
      <c r="CZ432" s="15"/>
      <c r="DA432" s="15"/>
      <c r="DB432" s="15"/>
      <c r="DC432" s="15"/>
      <c r="DD432" s="15"/>
      <c r="DE432" s="15"/>
      <c r="DF432" s="15"/>
      <c r="DG432" s="15"/>
      <c r="DH432" s="15"/>
    </row>
    <row r="433" spans="2:112" x14ac:dyDescent="0.25">
      <c r="B433" s="8"/>
      <c r="C433" s="8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73"/>
      <c r="S433" s="73"/>
      <c r="T433" s="73"/>
      <c r="U433" s="60"/>
      <c r="V433" s="1"/>
      <c r="W433" s="73"/>
      <c r="X433" s="73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  <c r="CR433" s="15"/>
      <c r="CS433" s="15"/>
      <c r="CT433" s="15"/>
      <c r="CU433" s="15"/>
      <c r="CV433" s="15"/>
      <c r="CW433" s="15"/>
      <c r="CX433" s="15"/>
      <c r="CY433" s="15"/>
      <c r="CZ433" s="15"/>
      <c r="DA433" s="15"/>
      <c r="DB433" s="15"/>
      <c r="DC433" s="15"/>
      <c r="DD433" s="15"/>
      <c r="DE433" s="15"/>
      <c r="DF433" s="15"/>
      <c r="DG433" s="15"/>
      <c r="DH433" s="15"/>
    </row>
    <row r="434" spans="2:112" x14ac:dyDescent="0.25">
      <c r="B434" s="8"/>
      <c r="C434" s="8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73"/>
      <c r="S434" s="73"/>
      <c r="T434" s="73"/>
      <c r="U434" s="60"/>
      <c r="V434" s="1"/>
      <c r="W434" s="73"/>
      <c r="X434" s="73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  <c r="CR434" s="15"/>
      <c r="CS434" s="15"/>
      <c r="CT434" s="15"/>
      <c r="CU434" s="15"/>
      <c r="CV434" s="15"/>
      <c r="CW434" s="15"/>
      <c r="CX434" s="15"/>
      <c r="CY434" s="15"/>
      <c r="CZ434" s="15"/>
      <c r="DA434" s="15"/>
      <c r="DB434" s="15"/>
      <c r="DC434" s="15"/>
      <c r="DD434" s="15"/>
      <c r="DE434" s="15"/>
      <c r="DF434" s="15"/>
      <c r="DG434" s="15"/>
      <c r="DH434" s="15"/>
    </row>
    <row r="435" spans="2:112" x14ac:dyDescent="0.25">
      <c r="B435" s="8"/>
      <c r="C435" s="8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73"/>
      <c r="S435" s="73"/>
      <c r="T435" s="73"/>
      <c r="U435" s="60"/>
      <c r="V435" s="1"/>
      <c r="W435" s="73"/>
      <c r="X435" s="73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  <c r="CR435" s="15"/>
      <c r="CS435" s="15"/>
      <c r="CT435" s="15"/>
      <c r="CU435" s="15"/>
      <c r="CV435" s="15"/>
      <c r="CW435" s="15"/>
      <c r="CX435" s="15"/>
      <c r="CY435" s="15"/>
      <c r="CZ435" s="15"/>
      <c r="DA435" s="15"/>
      <c r="DB435" s="15"/>
      <c r="DC435" s="15"/>
      <c r="DD435" s="15"/>
      <c r="DE435" s="15"/>
      <c r="DF435" s="15"/>
      <c r="DG435" s="15"/>
      <c r="DH435" s="15"/>
    </row>
    <row r="436" spans="2:112" x14ac:dyDescent="0.25">
      <c r="B436" s="8"/>
      <c r="C436" s="8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73"/>
      <c r="S436" s="73"/>
      <c r="T436" s="73"/>
      <c r="U436" s="60"/>
      <c r="V436" s="1"/>
      <c r="W436" s="73"/>
      <c r="X436" s="73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  <c r="CR436" s="15"/>
      <c r="CS436" s="15"/>
      <c r="CT436" s="15"/>
      <c r="CU436" s="15"/>
      <c r="CV436" s="15"/>
      <c r="CW436" s="15"/>
      <c r="CX436" s="15"/>
      <c r="CY436" s="15"/>
      <c r="CZ436" s="15"/>
      <c r="DA436" s="15"/>
      <c r="DB436" s="15"/>
      <c r="DC436" s="15"/>
      <c r="DD436" s="15"/>
      <c r="DE436" s="15"/>
      <c r="DF436" s="15"/>
      <c r="DG436" s="15"/>
      <c r="DH436" s="15"/>
    </row>
    <row r="437" spans="2:112" x14ac:dyDescent="0.25">
      <c r="B437" s="8"/>
      <c r="C437" s="8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73"/>
      <c r="S437" s="73"/>
      <c r="T437" s="73"/>
      <c r="U437" s="60"/>
      <c r="V437" s="1"/>
      <c r="W437" s="73"/>
      <c r="X437" s="73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  <c r="CR437" s="15"/>
      <c r="CS437" s="15"/>
      <c r="CT437" s="15"/>
      <c r="CU437" s="15"/>
      <c r="CV437" s="15"/>
      <c r="CW437" s="15"/>
      <c r="CX437" s="15"/>
      <c r="CY437" s="15"/>
      <c r="CZ437" s="15"/>
      <c r="DA437" s="15"/>
      <c r="DB437" s="15"/>
      <c r="DC437" s="15"/>
      <c r="DD437" s="15"/>
      <c r="DE437" s="15"/>
      <c r="DF437" s="15"/>
      <c r="DG437" s="15"/>
      <c r="DH437" s="15"/>
    </row>
    <row r="438" spans="2:112" x14ac:dyDescent="0.25">
      <c r="B438" s="8"/>
      <c r="C438" s="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73"/>
      <c r="S438" s="73"/>
      <c r="T438" s="73"/>
      <c r="U438" s="60"/>
      <c r="V438" s="1"/>
      <c r="W438" s="73"/>
      <c r="X438" s="73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  <c r="CR438" s="15"/>
      <c r="CS438" s="15"/>
      <c r="CT438" s="15"/>
      <c r="CU438" s="15"/>
      <c r="CV438" s="15"/>
      <c r="CW438" s="15"/>
      <c r="CX438" s="15"/>
      <c r="CY438" s="15"/>
      <c r="CZ438" s="15"/>
      <c r="DA438" s="15"/>
      <c r="DB438" s="15"/>
      <c r="DC438" s="15"/>
      <c r="DD438" s="15"/>
      <c r="DE438" s="15"/>
      <c r="DF438" s="15"/>
      <c r="DG438" s="15"/>
      <c r="DH438" s="15"/>
    </row>
    <row r="439" spans="2:112" x14ac:dyDescent="0.25">
      <c r="B439" s="8"/>
      <c r="C439" s="8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73"/>
      <c r="S439" s="73"/>
      <c r="T439" s="73"/>
      <c r="U439" s="60"/>
      <c r="V439" s="1"/>
      <c r="W439" s="73"/>
      <c r="X439" s="73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  <c r="CR439" s="15"/>
      <c r="CS439" s="15"/>
      <c r="CT439" s="15"/>
      <c r="CU439" s="15"/>
      <c r="CV439" s="15"/>
      <c r="CW439" s="15"/>
      <c r="CX439" s="15"/>
      <c r="CY439" s="15"/>
      <c r="CZ439" s="15"/>
      <c r="DA439" s="15"/>
      <c r="DB439" s="15"/>
      <c r="DC439" s="15"/>
      <c r="DD439" s="15"/>
      <c r="DE439" s="15"/>
      <c r="DF439" s="15"/>
      <c r="DG439" s="15"/>
      <c r="DH439" s="15"/>
    </row>
    <row r="440" spans="2:112" x14ac:dyDescent="0.25">
      <c r="B440" s="8"/>
      <c r="C440" s="8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73"/>
      <c r="S440" s="73"/>
      <c r="T440" s="73"/>
      <c r="U440" s="60"/>
      <c r="V440" s="1"/>
      <c r="W440" s="73"/>
      <c r="X440" s="73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  <c r="CR440" s="15"/>
      <c r="CS440" s="15"/>
      <c r="CT440" s="15"/>
      <c r="CU440" s="15"/>
      <c r="CV440" s="15"/>
      <c r="CW440" s="15"/>
      <c r="CX440" s="15"/>
      <c r="CY440" s="15"/>
      <c r="CZ440" s="15"/>
      <c r="DA440" s="15"/>
      <c r="DB440" s="15"/>
      <c r="DC440" s="15"/>
      <c r="DD440" s="15"/>
      <c r="DE440" s="15"/>
      <c r="DF440" s="15"/>
      <c r="DG440" s="15"/>
      <c r="DH440" s="15"/>
    </row>
    <row r="441" spans="2:112" x14ac:dyDescent="0.25">
      <c r="B441" s="8"/>
      <c r="C441" s="8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73"/>
      <c r="S441" s="73"/>
      <c r="T441" s="73"/>
      <c r="U441" s="60"/>
      <c r="V441" s="1"/>
      <c r="W441" s="73"/>
      <c r="X441" s="73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  <c r="CR441" s="15"/>
      <c r="CS441" s="15"/>
      <c r="CT441" s="15"/>
      <c r="CU441" s="15"/>
      <c r="CV441" s="15"/>
      <c r="CW441" s="15"/>
      <c r="CX441" s="15"/>
      <c r="CY441" s="15"/>
      <c r="CZ441" s="15"/>
      <c r="DA441" s="15"/>
      <c r="DB441" s="15"/>
      <c r="DC441" s="15"/>
      <c r="DD441" s="15"/>
      <c r="DE441" s="15"/>
      <c r="DF441" s="15"/>
      <c r="DG441" s="15"/>
      <c r="DH441" s="15"/>
    </row>
    <row r="442" spans="2:112" x14ac:dyDescent="0.25">
      <c r="B442" s="8"/>
      <c r="C442" s="8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73"/>
      <c r="S442" s="73"/>
      <c r="T442" s="73"/>
      <c r="U442" s="60"/>
      <c r="V442" s="1"/>
      <c r="W442" s="73"/>
      <c r="X442" s="73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  <c r="CR442" s="15"/>
      <c r="CS442" s="15"/>
      <c r="CT442" s="15"/>
      <c r="CU442" s="15"/>
      <c r="CV442" s="15"/>
      <c r="CW442" s="15"/>
      <c r="CX442" s="15"/>
      <c r="CY442" s="15"/>
      <c r="CZ442" s="15"/>
      <c r="DA442" s="15"/>
      <c r="DB442" s="15"/>
      <c r="DC442" s="15"/>
      <c r="DD442" s="15"/>
      <c r="DE442" s="15"/>
      <c r="DF442" s="15"/>
      <c r="DG442" s="15"/>
      <c r="DH442" s="15"/>
    </row>
    <row r="443" spans="2:112" x14ac:dyDescent="0.25">
      <c r="B443" s="8"/>
      <c r="C443" s="8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73"/>
      <c r="S443" s="73"/>
      <c r="T443" s="73"/>
      <c r="U443" s="60"/>
      <c r="V443" s="1"/>
      <c r="W443" s="73"/>
      <c r="X443" s="73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  <c r="CR443" s="15"/>
      <c r="CS443" s="15"/>
      <c r="CT443" s="15"/>
      <c r="CU443" s="15"/>
      <c r="CV443" s="15"/>
      <c r="CW443" s="15"/>
      <c r="CX443" s="15"/>
      <c r="CY443" s="15"/>
      <c r="CZ443" s="15"/>
      <c r="DA443" s="15"/>
      <c r="DB443" s="15"/>
      <c r="DC443" s="15"/>
      <c r="DD443" s="15"/>
      <c r="DE443" s="15"/>
      <c r="DF443" s="15"/>
      <c r="DG443" s="15"/>
      <c r="DH443" s="15"/>
    </row>
    <row r="444" spans="2:112" x14ac:dyDescent="0.25">
      <c r="B444" s="8"/>
      <c r="C444" s="8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73"/>
      <c r="S444" s="73"/>
      <c r="T444" s="73"/>
      <c r="U444" s="60"/>
      <c r="V444" s="1"/>
      <c r="W444" s="73"/>
      <c r="X444" s="73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  <c r="CR444" s="15"/>
      <c r="CS444" s="15"/>
      <c r="CT444" s="15"/>
      <c r="CU444" s="15"/>
      <c r="CV444" s="15"/>
      <c r="CW444" s="15"/>
      <c r="CX444" s="15"/>
      <c r="CY444" s="15"/>
      <c r="CZ444" s="15"/>
      <c r="DA444" s="15"/>
      <c r="DB444" s="15"/>
      <c r="DC444" s="15"/>
      <c r="DD444" s="15"/>
      <c r="DE444" s="15"/>
      <c r="DF444" s="15"/>
      <c r="DG444" s="15"/>
      <c r="DH444" s="15"/>
    </row>
    <row r="445" spans="2:112" x14ac:dyDescent="0.25">
      <c r="B445" s="8"/>
      <c r="C445" s="8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73"/>
      <c r="S445" s="73"/>
      <c r="T445" s="73"/>
      <c r="U445" s="60"/>
      <c r="V445" s="1"/>
      <c r="W445" s="73"/>
      <c r="X445" s="73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  <c r="CR445" s="15"/>
      <c r="CS445" s="15"/>
      <c r="CT445" s="15"/>
      <c r="CU445" s="15"/>
      <c r="CV445" s="15"/>
      <c r="CW445" s="15"/>
      <c r="CX445" s="15"/>
      <c r="CY445" s="15"/>
      <c r="CZ445" s="15"/>
      <c r="DA445" s="15"/>
      <c r="DB445" s="15"/>
      <c r="DC445" s="15"/>
      <c r="DD445" s="15"/>
      <c r="DE445" s="15"/>
      <c r="DF445" s="15"/>
      <c r="DG445" s="15"/>
      <c r="DH445" s="15"/>
    </row>
    <row r="446" spans="2:112" x14ac:dyDescent="0.25">
      <c r="B446" s="8"/>
      <c r="C446" s="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73"/>
      <c r="S446" s="73"/>
      <c r="T446" s="73"/>
      <c r="U446" s="60"/>
      <c r="V446" s="1"/>
      <c r="W446" s="73"/>
      <c r="X446" s="73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  <c r="CR446" s="15"/>
      <c r="CS446" s="15"/>
      <c r="CT446" s="15"/>
      <c r="CU446" s="15"/>
      <c r="CV446" s="15"/>
      <c r="CW446" s="15"/>
      <c r="CX446" s="15"/>
      <c r="CY446" s="15"/>
      <c r="CZ446" s="15"/>
      <c r="DA446" s="15"/>
      <c r="DB446" s="15"/>
      <c r="DC446" s="15"/>
      <c r="DD446" s="15"/>
      <c r="DE446" s="15"/>
      <c r="DF446" s="15"/>
      <c r="DG446" s="15"/>
      <c r="DH446" s="15"/>
    </row>
    <row r="447" spans="2:112" x14ac:dyDescent="0.25">
      <c r="B447" s="8"/>
      <c r="C447" s="8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73"/>
      <c r="S447" s="73"/>
      <c r="T447" s="73"/>
      <c r="U447" s="60"/>
      <c r="V447" s="1"/>
      <c r="W447" s="73"/>
      <c r="X447" s="73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  <c r="CR447" s="15"/>
      <c r="CS447" s="15"/>
      <c r="CT447" s="15"/>
      <c r="CU447" s="15"/>
      <c r="CV447" s="15"/>
      <c r="CW447" s="15"/>
      <c r="CX447" s="15"/>
      <c r="CY447" s="15"/>
      <c r="CZ447" s="15"/>
      <c r="DA447" s="15"/>
      <c r="DB447" s="15"/>
      <c r="DC447" s="15"/>
      <c r="DD447" s="15"/>
      <c r="DE447" s="15"/>
      <c r="DF447" s="15"/>
      <c r="DG447" s="15"/>
      <c r="DH447" s="15"/>
    </row>
    <row r="448" spans="2:112" x14ac:dyDescent="0.25">
      <c r="B448" s="8"/>
      <c r="C448" s="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73"/>
      <c r="S448" s="73"/>
      <c r="T448" s="73"/>
      <c r="U448" s="60"/>
      <c r="V448" s="1"/>
      <c r="W448" s="73"/>
      <c r="X448" s="73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  <c r="CR448" s="15"/>
      <c r="CS448" s="15"/>
      <c r="CT448" s="15"/>
      <c r="CU448" s="15"/>
      <c r="CV448" s="15"/>
      <c r="CW448" s="15"/>
      <c r="CX448" s="15"/>
      <c r="CY448" s="15"/>
      <c r="CZ448" s="15"/>
      <c r="DA448" s="15"/>
      <c r="DB448" s="15"/>
      <c r="DC448" s="15"/>
      <c r="DD448" s="15"/>
      <c r="DE448" s="15"/>
      <c r="DF448" s="15"/>
      <c r="DG448" s="15"/>
      <c r="DH448" s="15"/>
    </row>
    <row r="449" spans="2:112" x14ac:dyDescent="0.25">
      <c r="B449" s="8"/>
      <c r="C449" s="8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73"/>
      <c r="S449" s="73"/>
      <c r="T449" s="73"/>
      <c r="U449" s="60"/>
      <c r="V449" s="1"/>
      <c r="W449" s="73"/>
      <c r="X449" s="73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  <c r="CR449" s="15"/>
      <c r="CS449" s="15"/>
      <c r="CT449" s="15"/>
      <c r="CU449" s="15"/>
      <c r="CV449" s="15"/>
      <c r="CW449" s="15"/>
      <c r="CX449" s="15"/>
      <c r="CY449" s="15"/>
      <c r="CZ449" s="15"/>
      <c r="DA449" s="15"/>
      <c r="DB449" s="15"/>
      <c r="DC449" s="15"/>
      <c r="DD449" s="15"/>
      <c r="DE449" s="15"/>
      <c r="DF449" s="15"/>
      <c r="DG449" s="15"/>
      <c r="DH449" s="15"/>
    </row>
    <row r="450" spans="2:112" x14ac:dyDescent="0.25">
      <c r="B450" s="8"/>
      <c r="C450" s="8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73"/>
      <c r="S450" s="73"/>
      <c r="T450" s="73"/>
      <c r="U450" s="60"/>
      <c r="V450" s="1"/>
      <c r="W450" s="73"/>
      <c r="X450" s="73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  <c r="CR450" s="15"/>
      <c r="CS450" s="15"/>
      <c r="CT450" s="15"/>
      <c r="CU450" s="15"/>
      <c r="CV450" s="15"/>
      <c r="CW450" s="15"/>
      <c r="CX450" s="15"/>
      <c r="CY450" s="15"/>
      <c r="CZ450" s="15"/>
      <c r="DA450" s="15"/>
      <c r="DB450" s="15"/>
      <c r="DC450" s="15"/>
      <c r="DD450" s="15"/>
      <c r="DE450" s="15"/>
      <c r="DF450" s="15"/>
      <c r="DG450" s="15"/>
      <c r="DH450" s="15"/>
    </row>
    <row r="451" spans="2:112" x14ac:dyDescent="0.25">
      <c r="B451" s="8"/>
      <c r="C451" s="8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73"/>
      <c r="S451" s="73"/>
      <c r="T451" s="73"/>
      <c r="U451" s="60"/>
      <c r="V451" s="1"/>
      <c r="W451" s="73"/>
      <c r="X451" s="73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  <c r="CR451" s="15"/>
      <c r="CS451" s="15"/>
      <c r="CT451" s="15"/>
      <c r="CU451" s="15"/>
      <c r="CV451" s="15"/>
      <c r="CW451" s="15"/>
      <c r="CX451" s="15"/>
      <c r="CY451" s="15"/>
      <c r="CZ451" s="15"/>
      <c r="DA451" s="15"/>
      <c r="DB451" s="15"/>
      <c r="DC451" s="15"/>
      <c r="DD451" s="15"/>
      <c r="DE451" s="15"/>
      <c r="DF451" s="15"/>
      <c r="DG451" s="15"/>
      <c r="DH451" s="15"/>
    </row>
    <row r="452" spans="2:112" x14ac:dyDescent="0.25">
      <c r="B452" s="8"/>
      <c r="C452" s="8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73"/>
      <c r="S452" s="73"/>
      <c r="T452" s="73"/>
      <c r="U452" s="60"/>
      <c r="V452" s="1"/>
      <c r="W452" s="73"/>
      <c r="X452" s="73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  <c r="CR452" s="15"/>
      <c r="CS452" s="15"/>
      <c r="CT452" s="15"/>
      <c r="CU452" s="15"/>
      <c r="CV452" s="15"/>
      <c r="CW452" s="15"/>
      <c r="CX452" s="15"/>
      <c r="CY452" s="15"/>
      <c r="CZ452" s="15"/>
      <c r="DA452" s="15"/>
      <c r="DB452" s="15"/>
      <c r="DC452" s="15"/>
      <c r="DD452" s="15"/>
      <c r="DE452" s="15"/>
      <c r="DF452" s="15"/>
      <c r="DG452" s="15"/>
      <c r="DH452" s="15"/>
    </row>
    <row r="453" spans="2:112" x14ac:dyDescent="0.25">
      <c r="B453" s="8"/>
      <c r="C453" s="8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73"/>
      <c r="S453" s="73"/>
      <c r="T453" s="73"/>
      <c r="U453" s="60"/>
      <c r="V453" s="1"/>
      <c r="W453" s="73"/>
      <c r="X453" s="73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  <c r="CR453" s="15"/>
      <c r="CS453" s="15"/>
      <c r="CT453" s="15"/>
      <c r="CU453" s="15"/>
      <c r="CV453" s="15"/>
      <c r="CW453" s="15"/>
      <c r="CX453" s="15"/>
      <c r="CY453" s="15"/>
      <c r="CZ453" s="15"/>
      <c r="DA453" s="15"/>
      <c r="DB453" s="15"/>
      <c r="DC453" s="15"/>
      <c r="DD453" s="15"/>
      <c r="DE453" s="15"/>
      <c r="DF453" s="15"/>
      <c r="DG453" s="15"/>
      <c r="DH453" s="15"/>
    </row>
    <row r="454" spans="2:112" x14ac:dyDescent="0.25">
      <c r="B454" s="8"/>
      <c r="C454" s="8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73"/>
      <c r="S454" s="73"/>
      <c r="T454" s="73"/>
      <c r="U454" s="60"/>
      <c r="V454" s="1"/>
      <c r="W454" s="73"/>
      <c r="X454" s="73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  <c r="CR454" s="15"/>
      <c r="CS454" s="15"/>
      <c r="CT454" s="15"/>
      <c r="CU454" s="15"/>
      <c r="CV454" s="15"/>
      <c r="CW454" s="15"/>
      <c r="CX454" s="15"/>
      <c r="CY454" s="15"/>
      <c r="CZ454" s="15"/>
      <c r="DA454" s="15"/>
      <c r="DB454" s="15"/>
      <c r="DC454" s="15"/>
      <c r="DD454" s="15"/>
      <c r="DE454" s="15"/>
      <c r="DF454" s="15"/>
      <c r="DG454" s="15"/>
      <c r="DH454" s="15"/>
    </row>
    <row r="455" spans="2:112" x14ac:dyDescent="0.25">
      <c r="B455" s="8"/>
      <c r="C455" s="8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73"/>
      <c r="S455" s="73"/>
      <c r="T455" s="73"/>
      <c r="U455" s="60"/>
      <c r="V455" s="1"/>
      <c r="W455" s="73"/>
      <c r="X455" s="73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  <c r="CR455" s="15"/>
      <c r="CS455" s="15"/>
      <c r="CT455" s="15"/>
      <c r="CU455" s="15"/>
      <c r="CV455" s="15"/>
      <c r="CW455" s="15"/>
      <c r="CX455" s="15"/>
      <c r="CY455" s="15"/>
      <c r="CZ455" s="15"/>
      <c r="DA455" s="15"/>
      <c r="DB455" s="15"/>
      <c r="DC455" s="15"/>
      <c r="DD455" s="15"/>
      <c r="DE455" s="15"/>
      <c r="DF455" s="15"/>
      <c r="DG455" s="15"/>
      <c r="DH455" s="15"/>
    </row>
    <row r="456" spans="2:112" x14ac:dyDescent="0.25">
      <c r="B456" s="8"/>
      <c r="C456" s="8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73"/>
      <c r="S456" s="73"/>
      <c r="T456" s="73"/>
      <c r="U456" s="60"/>
      <c r="V456" s="1"/>
      <c r="W456" s="73"/>
      <c r="X456" s="73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  <c r="CI456" s="15"/>
      <c r="CJ456" s="15"/>
      <c r="CK456" s="15"/>
      <c r="CL456" s="15"/>
      <c r="CM456" s="15"/>
      <c r="CN456" s="15"/>
      <c r="CO456" s="15"/>
      <c r="CP456" s="15"/>
      <c r="CQ456" s="15"/>
      <c r="CR456" s="15"/>
      <c r="CS456" s="15"/>
      <c r="CT456" s="15"/>
      <c r="CU456" s="15"/>
      <c r="CV456" s="15"/>
      <c r="CW456" s="15"/>
      <c r="CX456" s="15"/>
      <c r="CY456" s="15"/>
      <c r="CZ456" s="15"/>
      <c r="DA456" s="15"/>
      <c r="DB456" s="15"/>
      <c r="DC456" s="15"/>
      <c r="DD456" s="15"/>
      <c r="DE456" s="15"/>
      <c r="DF456" s="15"/>
      <c r="DG456" s="15"/>
      <c r="DH456" s="15"/>
    </row>
    <row r="457" spans="2:112" x14ac:dyDescent="0.25">
      <c r="B457" s="8"/>
      <c r="C457" s="8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73"/>
      <c r="S457" s="73"/>
      <c r="T457" s="73"/>
      <c r="U457" s="60"/>
      <c r="V457" s="1"/>
      <c r="W457" s="73"/>
      <c r="X457" s="73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  <c r="CI457" s="15"/>
      <c r="CJ457" s="15"/>
      <c r="CK457" s="15"/>
      <c r="CL457" s="15"/>
      <c r="CM457" s="15"/>
      <c r="CN457" s="15"/>
      <c r="CO457" s="15"/>
      <c r="CP457" s="15"/>
      <c r="CQ457" s="15"/>
      <c r="CR457" s="15"/>
      <c r="CS457" s="15"/>
      <c r="CT457" s="15"/>
      <c r="CU457" s="15"/>
      <c r="CV457" s="15"/>
      <c r="CW457" s="15"/>
      <c r="CX457" s="15"/>
      <c r="CY457" s="15"/>
      <c r="CZ457" s="15"/>
      <c r="DA457" s="15"/>
      <c r="DB457" s="15"/>
      <c r="DC457" s="15"/>
      <c r="DD457" s="15"/>
      <c r="DE457" s="15"/>
      <c r="DF457" s="15"/>
      <c r="DG457" s="15"/>
      <c r="DH457" s="15"/>
    </row>
    <row r="458" spans="2:112" x14ac:dyDescent="0.25">
      <c r="B458" s="8"/>
      <c r="C458" s="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73"/>
      <c r="S458" s="73"/>
      <c r="T458" s="73"/>
      <c r="U458" s="60"/>
      <c r="V458" s="1"/>
      <c r="W458" s="73"/>
      <c r="X458" s="73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  <c r="CI458" s="15"/>
      <c r="CJ458" s="15"/>
      <c r="CK458" s="15"/>
      <c r="CL458" s="15"/>
      <c r="CM458" s="15"/>
      <c r="CN458" s="15"/>
      <c r="CO458" s="15"/>
      <c r="CP458" s="15"/>
      <c r="CQ458" s="15"/>
      <c r="CR458" s="15"/>
      <c r="CS458" s="15"/>
      <c r="CT458" s="15"/>
      <c r="CU458" s="15"/>
      <c r="CV458" s="15"/>
      <c r="CW458" s="15"/>
      <c r="CX458" s="15"/>
      <c r="CY458" s="15"/>
      <c r="CZ458" s="15"/>
      <c r="DA458" s="15"/>
      <c r="DB458" s="15"/>
      <c r="DC458" s="15"/>
      <c r="DD458" s="15"/>
      <c r="DE458" s="15"/>
      <c r="DF458" s="15"/>
      <c r="DG458" s="15"/>
      <c r="DH458" s="15"/>
    </row>
    <row r="459" spans="2:112" x14ac:dyDescent="0.25">
      <c r="B459" s="8"/>
      <c r="C459" s="8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73"/>
      <c r="S459" s="73"/>
      <c r="T459" s="73"/>
      <c r="U459" s="60"/>
      <c r="V459" s="1"/>
      <c r="W459" s="73"/>
      <c r="X459" s="73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  <c r="CI459" s="15"/>
      <c r="CJ459" s="15"/>
      <c r="CK459" s="15"/>
      <c r="CL459" s="15"/>
      <c r="CM459" s="15"/>
      <c r="CN459" s="15"/>
      <c r="CO459" s="15"/>
      <c r="CP459" s="15"/>
      <c r="CQ459" s="15"/>
      <c r="CR459" s="15"/>
      <c r="CS459" s="15"/>
      <c r="CT459" s="15"/>
      <c r="CU459" s="15"/>
      <c r="CV459" s="15"/>
      <c r="CW459" s="15"/>
      <c r="CX459" s="15"/>
      <c r="CY459" s="15"/>
      <c r="CZ459" s="15"/>
      <c r="DA459" s="15"/>
      <c r="DB459" s="15"/>
      <c r="DC459" s="15"/>
      <c r="DD459" s="15"/>
      <c r="DE459" s="15"/>
      <c r="DF459" s="15"/>
      <c r="DG459" s="15"/>
      <c r="DH459" s="15"/>
    </row>
    <row r="460" spans="2:112" x14ac:dyDescent="0.25">
      <c r="B460" s="8"/>
      <c r="C460" s="8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73"/>
      <c r="S460" s="73"/>
      <c r="T460" s="73"/>
      <c r="U460" s="60"/>
      <c r="V460" s="1"/>
      <c r="W460" s="73"/>
      <c r="X460" s="73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  <c r="CI460" s="15"/>
      <c r="CJ460" s="15"/>
      <c r="CK460" s="15"/>
      <c r="CL460" s="15"/>
      <c r="CM460" s="15"/>
      <c r="CN460" s="15"/>
      <c r="CO460" s="15"/>
      <c r="CP460" s="15"/>
      <c r="CQ460" s="15"/>
      <c r="CR460" s="15"/>
      <c r="CS460" s="15"/>
      <c r="CT460" s="15"/>
      <c r="CU460" s="15"/>
      <c r="CV460" s="15"/>
      <c r="CW460" s="15"/>
      <c r="CX460" s="15"/>
      <c r="CY460" s="15"/>
      <c r="CZ460" s="15"/>
      <c r="DA460" s="15"/>
      <c r="DB460" s="15"/>
      <c r="DC460" s="15"/>
      <c r="DD460" s="15"/>
      <c r="DE460" s="15"/>
      <c r="DF460" s="15"/>
      <c r="DG460" s="15"/>
      <c r="DH460" s="15"/>
    </row>
    <row r="461" spans="2:112" x14ac:dyDescent="0.25">
      <c r="B461" s="8"/>
      <c r="C461" s="8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73"/>
      <c r="S461" s="73"/>
      <c r="T461" s="73"/>
      <c r="U461" s="60"/>
      <c r="V461" s="1"/>
      <c r="W461" s="73"/>
      <c r="X461" s="73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  <c r="CI461" s="15"/>
      <c r="CJ461" s="15"/>
      <c r="CK461" s="15"/>
      <c r="CL461" s="15"/>
      <c r="CM461" s="15"/>
      <c r="CN461" s="15"/>
      <c r="CO461" s="15"/>
      <c r="CP461" s="15"/>
      <c r="CQ461" s="15"/>
      <c r="CR461" s="15"/>
      <c r="CS461" s="15"/>
      <c r="CT461" s="15"/>
      <c r="CU461" s="15"/>
      <c r="CV461" s="15"/>
      <c r="CW461" s="15"/>
      <c r="CX461" s="15"/>
      <c r="CY461" s="15"/>
      <c r="CZ461" s="15"/>
      <c r="DA461" s="15"/>
      <c r="DB461" s="15"/>
      <c r="DC461" s="15"/>
      <c r="DD461" s="15"/>
      <c r="DE461" s="15"/>
      <c r="DF461" s="15"/>
      <c r="DG461" s="15"/>
      <c r="DH461" s="15"/>
    </row>
    <row r="462" spans="2:112" x14ac:dyDescent="0.25">
      <c r="B462" s="8"/>
      <c r="C462" s="8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73"/>
      <c r="S462" s="73"/>
      <c r="T462" s="73"/>
      <c r="U462" s="60"/>
      <c r="V462" s="1"/>
      <c r="W462" s="73"/>
      <c r="X462" s="73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  <c r="CI462" s="15"/>
      <c r="CJ462" s="15"/>
      <c r="CK462" s="15"/>
      <c r="CL462" s="15"/>
      <c r="CM462" s="15"/>
      <c r="CN462" s="15"/>
      <c r="CO462" s="15"/>
      <c r="CP462" s="15"/>
      <c r="CQ462" s="15"/>
      <c r="CR462" s="15"/>
      <c r="CS462" s="15"/>
      <c r="CT462" s="15"/>
      <c r="CU462" s="15"/>
      <c r="CV462" s="15"/>
      <c r="CW462" s="15"/>
      <c r="CX462" s="15"/>
      <c r="CY462" s="15"/>
      <c r="CZ462" s="15"/>
      <c r="DA462" s="15"/>
      <c r="DB462" s="15"/>
      <c r="DC462" s="15"/>
      <c r="DD462" s="15"/>
      <c r="DE462" s="15"/>
      <c r="DF462" s="15"/>
      <c r="DG462" s="15"/>
      <c r="DH462" s="15"/>
    </row>
    <row r="463" spans="2:112" x14ac:dyDescent="0.25">
      <c r="B463" s="8"/>
      <c r="C463" s="8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73"/>
      <c r="S463" s="73"/>
      <c r="T463" s="73"/>
      <c r="U463" s="60"/>
      <c r="V463" s="1"/>
      <c r="W463" s="73"/>
      <c r="X463" s="73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</row>
    <row r="464" spans="2:112" x14ac:dyDescent="0.25">
      <c r="B464" s="8"/>
      <c r="C464" s="8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73"/>
      <c r="S464" s="73"/>
      <c r="T464" s="73"/>
      <c r="U464" s="60"/>
      <c r="V464" s="1"/>
      <c r="W464" s="73"/>
      <c r="X464" s="73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15"/>
      <c r="CX464" s="15"/>
      <c r="CY464" s="15"/>
      <c r="CZ464" s="15"/>
      <c r="DA464" s="15"/>
      <c r="DB464" s="15"/>
      <c r="DC464" s="15"/>
      <c r="DD464" s="15"/>
      <c r="DE464" s="15"/>
      <c r="DF464" s="15"/>
      <c r="DG464" s="15"/>
      <c r="DH464" s="15"/>
    </row>
    <row r="465" spans="2:112" x14ac:dyDescent="0.25">
      <c r="B465" s="8"/>
      <c r="C465" s="8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73"/>
      <c r="S465" s="73"/>
      <c r="T465" s="73"/>
      <c r="U465" s="60"/>
      <c r="V465" s="1"/>
      <c r="W465" s="73"/>
      <c r="X465" s="73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5"/>
      <c r="CZ465" s="15"/>
      <c r="DA465" s="15"/>
      <c r="DB465" s="15"/>
      <c r="DC465" s="15"/>
      <c r="DD465" s="15"/>
      <c r="DE465" s="15"/>
      <c r="DF465" s="15"/>
      <c r="DG465" s="15"/>
      <c r="DH465" s="15"/>
    </row>
    <row r="466" spans="2:112" x14ac:dyDescent="0.25">
      <c r="B466" s="8"/>
      <c r="C466" s="8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73"/>
      <c r="S466" s="73"/>
      <c r="T466" s="73"/>
      <c r="U466" s="60"/>
      <c r="V466" s="1"/>
      <c r="W466" s="73"/>
      <c r="X466" s="73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  <c r="CR466" s="15"/>
      <c r="CS466" s="15"/>
      <c r="CT466" s="15"/>
      <c r="CU466" s="15"/>
      <c r="CV466" s="15"/>
      <c r="CW466" s="15"/>
      <c r="CX466" s="15"/>
      <c r="CY466" s="15"/>
      <c r="CZ466" s="15"/>
      <c r="DA466" s="15"/>
      <c r="DB466" s="15"/>
      <c r="DC466" s="15"/>
      <c r="DD466" s="15"/>
      <c r="DE466" s="15"/>
      <c r="DF466" s="15"/>
      <c r="DG466" s="15"/>
      <c r="DH466" s="15"/>
    </row>
    <row r="467" spans="2:112" x14ac:dyDescent="0.25">
      <c r="B467" s="8"/>
      <c r="C467" s="8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73"/>
      <c r="S467" s="73"/>
      <c r="T467" s="73"/>
      <c r="U467" s="60"/>
      <c r="V467" s="1"/>
      <c r="W467" s="73"/>
      <c r="X467" s="73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  <c r="CR467" s="15"/>
      <c r="CS467" s="15"/>
      <c r="CT467" s="15"/>
      <c r="CU467" s="15"/>
      <c r="CV467" s="15"/>
      <c r="CW467" s="15"/>
      <c r="CX467" s="15"/>
      <c r="CY467" s="15"/>
      <c r="CZ467" s="15"/>
      <c r="DA467" s="15"/>
      <c r="DB467" s="15"/>
      <c r="DC467" s="15"/>
      <c r="DD467" s="15"/>
      <c r="DE467" s="15"/>
      <c r="DF467" s="15"/>
      <c r="DG467" s="15"/>
      <c r="DH467" s="15"/>
    </row>
    <row r="468" spans="2:112" x14ac:dyDescent="0.25">
      <c r="B468" s="8"/>
      <c r="C468" s="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73"/>
      <c r="S468" s="73"/>
      <c r="T468" s="73"/>
      <c r="U468" s="60"/>
      <c r="V468" s="1"/>
      <c r="W468" s="73"/>
      <c r="X468" s="73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  <c r="CI468" s="15"/>
      <c r="CJ468" s="15"/>
      <c r="CK468" s="15"/>
      <c r="CL468" s="15"/>
      <c r="CM468" s="15"/>
      <c r="CN468" s="15"/>
      <c r="CO468" s="15"/>
      <c r="CP468" s="15"/>
      <c r="CQ468" s="15"/>
      <c r="CR468" s="15"/>
      <c r="CS468" s="15"/>
      <c r="CT468" s="15"/>
      <c r="CU468" s="15"/>
      <c r="CV468" s="15"/>
      <c r="CW468" s="15"/>
      <c r="CX468" s="15"/>
      <c r="CY468" s="15"/>
      <c r="CZ468" s="15"/>
      <c r="DA468" s="15"/>
      <c r="DB468" s="15"/>
      <c r="DC468" s="15"/>
      <c r="DD468" s="15"/>
      <c r="DE468" s="15"/>
      <c r="DF468" s="15"/>
      <c r="DG468" s="15"/>
      <c r="DH468" s="15"/>
    </row>
    <row r="469" spans="2:112" x14ac:dyDescent="0.25">
      <c r="B469" s="8"/>
      <c r="C469" s="8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73"/>
      <c r="S469" s="73"/>
      <c r="T469" s="73"/>
      <c r="U469" s="60"/>
      <c r="V469" s="1"/>
      <c r="W469" s="73"/>
      <c r="X469" s="73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  <c r="CI469" s="15"/>
      <c r="CJ469" s="15"/>
      <c r="CK469" s="15"/>
      <c r="CL469" s="15"/>
      <c r="CM469" s="15"/>
      <c r="CN469" s="15"/>
      <c r="CO469" s="15"/>
      <c r="CP469" s="15"/>
      <c r="CQ469" s="15"/>
      <c r="CR469" s="15"/>
      <c r="CS469" s="15"/>
      <c r="CT469" s="15"/>
      <c r="CU469" s="15"/>
      <c r="CV469" s="15"/>
      <c r="CW469" s="15"/>
      <c r="CX469" s="15"/>
      <c r="CY469" s="15"/>
      <c r="CZ469" s="15"/>
      <c r="DA469" s="15"/>
      <c r="DB469" s="15"/>
      <c r="DC469" s="15"/>
      <c r="DD469" s="15"/>
      <c r="DE469" s="15"/>
      <c r="DF469" s="15"/>
      <c r="DG469" s="15"/>
      <c r="DH469" s="15"/>
    </row>
    <row r="470" spans="2:112" x14ac:dyDescent="0.25">
      <c r="B470" s="8"/>
      <c r="C470" s="8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73"/>
      <c r="S470" s="73"/>
      <c r="T470" s="73"/>
      <c r="U470" s="60"/>
      <c r="V470" s="1"/>
      <c r="W470" s="73"/>
      <c r="X470" s="73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  <c r="CR470" s="15"/>
      <c r="CS470" s="15"/>
      <c r="CT470" s="15"/>
      <c r="CU470" s="15"/>
      <c r="CV470" s="15"/>
      <c r="CW470" s="15"/>
      <c r="CX470" s="15"/>
      <c r="CY470" s="15"/>
      <c r="CZ470" s="15"/>
      <c r="DA470" s="15"/>
      <c r="DB470" s="15"/>
      <c r="DC470" s="15"/>
      <c r="DD470" s="15"/>
      <c r="DE470" s="15"/>
      <c r="DF470" s="15"/>
      <c r="DG470" s="15"/>
      <c r="DH470" s="15"/>
    </row>
    <row r="471" spans="2:112" x14ac:dyDescent="0.25">
      <c r="B471" s="8"/>
      <c r="C471" s="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73"/>
      <c r="S471" s="73"/>
      <c r="T471" s="73"/>
      <c r="U471" s="60"/>
      <c r="V471" s="1"/>
      <c r="W471" s="73"/>
      <c r="X471" s="73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  <c r="CI471" s="15"/>
      <c r="CJ471" s="15"/>
      <c r="CK471" s="15"/>
      <c r="CL471" s="15"/>
      <c r="CM471" s="15"/>
      <c r="CN471" s="15"/>
      <c r="CO471" s="15"/>
      <c r="CP471" s="15"/>
      <c r="CQ471" s="15"/>
      <c r="CR471" s="15"/>
      <c r="CS471" s="15"/>
      <c r="CT471" s="15"/>
      <c r="CU471" s="15"/>
      <c r="CV471" s="15"/>
      <c r="CW471" s="15"/>
      <c r="CX471" s="15"/>
      <c r="CY471" s="15"/>
      <c r="CZ471" s="15"/>
      <c r="DA471" s="15"/>
      <c r="DB471" s="15"/>
      <c r="DC471" s="15"/>
      <c r="DD471" s="15"/>
      <c r="DE471" s="15"/>
      <c r="DF471" s="15"/>
      <c r="DG471" s="15"/>
      <c r="DH471" s="15"/>
    </row>
    <row r="472" spans="2:112" x14ac:dyDescent="0.25">
      <c r="B472" s="8"/>
      <c r="C472" s="8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73"/>
      <c r="S472" s="73"/>
      <c r="T472" s="73"/>
      <c r="U472" s="60"/>
      <c r="V472" s="1"/>
      <c r="W472" s="73"/>
      <c r="X472" s="73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  <c r="CI472" s="15"/>
      <c r="CJ472" s="15"/>
      <c r="CK472" s="15"/>
      <c r="CL472" s="15"/>
      <c r="CM472" s="15"/>
      <c r="CN472" s="15"/>
      <c r="CO472" s="15"/>
      <c r="CP472" s="15"/>
      <c r="CQ472" s="15"/>
      <c r="CR472" s="15"/>
      <c r="CS472" s="15"/>
      <c r="CT472" s="15"/>
      <c r="CU472" s="15"/>
      <c r="CV472" s="15"/>
      <c r="CW472" s="15"/>
      <c r="CX472" s="15"/>
      <c r="CY472" s="15"/>
      <c r="CZ472" s="15"/>
      <c r="DA472" s="15"/>
      <c r="DB472" s="15"/>
      <c r="DC472" s="15"/>
      <c r="DD472" s="15"/>
      <c r="DE472" s="15"/>
      <c r="DF472" s="15"/>
      <c r="DG472" s="15"/>
      <c r="DH472" s="15"/>
    </row>
    <row r="473" spans="2:112" x14ac:dyDescent="0.25">
      <c r="B473" s="8"/>
      <c r="C473" s="8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73"/>
      <c r="S473" s="73"/>
      <c r="T473" s="73"/>
      <c r="U473" s="60"/>
      <c r="V473" s="1"/>
      <c r="W473" s="73"/>
      <c r="X473" s="73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  <c r="CR473" s="15"/>
      <c r="CS473" s="15"/>
      <c r="CT473" s="15"/>
      <c r="CU473" s="15"/>
      <c r="CV473" s="15"/>
      <c r="CW473" s="15"/>
      <c r="CX473" s="15"/>
      <c r="CY473" s="15"/>
      <c r="CZ473" s="15"/>
      <c r="DA473" s="15"/>
      <c r="DB473" s="15"/>
      <c r="DC473" s="15"/>
      <c r="DD473" s="15"/>
      <c r="DE473" s="15"/>
      <c r="DF473" s="15"/>
      <c r="DG473" s="15"/>
      <c r="DH473" s="15"/>
    </row>
    <row r="474" spans="2:112" x14ac:dyDescent="0.25">
      <c r="B474" s="8"/>
      <c r="C474" s="8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73"/>
      <c r="S474" s="73"/>
      <c r="T474" s="73"/>
      <c r="U474" s="60"/>
      <c r="V474" s="1"/>
      <c r="W474" s="73"/>
      <c r="X474" s="73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5"/>
      <c r="CZ474" s="15"/>
      <c r="DA474" s="15"/>
      <c r="DB474" s="15"/>
      <c r="DC474" s="15"/>
      <c r="DD474" s="15"/>
      <c r="DE474" s="15"/>
      <c r="DF474" s="15"/>
      <c r="DG474" s="15"/>
      <c r="DH474" s="15"/>
    </row>
    <row r="475" spans="2:112" x14ac:dyDescent="0.25">
      <c r="B475" s="8"/>
      <c r="C475" s="8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73"/>
      <c r="S475" s="73"/>
      <c r="T475" s="73"/>
      <c r="U475" s="60"/>
      <c r="V475" s="1"/>
      <c r="W475" s="73"/>
      <c r="X475" s="73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5"/>
      <c r="CZ475" s="15"/>
      <c r="DA475" s="15"/>
      <c r="DB475" s="15"/>
      <c r="DC475" s="15"/>
      <c r="DD475" s="15"/>
      <c r="DE475" s="15"/>
      <c r="DF475" s="15"/>
      <c r="DG475" s="15"/>
      <c r="DH475" s="15"/>
    </row>
    <row r="476" spans="2:112" x14ac:dyDescent="0.25">
      <c r="B476" s="8"/>
      <c r="C476" s="8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73"/>
      <c r="S476" s="73"/>
      <c r="T476" s="73"/>
      <c r="U476" s="60"/>
      <c r="V476" s="1"/>
      <c r="W476" s="73"/>
      <c r="X476" s="73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  <c r="CR476" s="15"/>
      <c r="CS476" s="15"/>
      <c r="CT476" s="15"/>
      <c r="CU476" s="15"/>
      <c r="CV476" s="15"/>
      <c r="CW476" s="15"/>
      <c r="CX476" s="15"/>
      <c r="CY476" s="15"/>
      <c r="CZ476" s="15"/>
      <c r="DA476" s="15"/>
      <c r="DB476" s="15"/>
      <c r="DC476" s="15"/>
      <c r="DD476" s="15"/>
      <c r="DE476" s="15"/>
      <c r="DF476" s="15"/>
      <c r="DG476" s="15"/>
      <c r="DH476" s="15"/>
    </row>
    <row r="477" spans="2:112" x14ac:dyDescent="0.25">
      <c r="B477" s="8"/>
      <c r="C477" s="8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73"/>
      <c r="S477" s="73"/>
      <c r="T477" s="73"/>
      <c r="U477" s="60"/>
      <c r="V477" s="1"/>
      <c r="W477" s="73"/>
      <c r="X477" s="73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  <c r="CI477" s="15"/>
      <c r="CJ477" s="15"/>
      <c r="CK477" s="15"/>
      <c r="CL477" s="15"/>
      <c r="CM477" s="15"/>
      <c r="CN477" s="15"/>
      <c r="CO477" s="15"/>
      <c r="CP477" s="15"/>
      <c r="CQ477" s="15"/>
      <c r="CR477" s="15"/>
      <c r="CS477" s="15"/>
      <c r="CT477" s="15"/>
      <c r="CU477" s="15"/>
      <c r="CV477" s="15"/>
      <c r="CW477" s="15"/>
      <c r="CX477" s="15"/>
      <c r="CY477" s="15"/>
      <c r="CZ477" s="15"/>
      <c r="DA477" s="15"/>
      <c r="DB477" s="15"/>
      <c r="DC477" s="15"/>
      <c r="DD477" s="15"/>
      <c r="DE477" s="15"/>
      <c r="DF477" s="15"/>
      <c r="DG477" s="15"/>
      <c r="DH477" s="15"/>
    </row>
    <row r="478" spans="2:112" x14ac:dyDescent="0.25">
      <c r="B478" s="8"/>
      <c r="C478" s="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73"/>
      <c r="S478" s="73"/>
      <c r="T478" s="73"/>
      <c r="U478" s="60"/>
      <c r="V478" s="1"/>
      <c r="W478" s="73"/>
      <c r="X478" s="73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  <c r="CI478" s="15"/>
      <c r="CJ478" s="15"/>
      <c r="CK478" s="15"/>
      <c r="CL478" s="15"/>
      <c r="CM478" s="15"/>
      <c r="CN478" s="15"/>
      <c r="CO478" s="15"/>
      <c r="CP478" s="15"/>
      <c r="CQ478" s="15"/>
      <c r="CR478" s="15"/>
      <c r="CS478" s="15"/>
      <c r="CT478" s="15"/>
      <c r="CU478" s="15"/>
      <c r="CV478" s="15"/>
      <c r="CW478" s="15"/>
      <c r="CX478" s="15"/>
      <c r="CY478" s="15"/>
      <c r="CZ478" s="15"/>
      <c r="DA478" s="15"/>
      <c r="DB478" s="15"/>
      <c r="DC478" s="15"/>
      <c r="DD478" s="15"/>
      <c r="DE478" s="15"/>
      <c r="DF478" s="15"/>
      <c r="DG478" s="15"/>
      <c r="DH478" s="15"/>
    </row>
    <row r="479" spans="2:112" x14ac:dyDescent="0.25">
      <c r="B479" s="8"/>
      <c r="C479" s="8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73"/>
      <c r="S479" s="73"/>
      <c r="T479" s="73"/>
      <c r="U479" s="60"/>
      <c r="V479" s="1"/>
      <c r="W479" s="73"/>
      <c r="X479" s="73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  <c r="CI479" s="15"/>
      <c r="CJ479" s="15"/>
      <c r="CK479" s="15"/>
      <c r="CL479" s="15"/>
      <c r="CM479" s="15"/>
      <c r="CN479" s="15"/>
      <c r="CO479" s="15"/>
      <c r="CP479" s="15"/>
      <c r="CQ479" s="15"/>
      <c r="CR479" s="15"/>
      <c r="CS479" s="15"/>
      <c r="CT479" s="15"/>
      <c r="CU479" s="15"/>
      <c r="CV479" s="15"/>
      <c r="CW479" s="15"/>
      <c r="CX479" s="15"/>
      <c r="CY479" s="15"/>
      <c r="CZ479" s="15"/>
      <c r="DA479" s="15"/>
      <c r="DB479" s="15"/>
      <c r="DC479" s="15"/>
      <c r="DD479" s="15"/>
      <c r="DE479" s="15"/>
      <c r="DF479" s="15"/>
      <c r="DG479" s="15"/>
      <c r="DH479" s="15"/>
    </row>
    <row r="480" spans="2:112" x14ac:dyDescent="0.25">
      <c r="B480" s="8"/>
      <c r="C480" s="8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73"/>
      <c r="S480" s="73"/>
      <c r="T480" s="73"/>
      <c r="U480" s="60"/>
      <c r="V480" s="1"/>
      <c r="W480" s="73"/>
      <c r="X480" s="73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  <c r="CD480" s="15"/>
      <c r="CE480" s="15"/>
      <c r="CF480" s="15"/>
      <c r="CG480" s="15"/>
      <c r="CH480" s="15"/>
      <c r="CI480" s="15"/>
      <c r="CJ480" s="15"/>
      <c r="CK480" s="15"/>
      <c r="CL480" s="15"/>
      <c r="CM480" s="15"/>
      <c r="CN480" s="15"/>
      <c r="CO480" s="15"/>
      <c r="CP480" s="15"/>
      <c r="CQ480" s="15"/>
      <c r="CR480" s="15"/>
      <c r="CS480" s="15"/>
      <c r="CT480" s="15"/>
      <c r="CU480" s="15"/>
      <c r="CV480" s="15"/>
      <c r="CW480" s="15"/>
      <c r="CX480" s="15"/>
      <c r="CY480" s="15"/>
      <c r="CZ480" s="15"/>
      <c r="DA480" s="15"/>
      <c r="DB480" s="15"/>
      <c r="DC480" s="15"/>
      <c r="DD480" s="15"/>
      <c r="DE480" s="15"/>
      <c r="DF480" s="15"/>
      <c r="DG480" s="15"/>
      <c r="DH480" s="15"/>
    </row>
    <row r="481" spans="2:112" x14ac:dyDescent="0.25">
      <c r="B481" s="8"/>
      <c r="C481" s="8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73"/>
      <c r="S481" s="73"/>
      <c r="T481" s="73"/>
      <c r="U481" s="60"/>
      <c r="V481" s="1"/>
      <c r="W481" s="73"/>
      <c r="X481" s="73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  <c r="CI481" s="15"/>
      <c r="CJ481" s="15"/>
      <c r="CK481" s="15"/>
      <c r="CL481" s="15"/>
      <c r="CM481" s="15"/>
      <c r="CN481" s="15"/>
      <c r="CO481" s="15"/>
      <c r="CP481" s="15"/>
      <c r="CQ481" s="15"/>
      <c r="CR481" s="15"/>
      <c r="CS481" s="15"/>
      <c r="CT481" s="15"/>
      <c r="CU481" s="15"/>
      <c r="CV481" s="15"/>
      <c r="CW481" s="15"/>
      <c r="CX481" s="15"/>
      <c r="CY481" s="15"/>
      <c r="CZ481" s="15"/>
      <c r="DA481" s="15"/>
      <c r="DB481" s="15"/>
      <c r="DC481" s="15"/>
      <c r="DD481" s="15"/>
      <c r="DE481" s="15"/>
      <c r="DF481" s="15"/>
      <c r="DG481" s="15"/>
      <c r="DH481" s="15"/>
    </row>
    <row r="482" spans="2:112" x14ac:dyDescent="0.25">
      <c r="B482" s="8"/>
      <c r="C482" s="8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73"/>
      <c r="S482" s="73"/>
      <c r="T482" s="73"/>
      <c r="U482" s="60"/>
      <c r="V482" s="1"/>
      <c r="W482" s="73"/>
      <c r="X482" s="73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  <c r="CI482" s="15"/>
      <c r="CJ482" s="15"/>
      <c r="CK482" s="15"/>
      <c r="CL482" s="15"/>
      <c r="CM482" s="15"/>
      <c r="CN482" s="15"/>
      <c r="CO482" s="15"/>
      <c r="CP482" s="15"/>
      <c r="CQ482" s="15"/>
      <c r="CR482" s="15"/>
      <c r="CS482" s="15"/>
      <c r="CT482" s="15"/>
      <c r="CU482" s="15"/>
      <c r="CV482" s="15"/>
      <c r="CW482" s="15"/>
      <c r="CX482" s="15"/>
      <c r="CY482" s="15"/>
      <c r="CZ482" s="15"/>
      <c r="DA482" s="15"/>
      <c r="DB482" s="15"/>
      <c r="DC482" s="15"/>
      <c r="DD482" s="15"/>
      <c r="DE482" s="15"/>
      <c r="DF482" s="15"/>
      <c r="DG482" s="15"/>
      <c r="DH482" s="15"/>
    </row>
    <row r="483" spans="2:112" x14ac:dyDescent="0.25">
      <c r="B483" s="8"/>
      <c r="C483" s="8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73"/>
      <c r="S483" s="73"/>
      <c r="T483" s="73"/>
      <c r="U483" s="60"/>
      <c r="V483" s="1"/>
      <c r="W483" s="73"/>
      <c r="X483" s="73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  <c r="CI483" s="15"/>
      <c r="CJ483" s="15"/>
      <c r="CK483" s="15"/>
      <c r="CL483" s="15"/>
      <c r="CM483" s="15"/>
      <c r="CN483" s="15"/>
      <c r="CO483" s="15"/>
      <c r="CP483" s="15"/>
      <c r="CQ483" s="15"/>
      <c r="CR483" s="15"/>
      <c r="CS483" s="15"/>
      <c r="CT483" s="15"/>
      <c r="CU483" s="15"/>
      <c r="CV483" s="15"/>
      <c r="CW483" s="15"/>
      <c r="CX483" s="15"/>
      <c r="CY483" s="15"/>
      <c r="CZ483" s="15"/>
      <c r="DA483" s="15"/>
      <c r="DB483" s="15"/>
      <c r="DC483" s="15"/>
      <c r="DD483" s="15"/>
      <c r="DE483" s="15"/>
      <c r="DF483" s="15"/>
      <c r="DG483" s="15"/>
      <c r="DH483" s="15"/>
    </row>
    <row r="484" spans="2:112" x14ac:dyDescent="0.25">
      <c r="B484" s="8"/>
      <c r="C484" s="8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73"/>
      <c r="S484" s="73"/>
      <c r="T484" s="73"/>
      <c r="U484" s="60"/>
      <c r="V484" s="1"/>
      <c r="W484" s="73"/>
      <c r="X484" s="73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  <c r="CD484" s="15"/>
      <c r="CE484" s="15"/>
      <c r="CF484" s="15"/>
      <c r="CG484" s="15"/>
      <c r="CH484" s="15"/>
      <c r="CI484" s="15"/>
      <c r="CJ484" s="15"/>
      <c r="CK484" s="15"/>
      <c r="CL484" s="15"/>
      <c r="CM484" s="15"/>
      <c r="CN484" s="15"/>
      <c r="CO484" s="15"/>
      <c r="CP484" s="15"/>
      <c r="CQ484" s="15"/>
      <c r="CR484" s="15"/>
      <c r="CS484" s="15"/>
      <c r="CT484" s="15"/>
      <c r="CU484" s="15"/>
      <c r="CV484" s="15"/>
      <c r="CW484" s="15"/>
      <c r="CX484" s="15"/>
      <c r="CY484" s="15"/>
      <c r="CZ484" s="15"/>
      <c r="DA484" s="15"/>
      <c r="DB484" s="15"/>
      <c r="DC484" s="15"/>
      <c r="DD484" s="15"/>
      <c r="DE484" s="15"/>
      <c r="DF484" s="15"/>
      <c r="DG484" s="15"/>
      <c r="DH484" s="15"/>
    </row>
    <row r="485" spans="2:112" x14ac:dyDescent="0.25">
      <c r="B485" s="8"/>
      <c r="C485" s="8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73"/>
      <c r="S485" s="73"/>
      <c r="T485" s="73"/>
      <c r="U485" s="60"/>
      <c r="V485" s="1"/>
      <c r="W485" s="73"/>
      <c r="X485" s="73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  <c r="CD485" s="15"/>
      <c r="CE485" s="15"/>
      <c r="CF485" s="15"/>
      <c r="CG485" s="15"/>
      <c r="CH485" s="15"/>
      <c r="CI485" s="15"/>
      <c r="CJ485" s="15"/>
      <c r="CK485" s="15"/>
      <c r="CL485" s="15"/>
      <c r="CM485" s="15"/>
      <c r="CN485" s="15"/>
      <c r="CO485" s="15"/>
      <c r="CP485" s="15"/>
      <c r="CQ485" s="15"/>
      <c r="CR485" s="15"/>
      <c r="CS485" s="15"/>
      <c r="CT485" s="15"/>
      <c r="CU485" s="15"/>
      <c r="CV485" s="15"/>
      <c r="CW485" s="15"/>
      <c r="CX485" s="15"/>
      <c r="CY485" s="15"/>
      <c r="CZ485" s="15"/>
      <c r="DA485" s="15"/>
      <c r="DB485" s="15"/>
      <c r="DC485" s="15"/>
      <c r="DD485" s="15"/>
      <c r="DE485" s="15"/>
      <c r="DF485" s="15"/>
      <c r="DG485" s="15"/>
      <c r="DH485" s="15"/>
    </row>
    <row r="486" spans="2:112" x14ac:dyDescent="0.25">
      <c r="B486" s="8"/>
      <c r="C486" s="8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73"/>
      <c r="S486" s="73"/>
      <c r="T486" s="73"/>
      <c r="U486" s="60"/>
      <c r="V486" s="1"/>
      <c r="W486" s="73"/>
      <c r="X486" s="73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  <c r="CD486" s="15"/>
      <c r="CE486" s="15"/>
      <c r="CF486" s="15"/>
      <c r="CG486" s="15"/>
      <c r="CH486" s="15"/>
      <c r="CI486" s="15"/>
      <c r="CJ486" s="15"/>
      <c r="CK486" s="15"/>
      <c r="CL486" s="15"/>
      <c r="CM486" s="15"/>
      <c r="CN486" s="15"/>
      <c r="CO486" s="15"/>
      <c r="CP486" s="15"/>
      <c r="CQ486" s="15"/>
      <c r="CR486" s="15"/>
      <c r="CS486" s="15"/>
      <c r="CT486" s="15"/>
      <c r="CU486" s="15"/>
      <c r="CV486" s="15"/>
      <c r="CW486" s="15"/>
      <c r="CX486" s="15"/>
      <c r="CY486" s="15"/>
      <c r="CZ486" s="15"/>
      <c r="DA486" s="15"/>
      <c r="DB486" s="15"/>
      <c r="DC486" s="15"/>
      <c r="DD486" s="15"/>
      <c r="DE486" s="15"/>
      <c r="DF486" s="15"/>
      <c r="DG486" s="15"/>
      <c r="DH486" s="15"/>
    </row>
    <row r="487" spans="2:112" x14ac:dyDescent="0.25">
      <c r="B487" s="8"/>
      <c r="C487" s="8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73"/>
      <c r="S487" s="73"/>
      <c r="T487" s="73"/>
      <c r="U487" s="60"/>
      <c r="V487" s="1"/>
      <c r="W487" s="73"/>
      <c r="X487" s="73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  <c r="CD487" s="15"/>
      <c r="CE487" s="15"/>
      <c r="CF487" s="15"/>
      <c r="CG487" s="15"/>
      <c r="CH487" s="15"/>
      <c r="CI487" s="15"/>
      <c r="CJ487" s="15"/>
      <c r="CK487" s="15"/>
      <c r="CL487" s="15"/>
      <c r="CM487" s="15"/>
      <c r="CN487" s="15"/>
      <c r="CO487" s="15"/>
      <c r="CP487" s="15"/>
      <c r="CQ487" s="15"/>
      <c r="CR487" s="15"/>
      <c r="CS487" s="15"/>
      <c r="CT487" s="15"/>
      <c r="CU487" s="15"/>
      <c r="CV487" s="15"/>
      <c r="CW487" s="15"/>
      <c r="CX487" s="15"/>
      <c r="CY487" s="15"/>
      <c r="CZ487" s="15"/>
      <c r="DA487" s="15"/>
      <c r="DB487" s="15"/>
      <c r="DC487" s="15"/>
      <c r="DD487" s="15"/>
      <c r="DE487" s="15"/>
      <c r="DF487" s="15"/>
      <c r="DG487" s="15"/>
      <c r="DH487" s="15"/>
    </row>
    <row r="488" spans="2:112" x14ac:dyDescent="0.25">
      <c r="B488" s="8"/>
      <c r="C488" s="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73"/>
      <c r="S488" s="73"/>
      <c r="T488" s="73"/>
      <c r="U488" s="60"/>
      <c r="V488" s="1"/>
      <c r="W488" s="73"/>
      <c r="X488" s="73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  <c r="CI488" s="15"/>
      <c r="CJ488" s="15"/>
      <c r="CK488" s="15"/>
      <c r="CL488" s="15"/>
      <c r="CM488" s="15"/>
      <c r="CN488" s="15"/>
      <c r="CO488" s="15"/>
      <c r="CP488" s="15"/>
      <c r="CQ488" s="15"/>
      <c r="CR488" s="15"/>
      <c r="CS488" s="15"/>
      <c r="CT488" s="15"/>
      <c r="CU488" s="15"/>
      <c r="CV488" s="15"/>
      <c r="CW488" s="15"/>
      <c r="CX488" s="15"/>
      <c r="CY488" s="15"/>
      <c r="CZ488" s="15"/>
      <c r="DA488" s="15"/>
      <c r="DB488" s="15"/>
      <c r="DC488" s="15"/>
      <c r="DD488" s="15"/>
      <c r="DE488" s="15"/>
      <c r="DF488" s="15"/>
      <c r="DG488" s="15"/>
      <c r="DH488" s="15"/>
    </row>
    <row r="489" spans="2:112" x14ac:dyDescent="0.25">
      <c r="B489" s="8"/>
      <c r="C489" s="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73"/>
      <c r="S489" s="73"/>
      <c r="T489" s="73"/>
      <c r="U489" s="60"/>
      <c r="V489" s="1"/>
      <c r="W489" s="73"/>
      <c r="X489" s="73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  <c r="CI489" s="15"/>
      <c r="CJ489" s="15"/>
      <c r="CK489" s="15"/>
      <c r="CL489" s="15"/>
      <c r="CM489" s="15"/>
      <c r="CN489" s="15"/>
      <c r="CO489" s="15"/>
      <c r="CP489" s="15"/>
      <c r="CQ489" s="15"/>
      <c r="CR489" s="15"/>
      <c r="CS489" s="15"/>
      <c r="CT489" s="15"/>
      <c r="CU489" s="15"/>
      <c r="CV489" s="15"/>
      <c r="CW489" s="15"/>
      <c r="CX489" s="15"/>
      <c r="CY489" s="15"/>
      <c r="CZ489" s="15"/>
      <c r="DA489" s="15"/>
      <c r="DB489" s="15"/>
      <c r="DC489" s="15"/>
      <c r="DD489" s="15"/>
      <c r="DE489" s="15"/>
      <c r="DF489" s="15"/>
      <c r="DG489" s="15"/>
      <c r="DH489" s="15"/>
    </row>
    <row r="490" spans="2:112" x14ac:dyDescent="0.25">
      <c r="B490" s="8"/>
      <c r="C490" s="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73"/>
      <c r="S490" s="73"/>
      <c r="T490" s="73"/>
      <c r="U490" s="60"/>
      <c r="V490" s="1"/>
      <c r="W490" s="73"/>
      <c r="X490" s="73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  <c r="CI490" s="15"/>
      <c r="CJ490" s="15"/>
      <c r="CK490" s="15"/>
      <c r="CL490" s="15"/>
      <c r="CM490" s="15"/>
      <c r="CN490" s="15"/>
      <c r="CO490" s="15"/>
      <c r="CP490" s="15"/>
      <c r="CQ490" s="15"/>
      <c r="CR490" s="15"/>
      <c r="CS490" s="15"/>
      <c r="CT490" s="15"/>
      <c r="CU490" s="15"/>
      <c r="CV490" s="15"/>
      <c r="CW490" s="15"/>
      <c r="CX490" s="15"/>
      <c r="CY490" s="15"/>
      <c r="CZ490" s="15"/>
      <c r="DA490" s="15"/>
      <c r="DB490" s="15"/>
      <c r="DC490" s="15"/>
      <c r="DD490" s="15"/>
      <c r="DE490" s="15"/>
      <c r="DF490" s="15"/>
      <c r="DG490" s="15"/>
      <c r="DH490" s="15"/>
    </row>
    <row r="491" spans="2:112" x14ac:dyDescent="0.25">
      <c r="B491" s="8"/>
      <c r="C491" s="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73"/>
      <c r="S491" s="73"/>
      <c r="T491" s="73"/>
      <c r="U491" s="60"/>
      <c r="V491" s="1"/>
      <c r="W491" s="73"/>
      <c r="X491" s="73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  <c r="CI491" s="15"/>
      <c r="CJ491" s="15"/>
      <c r="CK491" s="15"/>
      <c r="CL491" s="15"/>
      <c r="CM491" s="15"/>
      <c r="CN491" s="15"/>
      <c r="CO491" s="15"/>
      <c r="CP491" s="15"/>
      <c r="CQ491" s="15"/>
      <c r="CR491" s="15"/>
      <c r="CS491" s="15"/>
      <c r="CT491" s="15"/>
      <c r="CU491" s="15"/>
      <c r="CV491" s="15"/>
      <c r="CW491" s="15"/>
      <c r="CX491" s="15"/>
      <c r="CY491" s="15"/>
      <c r="CZ491" s="15"/>
      <c r="DA491" s="15"/>
      <c r="DB491" s="15"/>
      <c r="DC491" s="15"/>
      <c r="DD491" s="15"/>
      <c r="DE491" s="15"/>
      <c r="DF491" s="15"/>
      <c r="DG491" s="15"/>
      <c r="DH491" s="15"/>
    </row>
    <row r="492" spans="2:112" x14ac:dyDescent="0.25">
      <c r="B492" s="8"/>
      <c r="C492" s="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73"/>
      <c r="S492" s="73"/>
      <c r="T492" s="73"/>
      <c r="U492" s="60"/>
      <c r="V492" s="1"/>
      <c r="W492" s="73"/>
      <c r="X492" s="73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  <c r="CI492" s="15"/>
      <c r="CJ492" s="15"/>
      <c r="CK492" s="15"/>
      <c r="CL492" s="15"/>
      <c r="CM492" s="15"/>
      <c r="CN492" s="15"/>
      <c r="CO492" s="15"/>
      <c r="CP492" s="15"/>
      <c r="CQ492" s="15"/>
      <c r="CR492" s="15"/>
      <c r="CS492" s="15"/>
      <c r="CT492" s="15"/>
      <c r="CU492" s="15"/>
      <c r="CV492" s="15"/>
      <c r="CW492" s="15"/>
      <c r="CX492" s="15"/>
      <c r="CY492" s="15"/>
      <c r="CZ492" s="15"/>
      <c r="DA492" s="15"/>
      <c r="DB492" s="15"/>
      <c r="DC492" s="15"/>
      <c r="DD492" s="15"/>
      <c r="DE492" s="15"/>
      <c r="DF492" s="15"/>
      <c r="DG492" s="15"/>
      <c r="DH492" s="15"/>
    </row>
    <row r="493" spans="2:112" x14ac:dyDescent="0.25">
      <c r="B493" s="8"/>
      <c r="C493" s="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73"/>
      <c r="S493" s="73"/>
      <c r="T493" s="73"/>
      <c r="U493" s="60"/>
      <c r="V493" s="1"/>
      <c r="W493" s="73"/>
      <c r="X493" s="73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  <c r="CI493" s="15"/>
      <c r="CJ493" s="15"/>
      <c r="CK493" s="15"/>
      <c r="CL493" s="15"/>
      <c r="CM493" s="15"/>
      <c r="CN493" s="15"/>
      <c r="CO493" s="15"/>
      <c r="CP493" s="15"/>
      <c r="CQ493" s="15"/>
      <c r="CR493" s="15"/>
      <c r="CS493" s="15"/>
      <c r="CT493" s="15"/>
      <c r="CU493" s="15"/>
      <c r="CV493" s="15"/>
      <c r="CW493" s="15"/>
      <c r="CX493" s="15"/>
      <c r="CY493" s="15"/>
      <c r="CZ493" s="15"/>
      <c r="DA493" s="15"/>
      <c r="DB493" s="15"/>
      <c r="DC493" s="15"/>
      <c r="DD493" s="15"/>
      <c r="DE493" s="15"/>
      <c r="DF493" s="15"/>
      <c r="DG493" s="15"/>
      <c r="DH493" s="15"/>
    </row>
    <row r="494" spans="2:112" x14ac:dyDescent="0.25">
      <c r="B494" s="8"/>
      <c r="C494" s="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73"/>
      <c r="S494" s="73"/>
      <c r="T494" s="73"/>
      <c r="U494" s="60"/>
      <c r="V494" s="1"/>
      <c r="W494" s="73"/>
      <c r="X494" s="73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  <c r="CI494" s="15"/>
      <c r="CJ494" s="15"/>
      <c r="CK494" s="15"/>
      <c r="CL494" s="15"/>
      <c r="CM494" s="15"/>
      <c r="CN494" s="15"/>
      <c r="CO494" s="15"/>
      <c r="CP494" s="15"/>
      <c r="CQ494" s="15"/>
      <c r="CR494" s="15"/>
      <c r="CS494" s="15"/>
      <c r="CT494" s="15"/>
      <c r="CU494" s="15"/>
      <c r="CV494" s="15"/>
      <c r="CW494" s="15"/>
      <c r="CX494" s="15"/>
      <c r="CY494" s="15"/>
      <c r="CZ494" s="15"/>
      <c r="DA494" s="15"/>
      <c r="DB494" s="15"/>
      <c r="DC494" s="15"/>
      <c r="DD494" s="15"/>
      <c r="DE494" s="15"/>
      <c r="DF494" s="15"/>
      <c r="DG494" s="15"/>
      <c r="DH494" s="15"/>
    </row>
    <row r="495" spans="2:112" x14ac:dyDescent="0.25">
      <c r="B495" s="8"/>
      <c r="C495" s="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73"/>
      <c r="S495" s="73"/>
      <c r="T495" s="73"/>
      <c r="U495" s="60"/>
      <c r="V495" s="1"/>
      <c r="W495" s="73"/>
      <c r="X495" s="73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  <c r="CI495" s="15"/>
      <c r="CJ495" s="15"/>
      <c r="CK495" s="15"/>
      <c r="CL495" s="15"/>
      <c r="CM495" s="15"/>
      <c r="CN495" s="15"/>
      <c r="CO495" s="15"/>
      <c r="CP495" s="15"/>
      <c r="CQ495" s="15"/>
      <c r="CR495" s="15"/>
      <c r="CS495" s="15"/>
      <c r="CT495" s="15"/>
      <c r="CU495" s="15"/>
      <c r="CV495" s="15"/>
      <c r="CW495" s="15"/>
      <c r="CX495" s="15"/>
      <c r="CY495" s="15"/>
      <c r="CZ495" s="15"/>
      <c r="DA495" s="15"/>
      <c r="DB495" s="15"/>
      <c r="DC495" s="15"/>
      <c r="DD495" s="15"/>
      <c r="DE495" s="15"/>
      <c r="DF495" s="15"/>
      <c r="DG495" s="15"/>
      <c r="DH495" s="15"/>
    </row>
    <row r="496" spans="2:112" x14ac:dyDescent="0.25">
      <c r="B496" s="8"/>
      <c r="C496" s="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73"/>
      <c r="S496" s="73"/>
      <c r="T496" s="73"/>
      <c r="U496" s="60"/>
      <c r="V496" s="1"/>
      <c r="W496" s="73"/>
      <c r="X496" s="73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  <c r="CI496" s="15"/>
      <c r="CJ496" s="15"/>
      <c r="CK496" s="15"/>
      <c r="CL496" s="15"/>
      <c r="CM496" s="15"/>
      <c r="CN496" s="15"/>
      <c r="CO496" s="15"/>
      <c r="CP496" s="15"/>
      <c r="CQ496" s="15"/>
      <c r="CR496" s="15"/>
      <c r="CS496" s="15"/>
      <c r="CT496" s="15"/>
      <c r="CU496" s="15"/>
      <c r="CV496" s="15"/>
      <c r="CW496" s="15"/>
      <c r="CX496" s="15"/>
      <c r="CY496" s="15"/>
      <c r="CZ496" s="15"/>
      <c r="DA496" s="15"/>
      <c r="DB496" s="15"/>
      <c r="DC496" s="15"/>
      <c r="DD496" s="15"/>
      <c r="DE496" s="15"/>
      <c r="DF496" s="15"/>
      <c r="DG496" s="15"/>
      <c r="DH496" s="15"/>
    </row>
    <row r="497" spans="2:112" x14ac:dyDescent="0.25">
      <c r="B497" s="8"/>
      <c r="C497" s="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73"/>
      <c r="S497" s="73"/>
      <c r="T497" s="73"/>
      <c r="U497" s="60"/>
      <c r="V497" s="1"/>
      <c r="W497" s="73"/>
      <c r="X497" s="73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  <c r="CI497" s="15"/>
      <c r="CJ497" s="15"/>
      <c r="CK497" s="15"/>
      <c r="CL497" s="15"/>
      <c r="CM497" s="15"/>
      <c r="CN497" s="15"/>
      <c r="CO497" s="15"/>
      <c r="CP497" s="15"/>
      <c r="CQ497" s="15"/>
      <c r="CR497" s="15"/>
      <c r="CS497" s="15"/>
      <c r="CT497" s="15"/>
      <c r="CU497" s="15"/>
      <c r="CV497" s="15"/>
      <c r="CW497" s="15"/>
      <c r="CX497" s="15"/>
      <c r="CY497" s="15"/>
      <c r="CZ497" s="15"/>
      <c r="DA497" s="15"/>
      <c r="DB497" s="15"/>
      <c r="DC497" s="15"/>
      <c r="DD497" s="15"/>
      <c r="DE497" s="15"/>
      <c r="DF497" s="15"/>
      <c r="DG497" s="15"/>
      <c r="DH497" s="15"/>
    </row>
    <row r="498" spans="2:112" x14ac:dyDescent="0.25">
      <c r="B498" s="8"/>
      <c r="C498" s="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73"/>
      <c r="S498" s="73"/>
      <c r="T498" s="73"/>
      <c r="U498" s="60"/>
      <c r="V498" s="1"/>
      <c r="W498" s="73"/>
      <c r="X498" s="73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  <c r="CI498" s="15"/>
      <c r="CJ498" s="15"/>
      <c r="CK498" s="15"/>
      <c r="CL498" s="15"/>
      <c r="CM498" s="15"/>
      <c r="CN498" s="15"/>
      <c r="CO498" s="15"/>
      <c r="CP498" s="15"/>
      <c r="CQ498" s="15"/>
      <c r="CR498" s="15"/>
      <c r="CS498" s="15"/>
      <c r="CT498" s="15"/>
      <c r="CU498" s="15"/>
      <c r="CV498" s="15"/>
      <c r="CW498" s="15"/>
      <c r="CX498" s="15"/>
      <c r="CY498" s="15"/>
      <c r="CZ498" s="15"/>
      <c r="DA498" s="15"/>
      <c r="DB498" s="15"/>
      <c r="DC498" s="15"/>
      <c r="DD498" s="15"/>
      <c r="DE498" s="15"/>
      <c r="DF498" s="15"/>
      <c r="DG498" s="15"/>
      <c r="DH498" s="15"/>
    </row>
    <row r="499" spans="2:112" x14ac:dyDescent="0.25">
      <c r="B499" s="8"/>
      <c r="C499" s="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73"/>
      <c r="S499" s="73"/>
      <c r="T499" s="73"/>
      <c r="U499" s="60"/>
      <c r="V499" s="1"/>
      <c r="W499" s="73"/>
      <c r="X499" s="73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/>
      <c r="DC499" s="15"/>
      <c r="DD499" s="15"/>
      <c r="DE499" s="15"/>
      <c r="DF499" s="15"/>
      <c r="DG499" s="15"/>
      <c r="DH499" s="15"/>
    </row>
    <row r="500" spans="2:112" x14ac:dyDescent="0.25">
      <c r="B500" s="8"/>
      <c r="C500" s="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73"/>
      <c r="S500" s="73"/>
      <c r="T500" s="73"/>
      <c r="U500" s="60"/>
      <c r="V500" s="1"/>
      <c r="W500" s="73"/>
      <c r="X500" s="73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  <c r="CI500" s="15"/>
      <c r="CJ500" s="15"/>
      <c r="CK500" s="15"/>
      <c r="CL500" s="15"/>
      <c r="CM500" s="15"/>
      <c r="CN500" s="15"/>
      <c r="CO500" s="15"/>
      <c r="CP500" s="15"/>
      <c r="CQ500" s="15"/>
      <c r="CR500" s="15"/>
      <c r="CS500" s="15"/>
      <c r="CT500" s="15"/>
      <c r="CU500" s="15"/>
      <c r="CV500" s="15"/>
      <c r="CW500" s="15"/>
      <c r="CX500" s="15"/>
      <c r="CY500" s="15"/>
      <c r="CZ500" s="15"/>
      <c r="DA500" s="15"/>
      <c r="DB500" s="15"/>
      <c r="DC500" s="15"/>
      <c r="DD500" s="15"/>
      <c r="DE500" s="15"/>
      <c r="DF500" s="15"/>
      <c r="DG500" s="15"/>
      <c r="DH500" s="15"/>
    </row>
    <row r="501" spans="2:112" x14ac:dyDescent="0.25">
      <c r="B501" s="8"/>
      <c r="C501" s="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73"/>
      <c r="S501" s="73"/>
      <c r="T501" s="73"/>
      <c r="U501" s="60"/>
      <c r="V501" s="1"/>
      <c r="W501" s="73"/>
      <c r="X501" s="73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  <c r="CI501" s="15"/>
      <c r="CJ501" s="15"/>
      <c r="CK501" s="15"/>
      <c r="CL501" s="15"/>
      <c r="CM501" s="15"/>
      <c r="CN501" s="15"/>
      <c r="CO501" s="15"/>
      <c r="CP501" s="15"/>
      <c r="CQ501" s="15"/>
      <c r="CR501" s="15"/>
      <c r="CS501" s="15"/>
      <c r="CT501" s="15"/>
      <c r="CU501" s="15"/>
      <c r="CV501" s="15"/>
      <c r="CW501" s="15"/>
      <c r="CX501" s="15"/>
      <c r="CY501" s="15"/>
      <c r="CZ501" s="15"/>
      <c r="DA501" s="15"/>
      <c r="DB501" s="15"/>
      <c r="DC501" s="15"/>
      <c r="DD501" s="15"/>
      <c r="DE501" s="15"/>
      <c r="DF501" s="15"/>
      <c r="DG501" s="15"/>
      <c r="DH501" s="15"/>
    </row>
    <row r="502" spans="2:112" x14ac:dyDescent="0.25">
      <c r="B502" s="8"/>
      <c r="C502" s="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73"/>
      <c r="S502" s="73"/>
      <c r="T502" s="73"/>
      <c r="U502" s="60"/>
      <c r="V502" s="1"/>
      <c r="W502" s="73"/>
      <c r="X502" s="73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  <c r="CI502" s="15"/>
      <c r="CJ502" s="15"/>
      <c r="CK502" s="15"/>
      <c r="CL502" s="15"/>
      <c r="CM502" s="15"/>
      <c r="CN502" s="15"/>
      <c r="CO502" s="15"/>
      <c r="CP502" s="15"/>
      <c r="CQ502" s="15"/>
      <c r="CR502" s="15"/>
      <c r="CS502" s="15"/>
      <c r="CT502" s="15"/>
      <c r="CU502" s="15"/>
      <c r="CV502" s="15"/>
      <c r="CW502" s="15"/>
      <c r="CX502" s="15"/>
      <c r="CY502" s="15"/>
      <c r="CZ502" s="15"/>
      <c r="DA502" s="15"/>
      <c r="DB502" s="15"/>
      <c r="DC502" s="15"/>
      <c r="DD502" s="15"/>
      <c r="DE502" s="15"/>
      <c r="DF502" s="15"/>
      <c r="DG502" s="15"/>
      <c r="DH502" s="15"/>
    </row>
    <row r="503" spans="2:112" x14ac:dyDescent="0.25">
      <c r="B503" s="8"/>
      <c r="C503" s="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73"/>
      <c r="S503" s="73"/>
      <c r="T503" s="73"/>
      <c r="U503" s="60"/>
      <c r="V503" s="1"/>
      <c r="W503" s="73"/>
      <c r="X503" s="73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  <c r="CI503" s="15"/>
      <c r="CJ503" s="15"/>
      <c r="CK503" s="15"/>
      <c r="CL503" s="15"/>
      <c r="CM503" s="15"/>
      <c r="CN503" s="15"/>
      <c r="CO503" s="15"/>
      <c r="CP503" s="15"/>
      <c r="CQ503" s="15"/>
      <c r="CR503" s="15"/>
      <c r="CS503" s="15"/>
      <c r="CT503" s="15"/>
      <c r="CU503" s="15"/>
      <c r="CV503" s="15"/>
      <c r="CW503" s="15"/>
      <c r="CX503" s="15"/>
      <c r="CY503" s="15"/>
      <c r="CZ503" s="15"/>
      <c r="DA503" s="15"/>
      <c r="DB503" s="15"/>
      <c r="DC503" s="15"/>
      <c r="DD503" s="15"/>
      <c r="DE503" s="15"/>
      <c r="DF503" s="15"/>
      <c r="DG503" s="15"/>
      <c r="DH503" s="15"/>
    </row>
    <row r="504" spans="2:112" x14ac:dyDescent="0.25">
      <c r="B504" s="8"/>
      <c r="C504" s="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73"/>
      <c r="S504" s="73"/>
      <c r="T504" s="73"/>
      <c r="U504" s="60"/>
      <c r="V504" s="1"/>
      <c r="W504" s="73"/>
      <c r="X504" s="73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  <c r="CI504" s="15"/>
      <c r="CJ504" s="15"/>
      <c r="CK504" s="15"/>
      <c r="CL504" s="15"/>
      <c r="CM504" s="15"/>
      <c r="CN504" s="15"/>
      <c r="CO504" s="15"/>
      <c r="CP504" s="15"/>
      <c r="CQ504" s="15"/>
      <c r="CR504" s="15"/>
      <c r="CS504" s="15"/>
      <c r="CT504" s="15"/>
      <c r="CU504" s="15"/>
      <c r="CV504" s="15"/>
      <c r="CW504" s="15"/>
      <c r="CX504" s="15"/>
      <c r="CY504" s="15"/>
      <c r="CZ504" s="15"/>
      <c r="DA504" s="15"/>
      <c r="DB504" s="15"/>
      <c r="DC504" s="15"/>
      <c r="DD504" s="15"/>
      <c r="DE504" s="15"/>
      <c r="DF504" s="15"/>
      <c r="DG504" s="15"/>
      <c r="DH504" s="15"/>
    </row>
    <row r="505" spans="2:112" x14ac:dyDescent="0.25">
      <c r="B505" s="8"/>
      <c r="C505" s="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73"/>
      <c r="S505" s="73"/>
      <c r="T505" s="73"/>
      <c r="U505" s="60"/>
      <c r="V505" s="1"/>
      <c r="W505" s="73"/>
      <c r="X505" s="73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  <c r="CI505" s="15"/>
      <c r="CJ505" s="15"/>
      <c r="CK505" s="15"/>
      <c r="CL505" s="15"/>
      <c r="CM505" s="15"/>
      <c r="CN505" s="15"/>
      <c r="CO505" s="15"/>
      <c r="CP505" s="15"/>
      <c r="CQ505" s="15"/>
      <c r="CR505" s="15"/>
      <c r="CS505" s="15"/>
      <c r="CT505" s="15"/>
      <c r="CU505" s="15"/>
      <c r="CV505" s="15"/>
      <c r="CW505" s="15"/>
      <c r="CX505" s="15"/>
      <c r="CY505" s="15"/>
      <c r="CZ505" s="15"/>
      <c r="DA505" s="15"/>
      <c r="DB505" s="15"/>
      <c r="DC505" s="15"/>
      <c r="DD505" s="15"/>
      <c r="DE505" s="15"/>
      <c r="DF505" s="15"/>
      <c r="DG505" s="15"/>
      <c r="DH505" s="15"/>
    </row>
    <row r="506" spans="2:112" x14ac:dyDescent="0.25">
      <c r="B506" s="8"/>
      <c r="C506" s="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73"/>
      <c r="S506" s="73"/>
      <c r="T506" s="73"/>
      <c r="U506" s="60"/>
      <c r="V506" s="1"/>
      <c r="W506" s="73"/>
      <c r="X506" s="73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/>
      <c r="DC506" s="15"/>
      <c r="DD506" s="15"/>
      <c r="DE506" s="15"/>
      <c r="DF506" s="15"/>
      <c r="DG506" s="15"/>
      <c r="DH506" s="15"/>
    </row>
    <row r="507" spans="2:112" x14ac:dyDescent="0.25">
      <c r="B507" s="8"/>
      <c r="C507" s="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73"/>
      <c r="S507" s="73"/>
      <c r="T507" s="73"/>
      <c r="U507" s="60"/>
      <c r="V507" s="1"/>
      <c r="W507" s="73"/>
      <c r="X507" s="73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  <c r="CI507" s="15"/>
      <c r="CJ507" s="15"/>
      <c r="CK507" s="15"/>
      <c r="CL507" s="15"/>
      <c r="CM507" s="15"/>
      <c r="CN507" s="15"/>
      <c r="CO507" s="15"/>
      <c r="CP507" s="15"/>
      <c r="CQ507" s="15"/>
      <c r="CR507" s="15"/>
      <c r="CS507" s="15"/>
      <c r="CT507" s="15"/>
      <c r="CU507" s="15"/>
      <c r="CV507" s="15"/>
      <c r="CW507" s="15"/>
      <c r="CX507" s="15"/>
      <c r="CY507" s="15"/>
      <c r="CZ507" s="15"/>
      <c r="DA507" s="15"/>
      <c r="DB507" s="15"/>
      <c r="DC507" s="15"/>
      <c r="DD507" s="15"/>
      <c r="DE507" s="15"/>
      <c r="DF507" s="15"/>
      <c r="DG507" s="15"/>
      <c r="DH507" s="15"/>
    </row>
    <row r="508" spans="2:112" x14ac:dyDescent="0.25">
      <c r="B508" s="8"/>
      <c r="C508" s="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73"/>
      <c r="S508" s="73"/>
      <c r="T508" s="73"/>
      <c r="U508" s="60"/>
      <c r="V508" s="1"/>
      <c r="W508" s="73"/>
      <c r="X508" s="73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  <c r="CI508" s="15"/>
      <c r="CJ508" s="15"/>
      <c r="CK508" s="15"/>
      <c r="CL508" s="15"/>
      <c r="CM508" s="15"/>
      <c r="CN508" s="15"/>
      <c r="CO508" s="15"/>
      <c r="CP508" s="15"/>
      <c r="CQ508" s="15"/>
      <c r="CR508" s="15"/>
      <c r="CS508" s="15"/>
      <c r="CT508" s="15"/>
      <c r="CU508" s="15"/>
      <c r="CV508" s="15"/>
      <c r="CW508" s="15"/>
      <c r="CX508" s="15"/>
      <c r="CY508" s="15"/>
      <c r="CZ508" s="15"/>
      <c r="DA508" s="15"/>
      <c r="DB508" s="15"/>
      <c r="DC508" s="15"/>
      <c r="DD508" s="15"/>
      <c r="DE508" s="15"/>
      <c r="DF508" s="15"/>
      <c r="DG508" s="15"/>
      <c r="DH508" s="15"/>
    </row>
    <row r="509" spans="2:112" x14ac:dyDescent="0.25">
      <c r="B509" s="8"/>
      <c r="C509" s="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73"/>
      <c r="S509" s="73"/>
      <c r="T509" s="73"/>
      <c r="U509" s="60"/>
      <c r="V509" s="1"/>
      <c r="W509" s="73"/>
      <c r="X509" s="73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  <c r="CI509" s="15"/>
      <c r="CJ509" s="15"/>
      <c r="CK509" s="15"/>
      <c r="CL509" s="15"/>
      <c r="CM509" s="15"/>
      <c r="CN509" s="15"/>
      <c r="CO509" s="15"/>
      <c r="CP509" s="15"/>
      <c r="CQ509" s="15"/>
      <c r="CR509" s="15"/>
      <c r="CS509" s="15"/>
      <c r="CT509" s="15"/>
      <c r="CU509" s="15"/>
      <c r="CV509" s="15"/>
      <c r="CW509" s="15"/>
      <c r="CX509" s="15"/>
      <c r="CY509" s="15"/>
      <c r="CZ509" s="15"/>
      <c r="DA509" s="15"/>
      <c r="DB509" s="15"/>
      <c r="DC509" s="15"/>
      <c r="DD509" s="15"/>
      <c r="DE509" s="15"/>
      <c r="DF509" s="15"/>
      <c r="DG509" s="15"/>
      <c r="DH509" s="15"/>
    </row>
    <row r="510" spans="2:112" x14ac:dyDescent="0.25">
      <c r="B510" s="8"/>
      <c r="C510" s="8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73"/>
      <c r="S510" s="73"/>
      <c r="T510" s="73"/>
      <c r="U510" s="60"/>
      <c r="V510" s="1"/>
      <c r="W510" s="73"/>
      <c r="X510" s="73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  <c r="CI510" s="15"/>
      <c r="CJ510" s="15"/>
      <c r="CK510" s="15"/>
      <c r="CL510" s="15"/>
      <c r="CM510" s="15"/>
      <c r="CN510" s="15"/>
      <c r="CO510" s="15"/>
      <c r="CP510" s="15"/>
      <c r="CQ510" s="15"/>
      <c r="CR510" s="15"/>
      <c r="CS510" s="15"/>
      <c r="CT510" s="15"/>
      <c r="CU510" s="15"/>
      <c r="CV510" s="15"/>
      <c r="CW510" s="15"/>
      <c r="CX510" s="15"/>
      <c r="CY510" s="15"/>
      <c r="CZ510" s="15"/>
      <c r="DA510" s="15"/>
      <c r="DB510" s="15"/>
      <c r="DC510" s="15"/>
      <c r="DD510" s="15"/>
      <c r="DE510" s="15"/>
      <c r="DF510" s="15"/>
      <c r="DG510" s="15"/>
      <c r="DH510" s="15"/>
    </row>
    <row r="511" spans="2:112" x14ac:dyDescent="0.25">
      <c r="B511" s="8"/>
      <c r="C511" s="8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73"/>
      <c r="S511" s="73"/>
      <c r="T511" s="73"/>
      <c r="U511" s="60"/>
      <c r="V511" s="1"/>
      <c r="W511" s="73"/>
      <c r="X511" s="73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5"/>
      <c r="BY511" s="15"/>
      <c r="BZ511" s="15"/>
      <c r="CA511" s="15"/>
      <c r="CB511" s="15"/>
      <c r="CC511" s="15"/>
      <c r="CD511" s="15"/>
      <c r="CE511" s="15"/>
      <c r="CF511" s="15"/>
      <c r="CG511" s="15"/>
      <c r="CH511" s="15"/>
      <c r="CI511" s="15"/>
      <c r="CJ511" s="15"/>
      <c r="CK511" s="15"/>
      <c r="CL511" s="15"/>
      <c r="CM511" s="15"/>
      <c r="CN511" s="15"/>
      <c r="CO511" s="15"/>
      <c r="CP511" s="15"/>
      <c r="CQ511" s="15"/>
      <c r="CR511" s="15"/>
      <c r="CS511" s="15"/>
      <c r="CT511" s="15"/>
      <c r="CU511" s="15"/>
      <c r="CV511" s="15"/>
      <c r="CW511" s="15"/>
      <c r="CX511" s="15"/>
      <c r="CY511" s="15"/>
      <c r="CZ511" s="15"/>
      <c r="DA511" s="15"/>
      <c r="DB511" s="15"/>
      <c r="DC511" s="15"/>
      <c r="DD511" s="15"/>
      <c r="DE511" s="15"/>
      <c r="DF511" s="15"/>
      <c r="DG511" s="15"/>
      <c r="DH511" s="15"/>
    </row>
    <row r="512" spans="2:112" x14ac:dyDescent="0.25">
      <c r="B512" s="8"/>
      <c r="C512" s="8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73"/>
      <c r="S512" s="73"/>
      <c r="T512" s="73"/>
      <c r="U512" s="60"/>
      <c r="V512" s="1"/>
      <c r="W512" s="73"/>
      <c r="X512" s="73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5"/>
      <c r="BY512" s="15"/>
      <c r="BZ512" s="15"/>
      <c r="CA512" s="15"/>
      <c r="CB512" s="15"/>
      <c r="CC512" s="15"/>
      <c r="CD512" s="15"/>
      <c r="CE512" s="15"/>
      <c r="CF512" s="15"/>
      <c r="CG512" s="15"/>
      <c r="CH512" s="15"/>
      <c r="CI512" s="15"/>
      <c r="CJ512" s="15"/>
      <c r="CK512" s="15"/>
      <c r="CL512" s="15"/>
      <c r="CM512" s="15"/>
      <c r="CN512" s="15"/>
      <c r="CO512" s="15"/>
      <c r="CP512" s="15"/>
      <c r="CQ512" s="15"/>
      <c r="CR512" s="15"/>
      <c r="CS512" s="15"/>
      <c r="CT512" s="15"/>
      <c r="CU512" s="15"/>
      <c r="CV512" s="15"/>
      <c r="CW512" s="15"/>
      <c r="CX512" s="15"/>
      <c r="CY512" s="15"/>
      <c r="CZ512" s="15"/>
      <c r="DA512" s="15"/>
      <c r="DB512" s="15"/>
      <c r="DC512" s="15"/>
      <c r="DD512" s="15"/>
      <c r="DE512" s="15"/>
      <c r="DF512" s="15"/>
      <c r="DG512" s="15"/>
      <c r="DH512" s="15"/>
    </row>
    <row r="513" spans="2:112" x14ac:dyDescent="0.25">
      <c r="B513" s="8"/>
      <c r="C513" s="8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73"/>
      <c r="S513" s="73"/>
      <c r="T513" s="73"/>
      <c r="U513" s="60"/>
      <c r="V513" s="1"/>
      <c r="W513" s="73"/>
      <c r="X513" s="73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5"/>
      <c r="BY513" s="15"/>
      <c r="BZ513" s="15"/>
      <c r="CA513" s="15"/>
      <c r="CB513" s="15"/>
      <c r="CC513" s="15"/>
      <c r="CD513" s="15"/>
      <c r="CE513" s="15"/>
      <c r="CF513" s="15"/>
      <c r="CG513" s="15"/>
      <c r="CH513" s="15"/>
      <c r="CI513" s="15"/>
      <c r="CJ513" s="15"/>
      <c r="CK513" s="15"/>
      <c r="CL513" s="15"/>
      <c r="CM513" s="15"/>
      <c r="CN513" s="15"/>
      <c r="CO513" s="15"/>
      <c r="CP513" s="15"/>
      <c r="CQ513" s="15"/>
      <c r="CR513" s="15"/>
      <c r="CS513" s="15"/>
      <c r="CT513" s="15"/>
      <c r="CU513" s="15"/>
      <c r="CV513" s="15"/>
      <c r="CW513" s="15"/>
      <c r="CX513" s="15"/>
      <c r="CY513" s="15"/>
      <c r="CZ513" s="15"/>
      <c r="DA513" s="15"/>
      <c r="DB513" s="15"/>
      <c r="DC513" s="15"/>
      <c r="DD513" s="15"/>
      <c r="DE513" s="15"/>
      <c r="DF513" s="15"/>
      <c r="DG513" s="15"/>
      <c r="DH513" s="15"/>
    </row>
    <row r="514" spans="2:112" x14ac:dyDescent="0.25">
      <c r="B514" s="8"/>
      <c r="C514" s="8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73"/>
      <c r="S514" s="73"/>
      <c r="T514" s="73"/>
      <c r="U514" s="60"/>
      <c r="V514" s="1"/>
      <c r="W514" s="73"/>
      <c r="X514" s="73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5"/>
      <c r="BY514" s="15"/>
      <c r="BZ514" s="15"/>
      <c r="CA514" s="15"/>
      <c r="CB514" s="15"/>
      <c r="CC514" s="15"/>
      <c r="CD514" s="15"/>
      <c r="CE514" s="15"/>
      <c r="CF514" s="15"/>
      <c r="CG514" s="15"/>
      <c r="CH514" s="15"/>
      <c r="CI514" s="15"/>
      <c r="CJ514" s="15"/>
      <c r="CK514" s="15"/>
      <c r="CL514" s="15"/>
      <c r="CM514" s="15"/>
      <c r="CN514" s="15"/>
      <c r="CO514" s="15"/>
      <c r="CP514" s="15"/>
      <c r="CQ514" s="15"/>
      <c r="CR514" s="15"/>
      <c r="CS514" s="15"/>
      <c r="CT514" s="15"/>
      <c r="CU514" s="15"/>
      <c r="CV514" s="15"/>
      <c r="CW514" s="15"/>
      <c r="CX514" s="15"/>
      <c r="CY514" s="15"/>
      <c r="CZ514" s="15"/>
      <c r="DA514" s="15"/>
      <c r="DB514" s="15"/>
      <c r="DC514" s="15"/>
      <c r="DD514" s="15"/>
      <c r="DE514" s="15"/>
      <c r="DF514" s="15"/>
      <c r="DG514" s="15"/>
      <c r="DH514" s="15"/>
    </row>
    <row r="515" spans="2:112" x14ac:dyDescent="0.25">
      <c r="B515" s="8"/>
      <c r="C515" s="8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73"/>
      <c r="S515" s="73"/>
      <c r="T515" s="73"/>
      <c r="U515" s="60"/>
      <c r="V515" s="1"/>
      <c r="W515" s="73"/>
      <c r="X515" s="73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5"/>
      <c r="BY515" s="15"/>
      <c r="BZ515" s="15"/>
      <c r="CA515" s="15"/>
      <c r="CB515" s="15"/>
      <c r="CC515" s="15"/>
      <c r="CD515" s="15"/>
      <c r="CE515" s="15"/>
      <c r="CF515" s="15"/>
      <c r="CG515" s="15"/>
      <c r="CH515" s="15"/>
      <c r="CI515" s="15"/>
      <c r="CJ515" s="15"/>
      <c r="CK515" s="15"/>
      <c r="CL515" s="15"/>
      <c r="CM515" s="15"/>
      <c r="CN515" s="15"/>
      <c r="CO515" s="15"/>
      <c r="CP515" s="15"/>
      <c r="CQ515" s="15"/>
      <c r="CR515" s="15"/>
      <c r="CS515" s="15"/>
      <c r="CT515" s="15"/>
      <c r="CU515" s="15"/>
      <c r="CV515" s="15"/>
      <c r="CW515" s="15"/>
      <c r="CX515" s="15"/>
      <c r="CY515" s="15"/>
      <c r="CZ515" s="15"/>
      <c r="DA515" s="15"/>
      <c r="DB515" s="15"/>
      <c r="DC515" s="15"/>
      <c r="DD515" s="15"/>
      <c r="DE515" s="15"/>
      <c r="DF515" s="15"/>
      <c r="DG515" s="15"/>
      <c r="DH515" s="15"/>
    </row>
    <row r="516" spans="2:112" x14ac:dyDescent="0.25">
      <c r="B516" s="8"/>
      <c r="C516" s="8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73"/>
      <c r="S516" s="73"/>
      <c r="T516" s="73"/>
      <c r="U516" s="60"/>
      <c r="V516" s="1"/>
      <c r="W516" s="73"/>
      <c r="X516" s="73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5"/>
      <c r="BY516" s="15"/>
      <c r="BZ516" s="15"/>
      <c r="CA516" s="15"/>
      <c r="CB516" s="15"/>
      <c r="CC516" s="15"/>
      <c r="CD516" s="15"/>
      <c r="CE516" s="15"/>
      <c r="CF516" s="15"/>
      <c r="CG516" s="15"/>
      <c r="CH516" s="15"/>
      <c r="CI516" s="15"/>
      <c r="CJ516" s="15"/>
      <c r="CK516" s="15"/>
      <c r="CL516" s="15"/>
      <c r="CM516" s="15"/>
      <c r="CN516" s="15"/>
      <c r="CO516" s="15"/>
      <c r="CP516" s="15"/>
      <c r="CQ516" s="15"/>
      <c r="CR516" s="15"/>
      <c r="CS516" s="15"/>
      <c r="CT516" s="15"/>
      <c r="CU516" s="15"/>
      <c r="CV516" s="15"/>
      <c r="CW516" s="15"/>
      <c r="CX516" s="15"/>
      <c r="CY516" s="15"/>
      <c r="CZ516" s="15"/>
      <c r="DA516" s="15"/>
      <c r="DB516" s="15"/>
      <c r="DC516" s="15"/>
      <c r="DD516" s="15"/>
      <c r="DE516" s="15"/>
      <c r="DF516" s="15"/>
      <c r="DG516" s="15"/>
      <c r="DH516" s="15"/>
    </row>
    <row r="517" spans="2:112" x14ac:dyDescent="0.25">
      <c r="B517" s="8"/>
      <c r="C517" s="8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73"/>
      <c r="S517" s="73"/>
      <c r="T517" s="73"/>
      <c r="U517" s="60"/>
      <c r="V517" s="1"/>
      <c r="W517" s="73"/>
      <c r="X517" s="73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5"/>
      <c r="BY517" s="15"/>
      <c r="BZ517" s="15"/>
      <c r="CA517" s="15"/>
      <c r="CB517" s="15"/>
      <c r="CC517" s="15"/>
      <c r="CD517" s="15"/>
      <c r="CE517" s="15"/>
      <c r="CF517" s="15"/>
      <c r="CG517" s="15"/>
      <c r="CH517" s="15"/>
      <c r="CI517" s="15"/>
      <c r="CJ517" s="15"/>
      <c r="CK517" s="15"/>
      <c r="CL517" s="15"/>
      <c r="CM517" s="15"/>
      <c r="CN517" s="15"/>
      <c r="CO517" s="15"/>
      <c r="CP517" s="15"/>
      <c r="CQ517" s="15"/>
      <c r="CR517" s="15"/>
      <c r="CS517" s="15"/>
      <c r="CT517" s="15"/>
      <c r="CU517" s="15"/>
      <c r="CV517" s="15"/>
      <c r="CW517" s="15"/>
      <c r="CX517" s="15"/>
      <c r="CY517" s="15"/>
      <c r="CZ517" s="15"/>
      <c r="DA517" s="15"/>
      <c r="DB517" s="15"/>
      <c r="DC517" s="15"/>
      <c r="DD517" s="15"/>
      <c r="DE517" s="15"/>
      <c r="DF517" s="15"/>
      <c r="DG517" s="15"/>
      <c r="DH517" s="15"/>
    </row>
    <row r="518" spans="2:112" x14ac:dyDescent="0.25">
      <c r="B518" s="8"/>
      <c r="C518" s="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73"/>
      <c r="S518" s="73"/>
      <c r="T518" s="73"/>
      <c r="U518" s="60"/>
      <c r="V518" s="1"/>
      <c r="W518" s="73"/>
      <c r="X518" s="73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5"/>
      <c r="BY518" s="15"/>
      <c r="BZ518" s="15"/>
      <c r="CA518" s="15"/>
      <c r="CB518" s="15"/>
      <c r="CC518" s="15"/>
      <c r="CD518" s="15"/>
      <c r="CE518" s="15"/>
      <c r="CF518" s="15"/>
      <c r="CG518" s="15"/>
      <c r="CH518" s="15"/>
      <c r="CI518" s="15"/>
      <c r="CJ518" s="15"/>
      <c r="CK518" s="15"/>
      <c r="CL518" s="15"/>
      <c r="CM518" s="15"/>
      <c r="CN518" s="15"/>
      <c r="CO518" s="15"/>
      <c r="CP518" s="15"/>
      <c r="CQ518" s="15"/>
      <c r="CR518" s="15"/>
      <c r="CS518" s="15"/>
      <c r="CT518" s="15"/>
      <c r="CU518" s="15"/>
      <c r="CV518" s="15"/>
      <c r="CW518" s="15"/>
      <c r="CX518" s="15"/>
      <c r="CY518" s="15"/>
      <c r="CZ518" s="15"/>
      <c r="DA518" s="15"/>
      <c r="DB518" s="15"/>
      <c r="DC518" s="15"/>
      <c r="DD518" s="15"/>
      <c r="DE518" s="15"/>
      <c r="DF518" s="15"/>
      <c r="DG518" s="15"/>
      <c r="DH518" s="15"/>
    </row>
    <row r="519" spans="2:112" x14ac:dyDescent="0.25">
      <c r="B519" s="8"/>
      <c r="C519" s="8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73"/>
      <c r="S519" s="73"/>
      <c r="T519" s="73"/>
      <c r="U519" s="60"/>
      <c r="V519" s="1"/>
      <c r="W519" s="73"/>
      <c r="X519" s="73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5"/>
      <c r="BY519" s="15"/>
      <c r="BZ519" s="15"/>
      <c r="CA519" s="15"/>
      <c r="CB519" s="15"/>
      <c r="CC519" s="15"/>
      <c r="CD519" s="15"/>
      <c r="CE519" s="15"/>
      <c r="CF519" s="15"/>
      <c r="CG519" s="15"/>
      <c r="CH519" s="15"/>
      <c r="CI519" s="15"/>
      <c r="CJ519" s="15"/>
      <c r="CK519" s="15"/>
      <c r="CL519" s="15"/>
      <c r="CM519" s="15"/>
      <c r="CN519" s="15"/>
      <c r="CO519" s="15"/>
      <c r="CP519" s="15"/>
      <c r="CQ519" s="15"/>
      <c r="CR519" s="15"/>
      <c r="CS519" s="15"/>
      <c r="CT519" s="15"/>
      <c r="CU519" s="15"/>
      <c r="CV519" s="15"/>
      <c r="CW519" s="15"/>
      <c r="CX519" s="15"/>
      <c r="CY519" s="15"/>
      <c r="CZ519" s="15"/>
      <c r="DA519" s="15"/>
      <c r="DB519" s="15"/>
      <c r="DC519" s="15"/>
      <c r="DD519" s="15"/>
      <c r="DE519" s="15"/>
      <c r="DF519" s="15"/>
      <c r="DG519" s="15"/>
      <c r="DH519" s="15"/>
    </row>
    <row r="520" spans="2:112" x14ac:dyDescent="0.25">
      <c r="B520" s="8"/>
      <c r="C520" s="8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73"/>
      <c r="S520" s="73"/>
      <c r="T520" s="73"/>
      <c r="U520" s="60"/>
      <c r="V520" s="1"/>
      <c r="W520" s="73"/>
      <c r="X520" s="73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5"/>
      <c r="BY520" s="15"/>
      <c r="BZ520" s="15"/>
      <c r="CA520" s="15"/>
      <c r="CB520" s="15"/>
      <c r="CC520" s="15"/>
      <c r="CD520" s="15"/>
      <c r="CE520" s="15"/>
      <c r="CF520" s="15"/>
      <c r="CG520" s="15"/>
      <c r="CH520" s="15"/>
      <c r="CI520" s="15"/>
      <c r="CJ520" s="15"/>
      <c r="CK520" s="15"/>
      <c r="CL520" s="15"/>
      <c r="CM520" s="15"/>
      <c r="CN520" s="15"/>
      <c r="CO520" s="15"/>
      <c r="CP520" s="15"/>
      <c r="CQ520" s="15"/>
      <c r="CR520" s="15"/>
      <c r="CS520" s="15"/>
      <c r="CT520" s="15"/>
      <c r="CU520" s="15"/>
      <c r="CV520" s="15"/>
      <c r="CW520" s="15"/>
      <c r="CX520" s="15"/>
      <c r="CY520" s="15"/>
      <c r="CZ520" s="15"/>
      <c r="DA520" s="15"/>
      <c r="DB520" s="15"/>
      <c r="DC520" s="15"/>
      <c r="DD520" s="15"/>
      <c r="DE520" s="15"/>
      <c r="DF520" s="15"/>
      <c r="DG520" s="15"/>
      <c r="DH520" s="15"/>
    </row>
    <row r="521" spans="2:112" x14ac:dyDescent="0.25">
      <c r="B521" s="8"/>
      <c r="C521" s="8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73"/>
      <c r="S521" s="73"/>
      <c r="T521" s="73"/>
      <c r="U521" s="60"/>
      <c r="V521" s="1"/>
      <c r="W521" s="73"/>
      <c r="X521" s="73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5"/>
      <c r="BY521" s="15"/>
      <c r="BZ521" s="15"/>
      <c r="CA521" s="15"/>
      <c r="CB521" s="15"/>
      <c r="CC521" s="15"/>
      <c r="CD521" s="15"/>
      <c r="CE521" s="15"/>
      <c r="CF521" s="15"/>
      <c r="CG521" s="15"/>
      <c r="CH521" s="15"/>
      <c r="CI521" s="15"/>
      <c r="CJ521" s="15"/>
      <c r="CK521" s="15"/>
      <c r="CL521" s="15"/>
      <c r="CM521" s="15"/>
      <c r="CN521" s="15"/>
      <c r="CO521" s="15"/>
      <c r="CP521" s="15"/>
      <c r="CQ521" s="15"/>
      <c r="CR521" s="15"/>
      <c r="CS521" s="15"/>
      <c r="CT521" s="15"/>
      <c r="CU521" s="15"/>
      <c r="CV521" s="15"/>
      <c r="CW521" s="15"/>
      <c r="CX521" s="15"/>
      <c r="CY521" s="15"/>
      <c r="CZ521" s="15"/>
      <c r="DA521" s="15"/>
      <c r="DB521" s="15"/>
      <c r="DC521" s="15"/>
      <c r="DD521" s="15"/>
      <c r="DE521" s="15"/>
      <c r="DF521" s="15"/>
      <c r="DG521" s="15"/>
      <c r="DH521" s="15"/>
    </row>
    <row r="522" spans="2:112" x14ac:dyDescent="0.25">
      <c r="B522" s="8"/>
      <c r="C522" s="8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73"/>
      <c r="S522" s="73"/>
      <c r="T522" s="73"/>
      <c r="U522" s="60"/>
      <c r="V522" s="1"/>
      <c r="W522" s="73"/>
      <c r="X522" s="73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5"/>
      <c r="BY522" s="15"/>
      <c r="BZ522" s="15"/>
      <c r="CA522" s="15"/>
      <c r="CB522" s="15"/>
      <c r="CC522" s="15"/>
      <c r="CD522" s="15"/>
      <c r="CE522" s="15"/>
      <c r="CF522" s="15"/>
      <c r="CG522" s="15"/>
      <c r="CH522" s="15"/>
      <c r="CI522" s="15"/>
      <c r="CJ522" s="15"/>
      <c r="CK522" s="15"/>
      <c r="CL522" s="15"/>
      <c r="CM522" s="15"/>
      <c r="CN522" s="15"/>
      <c r="CO522" s="15"/>
      <c r="CP522" s="15"/>
      <c r="CQ522" s="15"/>
      <c r="CR522" s="15"/>
      <c r="CS522" s="15"/>
      <c r="CT522" s="15"/>
      <c r="CU522" s="15"/>
      <c r="CV522" s="15"/>
      <c r="CW522" s="15"/>
      <c r="CX522" s="15"/>
      <c r="CY522" s="15"/>
      <c r="CZ522" s="15"/>
      <c r="DA522" s="15"/>
      <c r="DB522" s="15"/>
      <c r="DC522" s="15"/>
      <c r="DD522" s="15"/>
      <c r="DE522" s="15"/>
      <c r="DF522" s="15"/>
      <c r="DG522" s="15"/>
      <c r="DH522" s="15"/>
    </row>
    <row r="523" spans="2:112" x14ac:dyDescent="0.25">
      <c r="B523" s="8"/>
      <c r="C523" s="8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73"/>
      <c r="S523" s="73"/>
      <c r="T523" s="73"/>
      <c r="U523" s="60"/>
      <c r="V523" s="1"/>
      <c r="W523" s="73"/>
      <c r="X523" s="73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5"/>
      <c r="BY523" s="15"/>
      <c r="BZ523" s="15"/>
      <c r="CA523" s="15"/>
      <c r="CB523" s="15"/>
      <c r="CC523" s="15"/>
      <c r="CD523" s="15"/>
      <c r="CE523" s="15"/>
      <c r="CF523" s="15"/>
      <c r="CG523" s="15"/>
      <c r="CH523" s="15"/>
      <c r="CI523" s="15"/>
      <c r="CJ523" s="15"/>
      <c r="CK523" s="15"/>
      <c r="CL523" s="15"/>
      <c r="CM523" s="15"/>
      <c r="CN523" s="15"/>
      <c r="CO523" s="15"/>
      <c r="CP523" s="15"/>
      <c r="CQ523" s="15"/>
      <c r="CR523" s="15"/>
      <c r="CS523" s="15"/>
      <c r="CT523" s="15"/>
      <c r="CU523" s="15"/>
      <c r="CV523" s="15"/>
      <c r="CW523" s="15"/>
      <c r="CX523" s="15"/>
      <c r="CY523" s="15"/>
      <c r="CZ523" s="15"/>
      <c r="DA523" s="15"/>
      <c r="DB523" s="15"/>
      <c r="DC523" s="15"/>
      <c r="DD523" s="15"/>
      <c r="DE523" s="15"/>
      <c r="DF523" s="15"/>
      <c r="DG523" s="15"/>
      <c r="DH523" s="15"/>
    </row>
    <row r="524" spans="2:112" x14ac:dyDescent="0.25">
      <c r="B524" s="8"/>
      <c r="C524" s="8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73"/>
      <c r="S524" s="73"/>
      <c r="T524" s="73"/>
      <c r="U524" s="60"/>
      <c r="V524" s="1"/>
      <c r="W524" s="73"/>
      <c r="X524" s="73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  <c r="CD524" s="15"/>
      <c r="CE524" s="15"/>
      <c r="CF524" s="15"/>
      <c r="CG524" s="15"/>
      <c r="CH524" s="15"/>
      <c r="CI524" s="15"/>
      <c r="CJ524" s="15"/>
      <c r="CK524" s="15"/>
      <c r="CL524" s="15"/>
      <c r="CM524" s="15"/>
      <c r="CN524" s="15"/>
      <c r="CO524" s="15"/>
      <c r="CP524" s="15"/>
      <c r="CQ524" s="15"/>
      <c r="CR524" s="15"/>
      <c r="CS524" s="15"/>
      <c r="CT524" s="15"/>
      <c r="CU524" s="15"/>
      <c r="CV524" s="15"/>
      <c r="CW524" s="15"/>
      <c r="CX524" s="15"/>
      <c r="CY524" s="15"/>
      <c r="CZ524" s="15"/>
      <c r="DA524" s="15"/>
      <c r="DB524" s="15"/>
      <c r="DC524" s="15"/>
      <c r="DD524" s="15"/>
      <c r="DE524" s="15"/>
      <c r="DF524" s="15"/>
      <c r="DG524" s="15"/>
      <c r="DH524" s="15"/>
    </row>
    <row r="525" spans="2:112" x14ac:dyDescent="0.25">
      <c r="B525" s="8"/>
      <c r="C525" s="8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73"/>
      <c r="S525" s="73"/>
      <c r="T525" s="73"/>
      <c r="U525" s="60"/>
      <c r="V525" s="1"/>
      <c r="W525" s="73"/>
      <c r="X525" s="73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  <c r="CD525" s="15"/>
      <c r="CE525" s="15"/>
      <c r="CF525" s="15"/>
      <c r="CG525" s="15"/>
      <c r="CH525" s="15"/>
      <c r="CI525" s="15"/>
      <c r="CJ525" s="15"/>
      <c r="CK525" s="15"/>
      <c r="CL525" s="15"/>
      <c r="CM525" s="15"/>
      <c r="CN525" s="15"/>
      <c r="CO525" s="15"/>
      <c r="CP525" s="15"/>
      <c r="CQ525" s="15"/>
      <c r="CR525" s="15"/>
      <c r="CS525" s="15"/>
      <c r="CT525" s="15"/>
      <c r="CU525" s="15"/>
      <c r="CV525" s="15"/>
      <c r="CW525" s="15"/>
      <c r="CX525" s="15"/>
      <c r="CY525" s="15"/>
      <c r="CZ525" s="15"/>
      <c r="DA525" s="15"/>
      <c r="DB525" s="15"/>
      <c r="DC525" s="15"/>
      <c r="DD525" s="15"/>
      <c r="DE525" s="15"/>
      <c r="DF525" s="15"/>
      <c r="DG525" s="15"/>
      <c r="DH525" s="15"/>
    </row>
    <row r="526" spans="2:112" x14ac:dyDescent="0.25">
      <c r="B526" s="8"/>
      <c r="C526" s="8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73"/>
      <c r="S526" s="73"/>
      <c r="T526" s="73"/>
      <c r="U526" s="60"/>
      <c r="V526" s="1"/>
      <c r="W526" s="73"/>
      <c r="X526" s="73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  <c r="CD526" s="15"/>
      <c r="CE526" s="15"/>
      <c r="CF526" s="15"/>
      <c r="CG526" s="15"/>
      <c r="CH526" s="15"/>
      <c r="CI526" s="15"/>
      <c r="CJ526" s="15"/>
      <c r="CK526" s="15"/>
      <c r="CL526" s="15"/>
      <c r="CM526" s="15"/>
      <c r="CN526" s="15"/>
      <c r="CO526" s="15"/>
      <c r="CP526" s="15"/>
      <c r="CQ526" s="15"/>
      <c r="CR526" s="15"/>
      <c r="CS526" s="15"/>
      <c r="CT526" s="15"/>
      <c r="CU526" s="15"/>
      <c r="CV526" s="15"/>
      <c r="CW526" s="15"/>
      <c r="CX526" s="15"/>
      <c r="CY526" s="15"/>
      <c r="CZ526" s="15"/>
      <c r="DA526" s="15"/>
      <c r="DB526" s="15"/>
      <c r="DC526" s="15"/>
      <c r="DD526" s="15"/>
      <c r="DE526" s="15"/>
      <c r="DF526" s="15"/>
      <c r="DG526" s="15"/>
      <c r="DH526" s="15"/>
    </row>
    <row r="527" spans="2:112" x14ac:dyDescent="0.25">
      <c r="B527" s="8"/>
      <c r="C527" s="8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73"/>
      <c r="S527" s="73"/>
      <c r="T527" s="73"/>
      <c r="U527" s="60"/>
      <c r="V527" s="1"/>
      <c r="W527" s="73"/>
      <c r="X527" s="73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  <c r="CD527" s="15"/>
      <c r="CE527" s="15"/>
      <c r="CF527" s="15"/>
      <c r="CG527" s="15"/>
      <c r="CH527" s="15"/>
      <c r="CI527" s="15"/>
      <c r="CJ527" s="15"/>
      <c r="CK527" s="15"/>
      <c r="CL527" s="15"/>
      <c r="CM527" s="15"/>
      <c r="CN527" s="15"/>
      <c r="CO527" s="15"/>
      <c r="CP527" s="15"/>
      <c r="CQ527" s="15"/>
      <c r="CR527" s="15"/>
      <c r="CS527" s="15"/>
      <c r="CT527" s="15"/>
      <c r="CU527" s="15"/>
      <c r="CV527" s="15"/>
      <c r="CW527" s="15"/>
      <c r="CX527" s="15"/>
      <c r="CY527" s="15"/>
      <c r="CZ527" s="15"/>
      <c r="DA527" s="15"/>
      <c r="DB527" s="15"/>
      <c r="DC527" s="15"/>
      <c r="DD527" s="15"/>
      <c r="DE527" s="15"/>
      <c r="DF527" s="15"/>
      <c r="DG527" s="15"/>
      <c r="DH527" s="15"/>
    </row>
    <row r="528" spans="2:112" x14ac:dyDescent="0.25">
      <c r="B528" s="8"/>
      <c r="C528" s="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73"/>
      <c r="S528" s="73"/>
      <c r="T528" s="73"/>
      <c r="U528" s="60"/>
      <c r="V528" s="1"/>
      <c r="W528" s="73"/>
      <c r="X528" s="73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5"/>
      <c r="BY528" s="15"/>
      <c r="BZ528" s="15"/>
      <c r="CA528" s="15"/>
      <c r="CB528" s="15"/>
      <c r="CC528" s="15"/>
      <c r="CD528" s="15"/>
      <c r="CE528" s="15"/>
      <c r="CF528" s="15"/>
      <c r="CG528" s="15"/>
      <c r="CH528" s="15"/>
      <c r="CI528" s="15"/>
      <c r="CJ528" s="15"/>
      <c r="CK528" s="15"/>
      <c r="CL528" s="15"/>
      <c r="CM528" s="15"/>
      <c r="CN528" s="15"/>
      <c r="CO528" s="15"/>
      <c r="CP528" s="15"/>
      <c r="CQ528" s="15"/>
      <c r="CR528" s="15"/>
      <c r="CS528" s="15"/>
      <c r="CT528" s="15"/>
      <c r="CU528" s="15"/>
      <c r="CV528" s="15"/>
      <c r="CW528" s="15"/>
      <c r="CX528" s="15"/>
      <c r="CY528" s="15"/>
      <c r="CZ528" s="15"/>
      <c r="DA528" s="15"/>
      <c r="DB528" s="15"/>
      <c r="DC528" s="15"/>
      <c r="DD528" s="15"/>
      <c r="DE528" s="15"/>
      <c r="DF528" s="15"/>
      <c r="DG528" s="15"/>
      <c r="DH528" s="15"/>
    </row>
    <row r="529" spans="2:112" x14ac:dyDescent="0.25">
      <c r="B529" s="8"/>
      <c r="C529" s="8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73"/>
      <c r="S529" s="73"/>
      <c r="T529" s="73"/>
      <c r="U529" s="60"/>
      <c r="V529" s="1"/>
      <c r="W529" s="73"/>
      <c r="X529" s="73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5"/>
      <c r="BY529" s="15"/>
      <c r="BZ529" s="15"/>
      <c r="CA529" s="15"/>
      <c r="CB529" s="15"/>
      <c r="CC529" s="15"/>
      <c r="CD529" s="15"/>
      <c r="CE529" s="15"/>
      <c r="CF529" s="15"/>
      <c r="CG529" s="15"/>
      <c r="CH529" s="15"/>
      <c r="CI529" s="15"/>
      <c r="CJ529" s="15"/>
      <c r="CK529" s="15"/>
      <c r="CL529" s="15"/>
      <c r="CM529" s="15"/>
      <c r="CN529" s="15"/>
      <c r="CO529" s="15"/>
      <c r="CP529" s="15"/>
      <c r="CQ529" s="15"/>
      <c r="CR529" s="15"/>
      <c r="CS529" s="15"/>
      <c r="CT529" s="15"/>
      <c r="CU529" s="15"/>
      <c r="CV529" s="15"/>
      <c r="CW529" s="15"/>
      <c r="CX529" s="15"/>
      <c r="CY529" s="15"/>
      <c r="CZ529" s="15"/>
      <c r="DA529" s="15"/>
      <c r="DB529" s="15"/>
      <c r="DC529" s="15"/>
      <c r="DD529" s="15"/>
      <c r="DE529" s="15"/>
      <c r="DF529" s="15"/>
      <c r="DG529" s="15"/>
      <c r="DH529" s="15"/>
    </row>
    <row r="530" spans="2:112" x14ac:dyDescent="0.25">
      <c r="B530" s="8"/>
      <c r="C530" s="8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73"/>
      <c r="S530" s="73"/>
      <c r="T530" s="73"/>
      <c r="U530" s="60"/>
      <c r="V530" s="1"/>
      <c r="W530" s="73"/>
      <c r="X530" s="73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5"/>
      <c r="BY530" s="15"/>
      <c r="BZ530" s="15"/>
      <c r="CA530" s="15"/>
      <c r="CB530" s="15"/>
      <c r="CC530" s="15"/>
      <c r="CD530" s="15"/>
      <c r="CE530" s="15"/>
      <c r="CF530" s="15"/>
      <c r="CG530" s="15"/>
      <c r="CH530" s="15"/>
      <c r="CI530" s="15"/>
      <c r="CJ530" s="15"/>
      <c r="CK530" s="15"/>
      <c r="CL530" s="15"/>
      <c r="CM530" s="15"/>
      <c r="CN530" s="15"/>
      <c r="CO530" s="15"/>
      <c r="CP530" s="15"/>
      <c r="CQ530" s="15"/>
      <c r="CR530" s="15"/>
      <c r="CS530" s="15"/>
      <c r="CT530" s="15"/>
      <c r="CU530" s="15"/>
      <c r="CV530" s="15"/>
      <c r="CW530" s="15"/>
      <c r="CX530" s="15"/>
      <c r="CY530" s="15"/>
      <c r="CZ530" s="15"/>
      <c r="DA530" s="15"/>
      <c r="DB530" s="15"/>
      <c r="DC530" s="15"/>
      <c r="DD530" s="15"/>
      <c r="DE530" s="15"/>
      <c r="DF530" s="15"/>
      <c r="DG530" s="15"/>
      <c r="DH530" s="15"/>
    </row>
    <row r="531" spans="2:112" x14ac:dyDescent="0.25">
      <c r="B531" s="8"/>
      <c r="C531" s="8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73"/>
      <c r="S531" s="73"/>
      <c r="T531" s="73"/>
      <c r="U531" s="60"/>
      <c r="V531" s="1"/>
      <c r="W531" s="73"/>
      <c r="X531" s="73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5"/>
      <c r="BY531" s="15"/>
      <c r="BZ531" s="15"/>
      <c r="CA531" s="15"/>
      <c r="CB531" s="15"/>
      <c r="CC531" s="15"/>
      <c r="CD531" s="15"/>
      <c r="CE531" s="15"/>
      <c r="CF531" s="15"/>
      <c r="CG531" s="15"/>
      <c r="CH531" s="15"/>
      <c r="CI531" s="15"/>
      <c r="CJ531" s="15"/>
      <c r="CK531" s="15"/>
      <c r="CL531" s="15"/>
      <c r="CM531" s="15"/>
      <c r="CN531" s="15"/>
      <c r="CO531" s="15"/>
      <c r="CP531" s="15"/>
      <c r="CQ531" s="15"/>
      <c r="CR531" s="15"/>
      <c r="CS531" s="15"/>
      <c r="CT531" s="15"/>
      <c r="CU531" s="15"/>
      <c r="CV531" s="15"/>
      <c r="CW531" s="15"/>
      <c r="CX531" s="15"/>
      <c r="CY531" s="15"/>
      <c r="CZ531" s="15"/>
      <c r="DA531" s="15"/>
      <c r="DB531" s="15"/>
      <c r="DC531" s="15"/>
      <c r="DD531" s="15"/>
      <c r="DE531" s="15"/>
      <c r="DF531" s="15"/>
      <c r="DG531" s="15"/>
      <c r="DH531" s="15"/>
    </row>
    <row r="532" spans="2:112" x14ac:dyDescent="0.25">
      <c r="B532" s="8"/>
      <c r="C532" s="8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73"/>
      <c r="S532" s="73"/>
      <c r="T532" s="73"/>
      <c r="U532" s="60"/>
      <c r="V532" s="1"/>
      <c r="W532" s="73"/>
      <c r="X532" s="73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5"/>
      <c r="BY532" s="15"/>
      <c r="BZ532" s="15"/>
      <c r="CA532" s="15"/>
      <c r="CB532" s="15"/>
      <c r="CC532" s="15"/>
      <c r="CD532" s="15"/>
      <c r="CE532" s="15"/>
      <c r="CF532" s="15"/>
      <c r="CG532" s="15"/>
      <c r="CH532" s="15"/>
      <c r="CI532" s="15"/>
      <c r="CJ532" s="15"/>
      <c r="CK532" s="15"/>
      <c r="CL532" s="15"/>
      <c r="CM532" s="15"/>
      <c r="CN532" s="15"/>
      <c r="CO532" s="15"/>
      <c r="CP532" s="15"/>
      <c r="CQ532" s="15"/>
      <c r="CR532" s="15"/>
      <c r="CS532" s="15"/>
      <c r="CT532" s="15"/>
      <c r="CU532" s="15"/>
      <c r="CV532" s="15"/>
      <c r="CW532" s="15"/>
      <c r="CX532" s="15"/>
      <c r="CY532" s="15"/>
      <c r="CZ532" s="15"/>
      <c r="DA532" s="15"/>
      <c r="DB532" s="15"/>
      <c r="DC532" s="15"/>
      <c r="DD532" s="15"/>
      <c r="DE532" s="15"/>
      <c r="DF532" s="15"/>
      <c r="DG532" s="15"/>
      <c r="DH532" s="15"/>
    </row>
    <row r="533" spans="2:112" x14ac:dyDescent="0.25">
      <c r="B533" s="8"/>
      <c r="C533" s="8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73"/>
      <c r="S533" s="73"/>
      <c r="T533" s="73"/>
      <c r="U533" s="60"/>
      <c r="V533" s="1"/>
      <c r="W533" s="73"/>
      <c r="X533" s="73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  <c r="BX533" s="15"/>
      <c r="BY533" s="15"/>
      <c r="BZ533" s="15"/>
      <c r="CA533" s="15"/>
      <c r="CB533" s="15"/>
      <c r="CC533" s="15"/>
      <c r="CD533" s="15"/>
      <c r="CE533" s="15"/>
      <c r="CF533" s="15"/>
      <c r="CG533" s="15"/>
      <c r="CH533" s="15"/>
      <c r="CI533" s="15"/>
      <c r="CJ533" s="15"/>
      <c r="CK533" s="15"/>
      <c r="CL533" s="15"/>
      <c r="CM533" s="15"/>
      <c r="CN533" s="15"/>
      <c r="CO533" s="15"/>
      <c r="CP533" s="15"/>
      <c r="CQ533" s="15"/>
      <c r="CR533" s="15"/>
      <c r="CS533" s="15"/>
      <c r="CT533" s="15"/>
      <c r="CU533" s="15"/>
      <c r="CV533" s="15"/>
      <c r="CW533" s="15"/>
      <c r="CX533" s="15"/>
      <c r="CY533" s="15"/>
      <c r="CZ533" s="15"/>
      <c r="DA533" s="15"/>
      <c r="DB533" s="15"/>
      <c r="DC533" s="15"/>
      <c r="DD533" s="15"/>
      <c r="DE533" s="15"/>
      <c r="DF533" s="15"/>
      <c r="DG533" s="15"/>
      <c r="DH533" s="15"/>
    </row>
    <row r="534" spans="2:112" x14ac:dyDescent="0.25">
      <c r="B534" s="8"/>
      <c r="C534" s="8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73"/>
      <c r="S534" s="73"/>
      <c r="T534" s="73"/>
      <c r="U534" s="60"/>
      <c r="V534" s="1"/>
      <c r="W534" s="73"/>
      <c r="X534" s="73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  <c r="BX534" s="15"/>
      <c r="BY534" s="15"/>
      <c r="BZ534" s="15"/>
      <c r="CA534" s="15"/>
      <c r="CB534" s="15"/>
      <c r="CC534" s="15"/>
      <c r="CD534" s="15"/>
      <c r="CE534" s="15"/>
      <c r="CF534" s="15"/>
      <c r="CG534" s="15"/>
      <c r="CH534" s="15"/>
      <c r="CI534" s="15"/>
      <c r="CJ534" s="15"/>
      <c r="CK534" s="15"/>
      <c r="CL534" s="15"/>
      <c r="CM534" s="15"/>
      <c r="CN534" s="15"/>
      <c r="CO534" s="15"/>
      <c r="CP534" s="15"/>
      <c r="CQ534" s="15"/>
      <c r="CR534" s="15"/>
      <c r="CS534" s="15"/>
      <c r="CT534" s="15"/>
      <c r="CU534" s="15"/>
      <c r="CV534" s="15"/>
      <c r="CW534" s="15"/>
      <c r="CX534" s="15"/>
      <c r="CY534" s="15"/>
      <c r="CZ534" s="15"/>
      <c r="DA534" s="15"/>
      <c r="DB534" s="15"/>
      <c r="DC534" s="15"/>
      <c r="DD534" s="15"/>
      <c r="DE534" s="15"/>
      <c r="DF534" s="15"/>
      <c r="DG534" s="15"/>
      <c r="DH534" s="15"/>
    </row>
    <row r="535" spans="2:112" x14ac:dyDescent="0.25">
      <c r="B535" s="8"/>
      <c r="C535" s="8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73"/>
      <c r="S535" s="73"/>
      <c r="T535" s="73"/>
      <c r="U535" s="60"/>
      <c r="V535" s="1"/>
      <c r="W535" s="73"/>
      <c r="X535" s="73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  <c r="BX535" s="15"/>
      <c r="BY535" s="15"/>
      <c r="BZ535" s="15"/>
      <c r="CA535" s="15"/>
      <c r="CB535" s="15"/>
      <c r="CC535" s="15"/>
      <c r="CD535" s="15"/>
      <c r="CE535" s="15"/>
      <c r="CF535" s="15"/>
      <c r="CG535" s="15"/>
      <c r="CH535" s="15"/>
      <c r="CI535" s="15"/>
      <c r="CJ535" s="15"/>
      <c r="CK535" s="15"/>
      <c r="CL535" s="15"/>
      <c r="CM535" s="15"/>
      <c r="CN535" s="15"/>
      <c r="CO535" s="15"/>
      <c r="CP535" s="15"/>
      <c r="CQ535" s="15"/>
      <c r="CR535" s="15"/>
      <c r="CS535" s="15"/>
      <c r="CT535" s="15"/>
      <c r="CU535" s="15"/>
      <c r="CV535" s="15"/>
      <c r="CW535" s="15"/>
      <c r="CX535" s="15"/>
      <c r="CY535" s="15"/>
      <c r="CZ535" s="15"/>
      <c r="DA535" s="15"/>
      <c r="DB535" s="15"/>
      <c r="DC535" s="15"/>
      <c r="DD535" s="15"/>
      <c r="DE535" s="15"/>
      <c r="DF535" s="15"/>
      <c r="DG535" s="15"/>
      <c r="DH535" s="15"/>
    </row>
    <row r="536" spans="2:112" x14ac:dyDescent="0.25">
      <c r="B536" s="8"/>
      <c r="C536" s="8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73"/>
      <c r="S536" s="73"/>
      <c r="T536" s="73"/>
      <c r="U536" s="60"/>
      <c r="V536" s="1"/>
      <c r="W536" s="73"/>
      <c r="X536" s="73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  <c r="BX536" s="15"/>
      <c r="BY536" s="15"/>
      <c r="BZ536" s="15"/>
      <c r="CA536" s="15"/>
      <c r="CB536" s="15"/>
      <c r="CC536" s="15"/>
      <c r="CD536" s="15"/>
      <c r="CE536" s="15"/>
      <c r="CF536" s="15"/>
      <c r="CG536" s="15"/>
      <c r="CH536" s="15"/>
      <c r="CI536" s="15"/>
      <c r="CJ536" s="15"/>
      <c r="CK536" s="15"/>
      <c r="CL536" s="15"/>
      <c r="CM536" s="15"/>
      <c r="CN536" s="15"/>
      <c r="CO536" s="15"/>
      <c r="CP536" s="15"/>
      <c r="CQ536" s="15"/>
      <c r="CR536" s="15"/>
      <c r="CS536" s="15"/>
      <c r="CT536" s="15"/>
      <c r="CU536" s="15"/>
      <c r="CV536" s="15"/>
      <c r="CW536" s="15"/>
      <c r="CX536" s="15"/>
      <c r="CY536" s="15"/>
      <c r="CZ536" s="15"/>
      <c r="DA536" s="15"/>
      <c r="DB536" s="15"/>
      <c r="DC536" s="15"/>
      <c r="DD536" s="15"/>
      <c r="DE536" s="15"/>
      <c r="DF536" s="15"/>
      <c r="DG536" s="15"/>
      <c r="DH536" s="15"/>
    </row>
    <row r="537" spans="2:112" x14ac:dyDescent="0.25">
      <c r="B537" s="8"/>
      <c r="C537" s="8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73"/>
      <c r="S537" s="73"/>
      <c r="T537" s="73"/>
      <c r="U537" s="60"/>
      <c r="V537" s="1"/>
      <c r="W537" s="73"/>
      <c r="X537" s="73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  <c r="BX537" s="15"/>
      <c r="BY537" s="15"/>
      <c r="BZ537" s="15"/>
      <c r="CA537" s="15"/>
      <c r="CB537" s="15"/>
      <c r="CC537" s="15"/>
      <c r="CD537" s="15"/>
      <c r="CE537" s="15"/>
      <c r="CF537" s="15"/>
      <c r="CG537" s="15"/>
      <c r="CH537" s="15"/>
      <c r="CI537" s="15"/>
      <c r="CJ537" s="15"/>
      <c r="CK537" s="15"/>
      <c r="CL537" s="15"/>
      <c r="CM537" s="15"/>
      <c r="CN537" s="15"/>
      <c r="CO537" s="15"/>
      <c r="CP537" s="15"/>
      <c r="CQ537" s="15"/>
      <c r="CR537" s="15"/>
      <c r="CS537" s="15"/>
      <c r="CT537" s="15"/>
      <c r="CU537" s="15"/>
      <c r="CV537" s="15"/>
      <c r="CW537" s="15"/>
      <c r="CX537" s="15"/>
      <c r="CY537" s="15"/>
      <c r="CZ537" s="15"/>
      <c r="DA537" s="15"/>
      <c r="DB537" s="15"/>
      <c r="DC537" s="15"/>
      <c r="DD537" s="15"/>
      <c r="DE537" s="15"/>
      <c r="DF537" s="15"/>
      <c r="DG537" s="15"/>
      <c r="DH537" s="15"/>
    </row>
    <row r="538" spans="2:112" x14ac:dyDescent="0.25">
      <c r="B538" s="8"/>
      <c r="C538" s="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73"/>
      <c r="S538" s="73"/>
      <c r="T538" s="73"/>
      <c r="U538" s="60"/>
      <c r="V538" s="1"/>
      <c r="W538" s="73"/>
      <c r="X538" s="73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  <c r="BX538" s="15"/>
      <c r="BY538" s="15"/>
      <c r="BZ538" s="15"/>
      <c r="CA538" s="15"/>
      <c r="CB538" s="15"/>
      <c r="CC538" s="15"/>
      <c r="CD538" s="15"/>
      <c r="CE538" s="15"/>
      <c r="CF538" s="15"/>
      <c r="CG538" s="15"/>
      <c r="CH538" s="15"/>
      <c r="CI538" s="15"/>
      <c r="CJ538" s="15"/>
      <c r="CK538" s="15"/>
      <c r="CL538" s="15"/>
      <c r="CM538" s="15"/>
      <c r="CN538" s="15"/>
      <c r="CO538" s="15"/>
      <c r="CP538" s="15"/>
      <c r="CQ538" s="15"/>
      <c r="CR538" s="15"/>
      <c r="CS538" s="15"/>
      <c r="CT538" s="15"/>
      <c r="CU538" s="15"/>
      <c r="CV538" s="15"/>
      <c r="CW538" s="15"/>
      <c r="CX538" s="15"/>
      <c r="CY538" s="15"/>
      <c r="CZ538" s="15"/>
      <c r="DA538" s="15"/>
      <c r="DB538" s="15"/>
      <c r="DC538" s="15"/>
      <c r="DD538" s="15"/>
      <c r="DE538" s="15"/>
      <c r="DF538" s="15"/>
      <c r="DG538" s="15"/>
      <c r="DH538" s="15"/>
    </row>
    <row r="539" spans="2:112" x14ac:dyDescent="0.25">
      <c r="B539" s="8"/>
      <c r="C539" s="8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73"/>
      <c r="S539" s="73"/>
      <c r="T539" s="73"/>
      <c r="U539" s="60"/>
      <c r="V539" s="1"/>
      <c r="W539" s="73"/>
      <c r="X539" s="73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  <c r="BX539" s="15"/>
      <c r="BY539" s="15"/>
      <c r="BZ539" s="15"/>
      <c r="CA539" s="15"/>
      <c r="CB539" s="15"/>
      <c r="CC539" s="15"/>
      <c r="CD539" s="15"/>
      <c r="CE539" s="15"/>
      <c r="CF539" s="15"/>
      <c r="CG539" s="15"/>
      <c r="CH539" s="15"/>
      <c r="CI539" s="15"/>
      <c r="CJ539" s="15"/>
      <c r="CK539" s="15"/>
      <c r="CL539" s="15"/>
      <c r="CM539" s="15"/>
      <c r="CN539" s="15"/>
      <c r="CO539" s="15"/>
      <c r="CP539" s="15"/>
      <c r="CQ539" s="15"/>
      <c r="CR539" s="15"/>
      <c r="CS539" s="15"/>
      <c r="CT539" s="15"/>
      <c r="CU539" s="15"/>
      <c r="CV539" s="15"/>
      <c r="CW539" s="15"/>
      <c r="CX539" s="15"/>
      <c r="CY539" s="15"/>
      <c r="CZ539" s="15"/>
      <c r="DA539" s="15"/>
      <c r="DB539" s="15"/>
      <c r="DC539" s="15"/>
      <c r="DD539" s="15"/>
      <c r="DE539" s="15"/>
      <c r="DF539" s="15"/>
      <c r="DG539" s="15"/>
      <c r="DH539" s="15"/>
    </row>
    <row r="540" spans="2:112" x14ac:dyDescent="0.25">
      <c r="B540" s="8"/>
      <c r="C540" s="8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73"/>
      <c r="S540" s="73"/>
      <c r="T540" s="73"/>
      <c r="U540" s="60"/>
      <c r="V540" s="1"/>
      <c r="W540" s="73"/>
      <c r="X540" s="73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  <c r="BX540" s="15"/>
      <c r="BY540" s="15"/>
      <c r="BZ540" s="15"/>
      <c r="CA540" s="15"/>
      <c r="CB540" s="15"/>
      <c r="CC540" s="15"/>
      <c r="CD540" s="15"/>
      <c r="CE540" s="15"/>
      <c r="CF540" s="15"/>
      <c r="CG540" s="15"/>
      <c r="CH540" s="15"/>
      <c r="CI540" s="15"/>
      <c r="CJ540" s="15"/>
      <c r="CK540" s="15"/>
      <c r="CL540" s="15"/>
      <c r="CM540" s="15"/>
      <c r="CN540" s="15"/>
      <c r="CO540" s="15"/>
      <c r="CP540" s="15"/>
      <c r="CQ540" s="15"/>
      <c r="CR540" s="15"/>
      <c r="CS540" s="15"/>
      <c r="CT540" s="15"/>
      <c r="CU540" s="15"/>
      <c r="CV540" s="15"/>
      <c r="CW540" s="15"/>
      <c r="CX540" s="15"/>
      <c r="CY540" s="15"/>
      <c r="CZ540" s="15"/>
      <c r="DA540" s="15"/>
      <c r="DB540" s="15"/>
      <c r="DC540" s="15"/>
      <c r="DD540" s="15"/>
      <c r="DE540" s="15"/>
      <c r="DF540" s="15"/>
      <c r="DG540" s="15"/>
      <c r="DH540" s="15"/>
    </row>
    <row r="541" spans="2:112" x14ac:dyDescent="0.25">
      <c r="B541" s="8"/>
      <c r="C541" s="8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73"/>
      <c r="S541" s="73"/>
      <c r="T541" s="73"/>
      <c r="U541" s="60"/>
      <c r="V541" s="1"/>
      <c r="W541" s="73"/>
      <c r="X541" s="73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  <c r="BX541" s="15"/>
      <c r="BY541" s="15"/>
      <c r="BZ541" s="15"/>
      <c r="CA541" s="15"/>
      <c r="CB541" s="15"/>
      <c r="CC541" s="15"/>
      <c r="CD541" s="15"/>
      <c r="CE541" s="15"/>
      <c r="CF541" s="15"/>
      <c r="CG541" s="15"/>
      <c r="CH541" s="15"/>
      <c r="CI541" s="15"/>
      <c r="CJ541" s="15"/>
      <c r="CK541" s="15"/>
      <c r="CL541" s="15"/>
      <c r="CM541" s="15"/>
      <c r="CN541" s="15"/>
      <c r="CO541" s="15"/>
      <c r="CP541" s="15"/>
      <c r="CQ541" s="15"/>
      <c r="CR541" s="15"/>
      <c r="CS541" s="15"/>
      <c r="CT541" s="15"/>
      <c r="CU541" s="15"/>
      <c r="CV541" s="15"/>
      <c r="CW541" s="15"/>
      <c r="CX541" s="15"/>
      <c r="CY541" s="15"/>
      <c r="CZ541" s="15"/>
      <c r="DA541" s="15"/>
      <c r="DB541" s="15"/>
      <c r="DC541" s="15"/>
      <c r="DD541" s="15"/>
      <c r="DE541" s="15"/>
      <c r="DF541" s="15"/>
      <c r="DG541" s="15"/>
      <c r="DH541" s="15"/>
    </row>
    <row r="542" spans="2:112" x14ac:dyDescent="0.25">
      <c r="B542" s="8"/>
      <c r="C542" s="8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73"/>
      <c r="S542" s="73"/>
      <c r="T542" s="73"/>
      <c r="U542" s="60"/>
      <c r="V542" s="1"/>
      <c r="W542" s="73"/>
      <c r="X542" s="73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  <c r="BX542" s="15"/>
      <c r="BY542" s="15"/>
      <c r="BZ542" s="15"/>
      <c r="CA542" s="15"/>
      <c r="CB542" s="15"/>
      <c r="CC542" s="15"/>
      <c r="CD542" s="15"/>
      <c r="CE542" s="15"/>
      <c r="CF542" s="15"/>
      <c r="CG542" s="15"/>
      <c r="CH542" s="15"/>
      <c r="CI542" s="15"/>
      <c r="CJ542" s="15"/>
      <c r="CK542" s="15"/>
      <c r="CL542" s="15"/>
      <c r="CM542" s="15"/>
      <c r="CN542" s="15"/>
      <c r="CO542" s="15"/>
      <c r="CP542" s="15"/>
      <c r="CQ542" s="15"/>
      <c r="CR542" s="15"/>
      <c r="CS542" s="15"/>
      <c r="CT542" s="15"/>
      <c r="CU542" s="15"/>
      <c r="CV542" s="15"/>
      <c r="CW542" s="15"/>
      <c r="CX542" s="15"/>
      <c r="CY542" s="15"/>
      <c r="CZ542" s="15"/>
      <c r="DA542" s="15"/>
      <c r="DB542" s="15"/>
      <c r="DC542" s="15"/>
      <c r="DD542" s="15"/>
      <c r="DE542" s="15"/>
      <c r="DF542" s="15"/>
      <c r="DG542" s="15"/>
      <c r="DH542" s="15"/>
    </row>
    <row r="543" spans="2:112" x14ac:dyDescent="0.25">
      <c r="B543" s="8"/>
      <c r="C543" s="8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73"/>
      <c r="S543" s="73"/>
      <c r="T543" s="73"/>
      <c r="U543" s="60"/>
      <c r="V543" s="1"/>
      <c r="W543" s="73"/>
      <c r="X543" s="73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  <c r="BX543" s="15"/>
      <c r="BY543" s="15"/>
      <c r="BZ543" s="15"/>
      <c r="CA543" s="15"/>
      <c r="CB543" s="15"/>
      <c r="CC543" s="15"/>
      <c r="CD543" s="15"/>
      <c r="CE543" s="15"/>
      <c r="CF543" s="15"/>
      <c r="CG543" s="15"/>
      <c r="CH543" s="15"/>
      <c r="CI543" s="15"/>
      <c r="CJ543" s="15"/>
      <c r="CK543" s="15"/>
      <c r="CL543" s="15"/>
      <c r="CM543" s="15"/>
      <c r="CN543" s="15"/>
      <c r="CO543" s="15"/>
      <c r="CP543" s="15"/>
      <c r="CQ543" s="15"/>
      <c r="CR543" s="15"/>
      <c r="CS543" s="15"/>
      <c r="CT543" s="15"/>
      <c r="CU543" s="15"/>
      <c r="CV543" s="15"/>
      <c r="CW543" s="15"/>
      <c r="CX543" s="15"/>
      <c r="CY543" s="15"/>
      <c r="CZ543" s="15"/>
      <c r="DA543" s="15"/>
      <c r="DB543" s="15"/>
      <c r="DC543" s="15"/>
      <c r="DD543" s="15"/>
      <c r="DE543" s="15"/>
      <c r="DF543" s="15"/>
      <c r="DG543" s="15"/>
      <c r="DH543" s="15"/>
    </row>
    <row r="544" spans="2:112" x14ac:dyDescent="0.25">
      <c r="B544" s="8"/>
      <c r="C544" s="8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73"/>
      <c r="S544" s="73"/>
      <c r="T544" s="73"/>
      <c r="U544" s="60"/>
      <c r="V544" s="1"/>
      <c r="W544" s="73"/>
      <c r="X544" s="73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  <c r="CI544" s="15"/>
      <c r="CJ544" s="15"/>
      <c r="CK544" s="15"/>
      <c r="CL544" s="15"/>
      <c r="CM544" s="15"/>
      <c r="CN544" s="15"/>
      <c r="CO544" s="15"/>
      <c r="CP544" s="15"/>
      <c r="CQ544" s="15"/>
      <c r="CR544" s="15"/>
      <c r="CS544" s="15"/>
      <c r="CT544" s="15"/>
      <c r="CU544" s="15"/>
      <c r="CV544" s="15"/>
      <c r="CW544" s="15"/>
      <c r="CX544" s="15"/>
      <c r="CY544" s="15"/>
      <c r="CZ544" s="15"/>
      <c r="DA544" s="15"/>
      <c r="DB544" s="15"/>
      <c r="DC544" s="15"/>
      <c r="DD544" s="15"/>
      <c r="DE544" s="15"/>
      <c r="DF544" s="15"/>
      <c r="DG544" s="15"/>
      <c r="DH544" s="15"/>
    </row>
    <row r="545" spans="2:112" x14ac:dyDescent="0.25">
      <c r="B545" s="8"/>
      <c r="C545" s="8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73"/>
      <c r="S545" s="73"/>
      <c r="T545" s="73"/>
      <c r="U545" s="60"/>
      <c r="V545" s="1"/>
      <c r="W545" s="73"/>
      <c r="X545" s="73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  <c r="BX545" s="15"/>
      <c r="BY545" s="15"/>
      <c r="BZ545" s="15"/>
      <c r="CA545" s="15"/>
      <c r="CB545" s="15"/>
      <c r="CC545" s="15"/>
      <c r="CD545" s="15"/>
      <c r="CE545" s="15"/>
      <c r="CF545" s="15"/>
      <c r="CG545" s="15"/>
      <c r="CH545" s="15"/>
      <c r="CI545" s="15"/>
      <c r="CJ545" s="15"/>
      <c r="CK545" s="15"/>
      <c r="CL545" s="15"/>
      <c r="CM545" s="15"/>
      <c r="CN545" s="15"/>
      <c r="CO545" s="15"/>
      <c r="CP545" s="15"/>
      <c r="CQ545" s="15"/>
      <c r="CR545" s="15"/>
      <c r="CS545" s="15"/>
      <c r="CT545" s="15"/>
      <c r="CU545" s="15"/>
      <c r="CV545" s="15"/>
      <c r="CW545" s="15"/>
      <c r="CX545" s="15"/>
      <c r="CY545" s="15"/>
      <c r="CZ545" s="15"/>
      <c r="DA545" s="15"/>
      <c r="DB545" s="15"/>
      <c r="DC545" s="15"/>
      <c r="DD545" s="15"/>
      <c r="DE545" s="15"/>
      <c r="DF545" s="15"/>
      <c r="DG545" s="15"/>
      <c r="DH545" s="15"/>
    </row>
  </sheetData>
  <mergeCells count="3">
    <mergeCell ref="AA39:AA40"/>
    <mergeCell ref="B1:X1"/>
    <mergeCell ref="B2:X2"/>
  </mergeCells>
  <printOptions horizontalCentered="1"/>
  <pageMargins left="0.25" right="0.25" top="0.5" bottom="0.5" header="0.3" footer="0.3"/>
  <pageSetup scale="62" fitToWidth="2" orientation="landscape" horizontalDpi="1200" verticalDpi="1200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2013</vt:lpstr>
      <vt:lpstr>'2013'!Print_Area</vt:lpstr>
      <vt:lpstr>'2013'!Print_Titles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2017-02-20T16:36:48Z</dcterms:created>
  <dcterms:modified xsi:type="dcterms:W3CDTF">2017-02-20T16:36:55Z</dcterms:modified>
</cp:coreProperties>
</file>