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56595" windowHeight="11955" activeTab="1"/>
  </bookViews>
  <sheets>
    <sheet name="Daniel" sheetId="1" r:id="rId1"/>
    <sheet name="Daniel Import (to Gulf Study)" sheetId="2" r:id="rId2"/>
    <sheet name="Ownership %" sheetId="3" r:id="rId3"/>
    <sheet name="Durations" sheetId="4" r:id="rId4"/>
    <sheet name="Daniel Scrubber 15 08 11" sheetId="5" r:id="rId5"/>
    <sheet name="Sheet1" sheetId="6" r:id="rId6"/>
    <sheet name="Scrap Values" sheetId="7" r:id="rId7"/>
  </sheets>
  <externalReferences>
    <externalReference r:id="rId8"/>
  </externalReferences>
  <definedNames>
    <definedName name="_xlnm._FilterDatabase" localSheetId="1" hidden="1">'Daniel Import (to Gulf Study)'!$A$2:$AC$98</definedName>
    <definedName name="DATA" localSheetId="1">#REF!</definedName>
    <definedName name="DATA">#REF!</definedName>
    <definedName name="_xlnm.Print_Area" localSheetId="0">Daniel!$A$1:$DH$77</definedName>
    <definedName name="_xlnm.Print_Area" localSheetId="4">'Daniel Scrubber 15 08 11'!$A$1:$AT$23</definedName>
    <definedName name="_xlnm.Print_Titles" localSheetId="0">Daniel!$A:$B</definedName>
    <definedName name="_xlnm.Print_Titles" localSheetId="4">'Daniel Scrubber 15 08 11'!$A:$B</definedName>
  </definedNames>
  <calcPr calcId="145621" iterate="1"/>
</workbook>
</file>

<file path=xl/calcChain.xml><?xml version="1.0" encoding="utf-8"?>
<calcChain xmlns="http://schemas.openxmlformats.org/spreadsheetml/2006/main">
  <c r="I79" i="2" l="1"/>
  <c r="I78" i="2"/>
  <c r="I77" i="2"/>
  <c r="I76" i="2"/>
  <c r="I75" i="2"/>
  <c r="I74" i="2"/>
  <c r="I73" i="2"/>
  <c r="I72" i="2"/>
  <c r="I71" i="2"/>
  <c r="F19" i="2" l="1"/>
  <c r="F18" i="2"/>
  <c r="F17" i="2"/>
  <c r="H19" i="2"/>
  <c r="H18" i="2"/>
  <c r="H17" i="2"/>
  <c r="M18" i="2"/>
  <c r="M19" i="2"/>
  <c r="M17" i="2"/>
  <c r="W97" i="2" l="1"/>
  <c r="W82" i="2"/>
  <c r="W68" i="2"/>
  <c r="W58" i="2"/>
  <c r="W12" i="2"/>
  <c r="O12" i="2"/>
  <c r="N12" i="2"/>
  <c r="W4" i="2"/>
  <c r="I95" i="2"/>
  <c r="I80" i="2"/>
  <c r="I56" i="2"/>
  <c r="I55" i="2"/>
  <c r="I27" i="2"/>
  <c r="I26" i="2"/>
  <c r="I25" i="2"/>
  <c r="I24" i="2"/>
  <c r="I23" i="2"/>
  <c r="I20" i="2"/>
  <c r="I16" i="2"/>
  <c r="AF64" i="2" l="1"/>
  <c r="AF63" i="2"/>
  <c r="AF62" i="2"/>
  <c r="AF61" i="2"/>
  <c r="AF60" i="2"/>
  <c r="AF59" i="2"/>
  <c r="W96" i="2"/>
  <c r="O8" i="2" l="1"/>
  <c r="O9" i="2"/>
  <c r="O10" i="2"/>
  <c r="O11" i="2"/>
  <c r="O13" i="2"/>
  <c r="O14" i="2"/>
  <c r="O15" i="2"/>
  <c r="N19" i="2"/>
  <c r="N18" i="2"/>
  <c r="N17" i="2"/>
  <c r="N8" i="2"/>
  <c r="N9" i="2"/>
  <c r="N10" i="2"/>
  <c r="N11" i="2"/>
  <c r="N54" i="2"/>
  <c r="N13" i="2"/>
  <c r="N14" i="2"/>
  <c r="N15" i="2"/>
  <c r="I19" i="2" l="1"/>
  <c r="O19" i="2" s="1"/>
  <c r="E51" i="1" l="1"/>
  <c r="E58" i="1"/>
  <c r="E57" i="1"/>
  <c r="E49" i="1"/>
  <c r="E46" i="1"/>
  <c r="E44" i="1"/>
  <c r="E43" i="1"/>
  <c r="E38" i="1"/>
  <c r="E34" i="1"/>
  <c r="E28" i="1"/>
  <c r="E27" i="1"/>
  <c r="E25" i="1"/>
  <c r="E23" i="1"/>
  <c r="E18" i="1"/>
  <c r="E15" i="1"/>
  <c r="E11" i="1"/>
  <c r="F25" i="2" l="1"/>
  <c r="F24" i="2"/>
  <c r="F95" i="2"/>
  <c r="F55" i="2"/>
  <c r="F16" i="2"/>
  <c r="F23" i="2"/>
  <c r="F80" i="2"/>
  <c r="F56" i="2"/>
  <c r="F20" i="2"/>
  <c r="O25" i="2"/>
  <c r="O24" i="2"/>
  <c r="O95" i="2"/>
  <c r="O16" i="2"/>
  <c r="O80" i="2"/>
  <c r="O56" i="2"/>
  <c r="O20" i="2"/>
  <c r="F86" i="2"/>
  <c r="I88" i="2"/>
  <c r="O88" i="2" s="1"/>
  <c r="I87" i="2"/>
  <c r="O87" i="2" s="1"/>
  <c r="O27" i="2"/>
  <c r="O26" i="2"/>
  <c r="F94" i="2"/>
  <c r="F93" i="2"/>
  <c r="F22" i="2"/>
  <c r="F21" i="2"/>
  <c r="F7" i="2"/>
  <c r="F6" i="2"/>
  <c r="AF75" i="2"/>
  <c r="F76" i="2"/>
  <c r="AF74" i="2"/>
  <c r="F72" i="2"/>
  <c r="AF73" i="2"/>
  <c r="F79" i="2"/>
  <c r="AF72" i="2"/>
  <c r="F78" i="2"/>
  <c r="AF71" i="2"/>
  <c r="AF70" i="2"/>
  <c r="F77" i="2"/>
  <c r="AF69" i="2"/>
  <c r="F73" i="2"/>
  <c r="AF68" i="2"/>
  <c r="AF67" i="2"/>
  <c r="F71" i="2"/>
  <c r="AF58" i="2"/>
  <c r="F75" i="2"/>
  <c r="AF57" i="2"/>
  <c r="AF56" i="2"/>
  <c r="F74" i="2"/>
  <c r="F64" i="2"/>
  <c r="F63" i="2"/>
  <c r="F62" i="2"/>
  <c r="F61" i="2"/>
  <c r="F92" i="2"/>
  <c r="F91" i="2"/>
  <c r="F90" i="2"/>
  <c r="F89" i="2"/>
  <c r="F66" i="2"/>
  <c r="F65" i="2"/>
  <c r="F27" i="2"/>
  <c r="F26" i="2"/>
  <c r="F85" i="2"/>
  <c r="F84" i="2"/>
  <c r="F31" i="2"/>
  <c r="F30" i="2"/>
  <c r="F53" i="2"/>
  <c r="F52" i="2"/>
  <c r="F51" i="2"/>
  <c r="F50" i="2"/>
  <c r="F35" i="2"/>
  <c r="F34" i="2"/>
  <c r="F33" i="2"/>
  <c r="F32" i="2"/>
  <c r="F29" i="2"/>
  <c r="F28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AF10" i="2"/>
  <c r="AF9" i="2"/>
  <c r="AF8" i="2"/>
  <c r="AF7" i="2"/>
  <c r="AF6" i="2"/>
  <c r="AF5" i="2"/>
  <c r="AF4" i="2"/>
  <c r="AF3" i="2"/>
  <c r="H86" i="2"/>
  <c r="N86" i="2" s="1"/>
  <c r="O76" i="2"/>
  <c r="O79" i="2"/>
  <c r="O78" i="2"/>
  <c r="O77" i="2"/>
  <c r="O73" i="2"/>
  <c r="O71" i="2"/>
  <c r="O75" i="2"/>
  <c r="O74" i="2"/>
  <c r="H58" i="2" l="1"/>
  <c r="H68" i="2"/>
  <c r="H82" i="2"/>
  <c r="I82" i="2" s="1"/>
  <c r="H4" i="2"/>
  <c r="H97" i="2"/>
  <c r="O72" i="2"/>
  <c r="W18" i="2"/>
  <c r="W17" i="2"/>
  <c r="O82" i="2" l="1"/>
  <c r="N82" i="2"/>
  <c r="N68" i="2"/>
  <c r="I68" i="2"/>
  <c r="O68" i="2" s="1"/>
  <c r="N97" i="2"/>
  <c r="I97" i="2"/>
  <c r="O97" i="2" s="1"/>
  <c r="I58" i="2"/>
  <c r="O58" i="2" s="1"/>
  <c r="N58" i="2"/>
  <c r="N4" i="2"/>
  <c r="I4" i="2"/>
  <c r="O4" i="2" s="1"/>
  <c r="I18" i="2"/>
  <c r="O18" i="2" s="1"/>
  <c r="I17" i="2"/>
  <c r="O17" i="2" s="1"/>
  <c r="J26" i="7"/>
  <c r="J23" i="7"/>
  <c r="J29" i="7"/>
  <c r="J28" i="7"/>
  <c r="J27" i="7"/>
  <c r="J25" i="7"/>
  <c r="J24" i="7"/>
  <c r="J22" i="7"/>
  <c r="J21" i="7"/>
  <c r="AI14" i="7"/>
  <c r="K14" i="7"/>
  <c r="Q14" i="7" s="1"/>
  <c r="M14" i="7" s="1"/>
  <c r="K13" i="7"/>
  <c r="AI13" i="7" s="1"/>
  <c r="K12" i="7"/>
  <c r="AI12" i="7" s="1"/>
  <c r="K11" i="7"/>
  <c r="AI11" i="7" s="1"/>
  <c r="AI10" i="7"/>
  <c r="Q10" i="7"/>
  <c r="K9" i="7"/>
  <c r="AI9" i="7" s="1"/>
  <c r="K8" i="7"/>
  <c r="AI8" i="7" s="1"/>
  <c r="K7" i="7"/>
  <c r="AI7" i="7" s="1"/>
  <c r="K6" i="7"/>
  <c r="AI6" i="7" s="1"/>
  <c r="AG5" i="7"/>
  <c r="K5" i="7"/>
  <c r="Q2" i="7"/>
  <c r="F1" i="7"/>
  <c r="F3" i="7" s="1"/>
  <c r="Q13" i="7" l="1"/>
  <c r="M13" i="7" s="1"/>
  <c r="AI5" i="7"/>
  <c r="Q12" i="7"/>
  <c r="M12" i="7" s="1"/>
  <c r="Q11" i="7"/>
  <c r="M11" i="7" s="1"/>
  <c r="Q5" i="7"/>
  <c r="M5" i="7" s="1"/>
  <c r="Q6" i="7"/>
  <c r="M6" i="7" s="1"/>
  <c r="Q7" i="7"/>
  <c r="M7" i="7" s="1"/>
  <c r="Q8" i="7"/>
  <c r="M8" i="7" s="1"/>
  <c r="Q9" i="7"/>
  <c r="M9" i="7" s="1"/>
  <c r="I54" i="2" l="1"/>
  <c r="O54" i="2" s="1"/>
  <c r="AF9" i="6" l="1"/>
  <c r="W9" i="6"/>
  <c r="AF8" i="6"/>
  <c r="W8" i="6"/>
  <c r="N8" i="6"/>
  <c r="I8" i="6"/>
  <c r="O8" i="6" s="1"/>
  <c r="V28" i="6" l="1"/>
  <c r="AE28" i="6" s="1"/>
  <c r="O28" i="6"/>
  <c r="N28" i="6"/>
  <c r="V27" i="6"/>
  <c r="AE27" i="6" s="1"/>
  <c r="O27" i="6"/>
  <c r="N27" i="6"/>
  <c r="AE26" i="6"/>
  <c r="AD26" i="6"/>
  <c r="V26" i="6"/>
  <c r="O26" i="6"/>
  <c r="N26" i="6"/>
  <c r="AE25" i="6"/>
  <c r="V25" i="6"/>
  <c r="AD25" i="6" s="1"/>
  <c r="AE24" i="6"/>
  <c r="AD24" i="6"/>
  <c r="V24" i="6"/>
  <c r="N24" i="6"/>
  <c r="I24" i="6"/>
  <c r="O24" i="6" s="1"/>
  <c r="V23" i="6"/>
  <c r="AE23" i="6" s="1"/>
  <c r="AE22" i="6"/>
  <c r="V22" i="6"/>
  <c r="AD22" i="6" s="1"/>
  <c r="O22" i="6"/>
  <c r="N22" i="6"/>
  <c r="I22" i="6"/>
  <c r="V21" i="6"/>
  <c r="AE21" i="6" s="1"/>
  <c r="N21" i="6"/>
  <c r="I21" i="6"/>
  <c r="O21" i="6" s="1"/>
  <c r="AE20" i="6"/>
  <c r="V20" i="6"/>
  <c r="AD20" i="6" s="1"/>
  <c r="AE19" i="6"/>
  <c r="AD19" i="6"/>
  <c r="V19" i="6"/>
  <c r="V18" i="6"/>
  <c r="AE18" i="6" s="1"/>
  <c r="V17" i="6"/>
  <c r="AE17" i="6" s="1"/>
  <c r="O17" i="6"/>
  <c r="N17" i="6"/>
  <c r="I17" i="6"/>
  <c r="AE16" i="6"/>
  <c r="AD16" i="6"/>
  <c r="V16" i="6"/>
  <c r="N16" i="6"/>
  <c r="I16" i="6"/>
  <c r="O16" i="6" s="1"/>
  <c r="V15" i="6"/>
  <c r="AE15" i="6" s="1"/>
  <c r="O15" i="6"/>
  <c r="N15" i="6"/>
  <c r="I15" i="6"/>
  <c r="AE14" i="6"/>
  <c r="AD14" i="6"/>
  <c r="V14" i="6"/>
  <c r="N14" i="6"/>
  <c r="I14" i="6"/>
  <c r="O14" i="6" s="1"/>
  <c r="V13" i="6"/>
  <c r="AE13" i="6" s="1"/>
  <c r="O13" i="6"/>
  <c r="N13" i="6"/>
  <c r="I13" i="6"/>
  <c r="AE12" i="6"/>
  <c r="AD12" i="6"/>
  <c r="V12" i="6"/>
  <c r="N12" i="6"/>
  <c r="I12" i="6"/>
  <c r="H19" i="6" s="1"/>
  <c r="I19" i="6" l="1"/>
  <c r="O19" i="6" s="1"/>
  <c r="N19" i="6"/>
  <c r="AD21" i="6"/>
  <c r="AD27" i="6"/>
  <c r="H18" i="6"/>
  <c r="AD18" i="6"/>
  <c r="H23" i="6"/>
  <c r="AD15" i="6"/>
  <c r="H20" i="6"/>
  <c r="AD23" i="6"/>
  <c r="H25" i="6"/>
  <c r="AD28" i="6"/>
  <c r="O12" i="6"/>
  <c r="AD13" i="6"/>
  <c r="AD17" i="6"/>
  <c r="I25" i="6" l="1"/>
  <c r="O25" i="6" s="1"/>
  <c r="N25" i="6"/>
  <c r="N23" i="6"/>
  <c r="I23" i="6"/>
  <c r="O23" i="6" s="1"/>
  <c r="I20" i="6"/>
  <c r="O20" i="6" s="1"/>
  <c r="N20" i="6"/>
  <c r="N18" i="6"/>
  <c r="I18" i="6"/>
  <c r="O18" i="6" s="1"/>
  <c r="E50" i="1" l="1"/>
  <c r="H20" i="2" l="1"/>
  <c r="N20" i="2" s="1"/>
  <c r="H56" i="2"/>
  <c r="N56" i="2" s="1"/>
  <c r="H80" i="2"/>
  <c r="N80" i="2" s="1"/>
  <c r="H16" i="2"/>
  <c r="N16" i="2" s="1"/>
  <c r="H95" i="2"/>
  <c r="N95" i="2" s="1"/>
  <c r="H24" i="2"/>
  <c r="N24" i="2" s="1"/>
  <c r="H25" i="2"/>
  <c r="N25" i="2" s="1"/>
  <c r="H23" i="2"/>
  <c r="N23" i="2" s="1"/>
  <c r="E24" i="1" l="1"/>
  <c r="E42" i="1"/>
  <c r="E22" i="1"/>
  <c r="E41" i="1"/>
  <c r="E21" i="1"/>
  <c r="E40" i="1"/>
  <c r="H71" i="2" s="1"/>
  <c r="N71" i="2" s="1"/>
  <c r="E20" i="1"/>
  <c r="E39" i="1"/>
  <c r="E35" i="1"/>
  <c r="E19" i="1"/>
  <c r="F57" i="1"/>
  <c r="F58" i="1"/>
  <c r="F59" i="1"/>
  <c r="K59" i="1"/>
  <c r="F60" i="1"/>
  <c r="K60" i="1" s="1"/>
  <c r="H76" i="2"/>
  <c r="N76" i="2" s="1"/>
  <c r="W76" i="2"/>
  <c r="H79" i="2"/>
  <c r="N79" i="2" s="1"/>
  <c r="W79" i="2"/>
  <c r="H78" i="2"/>
  <c r="N78" i="2" s="1"/>
  <c r="W78" i="2"/>
  <c r="W77" i="2"/>
  <c r="W71" i="2"/>
  <c r="H73" i="2"/>
  <c r="N73" i="2" s="1"/>
  <c r="W73" i="2"/>
  <c r="H72" i="2"/>
  <c r="N72" i="2" s="1"/>
  <c r="H75" i="2"/>
  <c r="N75" i="2" s="1"/>
  <c r="H74" i="2"/>
  <c r="N74" i="2" s="1"/>
  <c r="K58" i="1" l="1"/>
  <c r="I22" i="2"/>
  <c r="O22" i="2" s="1"/>
  <c r="I21" i="2"/>
  <c r="O21" i="2" s="1"/>
  <c r="K57" i="1"/>
  <c r="I93" i="2"/>
  <c r="O93" i="2" s="1"/>
  <c r="I94" i="2"/>
  <c r="O94" i="2" s="1"/>
  <c r="H77" i="2"/>
  <c r="N77" i="2" s="1"/>
  <c r="W72" i="2"/>
  <c r="W75" i="2"/>
  <c r="W74" i="2"/>
  <c r="AW17" i="5" l="1"/>
  <c r="AU17" i="5"/>
  <c r="I17" i="5"/>
  <c r="AV17" i="5" s="1"/>
  <c r="AX17" i="5" s="1"/>
  <c r="AW16" i="5"/>
  <c r="AU16" i="5"/>
  <c r="I16" i="5"/>
  <c r="AV16" i="5" s="1"/>
  <c r="AX16" i="5" s="1"/>
  <c r="AP15" i="5"/>
  <c r="AM15" i="5"/>
  <c r="AK15" i="5"/>
  <c r="AF15" i="5"/>
  <c r="AA15" i="5"/>
  <c r="V15" i="5"/>
  <c r="S15" i="5"/>
  <c r="Q15" i="5"/>
  <c r="L15" i="5"/>
  <c r="I15" i="5"/>
  <c r="G15" i="5"/>
  <c r="F15" i="5"/>
  <c r="AU15" i="5" s="1"/>
  <c r="AW14" i="5"/>
  <c r="AU13" i="5"/>
  <c r="AR13" i="5"/>
  <c r="AT13" i="5" s="1"/>
  <c r="AO13" i="5"/>
  <c r="AM13" i="5"/>
  <c r="AH13" i="5"/>
  <c r="AJ13" i="5" s="1"/>
  <c r="AE13" i="5"/>
  <c r="AC13" i="5"/>
  <c r="X13" i="5"/>
  <c r="Z13" i="5" s="1"/>
  <c r="U13" i="5"/>
  <c r="S13" i="5"/>
  <c r="N13" i="5"/>
  <c r="AV13" i="5" s="1"/>
  <c r="K13" i="5"/>
  <c r="I13" i="5"/>
  <c r="AU12" i="5"/>
  <c r="AR12" i="5"/>
  <c r="AT12" i="5" s="1"/>
  <c r="AO12" i="5"/>
  <c r="AM12" i="5"/>
  <c r="AH12" i="5"/>
  <c r="AJ12" i="5" s="1"/>
  <c r="AE12" i="5"/>
  <c r="AC12" i="5"/>
  <c r="X12" i="5"/>
  <c r="Z12" i="5" s="1"/>
  <c r="U12" i="5"/>
  <c r="S12" i="5"/>
  <c r="N12" i="5"/>
  <c r="AV12" i="5" s="1"/>
  <c r="K12" i="5"/>
  <c r="I12" i="5"/>
  <c r="AU11" i="5"/>
  <c r="AR11" i="5"/>
  <c r="AT11" i="5" s="1"/>
  <c r="AW11" i="5" s="1"/>
  <c r="AO11" i="5"/>
  <c r="AM11" i="5"/>
  <c r="AH11" i="5"/>
  <c r="AJ11" i="5" s="1"/>
  <c r="AE11" i="5"/>
  <c r="AC11" i="5"/>
  <c r="X11" i="5"/>
  <c r="Z11" i="5" s="1"/>
  <c r="U11" i="5"/>
  <c r="S11" i="5"/>
  <c r="N11" i="5"/>
  <c r="P11" i="5" s="1"/>
  <c r="K11" i="5"/>
  <c r="I11" i="5"/>
  <c r="AU10" i="5"/>
  <c r="AR10" i="5"/>
  <c r="AT10" i="5" s="1"/>
  <c r="AO10" i="5"/>
  <c r="AM10" i="5"/>
  <c r="AH10" i="5"/>
  <c r="AJ10" i="5" s="1"/>
  <c r="AE10" i="5"/>
  <c r="AC10" i="5"/>
  <c r="X10" i="5"/>
  <c r="Z10" i="5" s="1"/>
  <c r="U10" i="5"/>
  <c r="S10" i="5"/>
  <c r="N10" i="5"/>
  <c r="P10" i="5" s="1"/>
  <c r="K10" i="5"/>
  <c r="I10" i="5"/>
  <c r="AU9" i="5"/>
  <c r="AR9" i="5"/>
  <c r="AT9" i="5" s="1"/>
  <c r="AO9" i="5"/>
  <c r="AM9" i="5"/>
  <c r="AH9" i="5"/>
  <c r="AJ9" i="5" s="1"/>
  <c r="AE9" i="5"/>
  <c r="AC9" i="5"/>
  <c r="X9" i="5"/>
  <c r="Z9" i="5" s="1"/>
  <c r="U9" i="5"/>
  <c r="S9" i="5"/>
  <c r="N9" i="5"/>
  <c r="AV9" i="5" s="1"/>
  <c r="K9" i="5"/>
  <c r="I9" i="5"/>
  <c r="AU8" i="5"/>
  <c r="AR8" i="5"/>
  <c r="AT8" i="5" s="1"/>
  <c r="AO8" i="5"/>
  <c r="AM8" i="5"/>
  <c r="AH8" i="5"/>
  <c r="AJ8" i="5" s="1"/>
  <c r="AE8" i="5"/>
  <c r="AC8" i="5"/>
  <c r="X8" i="5"/>
  <c r="Z8" i="5" s="1"/>
  <c r="U8" i="5"/>
  <c r="S8" i="5"/>
  <c r="N8" i="5"/>
  <c r="AV8" i="5" s="1"/>
  <c r="K8" i="5"/>
  <c r="I8" i="5"/>
  <c r="AV7" i="5"/>
  <c r="AU7" i="5"/>
  <c r="AR7" i="5"/>
  <c r="AT7" i="5" s="1"/>
  <c r="AO7" i="5"/>
  <c r="AM7" i="5"/>
  <c r="AH7" i="5"/>
  <c r="AJ7" i="5" s="1"/>
  <c r="AE7" i="5"/>
  <c r="AC7" i="5"/>
  <c r="X7" i="5"/>
  <c r="Z7" i="5" s="1"/>
  <c r="U7" i="5"/>
  <c r="S7" i="5"/>
  <c r="N7" i="5"/>
  <c r="P7" i="5" s="1"/>
  <c r="K7" i="5"/>
  <c r="I7" i="5"/>
  <c r="AV6" i="5"/>
  <c r="AU6" i="5"/>
  <c r="AR6" i="5"/>
  <c r="AT6" i="5" s="1"/>
  <c r="AO6" i="5"/>
  <c r="AM6" i="5"/>
  <c r="AH6" i="5"/>
  <c r="AJ6" i="5" s="1"/>
  <c r="AE6" i="5"/>
  <c r="AC6" i="5"/>
  <c r="X6" i="5"/>
  <c r="Z6" i="5" s="1"/>
  <c r="U6" i="5"/>
  <c r="S6" i="5"/>
  <c r="N6" i="5"/>
  <c r="P6" i="5" s="1"/>
  <c r="K6" i="5"/>
  <c r="I6" i="5"/>
  <c r="AV5" i="5"/>
  <c r="AU5" i="5"/>
  <c r="AR5" i="5"/>
  <c r="AT5" i="5" s="1"/>
  <c r="AO5" i="5"/>
  <c r="AM5" i="5"/>
  <c r="AH5" i="5"/>
  <c r="AJ5" i="5" s="1"/>
  <c r="AE5" i="5"/>
  <c r="AC5" i="5"/>
  <c r="X5" i="5"/>
  <c r="Z5" i="5" s="1"/>
  <c r="U5" i="5"/>
  <c r="S5" i="5"/>
  <c r="N5" i="5"/>
  <c r="P5" i="5" s="1"/>
  <c r="K5" i="5"/>
  <c r="I5" i="5"/>
  <c r="AV4" i="5"/>
  <c r="AU4" i="5"/>
  <c r="AR4" i="5"/>
  <c r="AT4" i="5" s="1"/>
  <c r="AO4" i="5"/>
  <c r="AO15" i="5" s="1"/>
  <c r="AM4" i="5"/>
  <c r="AH4" i="5"/>
  <c r="AH15" i="5" s="1"/>
  <c r="AE4" i="5"/>
  <c r="AE15" i="5" s="1"/>
  <c r="AC4" i="5"/>
  <c r="AC15" i="5" s="1"/>
  <c r="X4" i="5"/>
  <c r="Z4" i="5" s="1"/>
  <c r="U4" i="5"/>
  <c r="U15" i="5" s="1"/>
  <c r="S4" i="5"/>
  <c r="N4" i="5"/>
  <c r="N15" i="5" s="1"/>
  <c r="K4" i="5"/>
  <c r="K15" i="5" s="1"/>
  <c r="I4" i="5"/>
  <c r="AT15" i="5" l="1"/>
  <c r="AX5" i="5"/>
  <c r="AW6" i="5"/>
  <c r="Z15" i="5"/>
  <c r="AW5" i="5"/>
  <c r="AX6" i="5"/>
  <c r="AW7" i="5"/>
  <c r="AX7" i="5" s="1"/>
  <c r="AW10" i="5"/>
  <c r="AX8" i="5"/>
  <c r="AW8" i="5"/>
  <c r="P4" i="5"/>
  <c r="AJ4" i="5"/>
  <c r="AJ15" i="5" s="1"/>
  <c r="P8" i="5"/>
  <c r="P9" i="5"/>
  <c r="AW9" i="5" s="1"/>
  <c r="AX9" i="5" s="1"/>
  <c r="P12" i="5"/>
  <c r="AW12" i="5" s="1"/>
  <c r="AX12" i="5" s="1"/>
  <c r="P13" i="5"/>
  <c r="AW13" i="5" s="1"/>
  <c r="AX13" i="5" s="1"/>
  <c r="X15" i="5"/>
  <c r="AR15" i="5"/>
  <c r="AV15" i="5" s="1"/>
  <c r="AV10" i="5"/>
  <c r="AX10" i="5" s="1"/>
  <c r="AV11" i="5"/>
  <c r="AX11" i="5" s="1"/>
  <c r="P15" i="5" l="1"/>
  <c r="AW15" i="5"/>
  <c r="AX15" i="5" s="1"/>
  <c r="AW4" i="5"/>
  <c r="AX4" i="5" s="1"/>
  <c r="P6" i="4" l="1"/>
  <c r="N6" i="4"/>
  <c r="Q6" i="4" s="1"/>
  <c r="S6" i="4" s="1"/>
  <c r="T6" i="4" s="1"/>
  <c r="I6" i="4"/>
  <c r="K6" i="4" s="1"/>
  <c r="L6" i="4" s="1"/>
  <c r="P5" i="4"/>
  <c r="N5" i="4"/>
  <c r="Q5" i="4" s="1"/>
  <c r="S5" i="4" s="1"/>
  <c r="T5" i="4" s="1"/>
  <c r="I5" i="4"/>
  <c r="K5" i="4" s="1"/>
  <c r="L5" i="4" s="1"/>
  <c r="P4" i="4"/>
  <c r="N4" i="4"/>
  <c r="Q4" i="4" s="1"/>
  <c r="S4" i="4" s="1"/>
  <c r="T4" i="4" s="1"/>
  <c r="I4" i="4"/>
  <c r="K4" i="4" s="1"/>
  <c r="L4" i="4" s="1"/>
  <c r="P3" i="4"/>
  <c r="N3" i="4"/>
  <c r="Q3" i="4" s="1"/>
  <c r="S3" i="4" s="1"/>
  <c r="T3" i="4" s="1"/>
  <c r="I3" i="4"/>
  <c r="K3" i="4" s="1"/>
  <c r="L3" i="4" s="1"/>
  <c r="W15" i="2"/>
  <c r="W14" i="2"/>
  <c r="W13" i="2"/>
  <c r="W8" i="2"/>
  <c r="W11" i="2"/>
  <c r="W10" i="2"/>
  <c r="W9" i="2"/>
  <c r="W98" i="2"/>
  <c r="W95" i="2"/>
  <c r="W94" i="2"/>
  <c r="H94" i="2"/>
  <c r="N94" i="2" s="1"/>
  <c r="W93" i="2"/>
  <c r="H93" i="2"/>
  <c r="N93" i="2" s="1"/>
  <c r="W92" i="2"/>
  <c r="W91" i="2"/>
  <c r="W90" i="2"/>
  <c r="W89" i="2"/>
  <c r="W88" i="2"/>
  <c r="W87" i="2"/>
  <c r="W86" i="2"/>
  <c r="W85" i="2"/>
  <c r="H85" i="2"/>
  <c r="N85" i="2" s="1"/>
  <c r="W84" i="2"/>
  <c r="H84" i="2"/>
  <c r="N84" i="2" s="1"/>
  <c r="W83" i="2"/>
  <c r="W80" i="2"/>
  <c r="W70" i="2"/>
  <c r="H70" i="2"/>
  <c r="N70" i="2" s="1"/>
  <c r="F70" i="2"/>
  <c r="W69" i="2"/>
  <c r="W66" i="2"/>
  <c r="H66" i="2"/>
  <c r="N66" i="2" s="1"/>
  <c r="W65" i="2"/>
  <c r="H65" i="2"/>
  <c r="N65" i="2" s="1"/>
  <c r="W60" i="2"/>
  <c r="H60" i="2"/>
  <c r="N60" i="2" s="1"/>
  <c r="F60" i="2"/>
  <c r="W59" i="2"/>
  <c r="W56" i="2"/>
  <c r="W55" i="2"/>
  <c r="W53" i="2"/>
  <c r="H53" i="2"/>
  <c r="N53" i="2" s="1"/>
  <c r="W52" i="2"/>
  <c r="H52" i="2"/>
  <c r="N52" i="2" s="1"/>
  <c r="W51" i="2"/>
  <c r="H51" i="2"/>
  <c r="N51" i="2" s="1"/>
  <c r="W50" i="2"/>
  <c r="H50" i="2"/>
  <c r="N50" i="2" s="1"/>
  <c r="W49" i="2"/>
  <c r="H49" i="2"/>
  <c r="N49" i="2" s="1"/>
  <c r="W48" i="2"/>
  <c r="H48" i="2"/>
  <c r="N48" i="2" s="1"/>
  <c r="W47" i="2"/>
  <c r="H47" i="2"/>
  <c r="N47" i="2" s="1"/>
  <c r="W46" i="2"/>
  <c r="H46" i="2"/>
  <c r="N46" i="2" s="1"/>
  <c r="W45" i="2"/>
  <c r="H45" i="2"/>
  <c r="N45" i="2" s="1"/>
  <c r="W44" i="2"/>
  <c r="H44" i="2"/>
  <c r="N44" i="2" s="1"/>
  <c r="W43" i="2"/>
  <c r="H43" i="2"/>
  <c r="N43" i="2" s="1"/>
  <c r="W42" i="2"/>
  <c r="H42" i="2"/>
  <c r="N42" i="2" s="1"/>
  <c r="W41" i="2"/>
  <c r="H41" i="2"/>
  <c r="N41" i="2" s="1"/>
  <c r="W40" i="2"/>
  <c r="H40" i="2"/>
  <c r="N40" i="2" s="1"/>
  <c r="W39" i="2"/>
  <c r="H39" i="2"/>
  <c r="N39" i="2" s="1"/>
  <c r="W38" i="2"/>
  <c r="H38" i="2"/>
  <c r="N38" i="2" s="1"/>
  <c r="W37" i="2"/>
  <c r="H37" i="2"/>
  <c r="N37" i="2" s="1"/>
  <c r="W36" i="2"/>
  <c r="H36" i="2"/>
  <c r="N36" i="2" s="1"/>
  <c r="W35" i="2"/>
  <c r="H35" i="2"/>
  <c r="N35" i="2" s="1"/>
  <c r="W34" i="2"/>
  <c r="H34" i="2"/>
  <c r="N34" i="2" s="1"/>
  <c r="W33" i="2"/>
  <c r="H33" i="2"/>
  <c r="N33" i="2" s="1"/>
  <c r="W32" i="2"/>
  <c r="H32" i="2"/>
  <c r="N32" i="2" s="1"/>
  <c r="W31" i="2"/>
  <c r="H31" i="2"/>
  <c r="N31" i="2" s="1"/>
  <c r="W30" i="2"/>
  <c r="H30" i="2"/>
  <c r="N30" i="2" s="1"/>
  <c r="W29" i="2"/>
  <c r="H29" i="2"/>
  <c r="N29" i="2" s="1"/>
  <c r="W28" i="2"/>
  <c r="H28" i="2"/>
  <c r="N28" i="2" s="1"/>
  <c r="W27" i="2"/>
  <c r="M27" i="2"/>
  <c r="H27" i="2"/>
  <c r="N27" i="2" s="1"/>
  <c r="W26" i="2"/>
  <c r="M26" i="2"/>
  <c r="H26" i="2"/>
  <c r="N26" i="2" s="1"/>
  <c r="W25" i="2"/>
  <c r="W24" i="2"/>
  <c r="W23" i="2"/>
  <c r="W22" i="2"/>
  <c r="H22" i="2"/>
  <c r="N22" i="2" s="1"/>
  <c r="W21" i="2"/>
  <c r="H21" i="2"/>
  <c r="N21" i="2" s="1"/>
  <c r="W20" i="2"/>
  <c r="W16" i="2"/>
  <c r="W54" i="2"/>
  <c r="F54" i="2"/>
  <c r="W7" i="2"/>
  <c r="H7" i="2"/>
  <c r="N7" i="2" s="1"/>
  <c r="W6" i="2"/>
  <c r="H6" i="2"/>
  <c r="N6" i="2" s="1"/>
  <c r="W5" i="2"/>
  <c r="W19" i="2"/>
  <c r="W81" i="2"/>
  <c r="W67" i="2"/>
  <c r="W64" i="2"/>
  <c r="H64" i="2"/>
  <c r="N64" i="2" s="1"/>
  <c r="W63" i="2"/>
  <c r="H63" i="2"/>
  <c r="N63" i="2" s="1"/>
  <c r="W62" i="2"/>
  <c r="H62" i="2"/>
  <c r="N62" i="2" s="1"/>
  <c r="W61" i="2"/>
  <c r="H61" i="2"/>
  <c r="N61" i="2" s="1"/>
  <c r="W57" i="2"/>
  <c r="W3" i="2"/>
  <c r="BA60" i="1"/>
  <c r="AT59" i="1"/>
  <c r="AM58" i="1"/>
  <c r="R58" i="1"/>
  <c r="V58" i="1" s="1"/>
  <c r="O57" i="1"/>
  <c r="AT57" i="1"/>
  <c r="AX57" i="1" s="1"/>
  <c r="BO56" i="1"/>
  <c r="BM56" i="1"/>
  <c r="K56" i="1"/>
  <c r="BN56" i="1" s="1"/>
  <c r="BO55" i="1"/>
  <c r="BM55" i="1"/>
  <c r="K55" i="1"/>
  <c r="BN55" i="1" s="1"/>
  <c r="BO54" i="1"/>
  <c r="BF53" i="1"/>
  <c r="AY53" i="1"/>
  <c r="AR53" i="1"/>
  <c r="AK53" i="1"/>
  <c r="AD53" i="1"/>
  <c r="W53" i="1"/>
  <c r="P53" i="1"/>
  <c r="G53" i="1"/>
  <c r="BM52" i="1"/>
  <c r="BH52" i="1"/>
  <c r="BJ52" i="1" s="1"/>
  <c r="BC52" i="1"/>
  <c r="BA52" i="1"/>
  <c r="BE52" i="1" s="1"/>
  <c r="AT52" i="1"/>
  <c r="AM52" i="1"/>
  <c r="AO52" i="1" s="1"/>
  <c r="AJ52" i="1"/>
  <c r="AF52" i="1"/>
  <c r="AH52" i="1" s="1"/>
  <c r="Y52" i="1"/>
  <c r="AC52" i="1" s="1"/>
  <c r="R52" i="1"/>
  <c r="K52" i="1"/>
  <c r="F51" i="1"/>
  <c r="F50" i="1"/>
  <c r="F49" i="1"/>
  <c r="F48" i="1"/>
  <c r="BH48" i="1" s="1"/>
  <c r="F47" i="1"/>
  <c r="BA47" i="1" s="1"/>
  <c r="BC47" i="1" s="1"/>
  <c r="BO36" i="1"/>
  <c r="F35" i="1"/>
  <c r="F34" i="1"/>
  <c r="F33" i="1"/>
  <c r="BA33" i="1" s="1"/>
  <c r="BC33" i="1" s="1"/>
  <c r="BO32" i="1"/>
  <c r="E30" i="1"/>
  <c r="F30" i="1" s="1"/>
  <c r="BM29" i="1"/>
  <c r="BH29" i="1"/>
  <c r="BL29" i="1" s="1"/>
  <c r="BA29" i="1"/>
  <c r="BE29" i="1" s="1"/>
  <c r="AT29" i="1"/>
  <c r="AM29" i="1"/>
  <c r="AQ29" i="1" s="1"/>
  <c r="AF29" i="1"/>
  <c r="AJ29" i="1" s="1"/>
  <c r="Y29" i="1"/>
  <c r="AC29" i="1" s="1"/>
  <c r="R29" i="1"/>
  <c r="K29" i="1"/>
  <c r="M29" i="1" s="1"/>
  <c r="E29" i="1"/>
  <c r="F27" i="1"/>
  <c r="F26" i="1"/>
  <c r="BM26" i="1" s="1"/>
  <c r="F25" i="1"/>
  <c r="F24" i="1"/>
  <c r="F23" i="1"/>
  <c r="F22" i="1"/>
  <c r="F21" i="1"/>
  <c r="F20" i="1"/>
  <c r="F19" i="1"/>
  <c r="D19" i="1"/>
  <c r="D18" i="1"/>
  <c r="F18" i="1" s="1"/>
  <c r="F17" i="1"/>
  <c r="R17" i="1" s="1"/>
  <c r="F16" i="1"/>
  <c r="BA16" i="1" s="1"/>
  <c r="BE16" i="1" s="1"/>
  <c r="F15" i="1"/>
  <c r="BM14" i="1"/>
  <c r="F14" i="1"/>
  <c r="BA14" i="1" s="1"/>
  <c r="BC14" i="1" s="1"/>
  <c r="F13" i="1"/>
  <c r="BA13" i="1" s="1"/>
  <c r="BM12" i="1"/>
  <c r="F12" i="1"/>
  <c r="BA12" i="1" s="1"/>
  <c r="BC12" i="1" s="1"/>
  <c r="F10" i="1"/>
  <c r="BA10" i="1" s="1"/>
  <c r="BC10" i="1" s="1"/>
  <c r="F9" i="1"/>
  <c r="BA9" i="1" s="1"/>
  <c r="BM8" i="1"/>
  <c r="BH8" i="1"/>
  <c r="BL8" i="1" s="1"/>
  <c r="BA8" i="1"/>
  <c r="BE8" i="1" s="1"/>
  <c r="AT8" i="1"/>
  <c r="AX8" i="1" s="1"/>
  <c r="AM8" i="1"/>
  <c r="AO8" i="1" s="1"/>
  <c r="AF8" i="1"/>
  <c r="AJ8" i="1" s="1"/>
  <c r="Y8" i="1"/>
  <c r="AC8" i="1" s="1"/>
  <c r="R8" i="1"/>
  <c r="V8" i="1" s="1"/>
  <c r="K8" i="1"/>
  <c r="F7" i="1"/>
  <c r="BA7" i="1" s="1"/>
  <c r="F6" i="1"/>
  <c r="AF6" i="1" s="1"/>
  <c r="AJ6" i="1" s="1"/>
  <c r="BM5" i="1"/>
  <c r="F5" i="1"/>
  <c r="BA5" i="1" s="1"/>
  <c r="F4" i="1"/>
  <c r="BM4" i="1" s="1"/>
  <c r="BA22" i="1" l="1"/>
  <c r="BE22" i="1" s="1"/>
  <c r="I51" i="2"/>
  <c r="O51" i="2" s="1"/>
  <c r="I50" i="2"/>
  <c r="O50" i="2" s="1"/>
  <c r="I92" i="2"/>
  <c r="O92" i="2" s="1"/>
  <c r="I91" i="2"/>
  <c r="O91" i="2" s="1"/>
  <c r="BA35" i="1"/>
  <c r="BC35" i="1" s="1"/>
  <c r="I64" i="2"/>
  <c r="O64" i="2" s="1"/>
  <c r="I63" i="2"/>
  <c r="O63" i="2" s="1"/>
  <c r="R19" i="1"/>
  <c r="I47" i="2"/>
  <c r="O47" i="2" s="1"/>
  <c r="I46" i="2"/>
  <c r="O46" i="2" s="1"/>
  <c r="I49" i="2"/>
  <c r="O49" i="2" s="1"/>
  <c r="I45" i="2"/>
  <c r="O45" i="2" s="1"/>
  <c r="I48" i="2"/>
  <c r="O48" i="2" s="1"/>
  <c r="I44" i="2"/>
  <c r="O44" i="2" s="1"/>
  <c r="BH50" i="1"/>
  <c r="BL50" i="1" s="1"/>
  <c r="I7" i="2"/>
  <c r="O7" i="2" s="1"/>
  <c r="BA20" i="1"/>
  <c r="BE20" i="1" s="1"/>
  <c r="I29" i="2"/>
  <c r="O29" i="2" s="1"/>
  <c r="I28" i="2"/>
  <c r="O28" i="2" s="1"/>
  <c r="BA24" i="1"/>
  <c r="BE24" i="1" s="1"/>
  <c r="I31" i="2"/>
  <c r="O31" i="2" s="1"/>
  <c r="I30" i="2"/>
  <c r="O30" i="2" s="1"/>
  <c r="BA21" i="1"/>
  <c r="BE21" i="1" s="1"/>
  <c r="I35" i="2"/>
  <c r="O35" i="2" s="1"/>
  <c r="I34" i="2"/>
  <c r="O34" i="2" s="1"/>
  <c r="I33" i="2"/>
  <c r="O33" i="2" s="1"/>
  <c r="I32" i="2"/>
  <c r="O32" i="2" s="1"/>
  <c r="BA51" i="1"/>
  <c r="BC51" i="1" s="1"/>
  <c r="I86" i="2"/>
  <c r="O86" i="2" s="1"/>
  <c r="BA49" i="1"/>
  <c r="BC49" i="1" s="1"/>
  <c r="I6" i="2"/>
  <c r="O6" i="2" s="1"/>
  <c r="R34" i="1"/>
  <c r="I62" i="2"/>
  <c r="O62" i="2" s="1"/>
  <c r="I61" i="2"/>
  <c r="H57" i="2" s="1"/>
  <c r="I57" i="2" s="1"/>
  <c r="AM27" i="1"/>
  <c r="I66" i="2"/>
  <c r="O66" i="2" s="1"/>
  <c r="I65" i="2"/>
  <c r="O65" i="2" s="1"/>
  <c r="BA25" i="1"/>
  <c r="BC25" i="1" s="1"/>
  <c r="I85" i="2"/>
  <c r="O85" i="2" s="1"/>
  <c r="I84" i="2"/>
  <c r="O84" i="2" s="1"/>
  <c r="BA23" i="1"/>
  <c r="I53" i="2"/>
  <c r="O53" i="2" s="1"/>
  <c r="I52" i="2"/>
  <c r="O52" i="2" s="1"/>
  <c r="I43" i="2"/>
  <c r="O43" i="2" s="1"/>
  <c r="I39" i="2"/>
  <c r="O39" i="2" s="1"/>
  <c r="I42" i="2"/>
  <c r="O42" i="2" s="1"/>
  <c r="I38" i="2"/>
  <c r="O38" i="2" s="1"/>
  <c r="I41" i="2"/>
  <c r="O41" i="2" s="1"/>
  <c r="I37" i="2"/>
  <c r="O37" i="2" s="1"/>
  <c r="I40" i="2"/>
  <c r="O40" i="2" s="1"/>
  <c r="I36" i="2"/>
  <c r="O36" i="2" s="1"/>
  <c r="BA15" i="1"/>
  <c r="BE15" i="1" s="1"/>
  <c r="O23" i="2"/>
  <c r="AT47" i="1"/>
  <c r="AX47" i="1" s="1"/>
  <c r="AF5" i="1"/>
  <c r="AH5" i="1" s="1"/>
  <c r="AM14" i="1"/>
  <c r="AQ14" i="1" s="1"/>
  <c r="K5" i="1"/>
  <c r="O5" i="1" s="1"/>
  <c r="AT12" i="1"/>
  <c r="AV12" i="1" s="1"/>
  <c r="R14" i="1"/>
  <c r="V14" i="1" s="1"/>
  <c r="Y15" i="1"/>
  <c r="AC15" i="1" s="1"/>
  <c r="AF22" i="1"/>
  <c r="AH22" i="1" s="1"/>
  <c r="R47" i="1"/>
  <c r="V47" i="1" s="1"/>
  <c r="BL52" i="1"/>
  <c r="Y57" i="1"/>
  <c r="AA57" i="1" s="1"/>
  <c r="BM22" i="1"/>
  <c r="BA57" i="1"/>
  <c r="AQ8" i="1"/>
  <c r="BJ8" i="1"/>
  <c r="K9" i="1"/>
  <c r="M9" i="1" s="1"/>
  <c r="K22" i="1"/>
  <c r="O22" i="1" s="1"/>
  <c r="O29" i="1"/>
  <c r="BH47" i="1"/>
  <c r="BJ47" i="1" s="1"/>
  <c r="AF9" i="1"/>
  <c r="AH9" i="1" s="1"/>
  <c r="BH20" i="1"/>
  <c r="BJ20" i="1" s="1"/>
  <c r="R22" i="1"/>
  <c r="T22" i="1" s="1"/>
  <c r="AO29" i="1"/>
  <c r="K47" i="1"/>
  <c r="BM47" i="1"/>
  <c r="BM57" i="1"/>
  <c r="BH5" i="1"/>
  <c r="BJ5" i="1" s="1"/>
  <c r="BH6" i="1"/>
  <c r="BJ6" i="1" s="1"/>
  <c r="BN8" i="1"/>
  <c r="AM20" i="1"/>
  <c r="AQ20" i="1" s="1"/>
  <c r="BC22" i="1"/>
  <c r="AT23" i="1"/>
  <c r="AV23" i="1" s="1"/>
  <c r="R24" i="1"/>
  <c r="T24" i="1" s="1"/>
  <c r="BH24" i="1"/>
  <c r="BL24" i="1" s="1"/>
  <c r="Y25" i="1"/>
  <c r="AC25" i="1" s="1"/>
  <c r="R33" i="1"/>
  <c r="R35" i="1"/>
  <c r="V35" i="1" s="1"/>
  <c r="AM47" i="1"/>
  <c r="BH49" i="1"/>
  <c r="BJ49" i="1" s="1"/>
  <c r="AA52" i="1"/>
  <c r="AM57" i="1"/>
  <c r="AQ57" i="1" s="1"/>
  <c r="BH23" i="1"/>
  <c r="BL23" i="1" s="1"/>
  <c r="AM24" i="1"/>
  <c r="BM24" i="1"/>
  <c r="AM25" i="1"/>
  <c r="AO25" i="1" s="1"/>
  <c r="BH33" i="1"/>
  <c r="AM35" i="1"/>
  <c r="AQ35" i="1" s="1"/>
  <c r="BN52" i="1"/>
  <c r="R7" i="1"/>
  <c r="V7" i="1" s="1"/>
  <c r="AT25" i="1"/>
  <c r="AV25" i="1" s="1"/>
  <c r="AF33" i="1"/>
  <c r="R49" i="1"/>
  <c r="V49" i="1" s="1"/>
  <c r="AF50" i="1"/>
  <c r="AJ50" i="1" s="1"/>
  <c r="AM5" i="1"/>
  <c r="AQ5" i="1" s="1"/>
  <c r="AT7" i="1"/>
  <c r="AX7" i="1" s="1"/>
  <c r="AT9" i="1"/>
  <c r="AV9" i="1" s="1"/>
  <c r="AF21" i="1"/>
  <c r="AH21" i="1" s="1"/>
  <c r="R23" i="1"/>
  <c r="T23" i="1" s="1"/>
  <c r="K24" i="1"/>
  <c r="M24" i="1" s="1"/>
  <c r="BC24" i="1"/>
  <c r="K25" i="1"/>
  <c r="O25" i="1" s="1"/>
  <c r="K33" i="1"/>
  <c r="O33" i="1" s="1"/>
  <c r="AM33" i="1"/>
  <c r="T47" i="1"/>
  <c r="AM49" i="1"/>
  <c r="BA50" i="1"/>
  <c r="I70" i="2"/>
  <c r="O70" i="2" s="1"/>
  <c r="I60" i="2"/>
  <c r="O60" i="2" s="1"/>
  <c r="R18" i="1"/>
  <c r="T18" i="1" s="1"/>
  <c r="BH18" i="1"/>
  <c r="BJ18" i="1" s="1"/>
  <c r="BE60" i="1"/>
  <c r="BC60" i="1"/>
  <c r="AF4" i="1"/>
  <c r="BA4" i="1"/>
  <c r="BE4" i="1" s="1"/>
  <c r="R5" i="1"/>
  <c r="T5" i="1" s="1"/>
  <c r="AT5" i="1"/>
  <c r="AX5" i="1" s="1"/>
  <c r="K7" i="1"/>
  <c r="O7" i="1" s="1"/>
  <c r="AM7" i="1"/>
  <c r="AQ7" i="1" s="1"/>
  <c r="BM7" i="1"/>
  <c r="BH9" i="1"/>
  <c r="BL9" i="1" s="1"/>
  <c r="AT10" i="1"/>
  <c r="AX10" i="1" s="1"/>
  <c r="K12" i="1"/>
  <c r="AM12" i="1"/>
  <c r="AQ12" i="1" s="1"/>
  <c r="K14" i="1"/>
  <c r="O14" i="1" s="1"/>
  <c r="AF14" i="1"/>
  <c r="AH14" i="1" s="1"/>
  <c r="BH14" i="1"/>
  <c r="BJ14" i="1" s="1"/>
  <c r="R16" i="1"/>
  <c r="K20" i="1"/>
  <c r="R21" i="1"/>
  <c r="T21" i="1" s="1"/>
  <c r="BH21" i="1"/>
  <c r="M22" i="1"/>
  <c r="AM22" i="1"/>
  <c r="BH22" i="1"/>
  <c r="BJ22" i="1" s="1"/>
  <c r="AF23" i="1"/>
  <c r="AF24" i="1"/>
  <c r="AT24" i="1"/>
  <c r="AX24" i="1" s="1"/>
  <c r="BE25" i="1"/>
  <c r="AA29" i="1"/>
  <c r="AT33" i="1"/>
  <c r="BM33" i="1"/>
  <c r="K35" i="1"/>
  <c r="O35" i="1" s="1"/>
  <c r="AF35" i="1"/>
  <c r="AH35" i="1" s="1"/>
  <c r="BM35" i="1"/>
  <c r="AF47" i="1"/>
  <c r="BE47" i="1"/>
  <c r="AT49" i="1"/>
  <c r="K51" i="1"/>
  <c r="BH51" i="1"/>
  <c r="O52" i="1"/>
  <c r="AQ52" i="1"/>
  <c r="AF57" i="1"/>
  <c r="BH57" i="1"/>
  <c r="T58" i="1"/>
  <c r="R60" i="1"/>
  <c r="T60" i="1" s="1"/>
  <c r="BH4" i="1"/>
  <c r="BL4" i="1" s="1"/>
  <c r="BE10" i="1"/>
  <c r="AF16" i="1"/>
  <c r="AH16" i="1" s="1"/>
  <c r="BH16" i="1"/>
  <c r="AF49" i="1"/>
  <c r="BM49" i="1"/>
  <c r="R51" i="1"/>
  <c r="AM51" i="1"/>
  <c r="AQ51" i="1" s="1"/>
  <c r="BP55" i="1"/>
  <c r="Y60" i="1"/>
  <c r="AC60" i="1" s="1"/>
  <c r="Y4" i="1"/>
  <c r="AC4" i="1" s="1"/>
  <c r="AJ5" i="1"/>
  <c r="BL5" i="1"/>
  <c r="AF7" i="1"/>
  <c r="BH7" i="1"/>
  <c r="O8" i="1"/>
  <c r="AH8" i="1"/>
  <c r="K10" i="1"/>
  <c r="O10" i="1" s="1"/>
  <c r="AF10" i="1"/>
  <c r="AH10" i="1" s="1"/>
  <c r="BH10" i="1"/>
  <c r="BJ10" i="1" s="1"/>
  <c r="R12" i="1"/>
  <c r="V12" i="1" s="1"/>
  <c r="AT14" i="1"/>
  <c r="AV14" i="1" s="1"/>
  <c r="K16" i="1"/>
  <c r="AM16" i="1"/>
  <c r="AQ16" i="1" s="1"/>
  <c r="BH19" i="1"/>
  <c r="BJ19" i="1" s="1"/>
  <c r="R20" i="1"/>
  <c r="T20" i="1" s="1"/>
  <c r="AO20" i="1"/>
  <c r="BM20" i="1"/>
  <c r="AT21" i="1"/>
  <c r="AV21" i="1" s="1"/>
  <c r="AT22" i="1"/>
  <c r="AV22" i="1" s="1"/>
  <c r="AX23" i="1"/>
  <c r="Y26" i="1"/>
  <c r="AA26" i="1" s="1"/>
  <c r="AH29" i="1"/>
  <c r="BJ29" i="1"/>
  <c r="BA34" i="1"/>
  <c r="BE34" i="1" s="1"/>
  <c r="BE35" i="1"/>
  <c r="BL47" i="1"/>
  <c r="K49" i="1"/>
  <c r="M49" i="1" s="1"/>
  <c r="BE49" i="1"/>
  <c r="AT51" i="1"/>
  <c r="BM51" i="1"/>
  <c r="R10" i="1"/>
  <c r="AM10" i="1"/>
  <c r="AQ10" i="1" s="1"/>
  <c r="BM10" i="1"/>
  <c r="AF12" i="1"/>
  <c r="AH12" i="1" s="1"/>
  <c r="BH12" i="1"/>
  <c r="BE14" i="1"/>
  <c r="AT16" i="1"/>
  <c r="BM16" i="1"/>
  <c r="AF20" i="1"/>
  <c r="AT20" i="1"/>
  <c r="BC21" i="1"/>
  <c r="AM26" i="1"/>
  <c r="AQ26" i="1" s="1"/>
  <c r="AT35" i="1"/>
  <c r="BH35" i="1"/>
  <c r="BL35" i="1" s="1"/>
  <c r="AF51" i="1"/>
  <c r="BE5" i="1"/>
  <c r="BC5" i="1"/>
  <c r="BE9" i="1"/>
  <c r="BC9" i="1"/>
  <c r="BE13" i="1"/>
  <c r="BC13" i="1"/>
  <c r="T17" i="1"/>
  <c r="V17" i="1"/>
  <c r="BC7" i="1"/>
  <c r="BE7" i="1"/>
  <c r="T19" i="1"/>
  <c r="V19" i="1"/>
  <c r="V18" i="1"/>
  <c r="BJ4" i="1"/>
  <c r="AH6" i="1"/>
  <c r="T7" i="1"/>
  <c r="AA8" i="1"/>
  <c r="BC8" i="1"/>
  <c r="R4" i="1"/>
  <c r="AA4" i="1"/>
  <c r="AT4" i="1"/>
  <c r="AO5" i="1"/>
  <c r="R6" i="1"/>
  <c r="AT6" i="1"/>
  <c r="M7" i="1"/>
  <c r="AO7" i="1"/>
  <c r="T8" i="1"/>
  <c r="AV8" i="1"/>
  <c r="O9" i="1"/>
  <c r="AJ9" i="1"/>
  <c r="BE12" i="1"/>
  <c r="Y13" i="1"/>
  <c r="BL14" i="1"/>
  <c r="BM15" i="1"/>
  <c r="AM15" i="1"/>
  <c r="K15" i="1"/>
  <c r="R15" i="1"/>
  <c r="AF15" i="1"/>
  <c r="BC15" i="1"/>
  <c r="AF17" i="1"/>
  <c r="K4" i="1"/>
  <c r="AM4" i="1"/>
  <c r="Y5" i="1"/>
  <c r="K6" i="1"/>
  <c r="AM6" i="1"/>
  <c r="BM6" i="1"/>
  <c r="Y7" i="1"/>
  <c r="M8" i="1"/>
  <c r="R9" i="1"/>
  <c r="AJ12" i="1"/>
  <c r="AT15" i="1"/>
  <c r="BH15" i="1"/>
  <c r="V16" i="1"/>
  <c r="AO27" i="1"/>
  <c r="AQ27" i="1"/>
  <c r="V34" i="1"/>
  <c r="T34" i="1"/>
  <c r="BM13" i="1"/>
  <c r="AM13" i="1"/>
  <c r="K13" i="1"/>
  <c r="R13" i="1"/>
  <c r="AF13" i="1"/>
  <c r="BA17" i="1"/>
  <c r="Y17" i="1"/>
  <c r="BM17" i="1"/>
  <c r="AM17" i="1"/>
  <c r="K17" i="1"/>
  <c r="BH17" i="1"/>
  <c r="AJ23" i="1"/>
  <c r="AH23" i="1"/>
  <c r="BJ23" i="1"/>
  <c r="AH4" i="1"/>
  <c r="AO12" i="1"/>
  <c r="AT13" i="1"/>
  <c r="BH13" i="1"/>
  <c r="AA15" i="1"/>
  <c r="AO16" i="1"/>
  <c r="BC16" i="1"/>
  <c r="AT17" i="1"/>
  <c r="BM18" i="1"/>
  <c r="AM18" i="1"/>
  <c r="K18" i="1"/>
  <c r="BA18" i="1"/>
  <c r="Y18" i="1"/>
  <c r="AT18" i="1"/>
  <c r="BA19" i="1"/>
  <c r="Y19" i="1"/>
  <c r="BM19" i="1"/>
  <c r="AM19" i="1"/>
  <c r="K19" i="1"/>
  <c r="AT19" i="1"/>
  <c r="BC20" i="1"/>
  <c r="Y6" i="1"/>
  <c r="BA6" i="1"/>
  <c r="AJ4" i="1"/>
  <c r="BM9" i="1"/>
  <c r="AM9" i="1"/>
  <c r="Y9" i="1"/>
  <c r="T16" i="1"/>
  <c r="AF18" i="1"/>
  <c r="AF19" i="1"/>
  <c r="BC23" i="1"/>
  <c r="BE23" i="1"/>
  <c r="V23" i="1"/>
  <c r="V24" i="1"/>
  <c r="Y10" i="1"/>
  <c r="Y12" i="1"/>
  <c r="Y14" i="1"/>
  <c r="Y16" i="1"/>
  <c r="BN16" i="1" s="1"/>
  <c r="Y20" i="1"/>
  <c r="K21" i="1"/>
  <c r="AM21" i="1"/>
  <c r="BM21" i="1"/>
  <c r="Y22" i="1"/>
  <c r="K23" i="1"/>
  <c r="AM23" i="1"/>
  <c r="BM23" i="1"/>
  <c r="Y24" i="1"/>
  <c r="BH25" i="1"/>
  <c r="AF25" i="1"/>
  <c r="R25" i="1"/>
  <c r="BM25" i="1"/>
  <c r="K26" i="1"/>
  <c r="BH26" i="1"/>
  <c r="AX29" i="1"/>
  <c r="AV29" i="1"/>
  <c r="M33" i="1"/>
  <c r="BL33" i="1"/>
  <c r="BJ33" i="1"/>
  <c r="AT34" i="1"/>
  <c r="BA27" i="1"/>
  <c r="BH27" i="1"/>
  <c r="AF27" i="1"/>
  <c r="R27" i="1"/>
  <c r="H90" i="2"/>
  <c r="N90" i="2" s="1"/>
  <c r="H89" i="2"/>
  <c r="N89" i="2" s="1"/>
  <c r="F28" i="1"/>
  <c r="AJ33" i="1"/>
  <c r="AH33" i="1"/>
  <c r="M47" i="1"/>
  <c r="O47" i="1"/>
  <c r="BL48" i="1"/>
  <c r="BJ48" i="1"/>
  <c r="Y21" i="1"/>
  <c r="Y23" i="1"/>
  <c r="M25" i="1"/>
  <c r="BA26" i="1"/>
  <c r="AT27" i="1"/>
  <c r="H88" i="2"/>
  <c r="N88" i="2" s="1"/>
  <c r="H87" i="2"/>
  <c r="N87" i="2" s="1"/>
  <c r="D29" i="1"/>
  <c r="BC29" i="1"/>
  <c r="AX59" i="1"/>
  <c r="AV59" i="1"/>
  <c r="AT26" i="1"/>
  <c r="R26" i="1"/>
  <c r="AF26" i="1"/>
  <c r="K27" i="1"/>
  <c r="Y27" i="1"/>
  <c r="BM27" i="1"/>
  <c r="BN29" i="1"/>
  <c r="V29" i="1"/>
  <c r="T29" i="1"/>
  <c r="BE33" i="1"/>
  <c r="BH34" i="1"/>
  <c r="AF34" i="1"/>
  <c r="BM34" i="1"/>
  <c r="AM34" i="1"/>
  <c r="K34" i="1"/>
  <c r="Y34" i="1"/>
  <c r="AJ35" i="1"/>
  <c r="H92" i="2"/>
  <c r="N92" i="2" s="1"/>
  <c r="H91" i="2"/>
  <c r="N91" i="2" s="1"/>
  <c r="Y33" i="1"/>
  <c r="BN33" i="1" s="1"/>
  <c r="Y35" i="1"/>
  <c r="AV47" i="1"/>
  <c r="AF48" i="1"/>
  <c r="O49" i="1"/>
  <c r="AT50" i="1"/>
  <c r="R50" i="1"/>
  <c r="BM50" i="1"/>
  <c r="AM50" i="1"/>
  <c r="K50" i="1"/>
  <c r="Y50" i="1"/>
  <c r="BJ50" i="1"/>
  <c r="AO51" i="1"/>
  <c r="BE51" i="1"/>
  <c r="T52" i="1"/>
  <c r="V52" i="1"/>
  <c r="AV52" i="1"/>
  <c r="AX52" i="1"/>
  <c r="AO57" i="1"/>
  <c r="BH58" i="1"/>
  <c r="AF58" i="1"/>
  <c r="BA58" i="1"/>
  <c r="Y58" i="1"/>
  <c r="AT58" i="1"/>
  <c r="BA48" i="1"/>
  <c r="M51" i="1"/>
  <c r="O51" i="1"/>
  <c r="BP56" i="1"/>
  <c r="M57" i="1"/>
  <c r="AV57" i="1"/>
  <c r="BJ57" i="1"/>
  <c r="BL57" i="1"/>
  <c r="BM58" i="1"/>
  <c r="R59" i="1"/>
  <c r="AM59" i="1"/>
  <c r="BM60" i="1"/>
  <c r="AM60" i="1"/>
  <c r="BH60" i="1"/>
  <c r="AF60" i="1"/>
  <c r="AT60" i="1"/>
  <c r="AO47" i="1"/>
  <c r="AQ47" i="1"/>
  <c r="BC50" i="1"/>
  <c r="BE50" i="1"/>
  <c r="AH57" i="1"/>
  <c r="AJ57" i="1"/>
  <c r="Y59" i="1"/>
  <c r="AT48" i="1"/>
  <c r="R48" i="1"/>
  <c r="BM48" i="1"/>
  <c r="AM48" i="1"/>
  <c r="K48" i="1"/>
  <c r="Y48" i="1"/>
  <c r="AO49" i="1"/>
  <c r="AQ49" i="1"/>
  <c r="AO58" i="1"/>
  <c r="AQ58" i="1"/>
  <c r="BH59" i="1"/>
  <c r="BA59" i="1"/>
  <c r="AF59" i="1"/>
  <c r="AH59" i="1" s="1"/>
  <c r="BM59" i="1"/>
  <c r="V60" i="1"/>
  <c r="Y47" i="1"/>
  <c r="BN47" i="1" s="1"/>
  <c r="Y49" i="1"/>
  <c r="Y51" i="1"/>
  <c r="M52" i="1"/>
  <c r="R57" i="1"/>
  <c r="H96" i="2" l="1"/>
  <c r="I96" i="2" s="1"/>
  <c r="O96" i="2" s="1"/>
  <c r="O61" i="2"/>
  <c r="F88" i="2"/>
  <c r="F87" i="2"/>
  <c r="I90" i="2"/>
  <c r="O90" i="2" s="1"/>
  <c r="I89" i="2"/>
  <c r="O89" i="2" s="1"/>
  <c r="O24" i="1"/>
  <c r="BL19" i="1"/>
  <c r="BJ35" i="1"/>
  <c r="BJ24" i="1"/>
  <c r="BL22" i="1"/>
  <c r="V21" i="1"/>
  <c r="AH50" i="1"/>
  <c r="AQ25" i="1"/>
  <c r="AJ21" i="1"/>
  <c r="AX25" i="1"/>
  <c r="AV24" i="1"/>
  <c r="BL20" i="1"/>
  <c r="AO14" i="1"/>
  <c r="BL6" i="1"/>
  <c r="V5" i="1"/>
  <c r="AV5" i="1"/>
  <c r="AX12" i="1"/>
  <c r="T49" i="1"/>
  <c r="AJ22" i="1"/>
  <c r="V22" i="1"/>
  <c r="BN35" i="1"/>
  <c r="AO35" i="1"/>
  <c r="M35" i="1"/>
  <c r="AC57" i="1"/>
  <c r="AV7" i="1"/>
  <c r="AJ14" i="1"/>
  <c r="AX14" i="1"/>
  <c r="BL10" i="1"/>
  <c r="M5" i="1"/>
  <c r="T35" i="1"/>
  <c r="T14" i="1"/>
  <c r="BL49" i="1"/>
  <c r="BN25" i="1"/>
  <c r="AX22" i="1"/>
  <c r="BC57" i="1"/>
  <c r="BE57" i="1"/>
  <c r="T12" i="1"/>
  <c r="AO26" i="1"/>
  <c r="AX9" i="1"/>
  <c r="BC4" i="1"/>
  <c r="AX21" i="1"/>
  <c r="AJ10" i="1"/>
  <c r="AO10" i="1"/>
  <c r="M14" i="1"/>
  <c r="AA25" i="1"/>
  <c r="AQ24" i="1"/>
  <c r="AO24" i="1"/>
  <c r="AQ33" i="1"/>
  <c r="AO33" i="1"/>
  <c r="BO29" i="1"/>
  <c r="V33" i="1"/>
  <c r="T33" i="1"/>
  <c r="AH51" i="1"/>
  <c r="AJ51" i="1"/>
  <c r="AA60" i="1"/>
  <c r="BC34" i="1"/>
  <c r="AC26" i="1"/>
  <c r="BN12" i="1"/>
  <c r="M10" i="1"/>
  <c r="V20" i="1"/>
  <c r="BL18" i="1"/>
  <c r="AV10" i="1"/>
  <c r="AJ16" i="1"/>
  <c r="BJ9" i="1"/>
  <c r="AV20" i="1"/>
  <c r="AX20" i="1"/>
  <c r="O16" i="1"/>
  <c r="M16" i="1"/>
  <c r="AH49" i="1"/>
  <c r="AJ49" i="1"/>
  <c r="BJ21" i="1"/>
  <c r="BL21" i="1"/>
  <c r="O12" i="1"/>
  <c r="M12" i="1"/>
  <c r="BO8" i="1"/>
  <c r="BP8" i="1" s="1"/>
  <c r="AX35" i="1"/>
  <c r="AV35" i="1"/>
  <c r="AH20" i="1"/>
  <c r="AJ20" i="1"/>
  <c r="BJ12" i="1"/>
  <c r="BL12" i="1"/>
  <c r="V10" i="1"/>
  <c r="T10" i="1"/>
  <c r="BJ16" i="1"/>
  <c r="BL16" i="1"/>
  <c r="BJ7" i="1"/>
  <c r="BL7" i="1"/>
  <c r="V51" i="1"/>
  <c r="T51" i="1"/>
  <c r="AH47" i="1"/>
  <c r="AJ47" i="1"/>
  <c r="AX33" i="1"/>
  <c r="AV33" i="1"/>
  <c r="AQ22" i="1"/>
  <c r="AO22" i="1"/>
  <c r="O20" i="1"/>
  <c r="M20" i="1"/>
  <c r="AV16" i="1"/>
  <c r="AX16" i="1"/>
  <c r="AX51" i="1"/>
  <c r="AV51" i="1"/>
  <c r="AH7" i="1"/>
  <c r="AJ7" i="1"/>
  <c r="BJ51" i="1"/>
  <c r="BL51" i="1"/>
  <c r="AX49" i="1"/>
  <c r="AV49" i="1"/>
  <c r="AH24" i="1"/>
  <c r="AJ24" i="1"/>
  <c r="BN60" i="1"/>
  <c r="M60" i="1"/>
  <c r="O60" i="1"/>
  <c r="BC48" i="1"/>
  <c r="BE48" i="1"/>
  <c r="BE59" i="1"/>
  <c r="BC59" i="1"/>
  <c r="O48" i="1"/>
  <c r="BN48" i="1"/>
  <c r="M48" i="1"/>
  <c r="T48" i="1"/>
  <c r="V48" i="1"/>
  <c r="AO60" i="1"/>
  <c r="AQ60" i="1"/>
  <c r="AQ48" i="1"/>
  <c r="AO48" i="1"/>
  <c r="BN58" i="1"/>
  <c r="M58" i="1"/>
  <c r="O58" i="1"/>
  <c r="BO52" i="1"/>
  <c r="BP52" i="1" s="1"/>
  <c r="BN34" i="1"/>
  <c r="M34" i="1"/>
  <c r="O34" i="1"/>
  <c r="BJ34" i="1"/>
  <c r="BL34" i="1"/>
  <c r="AJ26" i="1"/>
  <c r="AH26" i="1"/>
  <c r="AC23" i="1"/>
  <c r="AA23" i="1"/>
  <c r="BL26" i="1"/>
  <c r="BJ26" i="1"/>
  <c r="AC24" i="1"/>
  <c r="AA24" i="1"/>
  <c r="O21" i="1"/>
  <c r="BN21" i="1"/>
  <c r="M21" i="1"/>
  <c r="AA49" i="1"/>
  <c r="AC49" i="1"/>
  <c r="BJ59" i="1"/>
  <c r="BL59" i="1"/>
  <c r="BL60" i="1"/>
  <c r="BJ60" i="1"/>
  <c r="AO59" i="1"/>
  <c r="AQ59" i="1"/>
  <c r="AX58" i="1"/>
  <c r="AV58" i="1"/>
  <c r="BJ58" i="1"/>
  <c r="BL58" i="1"/>
  <c r="O50" i="1"/>
  <c r="BN50" i="1"/>
  <c r="M50" i="1"/>
  <c r="T50" i="1"/>
  <c r="V50" i="1"/>
  <c r="BN49" i="1"/>
  <c r="AA35" i="1"/>
  <c r="AC35" i="1"/>
  <c r="AO34" i="1"/>
  <c r="AQ34" i="1"/>
  <c r="AX27" i="1"/>
  <c r="AV27" i="1"/>
  <c r="AC21" i="1"/>
  <c r="AA21" i="1"/>
  <c r="AJ27" i="1"/>
  <c r="AH27" i="1"/>
  <c r="AX34" i="1"/>
  <c r="AV34" i="1"/>
  <c r="BN26" i="1"/>
  <c r="O26" i="1"/>
  <c r="M26" i="1"/>
  <c r="AJ25" i="1"/>
  <c r="AH25" i="1"/>
  <c r="AC22" i="1"/>
  <c r="AA22" i="1"/>
  <c r="BN22" i="1"/>
  <c r="AC20" i="1"/>
  <c r="AA20" i="1"/>
  <c r="AA10" i="1"/>
  <c r="BN10" i="1"/>
  <c r="AC10" i="1"/>
  <c r="AH18" i="1"/>
  <c r="AJ18" i="1"/>
  <c r="BN20" i="1"/>
  <c r="AV19" i="1"/>
  <c r="AX19" i="1"/>
  <c r="AC19" i="1"/>
  <c r="AA19" i="1"/>
  <c r="AC18" i="1"/>
  <c r="AA18" i="1"/>
  <c r="AV13" i="1"/>
  <c r="AX13" i="1"/>
  <c r="AH13" i="1"/>
  <c r="AJ13" i="1"/>
  <c r="O6" i="1"/>
  <c r="BN6" i="1"/>
  <c r="M6" i="1"/>
  <c r="M4" i="1"/>
  <c r="O4" i="1"/>
  <c r="BN4" i="1"/>
  <c r="T15" i="1"/>
  <c r="V15" i="1"/>
  <c r="AV60" i="1"/>
  <c r="AX60" i="1"/>
  <c r="AC58" i="1"/>
  <c r="AA58" i="1"/>
  <c r="AO50" i="1"/>
  <c r="AQ50" i="1"/>
  <c r="AV50" i="1"/>
  <c r="AX50" i="1"/>
  <c r="AJ48" i="1"/>
  <c r="AH48" i="1"/>
  <c r="AA33" i="1"/>
  <c r="AC33" i="1"/>
  <c r="AC27" i="1"/>
  <c r="AA27" i="1"/>
  <c r="T26" i="1"/>
  <c r="V26" i="1"/>
  <c r="BJ27" i="1"/>
  <c r="BL27" i="1"/>
  <c r="BL25" i="1"/>
  <c r="BJ25" i="1"/>
  <c r="AC16" i="1"/>
  <c r="AA16" i="1"/>
  <c r="BC6" i="1"/>
  <c r="BE6" i="1"/>
  <c r="O19" i="1"/>
  <c r="BN19" i="1"/>
  <c r="M19" i="1"/>
  <c r="BE19" i="1"/>
  <c r="BC19" i="1"/>
  <c r="BE18" i="1"/>
  <c r="BC18" i="1"/>
  <c r="AV17" i="1"/>
  <c r="AX17" i="1"/>
  <c r="BJ17" i="1"/>
  <c r="BL17" i="1"/>
  <c r="AC17" i="1"/>
  <c r="AA17" i="1"/>
  <c r="T13" i="1"/>
  <c r="V13" i="1"/>
  <c r="AC7" i="1"/>
  <c r="AA7" i="1"/>
  <c r="AA5" i="1"/>
  <c r="AC5" i="1"/>
  <c r="AH17" i="1"/>
  <c r="AJ17" i="1"/>
  <c r="O15" i="1"/>
  <c r="M15" i="1"/>
  <c r="BN15" i="1"/>
  <c r="BN7" i="1"/>
  <c r="AX6" i="1"/>
  <c r="AV6" i="1"/>
  <c r="V4" i="1"/>
  <c r="T4" i="1"/>
  <c r="BN57" i="1"/>
  <c r="V57" i="1"/>
  <c r="T57" i="1"/>
  <c r="AA47" i="1"/>
  <c r="AC47" i="1"/>
  <c r="T59" i="1"/>
  <c r="V59" i="1"/>
  <c r="AC59" i="1"/>
  <c r="AA59" i="1"/>
  <c r="AC34" i="1"/>
  <c r="AA34" i="1"/>
  <c r="AJ34" i="1"/>
  <c r="AH34" i="1"/>
  <c r="BN27" i="1"/>
  <c r="M27" i="1"/>
  <c r="O27" i="1"/>
  <c r="AX26" i="1"/>
  <c r="AV26" i="1"/>
  <c r="BC26" i="1"/>
  <c r="BE26" i="1"/>
  <c r="BE27" i="1"/>
  <c r="BC27" i="1"/>
  <c r="AQ23" i="1"/>
  <c r="AO23" i="1"/>
  <c r="AQ21" i="1"/>
  <c r="AO21" i="1"/>
  <c r="BN14" i="1"/>
  <c r="AC14" i="1"/>
  <c r="AA14" i="1"/>
  <c r="AC9" i="1"/>
  <c r="AA9" i="1"/>
  <c r="AC6" i="1"/>
  <c r="AA6" i="1"/>
  <c r="AQ19" i="1"/>
  <c r="AO19" i="1"/>
  <c r="O18" i="1"/>
  <c r="BN18" i="1"/>
  <c r="M18" i="1"/>
  <c r="O17" i="1"/>
  <c r="BN17" i="1"/>
  <c r="M17" i="1"/>
  <c r="BE17" i="1"/>
  <c r="BC17" i="1"/>
  <c r="BN13" i="1"/>
  <c r="O13" i="1"/>
  <c r="M13" i="1"/>
  <c r="BL15" i="1"/>
  <c r="BJ15" i="1"/>
  <c r="V9" i="1"/>
  <c r="T9" i="1"/>
  <c r="AO15" i="1"/>
  <c r="AQ15" i="1"/>
  <c r="V6" i="1"/>
  <c r="T6" i="1"/>
  <c r="BN9" i="1"/>
  <c r="AA48" i="1"/>
  <c r="AC48" i="1"/>
  <c r="BE58" i="1"/>
  <c r="BC58" i="1"/>
  <c r="AC51" i="1"/>
  <c r="AA51" i="1"/>
  <c r="BN59" i="1"/>
  <c r="M59" i="1"/>
  <c r="O59" i="1"/>
  <c r="AV48" i="1"/>
  <c r="AX48" i="1"/>
  <c r="AJ60" i="1"/>
  <c r="AH60" i="1"/>
  <c r="BN51" i="1"/>
  <c r="AH58" i="1"/>
  <c r="AJ58" i="1"/>
  <c r="AA50" i="1"/>
  <c r="AC50" i="1"/>
  <c r="BP29" i="1"/>
  <c r="V27" i="1"/>
  <c r="T27" i="1"/>
  <c r="V25" i="1"/>
  <c r="T25" i="1"/>
  <c r="O23" i="1"/>
  <c r="BN23" i="1"/>
  <c r="M23" i="1"/>
  <c r="AC12" i="1"/>
  <c r="AA12" i="1"/>
  <c r="AH19" i="1"/>
  <c r="AJ19" i="1"/>
  <c r="AQ9" i="1"/>
  <c r="AO9" i="1"/>
  <c r="AV18" i="1"/>
  <c r="AX18" i="1"/>
  <c r="AQ18" i="1"/>
  <c r="AO18" i="1"/>
  <c r="BL13" i="1"/>
  <c r="BJ13" i="1"/>
  <c r="BN24" i="1"/>
  <c r="AQ17" i="1"/>
  <c r="AO17" i="1"/>
  <c r="AQ13" i="1"/>
  <c r="AO13" i="1"/>
  <c r="AV15" i="1"/>
  <c r="AX15" i="1"/>
  <c r="AQ6" i="1"/>
  <c r="AO6" i="1"/>
  <c r="AQ4" i="1"/>
  <c r="AO4" i="1"/>
  <c r="AJ15" i="1"/>
  <c r="AH15" i="1"/>
  <c r="AC13" i="1"/>
  <c r="AA13" i="1"/>
  <c r="BN5" i="1"/>
  <c r="AV4" i="1"/>
  <c r="AX4" i="1"/>
  <c r="N96" i="2" l="1"/>
  <c r="BO20" i="1"/>
  <c r="BO35" i="1"/>
  <c r="BP35" i="1" s="1"/>
  <c r="BO12" i="1"/>
  <c r="BP12" i="1" s="1"/>
  <c r="BO14" i="1"/>
  <c r="BP14" i="1" s="1"/>
  <c r="BO57" i="1"/>
  <c r="BP57" i="1" s="1"/>
  <c r="BO47" i="1"/>
  <c r="BP47" i="1" s="1"/>
  <c r="BO19" i="1"/>
  <c r="BP19" i="1" s="1"/>
  <c r="BO33" i="1"/>
  <c r="BP33" i="1" s="1"/>
  <c r="BO21" i="1"/>
  <c r="BP21" i="1" s="1"/>
  <c r="BO16" i="1"/>
  <c r="BP16" i="1" s="1"/>
  <c r="BO9" i="1"/>
  <c r="BP9" i="1" s="1"/>
  <c r="BO23" i="1"/>
  <c r="BP23" i="1" s="1"/>
  <c r="BO7" i="1"/>
  <c r="BO6" i="1"/>
  <c r="BP6" i="1" s="1"/>
  <c r="BO22" i="1"/>
  <c r="BP22" i="1" s="1"/>
  <c r="BO49" i="1"/>
  <c r="BP49" i="1" s="1"/>
  <c r="BO24" i="1"/>
  <c r="BP24" i="1" s="1"/>
  <c r="BO10" i="1"/>
  <c r="BO50" i="1"/>
  <c r="BP50" i="1" s="1"/>
  <c r="BO18" i="1"/>
  <c r="BP18" i="1" s="1"/>
  <c r="BO48" i="1"/>
  <c r="BP48" i="1" s="1"/>
  <c r="BO4" i="1"/>
  <c r="BP4" i="1" s="1"/>
  <c r="K54" i="1"/>
  <c r="BN54" i="1" s="1"/>
  <c r="BM54" i="1"/>
  <c r="BO51" i="1"/>
  <c r="BP51" i="1" s="1"/>
  <c r="BP7" i="1"/>
  <c r="BO27" i="1"/>
  <c r="BP27" i="1" s="1"/>
  <c r="BP10" i="1"/>
  <c r="BO58" i="1"/>
  <c r="BP58" i="1" s="1"/>
  <c r="BO60" i="1"/>
  <c r="BP60" i="1" s="1"/>
  <c r="BO26" i="1"/>
  <c r="BP26" i="1" s="1"/>
  <c r="BO34" i="1"/>
  <c r="BP34" i="1" s="1"/>
  <c r="BO15" i="1"/>
  <c r="BP15" i="1" s="1"/>
  <c r="BO17" i="1"/>
  <c r="BP17" i="1" s="1"/>
  <c r="BO25" i="1"/>
  <c r="BP25" i="1" s="1"/>
  <c r="BP20" i="1"/>
  <c r="BO13" i="1"/>
  <c r="BP13" i="1" s="1"/>
  <c r="BO59" i="1"/>
  <c r="BP59" i="1" s="1"/>
  <c r="BO5" i="1"/>
  <c r="BP5" i="1" s="1"/>
  <c r="BP54" i="1" l="1"/>
  <c r="H81" i="2" l="1"/>
  <c r="H67" i="2"/>
  <c r="H3" i="2"/>
  <c r="N3" i="2" s="1"/>
  <c r="I67" i="2" l="1"/>
  <c r="O67" i="2" s="1"/>
  <c r="N67" i="2"/>
  <c r="O57" i="2"/>
  <c r="N57" i="2"/>
  <c r="I81" i="2"/>
  <c r="O81" i="2" s="1"/>
  <c r="N81" i="2"/>
  <c r="I3" i="2"/>
  <c r="O3" i="2" l="1"/>
  <c r="F11" i="1"/>
  <c r="K11" i="1" s="1"/>
  <c r="BH11" i="1"/>
  <c r="BL11" i="1" s="1"/>
  <c r="BL53" i="1" s="1"/>
  <c r="H55" i="2"/>
  <c r="N55" i="2" s="1"/>
  <c r="H83" i="2"/>
  <c r="H69" i="2"/>
  <c r="I69" i="2" l="1"/>
  <c r="O69" i="2" s="1"/>
  <c r="N69" i="2"/>
  <c r="I1" i="2"/>
  <c r="O55" i="2"/>
  <c r="I83" i="2"/>
  <c r="O83" i="2" s="1"/>
  <c r="N83" i="2"/>
  <c r="H59" i="2"/>
  <c r="I59" i="2" s="1"/>
  <c r="F53" i="1"/>
  <c r="BM53" i="1" s="1"/>
  <c r="AT11" i="1"/>
  <c r="H98" i="2"/>
  <c r="H5" i="2"/>
  <c r="BH53" i="1"/>
  <c r="BM11" i="1"/>
  <c r="R11" i="1"/>
  <c r="BJ11" i="1"/>
  <c r="BJ53" i="1" s="1"/>
  <c r="F62" i="1"/>
  <c r="AF11" i="1"/>
  <c r="BA11" i="1"/>
  <c r="AM11" i="1"/>
  <c r="Y11" i="1"/>
  <c r="M11" i="1"/>
  <c r="M53" i="1" s="1"/>
  <c r="K53" i="1"/>
  <c r="O11" i="1"/>
  <c r="O53" i="1" s="1"/>
  <c r="K1" i="2"/>
  <c r="AX11" i="1"/>
  <c r="AX53" i="1" s="1"/>
  <c r="V11" i="1"/>
  <c r="V53" i="1" s="1"/>
  <c r="I98" i="2" l="1"/>
  <c r="O98" i="2" s="1"/>
  <c r="N98" i="2"/>
  <c r="I5" i="2"/>
  <c r="N5" i="2"/>
  <c r="O59" i="2"/>
  <c r="N59" i="2"/>
  <c r="T11" i="1"/>
  <c r="T53" i="1" s="1"/>
  <c r="R53" i="1"/>
  <c r="AV11" i="1"/>
  <c r="AV53" i="1" s="1"/>
  <c r="AT53" i="1"/>
  <c r="P1" i="2"/>
  <c r="O1" i="2" s="1"/>
  <c r="F65" i="1"/>
  <c r="AC11" i="1"/>
  <c r="AC53" i="1" s="1"/>
  <c r="Y53" i="1"/>
  <c r="AM53" i="1"/>
  <c r="AO11" i="1"/>
  <c r="AO53" i="1" s="1"/>
  <c r="AQ11" i="1"/>
  <c r="AQ53" i="1" s="1"/>
  <c r="BN11" i="1"/>
  <c r="BE11" i="1"/>
  <c r="BA53" i="1"/>
  <c r="BC11" i="1"/>
  <c r="BC53" i="1" s="1"/>
  <c r="AA11" i="1"/>
  <c r="AA53" i="1" s="1"/>
  <c r="AF53" i="1"/>
  <c r="AH11" i="1"/>
  <c r="AH53" i="1" s="1"/>
  <c r="AJ11" i="1"/>
  <c r="AJ53" i="1" s="1"/>
  <c r="H1" i="2" l="1"/>
  <c r="O5" i="2"/>
  <c r="BN53" i="1"/>
  <c r="BO11" i="1"/>
  <c r="BP11" i="1" s="1"/>
  <c r="BE53" i="1"/>
  <c r="BO53" i="1" s="1"/>
  <c r="BP53" i="1" l="1"/>
</calcChain>
</file>

<file path=xl/sharedStrings.xml><?xml version="1.0" encoding="utf-8"?>
<sst xmlns="http://schemas.openxmlformats.org/spreadsheetml/2006/main" count="2004" uniqueCount="303">
  <si>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</si>
  <si>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</si>
  <si>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</si>
  <si>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</si>
  <si>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</si>
  <si>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</si>
  <si>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</si>
  <si>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</si>
  <si>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</si>
  <si>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Unit 1 &amp; 2</t>
  </si>
  <si>
    <t>Unit 3 and 4 CC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</si>
  <si>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</si>
  <si>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</si>
  <si>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</si>
  <si>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</si>
  <si>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</si>
  <si>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</si>
  <si>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</si>
  <si>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</si>
  <si>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</si>
  <si>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</si>
  <si>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</si>
  <si>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Design bulkhead for intake and discharge tunnel</t>
  </si>
  <si>
    <t>ls</t>
  </si>
  <si>
    <t>Perform environmental survey of above grade structures</t>
  </si>
  <si>
    <t>Storm Water Prevention Plan</t>
  </si>
  <si>
    <t>General</t>
  </si>
  <si>
    <t>Mob./Demob.</t>
  </si>
  <si>
    <t>Pavement Repairs</t>
  </si>
  <si>
    <t>sf</t>
  </si>
  <si>
    <t>Utility Disconnects</t>
  </si>
  <si>
    <t>Install Bulkhead in Intake &amp; Discharge Tunnel</t>
  </si>
  <si>
    <t>Install Electrical for Decommisioning Work</t>
  </si>
  <si>
    <t>Grade and Seeding</t>
  </si>
  <si>
    <t>Unit 1&amp; 2</t>
  </si>
  <si>
    <t>Demo</t>
  </si>
  <si>
    <t>nt</t>
  </si>
  <si>
    <t>FE Sales</t>
  </si>
  <si>
    <t>AL Sales</t>
  </si>
  <si>
    <t>lbs</t>
  </si>
  <si>
    <t>CU Sales</t>
  </si>
  <si>
    <t>SS Sales</t>
  </si>
  <si>
    <t>Turbine Foundations Concrete</t>
  </si>
  <si>
    <t>cy</t>
  </si>
  <si>
    <t>Condenser Tubes (Ti)</t>
  </si>
  <si>
    <t>Transport &amp;  Dispose of Combustibles</t>
  </si>
  <si>
    <t>350' Stack (felling)</t>
  </si>
  <si>
    <t>ea</t>
  </si>
  <si>
    <t>Process and haul brick, block &amp; Concrete</t>
  </si>
  <si>
    <t>Unit &amp; Service Transformers - Demo</t>
  </si>
  <si>
    <t>Unit &amp; Service Transformers- CU Sales</t>
  </si>
  <si>
    <t>Unit &amp; Service Transformers - FE Sales</t>
  </si>
  <si>
    <t>Unit 1 &amp; 2 Precipitators</t>
  </si>
  <si>
    <t>Ancillary Buildings</t>
  </si>
  <si>
    <t xml:space="preserve">Demo </t>
  </si>
  <si>
    <t>Sales</t>
  </si>
  <si>
    <t>Universal Wastes, Grease &amp; Oil Removal</t>
  </si>
  <si>
    <t>Dispose of Refractory in Subtitle D Landfill</t>
  </si>
  <si>
    <t>Units 1 &amp; 2 Boiler ACM</t>
  </si>
  <si>
    <t>Units 1 &amp; 2 Precipitator ACM</t>
  </si>
  <si>
    <t>WBS</t>
  </si>
  <si>
    <t>FERC</t>
  </si>
  <si>
    <t>UNIT</t>
  </si>
  <si>
    <t>COEL</t>
  </si>
  <si>
    <t>PLTCODE</t>
  </si>
  <si>
    <t>QTY</t>
  </si>
  <si>
    <t>UM</t>
  </si>
  <si>
    <t>RATE</t>
  </si>
  <si>
    <t>VALUE</t>
  </si>
  <si>
    <t>COMMENT</t>
  </si>
  <si>
    <t>MATERIALS</t>
  </si>
  <si>
    <t>CLASSIFICATION</t>
  </si>
  <si>
    <t>BUCKET</t>
  </si>
  <si>
    <t>OWNRSHP_PCT</t>
  </si>
  <si>
    <t>OWNER</t>
  </si>
  <si>
    <t>CCATDESC</t>
  </si>
  <si>
    <t>3090481</t>
  </si>
  <si>
    <t>309</t>
  </si>
  <si>
    <t>C</t>
  </si>
  <si>
    <t>CLR</t>
  </si>
  <si>
    <t>DANIEL12-ECO</t>
  </si>
  <si>
    <t>ADMINISTRATIVE &amp; GENERAL OVERHEAD</t>
  </si>
  <si>
    <t/>
  </si>
  <si>
    <t>ECO</t>
  </si>
  <si>
    <t>GULF</t>
  </si>
  <si>
    <t>REMOVAL</t>
  </si>
  <si>
    <t>SCS</t>
  </si>
  <si>
    <t>3080268</t>
  </si>
  <si>
    <t>308</t>
  </si>
  <si>
    <t>LT</t>
  </si>
  <si>
    <t>PERMITS</t>
  </si>
  <si>
    <t>312UND</t>
  </si>
  <si>
    <t>312</t>
  </si>
  <si>
    <t>1LR</t>
  </si>
  <si>
    <t>Precipitators - DEMO</t>
  </si>
  <si>
    <t>BDG</t>
  </si>
  <si>
    <t>MARKUP</t>
  </si>
  <si>
    <t>2LR</t>
  </si>
  <si>
    <t>1MS</t>
  </si>
  <si>
    <t>Precipitators - FE Sales</t>
  </si>
  <si>
    <t>STEEL</t>
  </si>
  <si>
    <t>SALVAGE</t>
  </si>
  <si>
    <t>2MS</t>
  </si>
  <si>
    <t>SCS ENGINEERING</t>
  </si>
  <si>
    <t>GPC ENGINEERING</t>
  </si>
  <si>
    <t>3070201</t>
  </si>
  <si>
    <t>307</t>
  </si>
  <si>
    <t>TEMPORARY CONSTRUCTION SERVICES</t>
  </si>
  <si>
    <t>3080361</t>
  </si>
  <si>
    <t>WRAP-UP AND ALL-RISK INSURANCE</t>
  </si>
  <si>
    <t>3110230</t>
  </si>
  <si>
    <t>311</t>
  </si>
  <si>
    <t>DANIEL12-ASH</t>
  </si>
  <si>
    <t>AC</t>
  </si>
  <si>
    <t>Ash Disposal Pond</t>
  </si>
  <si>
    <t>ASH</t>
  </si>
  <si>
    <t>DANIEL12-NON</t>
  </si>
  <si>
    <t>NON</t>
  </si>
  <si>
    <t>311UND</t>
  </si>
  <si>
    <t>ANCILLARY BUILDINGS - Demo</t>
  </si>
  <si>
    <t>ANICILLARY BUILDINGS - Demo</t>
  </si>
  <si>
    <t>CMS</t>
  </si>
  <si>
    <t>ANCILLARY BUILDINGS - FE SALES</t>
  </si>
  <si>
    <t>MH</t>
  </si>
  <si>
    <t>3070201MO</t>
  </si>
  <si>
    <t>CONTRACTOR MOBILIZATION</t>
  </si>
  <si>
    <t>3080241</t>
  </si>
  <si>
    <t>1LD</t>
  </si>
  <si>
    <t>DISPOSAL</t>
  </si>
  <si>
    <t>2LD</t>
  </si>
  <si>
    <t>3110001LC</t>
  </si>
  <si>
    <t>314052102</t>
  </si>
  <si>
    <t>314</t>
  </si>
  <si>
    <t>307UND</t>
  </si>
  <si>
    <t>Install Electrical for Decommissioning Work</t>
  </si>
  <si>
    <t>Main Power Block - (1) each 350' Stack (felling)</t>
  </si>
  <si>
    <t>Main Power Block - AL Sales</t>
  </si>
  <si>
    <t>ALUMINUM</t>
  </si>
  <si>
    <t>314UND</t>
  </si>
  <si>
    <t>Main Power Block - Condenser Tubes (Titanium)</t>
  </si>
  <si>
    <t>TITANIUM</t>
  </si>
  <si>
    <t>Main Power Block - CU Sales</t>
  </si>
  <si>
    <t>COPPER</t>
  </si>
  <si>
    <t>315UND</t>
  </si>
  <si>
    <t>315</t>
  </si>
  <si>
    <t>Main Power Block - DEMO</t>
  </si>
  <si>
    <t>Main Power Block - FE Sales</t>
  </si>
  <si>
    <t>Main Power Block - SS Sales</t>
  </si>
  <si>
    <t>STAINLESS STEEL</t>
  </si>
  <si>
    <t>Main Power Block - Turbine Foundations Concrete</t>
  </si>
  <si>
    <t>3110061</t>
  </si>
  <si>
    <t>3080268EA</t>
  </si>
  <si>
    <t>3070041</t>
  </si>
  <si>
    <t>MY</t>
  </si>
  <si>
    <t>POWER GENERATION SUPERVISION</t>
  </si>
  <si>
    <t>3111002CN</t>
  </si>
  <si>
    <t>Process, haul and backfill brick &amp; block</t>
  </si>
  <si>
    <t>3070221</t>
  </si>
  <si>
    <t>SECURITY SERVICES</t>
  </si>
  <si>
    <t>3080241SW</t>
  </si>
  <si>
    <t>2% of FERCs 310 and above less "Install Electrical for Decommisioning Work".</t>
  </si>
  <si>
    <t>341UND</t>
  </si>
  <si>
    <t>341</t>
  </si>
  <si>
    <t>CLD</t>
  </si>
  <si>
    <t>Unit &amp; Service Transformers - CU Sales</t>
  </si>
  <si>
    <t>TRANSFORMER</t>
  </si>
  <si>
    <t>Main Substation Transformers - Demo</t>
  </si>
  <si>
    <t>3430000FM</t>
  </si>
  <si>
    <t>343</t>
  </si>
  <si>
    <t>3040000</t>
  </si>
  <si>
    <t>304</t>
  </si>
  <si>
    <t>CONTINGENCY</t>
  </si>
  <si>
    <t>85% of Commons attributed to the Coal Units (1&amp;2).</t>
  </si>
  <si>
    <t>15% of Commons attributed to the CC Units (3&amp;4).</t>
  </si>
  <si>
    <t>Cost to Dismantle at Gulf Power Company Ownership</t>
  </si>
  <si>
    <t>Unit 1</t>
  </si>
  <si>
    <t>Unit 2</t>
  </si>
  <si>
    <t>Common</t>
  </si>
  <si>
    <t>Ownership Percentage</t>
  </si>
  <si>
    <t>Cost of Ownership</t>
  </si>
  <si>
    <t>MPC Dismantlement Study</t>
  </si>
  <si>
    <t>$135,010.76/MY</t>
  </si>
  <si>
    <t>$50,750.31/MY</t>
  </si>
  <si>
    <t>Plant</t>
  </si>
  <si>
    <t>Weight (nt)</t>
  </si>
  <si>
    <t>Asbestos</t>
  </si>
  <si>
    <t>Duration</t>
  </si>
  <si>
    <t>Months</t>
  </si>
  <si>
    <t>5 Tens</t>
  </si>
  <si>
    <t>in Study</t>
  </si>
  <si>
    <t>Diff</t>
  </si>
  <si>
    <t>Diff$</t>
  </si>
  <si>
    <t>24/7</t>
  </si>
  <si>
    <t>TOTAL</t>
  </si>
  <si>
    <t>Chevron</t>
  </si>
  <si>
    <t>2 months</t>
  </si>
  <si>
    <t>CT</t>
  </si>
  <si>
    <t>Daniel</t>
  </si>
  <si>
    <t>yes</t>
  </si>
  <si>
    <t>14 months</t>
  </si>
  <si>
    <t>Coal/CT</t>
  </si>
  <si>
    <t>Sweatt</t>
  </si>
  <si>
    <t>3 months</t>
  </si>
  <si>
    <t>Oil/Gas</t>
  </si>
  <si>
    <t>Watson</t>
  </si>
  <si>
    <t>12 months</t>
  </si>
  <si>
    <t>S02 Scrubber</t>
  </si>
  <si>
    <t>Units 1&amp;2 SO2 Scrubber</t>
  </si>
  <si>
    <t>Concrete Foundations Concrete</t>
  </si>
  <si>
    <t>Concrete Stack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</si>
  <si>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</si>
  <si>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</si>
  <si>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</si>
  <si>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</si>
  <si>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</si>
  <si>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</si>
  <si>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</si>
  <si>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</si>
  <si>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</si>
  <si>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</si>
  <si>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</si>
  <si>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</si>
  <si>
    <t>SO2 SCRUBBER - 600' Stack (felling)</t>
  </si>
  <si>
    <t>SO2 SCRUBBER - Demo FE</t>
  </si>
  <si>
    <t>SO2 SCRUBBER - FE Sales</t>
  </si>
  <si>
    <t>SO2 SCRUBBER - Process, haul and backfill brick &amp; block</t>
  </si>
  <si>
    <t>SO2 SCRUBBER - CU Sales</t>
  </si>
  <si>
    <t>SO2 SCRUBBER -  AL Sales</t>
  </si>
  <si>
    <t>SO2 SCRUBBER - SS Sales</t>
  </si>
  <si>
    <t>SO2 SCRUBBER - Stack Foundations Concrete</t>
  </si>
  <si>
    <t>SO2 SCRUBBER - Transport &amp;  Dispose of Combustibles</t>
  </si>
  <si>
    <t>3140000AADS</t>
  </si>
  <si>
    <t>DANIEL12-ASB</t>
  </si>
  <si>
    <t>SF</t>
  </si>
  <si>
    <t>SF  ASBESTOS ABATEMENT - DUCT (REMOVAL)</t>
  </si>
  <si>
    <t>SFTNSIDING (ASBESTOS)</t>
  </si>
  <si>
    <t>ASB</t>
  </si>
  <si>
    <t>MPCO</t>
  </si>
  <si>
    <t>3140000AAPS</t>
  </si>
  <si>
    <t>SF  ASBESTOS ABATEMENT - PIPE (REMOVAL)</t>
  </si>
  <si>
    <t>3140000AAD</t>
  </si>
  <si>
    <t>TN</t>
  </si>
  <si>
    <t>TN  ASBESTOS ABATEMENT (DISPOSAL)</t>
  </si>
  <si>
    <t>Note:</t>
  </si>
  <si>
    <t>MPC ENGINEERING</t>
  </si>
  <si>
    <t>ADJ Unit</t>
  </si>
  <si>
    <t>Change</t>
  </si>
  <si>
    <t>Historical Links</t>
  </si>
  <si>
    <t>http://www.metalprices.com/historical/database/ferrous-scrap-price-index/fe-spi-5-plate-structural-birmingham</t>
  </si>
  <si>
    <t>LME</t>
  </si>
  <si>
    <t>http://www.metalprices.com/historical/database/aluminum/lme-aluminum-cash-official</t>
  </si>
  <si>
    <t>http://www.metalprices.com/historical/database/copper/lme-copper-cash-official</t>
  </si>
  <si>
    <t>http://www.metalprices.com/historical/database/stainless-steel/stainless-steel-304-s-p</t>
  </si>
  <si>
    <t>http://www.metalprices.com/metal/titanium/titanium-scrap-ferro-ti-quality-turnings-non-tin-bearing-gt-85-ti</t>
  </si>
  <si>
    <t>http://www.metalprices.com/historical/database/brass/brass-yellow-brass</t>
  </si>
  <si>
    <t>http://www.metalprices.com/metal/cupro-nickel/cupro-nickel-c706</t>
  </si>
  <si>
    <t>* FE is based on the 06NOV15, 2015 Metal Prices Birmingham P&amp;S 5' &amp; under = $168 / GT</t>
  </si>
  <si>
    <t>* AL is based on 06NOV15, 2015 LME Cash Official = $0.67/lb</t>
  </si>
  <si>
    <t>* CU is based on 06NOV15, LME Cash Official =  $2.29/lb</t>
  </si>
  <si>
    <t>* SS is based on 06NOV15, LME 304 (18-8) Scrap Solids Processor = $0.44 / lb</t>
  </si>
  <si>
    <t>*305 SS - is based on 06NOV15, LME 304 (18-8) Scrap Solids Processor = $0.44 / lb</t>
  </si>
  <si>
    <t>*Ti is based on 06NOV15, Secondary Market Tin Bearing &gt;85%  = $0.375 / lb</t>
  </si>
  <si>
    <t>* Ad Brass is based of 06NOV15, Secondary Market Yellow Brass = $1.61</t>
  </si>
  <si>
    <t>* 90-10 CU-NI is based on 06NOV15, Secondary Market Cupro-Nickel Scrap 90-10 = $1.99</t>
  </si>
  <si>
    <t>*304 SS - is based on 06NOV15, LME 304 (18-8) Scrap Solids Processor = $0.44 / lb</t>
  </si>
  <si>
    <t>06NOV15 Scrap Values</t>
  </si>
  <si>
    <t>August '15 Scrap values</t>
  </si>
  <si>
    <t>cRATE2016</t>
  </si>
  <si>
    <t>cVALUE2016</t>
  </si>
  <si>
    <t>NOTES2016</t>
  </si>
  <si>
    <t>31DEC16 Scrap Values</t>
  </si>
  <si>
    <t>2015 Value</t>
  </si>
  <si>
    <t>Labor Escalation (4Q15 to 4Q16)</t>
  </si>
  <si>
    <t>Source: MetalPrices.com and Power Advocate (projections)</t>
  </si>
  <si>
    <t>* FE is based on Birmingham P&amp;S 5' &amp; under</t>
  </si>
  <si>
    <t>* AL is based on LME Cash Official</t>
  </si>
  <si>
    <t>* CU is based on LME Cash Official</t>
  </si>
  <si>
    <t>* SS is based on LME 304 (18-8) Scrap Solids Processor</t>
  </si>
  <si>
    <t>*305 SS - is based on LME 304 (18-8) Scrap Solids Processor</t>
  </si>
  <si>
    <t>*Ti is based on Secondary Market Tin Bearing</t>
  </si>
  <si>
    <t>* Ad Brass is based on Secondary Market Yellow Brass</t>
  </si>
  <si>
    <t>* 90-10 CU-NI is based on Secondary Market Cupro-Nickel Scrap 90-10</t>
  </si>
  <si>
    <t>*304 SS - is based on LME 304 (18-8) Scrap Solids Processor</t>
  </si>
  <si>
    <t>Labor (from 31DEC15 to 31DEC16)</t>
  </si>
  <si>
    <t>NOTE: The above pricing is escalated per data obtained by Power Advocate.</t>
  </si>
  <si>
    <t>Note: 2016 Salvage Values were escalated from 2015 based on % from Power Advocate.</t>
  </si>
  <si>
    <t>* FE is based on the 31DEC15, 2015 Metal Prices Birmingham P&amp;S 5' &amp; under = $151.79 / GT and Escalated to 31DEC2016.</t>
  </si>
  <si>
    <t>* AL is based on 31DEC15, 2015 LME Cash Official = $0.68/lb and Escalated to 31DEC2016.</t>
  </si>
  <si>
    <t>* CU is based on 31DEC15, LME Cash Official =  $2.14/lb and Escalated to 31DEC2016.</t>
  </si>
  <si>
    <t>* SS is based on 31DEC15, LME 304 (18-8) Scrap Solids Processor = $0.38 / lb and Escalated to 31DEC2016.</t>
  </si>
  <si>
    <t>*305 SS - is based on 31DEC15, LME 304 (18-8) Scrap Solids Processor = $0.38 / lb and Escalated to 31DEC2016.</t>
  </si>
  <si>
    <t>* Transformers is based on 31DEC15, LME Cash Official =  $2.29/lb</t>
  </si>
  <si>
    <t>*Ti is based on 31DEC15, Secondary Market Tin Bearing &gt;85%  = $0..25/ lb and Escalated to 31DEC2016.</t>
  </si>
  <si>
    <t>* Ad Brass is based of 31DEC15, Secondary Market Yellow Brass = $1.51 and Escalated to 31DEC2016.</t>
  </si>
  <si>
    <t>* 90-10 CU-NI is based on 31DEC15, Secondary Market Cupro-Nickel Scrap 90-10 = $1.87 and Escalated to 31DEC2016.</t>
  </si>
  <si>
    <t>*304 SS - is based on 31DEC15, LME 304 (18-8) Scrap Solids Processor = $0.38 / lb and Escalated to 31DEC2016.</t>
  </si>
  <si>
    <t>Scrap Market Values (MetalPrices.com) as projected to 31DEC16.</t>
  </si>
  <si>
    <t>DANIEL12-ECOF</t>
  </si>
  <si>
    <t>All Indirect Costs for FGD were put into Units 1&amp;2; No Commons per GULF.</t>
  </si>
  <si>
    <t>Daniel NAMU Ash Landfill Closure</t>
  </si>
  <si>
    <t>Daniel Gypsum Facility</t>
  </si>
  <si>
    <t>Daniel Bottom Ash Pond Closure</t>
  </si>
  <si>
    <t>NOTE: Ricky Brock had me combine Units 1 &amp; 2 FGD into Common because of Unit 1 Retirement two years earlier than Unit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</si>
</sst>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#&quot; postion(s)&quot;"/>
    <numFmt numFmtId="167" formatCode="##&quot; MY&quot;"/>
    <numFmt numFmtId="168" formatCode="_(&quot;$&quot;* #,##0_);_(&quot;$&quot;* \(#,##0\);_(&quot;$&quot;* &quot;-&quot;??_);_(@_)"/>
    <numFmt numFmtId="169" formatCode="0.0"/>
    <numFmt numFmtId="170" formatCode="#,##0;[Red]\-#,##0"/>
    <numFmt numFmtId="171" formatCode="&quot;$&quot;#,##0;[Red]\-&quot;$&quot;#,##0"/>
    <numFmt numFmtId="172" formatCode="&quot;$&quot;#,##0;[Red]&quot;$&quot;#,##0"/>
    <numFmt numFmtId="173" formatCode="#,##0;[Red]#,##0"/>
    <numFmt numFmtId="174" formatCode="_(* #,##0.0_);_(* \(#,##0.0\);_(* &quot;-&quot;??_);_(@_)"/>
    <numFmt numFmtId="175" formatCode="_(&quot;$&quot;* #,##0.0000_);_(&quot;$&quot;* \(#,##0.0000\);_(&quot;$&quot;* &quot;-&quot;??_);_(@_)"/>
    <numFmt numFmtId="176" formatCode="0.000%"/>
    <numFmt numFmtId="177" formatCode="#,##0.0000_);[Red]\(#,##0.0000\)"/>
    <numFmt numFmtId="178" formatCode="&quot;$&quot;#,##0.0000_);[Red]\(&quot;$&quot;#,##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9">
      <alignment horizontal="right" vertical="top" wrapText="1"/>
    </xf>
    <xf numFmtId="170" fontId="13" fillId="11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3" fillId="12" borderId="9">
      <alignment horizontal="right" vertical="top" wrapText="1"/>
    </xf>
    <xf numFmtId="171" fontId="13" fillId="0" borderId="9">
      <alignment horizontal="right" vertical="top" wrapText="1"/>
    </xf>
    <xf numFmtId="171" fontId="13" fillId="0" borderId="7">
      <alignment vertical="top"/>
      <protection locked="0"/>
    </xf>
    <xf numFmtId="44" fontId="1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70" fontId="13" fillId="0" borderId="7">
      <alignment vertical="top"/>
      <protection locked="0"/>
    </xf>
    <xf numFmtId="170" fontId="13" fillId="13" borderId="7">
      <alignment vertical="top"/>
      <protection locked="0"/>
    </xf>
    <xf numFmtId="170" fontId="13" fillId="0" borderId="9">
      <alignment vertical="top"/>
    </xf>
    <xf numFmtId="170" fontId="13" fillId="14" borderId="9">
      <alignment vertical="top"/>
    </xf>
    <xf numFmtId="170" fontId="13" fillId="0" borderId="9">
      <alignment vertical="top"/>
    </xf>
    <xf numFmtId="170" fontId="13" fillId="0" borderId="7">
      <alignment vertical="top" wrapText="1"/>
      <protection locked="0"/>
    </xf>
    <xf numFmtId="0" fontId="1" fillId="0" borderId="0"/>
    <xf numFmtId="0" fontId="1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170" fontId="17" fillId="0" borderId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172" fontId="17" fillId="15" borderId="18">
      <alignment horizontal="right"/>
      <protection locked="0"/>
    </xf>
    <xf numFmtId="173" fontId="13" fillId="16" borderId="9">
      <alignment horizontal="right" vertical="top" wrapText="1"/>
    </xf>
    <xf numFmtId="173" fontId="13" fillId="0" borderId="9">
      <alignment horizontal="right" vertical="top" wrapText="1"/>
    </xf>
    <xf numFmtId="170" fontId="13" fillId="0" borderId="7">
      <alignment vertical="top"/>
      <protection locked="0"/>
    </xf>
    <xf numFmtId="171" fontId="13" fillId="17" borderId="9">
      <alignment horizontal="right" vertical="top" wrapText="1"/>
    </xf>
    <xf numFmtId="171" fontId="13" fillId="0" borderId="9">
      <alignment horizontal="right" vertical="top" wrapText="1"/>
    </xf>
    <xf numFmtId="171" fontId="13" fillId="0" borderId="7">
      <alignment vertical="top"/>
      <protection locked="0"/>
    </xf>
    <xf numFmtId="0" fontId="18" fillId="0" borderId="0" applyNumberFormat="0" applyFill="0" applyBorder="0" applyAlignment="0" applyProtection="0"/>
  </cellStyleXfs>
  <cellXfs count="27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6" fontId="0" fillId="3" borderId="9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9" fontId="0" fillId="0" borderId="3" xfId="0" applyNumberFormat="1" applyBorder="1" applyAlignment="1" applyProtection="1">
      <alignment horizontal="center" wrapText="1"/>
    </xf>
    <xf numFmtId="0" fontId="0" fillId="4" borderId="0" xfId="0" applyFill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center"/>
      <protection locked="0"/>
    </xf>
    <xf numFmtId="3" fontId="0" fillId="4" borderId="9" xfId="0" applyNumberFormat="1" applyFont="1" applyFill="1" applyBorder="1" applyProtection="1">
      <protection locked="0"/>
    </xf>
    <xf numFmtId="6" fontId="0" fillId="0" borderId="9" xfId="0" applyNumberFormat="1" applyFont="1" applyFill="1" applyBorder="1" applyProtection="1">
      <protection locked="0"/>
    </xf>
    <xf numFmtId="8" fontId="0" fillId="4" borderId="9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5" borderId="0" xfId="0" applyFont="1" applyFill="1" applyProtection="1">
      <protection locked="0"/>
    </xf>
    <xf numFmtId="0" fontId="0" fillId="5" borderId="0" xfId="0" applyFont="1" applyFill="1" applyAlignment="1" applyProtection="1">
      <alignment horizontal="center"/>
      <protection locked="0"/>
    </xf>
    <xf numFmtId="3" fontId="0" fillId="5" borderId="9" xfId="0" applyNumberFormat="1" applyFont="1" applyFill="1" applyBorder="1" applyAlignment="1" applyProtection="1">
      <alignment horizontal="right" wrapText="1"/>
      <protection locked="0"/>
    </xf>
    <xf numFmtId="164" fontId="0" fillId="5" borderId="9" xfId="0" applyNumberFormat="1" applyFont="1" applyFill="1" applyBorder="1" applyAlignment="1" applyProtection="1">
      <alignment horizontal="center" wrapText="1"/>
      <protection locked="0"/>
    </xf>
    <xf numFmtId="6" fontId="2" fillId="5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9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8" fontId="0" fillId="0" borderId="0" xfId="0" applyNumberFormat="1"/>
    <xf numFmtId="44" fontId="0" fillId="0" borderId="0" xfId="2" applyFont="1"/>
    <xf numFmtId="6" fontId="0" fillId="0" borderId="0" xfId="0" applyNumberFormat="1"/>
    <xf numFmtId="6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6" borderId="7" xfId="0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10" fontId="4" fillId="6" borderId="0" xfId="3" applyNumberFormat="1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Fill="1" applyBorder="1" applyAlignment="1"/>
    <xf numFmtId="0" fontId="5" fillId="0" borderId="10" xfId="0" applyFont="1" applyFill="1" applyBorder="1" applyAlignment="1" applyProtection="1">
      <alignment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right" vertical="center"/>
    </xf>
    <xf numFmtId="44" fontId="5" fillId="3" borderId="10" xfId="0" applyNumberFormat="1" applyFont="1" applyFill="1" applyBorder="1" applyAlignment="1" applyProtection="1">
      <alignment horizontal="right" vertical="center"/>
    </xf>
    <xf numFmtId="0" fontId="5" fillId="8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0" fontId="5" fillId="0" borderId="0" xfId="3" applyNumberFormat="1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165" fontId="5" fillId="0" borderId="10" xfId="1" applyNumberFormat="1" applyFont="1" applyFill="1" applyBorder="1" applyAlignment="1" applyProtection="1">
      <alignment horizontal="right" vertical="center"/>
    </xf>
    <xf numFmtId="49" fontId="5" fillId="4" borderId="10" xfId="0" applyNumberFormat="1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right" vertical="center"/>
    </xf>
    <xf numFmtId="0" fontId="5" fillId="4" borderId="10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right" vertical="center"/>
    </xf>
    <xf numFmtId="44" fontId="5" fillId="4" borderId="10" xfId="0" applyNumberFormat="1" applyFont="1" applyFill="1" applyBorder="1" applyAlignment="1" applyProtection="1">
      <alignment horizontal="right" vertical="center"/>
    </xf>
    <xf numFmtId="44" fontId="5" fillId="0" borderId="10" xfId="0" applyNumberFormat="1" applyFont="1" applyFill="1" applyBorder="1" applyAlignment="1" applyProtection="1">
      <alignment horizontal="right" vertical="center"/>
    </xf>
    <xf numFmtId="0" fontId="5" fillId="9" borderId="10" xfId="0" applyFont="1" applyFill="1" applyBorder="1" applyAlignment="1" applyProtection="1">
      <alignment vertical="center"/>
    </xf>
    <xf numFmtId="3" fontId="5" fillId="0" borderId="10" xfId="0" applyNumberFormat="1" applyFont="1" applyFill="1" applyBorder="1" applyAlignment="1" applyProtection="1">
      <alignment horizontal="right" vertical="center"/>
    </xf>
    <xf numFmtId="8" fontId="5" fillId="0" borderId="10" xfId="0" applyNumberFormat="1" applyFont="1" applyFill="1" applyBorder="1" applyAlignment="1" applyProtection="1">
      <alignment horizontal="right" vertical="center"/>
    </xf>
    <xf numFmtId="43" fontId="5" fillId="0" borderId="10" xfId="1" applyNumberFormat="1" applyFont="1" applyFill="1" applyBorder="1" applyAlignment="1" applyProtection="1">
      <alignment horizontal="right" vertical="center"/>
    </xf>
    <xf numFmtId="8" fontId="5" fillId="3" borderId="10" xfId="0" applyNumberFormat="1" applyFont="1" applyFill="1" applyBorder="1" applyAlignment="1" applyProtection="1">
      <alignment horizontal="right" vertical="center"/>
    </xf>
    <xf numFmtId="0" fontId="5" fillId="3" borderId="10" xfId="0" applyFont="1" applyFill="1" applyBorder="1" applyAlignment="1" applyProtection="1">
      <alignment vertical="center"/>
    </xf>
    <xf numFmtId="0" fontId="0" fillId="0" borderId="10" xfId="0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9" fontId="9" fillId="0" borderId="14" xfId="0" applyNumberFormat="1" applyFont="1" applyBorder="1" applyAlignment="1">
      <alignment horizontal="center" vertical="center"/>
    </xf>
    <xf numFmtId="6" fontId="9" fillId="0" borderId="14" xfId="0" applyNumberFormat="1" applyFont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3" xfId="0" applyBorder="1"/>
    <xf numFmtId="0" fontId="2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0" fillId="0" borderId="0" xfId="0" applyNumberFormat="1"/>
    <xf numFmtId="166" fontId="0" fillId="0" borderId="16" xfId="0" applyNumberFormat="1" applyBorder="1"/>
    <xf numFmtId="167" fontId="0" fillId="5" borderId="0" xfId="0" applyNumberFormat="1" applyFill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8" fontId="0" fillId="0" borderId="17" xfId="2" applyNumberFormat="1" applyFont="1" applyBorder="1" applyAlignment="1">
      <alignment horizontal="center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5" borderId="10" xfId="0" applyNumberFormat="1" applyFill="1" applyBorder="1" applyAlignment="1">
      <alignment horizontal="center"/>
    </xf>
    <xf numFmtId="0" fontId="0" fillId="0" borderId="10" xfId="0" applyBorder="1"/>
    <xf numFmtId="174" fontId="5" fillId="0" borderId="10" xfId="1" applyNumberFormat="1" applyFont="1" applyFill="1" applyBorder="1" applyAlignment="1" applyProtection="1">
      <alignment horizontal="right" vertical="center"/>
    </xf>
    <xf numFmtId="6" fontId="0" fillId="3" borderId="0" xfId="0" applyNumberFormat="1" applyFont="1" applyFill="1" applyBorder="1" applyProtection="1">
      <protection locked="0"/>
    </xf>
    <xf numFmtId="8" fontId="0" fillId="3" borderId="0" xfId="0" applyNumberFormat="1" applyFont="1" applyFill="1" applyBorder="1" applyProtection="1">
      <protection locked="0"/>
    </xf>
    <xf numFmtId="0" fontId="0" fillId="0" borderId="0" xfId="0"/>
    <xf numFmtId="4" fontId="5" fillId="0" borderId="10" xfId="0" applyNumberFormat="1" applyFont="1" applyFill="1" applyBorder="1" applyAlignment="1" applyProtection="1">
      <alignment horizontal="right" vertical="center"/>
    </xf>
    <xf numFmtId="0" fontId="0" fillId="0" borderId="0" xfId="0"/>
    <xf numFmtId="0" fontId="5" fillId="3" borderId="10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0" fillId="0" borderId="0" xfId="0" quotePrefix="1"/>
    <xf numFmtId="2" fontId="5" fillId="3" borderId="0" xfId="0" applyNumberFormat="1" applyFont="1" applyFill="1" applyBorder="1" applyAlignment="1" applyProtection="1">
      <alignment horizontal="right" vertical="center"/>
    </xf>
    <xf numFmtId="44" fontId="5" fillId="4" borderId="0" xfId="0" applyNumberFormat="1" applyFont="1" applyFill="1" applyBorder="1" applyAlignment="1" applyProtection="1">
      <alignment horizontal="right" vertical="center"/>
    </xf>
    <xf numFmtId="44" fontId="5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0" fillId="0" borderId="0" xfId="0"/>
    <xf numFmtId="44" fontId="0" fillId="0" borderId="0" xfId="0" applyNumberFormat="1" applyAlignment="1"/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15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44" fontId="0" fillId="0" borderId="0" xfId="2" applyFont="1" applyProtection="1">
      <protection locked="0"/>
    </xf>
    <xf numFmtId="10" fontId="0" fillId="0" borderId="0" xfId="3" applyNumberFormat="1" applyFont="1" applyAlignment="1" applyProtection="1">
      <alignment horizontal="right"/>
      <protection locked="0"/>
    </xf>
    <xf numFmtId="0" fontId="0" fillId="18" borderId="0" xfId="0" applyFont="1" applyFill="1" applyAlignment="1" applyProtection="1">
      <alignment horizontal="right"/>
      <protection locked="0"/>
    </xf>
    <xf numFmtId="8" fontId="0" fillId="0" borderId="0" xfId="0" applyNumberFormat="1" applyFont="1" applyProtection="1">
      <protection locked="0"/>
    </xf>
    <xf numFmtId="175" fontId="0" fillId="0" borderId="0" xfId="2" applyNumberFormat="1" applyFont="1" applyAlignment="1" applyProtection="1">
      <alignment horizontal="right"/>
      <protection locked="0"/>
    </xf>
    <xf numFmtId="0" fontId="18" fillId="0" borderId="0" xfId="54" applyAlignment="1" applyProtection="1">
      <alignment horizontal="left"/>
      <protection locked="0"/>
    </xf>
    <xf numFmtId="44" fontId="0" fillId="0" borderId="0" xfId="2" applyFont="1" applyAlignment="1" applyProtection="1">
      <alignment horizontal="right"/>
      <protection locked="0"/>
    </xf>
    <xf numFmtId="0" fontId="0" fillId="0" borderId="0" xfId="0"/>
    <xf numFmtId="0" fontId="2" fillId="0" borderId="0" xfId="0" applyFont="1" applyBorder="1" applyAlignment="1" applyProtection="1">
      <alignment horizontal="center"/>
      <protection locked="0"/>
    </xf>
    <xf numFmtId="8" fontId="5" fillId="0" borderId="10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0" fontId="0" fillId="0" borderId="0" xfId="0" applyFill="1" applyBorder="1" applyAlignment="1">
      <alignment wrapText="1"/>
    </xf>
    <xf numFmtId="6" fontId="2" fillId="0" borderId="3" xfId="0" applyNumberFormat="1" applyFont="1" applyFill="1" applyBorder="1" applyAlignment="1" applyProtection="1">
      <alignment horizontal="center" wrapText="1"/>
      <protection locked="0"/>
    </xf>
    <xf numFmtId="6" fontId="0" fillId="0" borderId="3" xfId="0" applyNumberFormat="1" applyFont="1" applyFill="1" applyBorder="1" applyAlignment="1" applyProtection="1">
      <alignment horizontal="right" wrapText="1"/>
      <protection locked="0"/>
    </xf>
    <xf numFmtId="6" fontId="0" fillId="0" borderId="3" xfId="0" applyNumberFormat="1" applyFont="1" applyFill="1" applyBorder="1" applyAlignment="1" applyProtection="1">
      <alignment horizontal="right"/>
      <protection locked="0"/>
    </xf>
    <xf numFmtId="6" fontId="0" fillId="0" borderId="0" xfId="0" applyNumberFormat="1" applyFont="1" applyFill="1" applyBorder="1" applyAlignment="1" applyProtection="1">
      <alignment horizontal="right"/>
      <protection locked="0"/>
    </xf>
    <xf numFmtId="6" fontId="0" fillId="0" borderId="0" xfId="0" applyNumberFormat="1" applyFont="1" applyFill="1" applyAlignment="1" applyProtection="1">
      <alignment horizontal="right"/>
      <protection locked="0"/>
    </xf>
    <xf numFmtId="8" fontId="0" fillId="0" borderId="3" xfId="0" applyNumberFormat="1" applyFont="1" applyFill="1" applyBorder="1" applyAlignment="1" applyProtection="1">
      <alignment horizontal="right"/>
      <protection locked="0"/>
    </xf>
    <xf numFmtId="8" fontId="0" fillId="8" borderId="9" xfId="0" applyNumberFormat="1" applyFont="1" applyFill="1" applyBorder="1" applyProtection="1">
      <protection locked="0"/>
    </xf>
    <xf numFmtId="0" fontId="0" fillId="0" borderId="19" xfId="0" applyBorder="1"/>
    <xf numFmtId="15" fontId="2" fillId="0" borderId="20" xfId="0" applyNumberFormat="1" applyFont="1" applyBorder="1" applyAlignment="1" applyProtection="1">
      <alignment horizontal="center"/>
      <protection locked="0"/>
    </xf>
    <xf numFmtId="0" fontId="0" fillId="0" borderId="20" xfId="0" applyBorder="1"/>
    <xf numFmtId="15" fontId="2" fillId="0" borderId="21" xfId="0" applyNumberFormat="1" applyFont="1" applyBorder="1" applyAlignment="1" applyProtection="1">
      <alignment horizontal="center"/>
      <protection locked="0"/>
    </xf>
    <xf numFmtId="0" fontId="0" fillId="0" borderId="16" xfId="0" applyBorder="1"/>
    <xf numFmtId="0" fontId="0" fillId="0" borderId="0" xfId="0" applyBorder="1"/>
    <xf numFmtId="0" fontId="2" fillId="0" borderId="17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3" fillId="0" borderId="16" xfId="0" applyFont="1" applyBorder="1"/>
    <xf numFmtId="44" fontId="0" fillId="0" borderId="0" xfId="14" applyFont="1" applyBorder="1"/>
    <xf numFmtId="9" fontId="0" fillId="0" borderId="0" xfId="0" applyNumberFormat="1" applyFont="1" applyFill="1" applyBorder="1" applyProtection="1">
      <protection locked="0"/>
    </xf>
    <xf numFmtId="8" fontId="0" fillId="0" borderId="17" xfId="14" applyNumberFormat="1" applyFont="1" applyBorder="1"/>
    <xf numFmtId="0" fontId="0" fillId="0" borderId="16" xfId="0" applyBorder="1" applyProtection="1">
      <protection locked="0"/>
    </xf>
    <xf numFmtId="0" fontId="0" fillId="0" borderId="17" xfId="0" applyBorder="1"/>
    <xf numFmtId="0" fontId="14" fillId="0" borderId="16" xfId="0" applyFont="1" applyBorder="1"/>
    <xf numFmtId="176" fontId="0" fillId="0" borderId="0" xfId="3" applyNumberFormat="1" applyFont="1" applyFill="1" applyBorder="1"/>
    <xf numFmtId="0" fontId="20" fillId="0" borderId="22" xfId="0" applyFont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9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Protection="1">
      <protection locked="0"/>
    </xf>
    <xf numFmtId="0" fontId="14" fillId="0" borderId="0" xfId="0" applyFont="1" applyBorder="1"/>
    <xf numFmtId="0" fontId="20" fillId="0" borderId="23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0" fillId="0" borderId="20" xfId="0" applyFont="1" applyBorder="1" applyAlignment="1" applyProtection="1">
      <alignment horizontal="center"/>
      <protection locked="0"/>
    </xf>
    <xf numFmtId="3" fontId="0" fillId="0" borderId="20" xfId="0" applyNumberFormat="1" applyFont="1" applyBorder="1" applyProtection="1">
      <protection locked="0"/>
    </xf>
    <xf numFmtId="164" fontId="0" fillId="0" borderId="20" xfId="0" applyNumberFormat="1" applyFont="1" applyBorder="1" applyProtection="1">
      <protection locked="0"/>
    </xf>
    <xf numFmtId="6" fontId="0" fillId="2" borderId="20" xfId="0" applyNumberFormat="1" applyFont="1" applyFill="1" applyBorder="1" applyAlignment="1" applyProtection="1">
      <alignment horizontal="right"/>
      <protection locked="0"/>
    </xf>
    <xf numFmtId="6" fontId="0" fillId="0" borderId="20" xfId="0" applyNumberFormat="1" applyFont="1" applyFill="1" applyBorder="1" applyAlignment="1" applyProtection="1">
      <alignment horizontal="right"/>
      <protection locked="0"/>
    </xf>
    <xf numFmtId="9" fontId="0" fillId="0" borderId="20" xfId="0" applyNumberFormat="1" applyFont="1" applyFill="1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6" xfId="0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44" fontId="0" fillId="0" borderId="0" xfId="2" applyFont="1" applyBorder="1" applyProtection="1">
      <protection locked="0"/>
    </xf>
    <xf numFmtId="6" fontId="0" fillId="3" borderId="17" xfId="0" applyNumberFormat="1" applyFont="1" applyFill="1" applyBorder="1" applyProtection="1">
      <protection locked="0"/>
    </xf>
    <xf numFmtId="8" fontId="0" fillId="3" borderId="17" xfId="0" applyNumberFormat="1" applyFont="1" applyFill="1" applyBorder="1" applyProtection="1">
      <protection locked="0"/>
    </xf>
    <xf numFmtId="8" fontId="0" fillId="0" borderId="17" xfId="0" applyNumberFormat="1" applyFont="1" applyBorder="1" applyProtection="1">
      <protection locked="0"/>
    </xf>
    <xf numFmtId="6" fontId="0" fillId="0" borderId="17" xfId="0" applyNumberFormat="1" applyFont="1" applyBorder="1" applyProtection="1"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22" xfId="0" applyFont="1" applyBorder="1" applyProtection="1">
      <protection locked="0"/>
    </xf>
    <xf numFmtId="0" fontId="0" fillId="0" borderId="23" xfId="0" applyFont="1" applyBorder="1" applyAlignment="1" applyProtection="1">
      <alignment horizontal="center"/>
      <protection locked="0"/>
    </xf>
    <xf numFmtId="176" fontId="0" fillId="0" borderId="23" xfId="3" applyNumberFormat="1" applyFont="1" applyBorder="1" applyProtection="1">
      <protection locked="0"/>
    </xf>
    <xf numFmtId="164" fontId="0" fillId="0" borderId="23" xfId="0" applyNumberFormat="1" applyFont="1" applyBorder="1" applyProtection="1">
      <protection locked="0"/>
    </xf>
    <xf numFmtId="6" fontId="0" fillId="2" borderId="23" xfId="0" applyNumberFormat="1" applyFont="1" applyFill="1" applyBorder="1" applyAlignment="1" applyProtection="1">
      <alignment horizontal="right"/>
      <protection locked="0"/>
    </xf>
    <xf numFmtId="6" fontId="0" fillId="0" borderId="23" xfId="0" applyNumberFormat="1" applyFont="1" applyFill="1" applyBorder="1" applyAlignment="1" applyProtection="1">
      <alignment horizontal="right"/>
      <protection locked="0"/>
    </xf>
    <xf numFmtId="9" fontId="0" fillId="0" borderId="23" xfId="0" applyNumberFormat="1" applyFont="1" applyFill="1" applyBorder="1" applyProtection="1">
      <protection locked="0"/>
    </xf>
    <xf numFmtId="177" fontId="0" fillId="0" borderId="24" xfId="0" applyNumberFormat="1" applyFont="1" applyBorder="1" applyProtection="1">
      <protection locked="0"/>
    </xf>
    <xf numFmtId="178" fontId="0" fillId="0" borderId="0" xfId="0" applyNumberFormat="1" applyAlignment="1"/>
    <xf numFmtId="177" fontId="0" fillId="0" borderId="0" xfId="0" applyNumberFormat="1" applyAlignment="1"/>
    <xf numFmtId="8" fontId="0" fillId="0" borderId="0" xfId="2" applyNumberFormat="1" applyFont="1"/>
    <xf numFmtId="8" fontId="4" fillId="6" borderId="7" xfId="0" applyNumberFormat="1" applyFont="1" applyFill="1" applyBorder="1" applyAlignment="1" applyProtection="1">
      <alignment horizontal="center" vertical="center"/>
    </xf>
    <xf numFmtId="8" fontId="0" fillId="0" borderId="10" xfId="0" applyNumberFormat="1" applyBorder="1" applyAlignment="1"/>
    <xf numFmtId="8" fontId="5" fillId="0" borderId="10" xfId="2" applyNumberFormat="1" applyFont="1" applyFill="1" applyBorder="1" applyAlignment="1" applyProtection="1">
      <alignment horizontal="right" vertical="center"/>
    </xf>
    <xf numFmtId="8" fontId="5" fillId="3" borderId="10" xfId="2" applyNumberFormat="1" applyFont="1" applyFill="1" applyBorder="1" applyAlignment="1" applyProtection="1">
      <alignment horizontal="right" vertical="center"/>
    </xf>
    <xf numFmtId="8" fontId="5" fillId="4" borderId="10" xfId="0" applyNumberFormat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8" fontId="5" fillId="0" borderId="0" xfId="0" applyNumberFormat="1" applyFont="1" applyFill="1" applyBorder="1" applyAlignment="1" applyProtection="1">
      <alignment horizontal="right" vertical="center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0" fontId="11" fillId="10" borderId="0" xfId="0" applyFont="1" applyFill="1" applyAlignment="1">
      <alignment horizont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</cellXfs>
  <cellStyles count="55">
    <cellStyle name="Analysis-" xfId="4"/>
    <cellStyle name="Analysis_" xfId="5"/>
    <cellStyle name="Comma" xfId="1" builtinId="3"/>
    <cellStyle name="Comma 2" xfId="6"/>
    <cellStyle name="Comma 2 2" xfId="7"/>
    <cellStyle name="Comma 3" xfId="8"/>
    <cellStyle name="Cost_Display" xfId="9"/>
    <cellStyle name="Cost-Display" xfId="10"/>
    <cellStyle name="Cost-Entry" xfId="11"/>
    <cellStyle name="Currency" xfId="2" builtinId="4"/>
    <cellStyle name="Currency 2" xfId="12"/>
    <cellStyle name="Currency 2 2" xfId="13"/>
    <cellStyle name="Currency 3" xfId="14"/>
    <cellStyle name="Days-" xfId="15"/>
    <cellStyle name="Days_" xfId="16"/>
    <cellStyle name="Days-Display" xfId="17"/>
    <cellStyle name="Hyperlink" xfId="54" builtinId="8"/>
    <cellStyle name="Info_Display" xfId="18"/>
    <cellStyle name="Info-Display" xfId="19"/>
    <cellStyle name="Info-Entry" xfId="20"/>
    <cellStyle name="Normal" xfId="0" builtinId="0"/>
    <cellStyle name="Normal 10" xfId="21"/>
    <cellStyle name="Normal 11" xfId="22"/>
    <cellStyle name="Normal 12" xfId="23"/>
    <cellStyle name="Normal 13" xfId="24"/>
    <cellStyle name="Normal 2" xfId="25"/>
    <cellStyle name="Normal 2 2" xfId="26"/>
    <cellStyle name="Normal 2 3" xfId="27"/>
    <cellStyle name="Normal 3" xfId="28"/>
    <cellStyle name="Normal 3 2" xfId="29"/>
    <cellStyle name="Normal 3 2 2" xfId="30"/>
    <cellStyle name="Normal 3 3" xfId="31"/>
    <cellStyle name="Normal 3 4" xfId="32"/>
    <cellStyle name="Normal 3 5" xfId="33"/>
    <cellStyle name="Normal 4" xfId="34"/>
    <cellStyle name="Normal 4 2" xfId="35"/>
    <cellStyle name="Normal 4 2 2" xfId="36"/>
    <cellStyle name="Normal 4 3" xfId="37"/>
    <cellStyle name="Normal 4 4" xfId="38"/>
    <cellStyle name="Normal 4 5" xfId="39"/>
    <cellStyle name="Normal 5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Percent" xfId="3" builtinId="5"/>
    <cellStyle name="Price" xfId="47"/>
    <cellStyle name="Quant_Display" xfId="48"/>
    <cellStyle name="Quant-Display" xfId="49"/>
    <cellStyle name="Quant-Entry" xfId="50"/>
    <cellStyle name="Revenue_Display" xfId="51"/>
    <cellStyle name="Revenue-Display" xfId="52"/>
    <cellStyle name="Revenue-Entry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s/SCS%20Fossil%20Hydro%20Project%20Controls/Estimating/DISMANTLEMENT%20STUDIES/MISSISSIPPI%20POWER/2013/Backup/14%2007%2031%20Daniel%20Estimate%20from%20Brandenbu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iel"/>
      <sheetName val="Daniel Import"/>
      <sheetName val="Daniel Import (to MPC Study)"/>
      <sheetName val="Daniel Import (to Gulf Study)"/>
      <sheetName val="Daniel from Brandenburg"/>
      <sheetName val="Ownership %"/>
      <sheetName val="Durations"/>
    </sheetNames>
    <sheetDataSet>
      <sheetData sheetId="0"/>
      <sheetData sheetId="1"/>
      <sheetData sheetId="2">
        <row r="2">
          <cell r="I2" t="str">
            <v>VALUE</v>
          </cell>
          <cell r="V2">
            <v>3</v>
          </cell>
        </row>
        <row r="3">
          <cell r="I3">
            <v>13778.788800000002</v>
          </cell>
          <cell r="V3" t="str">
            <v>3090481309CCLRDANIEL12-ECO%ADMINISTRATIVE &amp; GENERAL OVERHEAD</v>
          </cell>
        </row>
        <row r="4">
          <cell r="I4">
            <v>55513.081955555557</v>
          </cell>
          <cell r="V4" t="str">
            <v>3090481309CCLRDANIEL12-NON%ADMINISTRATIVE &amp; GENERAL OVERHEAD</v>
          </cell>
        </row>
        <row r="5">
          <cell r="I5">
            <v>30600</v>
          </cell>
          <cell r="V5" t="str">
            <v>311UND311CCLRDANIEL12-NONntANCILLARY BUILDINGS - Demo</v>
          </cell>
        </row>
        <row r="6">
          <cell r="I6">
            <v>-24140</v>
          </cell>
          <cell r="V6" t="str">
            <v>311UND311CCMSDANIEL12-NONntANCILLARY BUILDINGS - FE SALES</v>
          </cell>
        </row>
        <row r="7">
          <cell r="I7">
            <v>86069.3</v>
          </cell>
          <cell r="V7" t="str">
            <v>3080261308CCLRDANIEL12-NONMHAPC ENGINEERING</v>
          </cell>
        </row>
        <row r="8">
          <cell r="I8">
            <v>2937500</v>
          </cell>
          <cell r="V8" t="str">
            <v>3110230311CCLRDANIEL12-ASHACAsh Disposal Pond</v>
          </cell>
        </row>
        <row r="9">
          <cell r="I9">
            <v>106250</v>
          </cell>
          <cell r="V9" t="str">
            <v>3070201MO307CCLRDANIEL12-NONLTCONTRACTOR MOBILIZATION</v>
          </cell>
        </row>
        <row r="10">
          <cell r="I10">
            <v>21250</v>
          </cell>
          <cell r="V10" t="str">
            <v>3080241308CCLRDANIEL12-NONlsDesign bulkhead for intake and discharge tunnel</v>
          </cell>
        </row>
        <row r="11">
          <cell r="I11">
            <v>115555.55555555556</v>
          </cell>
          <cell r="V11" t="str">
            <v>312UND31211LDDANIEL12-NONntDispose of Refractory in Subtitle D Landfill</v>
          </cell>
        </row>
        <row r="12">
          <cell r="I12">
            <v>115555.55555555556</v>
          </cell>
          <cell r="V12" t="str">
            <v>312UND31222LDDANIEL12-NONntDispose of Refractory in Subtitle D Landfill</v>
          </cell>
        </row>
        <row r="13">
          <cell r="I13">
            <v>42500</v>
          </cell>
          <cell r="V13" t="str">
            <v>3110001LC311CCLRDANIEL12-NONsfGrade and Seeding</v>
          </cell>
        </row>
        <row r="14">
          <cell r="I14">
            <v>106250</v>
          </cell>
          <cell r="V14" t="str">
            <v>314052102314CCLRDANIEL12-NONlsInstall Bulkhead in Intake &amp; Discharge Tunnel</v>
          </cell>
        </row>
        <row r="15">
          <cell r="I15">
            <v>85000</v>
          </cell>
          <cell r="V15" t="str">
            <v>307UND307CCLRDANIEL12-NONlsInstall Electrical for Decommissioning Work</v>
          </cell>
        </row>
        <row r="16">
          <cell r="I16">
            <v>87500</v>
          </cell>
          <cell r="V16" t="str">
            <v>312UND31211LRDANIEL12-NONeaMain Power Block - (1) each 350' Stack (felling)</v>
          </cell>
        </row>
        <row r="17">
          <cell r="I17">
            <v>87500</v>
          </cell>
          <cell r="V17" t="str">
            <v>312UND31222LRDANIEL12-NONeaMain Power Block - (1) each 350' Stack (felling)</v>
          </cell>
        </row>
        <row r="18">
          <cell r="I18">
            <v>-42723.27738</v>
          </cell>
          <cell r="V18" t="str">
            <v>312UND31211MSDANIEL12-NONlbsMain Power Block - AL Sales</v>
          </cell>
        </row>
        <row r="19">
          <cell r="I19">
            <v>-42723.27738</v>
          </cell>
          <cell r="V19" t="str">
            <v>312UND31222MSDANIEL12-NONlbsMain Power Block - AL Sales</v>
          </cell>
        </row>
        <row r="20">
          <cell r="I20">
            <v>-160875.00000000003</v>
          </cell>
          <cell r="V20" t="str">
            <v>314UND31411MSDANIEL12-NONlbsMain Power Block - Condenser Tubes (Titanium)</v>
          </cell>
        </row>
        <row r="21">
          <cell r="I21">
            <v>-160875.00000000003</v>
          </cell>
          <cell r="V21" t="str">
            <v>314UND31422MSDANIEL12-NONlbsMain Power Block - Condenser Tubes (Titanium)</v>
          </cell>
        </row>
        <row r="22">
          <cell r="I22">
            <v>-86793.161461999989</v>
          </cell>
          <cell r="V22" t="str">
            <v>312UND31211MSDANIEL12-NONlbsMain Power Block - CU Sales</v>
          </cell>
        </row>
        <row r="23">
          <cell r="I23">
            <v>-347172.64584799996</v>
          </cell>
          <cell r="V23" t="str">
            <v>315UND31511MSDANIEL12-NONlbsMain Power Block - CU Sales</v>
          </cell>
        </row>
        <row r="24">
          <cell r="I24">
            <v>-86793.161461999989</v>
          </cell>
          <cell r="V24" t="str">
            <v>312UND31222MSDANIEL12-NONlbsMain Power Block - CU Sales</v>
          </cell>
        </row>
        <row r="25">
          <cell r="I25">
            <v>-347172.64584799996</v>
          </cell>
          <cell r="V25" t="str">
            <v>315UND31522MSDANIEL12-NONlbsMain Power Block - CU Sales</v>
          </cell>
        </row>
        <row r="26">
          <cell r="I26">
            <v>1390725.7919999999</v>
          </cell>
          <cell r="V26" t="str">
            <v>311UND31111LRDANIEL12-NONntMain Power Block - DEMO</v>
          </cell>
        </row>
        <row r="27">
          <cell r="I27">
            <v>463575.26399999997</v>
          </cell>
          <cell r="V27" t="str">
            <v>312UND31211LRDANIEL12-NONntMain Power Block - DEMO</v>
          </cell>
        </row>
        <row r="28">
          <cell r="I28">
            <v>347681.44799999997</v>
          </cell>
          <cell r="V28" t="str">
            <v>314UND31411LRDANIEL12-NONntMain Power Block - DEMO</v>
          </cell>
        </row>
        <row r="29">
          <cell r="I29">
            <v>115893.81599999999</v>
          </cell>
          <cell r="V29" t="str">
            <v>315UND31511LRDANIEL12-NONntMain Power Block - DEMO</v>
          </cell>
        </row>
        <row r="30">
          <cell r="I30">
            <v>1390725.7919999999</v>
          </cell>
          <cell r="V30" t="str">
            <v>311UND31122LRDANIEL12-NONntMain Power Block - DEMO</v>
          </cell>
        </row>
        <row r="31">
          <cell r="I31">
            <v>463575.26399999997</v>
          </cell>
          <cell r="V31" t="str">
            <v>312UND31222LRDANIEL12-NONntMain Power Block - DEMO</v>
          </cell>
        </row>
        <row r="32">
          <cell r="I32">
            <v>347681.44799999997</v>
          </cell>
          <cell r="V32" t="str">
            <v>314UND31422LRDANIEL12-NONntMain Power Block - DEMO</v>
          </cell>
        </row>
        <row r="33">
          <cell r="I33">
            <v>115893.81599999999</v>
          </cell>
          <cell r="V33" t="str">
            <v>315UND31522LRDANIEL12-NONntMain Power Block - DEMO</v>
          </cell>
        </row>
        <row r="34">
          <cell r="I34">
            <v>-1645692.1871999998</v>
          </cell>
          <cell r="V34" t="str">
            <v>311UND31111MSDANIEL12-NONntMain Power Block - FE Sales</v>
          </cell>
        </row>
        <row r="35">
          <cell r="I35">
            <v>-685705.07799999998</v>
          </cell>
          <cell r="V35" t="str">
            <v>312UND31211MSDANIEL12-NONntMain Power Block - FE Sales</v>
          </cell>
        </row>
        <row r="36">
          <cell r="I36">
            <v>-411423.04679999995</v>
          </cell>
          <cell r="V36" t="str">
            <v>314UND31411MSDANIEL12-NONntMain Power Block - FE Sales</v>
          </cell>
        </row>
        <row r="37">
          <cell r="I37">
            <v>-1645692.1871999998</v>
          </cell>
          <cell r="V37" t="str">
            <v>311UND31122MSDANIEL12-NONntMain Power Block - FE Sales</v>
          </cell>
        </row>
        <row r="38">
          <cell r="I38">
            <v>-685705.07799999998</v>
          </cell>
          <cell r="V38" t="str">
            <v>312UND31222MSDANIEL12-NONntMain Power Block - FE Sales</v>
          </cell>
        </row>
        <row r="39">
          <cell r="I39">
            <v>-411423.04679999995</v>
          </cell>
          <cell r="V39" t="str">
            <v>314UND31422MSDANIEL12-NONntMain Power Block - FE Sales</v>
          </cell>
        </row>
        <row r="40">
          <cell r="I40">
            <v>-53476.755359999996</v>
          </cell>
          <cell r="V40" t="str">
            <v>312UND31211MSDANIEL12-NONlbsMain Power Block - SS Sales</v>
          </cell>
        </row>
        <row r="41">
          <cell r="I41">
            <v>-53476.755359999996</v>
          </cell>
          <cell r="V41" t="str">
            <v>312UND31222MSDANIEL12-NONlbsMain Power Block - SS Sales</v>
          </cell>
        </row>
        <row r="42">
          <cell r="I42">
            <v>156527.77777777778</v>
          </cell>
          <cell r="V42" t="str">
            <v>314UND31411LRDANIEL12-NONcyMain Power Block - Turbine Foundations Concrete</v>
          </cell>
        </row>
        <row r="43">
          <cell r="I43">
            <v>156527.77777777778</v>
          </cell>
          <cell r="V43" t="str">
            <v>314UND31422LRDANIEL12-NONcyMain Power Block - Turbine Foundations Concrete</v>
          </cell>
        </row>
        <row r="44">
          <cell r="I44">
            <v>191250</v>
          </cell>
          <cell r="V44" t="str">
            <v>3110061311CCLRDANIEL12-NONsfPavement Repairs</v>
          </cell>
        </row>
        <row r="45">
          <cell r="I45">
            <v>106250</v>
          </cell>
          <cell r="V45" t="str">
            <v>3080268EA308CCLRDANIEL12-NONlsPerform environmental survey of above grade structures</v>
          </cell>
        </row>
        <row r="46">
          <cell r="I46">
            <v>1102.3031040000001</v>
          </cell>
          <cell r="V46" t="str">
            <v>3080268308CCLRDANIEL12-ECOLTPERMITS</v>
          </cell>
        </row>
        <row r="47">
          <cell r="I47">
            <v>4441.0465564444448</v>
          </cell>
          <cell r="V47" t="str">
            <v>3080268308CCLRDANIEL12-NONLTPERMITS</v>
          </cell>
        </row>
        <row r="48">
          <cell r="I48">
            <v>172138.71900000001</v>
          </cell>
          <cell r="V48" t="str">
            <v>3070041307CCLRDANIEL12-NONMYPOWER GENERATION SUPERVISION</v>
          </cell>
        </row>
        <row r="49">
          <cell r="I49">
            <v>688939.44000000006</v>
          </cell>
          <cell r="V49" t="str">
            <v>312UND31211LRDANIEL12-ECOntPrecipitators - DEMO</v>
          </cell>
        </row>
        <row r="50">
          <cell r="I50">
            <v>688939.44000000006</v>
          </cell>
          <cell r="V50" t="str">
            <v>312UND31222LRDANIEL12-ECOntPrecipitators - DEMO</v>
          </cell>
        </row>
        <row r="51">
          <cell r="I51">
            <v>-815245.00400000007</v>
          </cell>
          <cell r="V51" t="str">
            <v>312UND31211MSDANIEL12-ECOntPrecipitators - FE Sales</v>
          </cell>
        </row>
        <row r="52">
          <cell r="I52">
            <v>-815245.00400000007</v>
          </cell>
          <cell r="V52" t="str">
            <v>312UND31222MSDANIEL12-ECOntPrecipitators - FE Sales</v>
          </cell>
        </row>
        <row r="53">
          <cell r="I53">
            <v>67500</v>
          </cell>
          <cell r="V53" t="str">
            <v>3111002CN31111LDDANIEL12-NONntProcess, haul and backfill brick &amp; block</v>
          </cell>
        </row>
        <row r="54">
          <cell r="I54">
            <v>67500</v>
          </cell>
          <cell r="V54" t="str">
            <v>3111002CN31122LDDANIEL12-NONntProcess, haul and backfill brick &amp; block</v>
          </cell>
        </row>
        <row r="55">
          <cell r="I55">
            <v>41336.366400000006</v>
          </cell>
          <cell r="V55" t="str">
            <v>3080241308CCLRDANIEL12-ECO%SCS ENGINEERING</v>
          </cell>
        </row>
        <row r="56">
          <cell r="I56">
            <v>166539.24586666666</v>
          </cell>
          <cell r="V56" t="str">
            <v>3080241308CCLRDANIEL12-NON%SCS ENGINEERING</v>
          </cell>
        </row>
        <row r="57">
          <cell r="I57">
            <v>129413.29049999997</v>
          </cell>
          <cell r="V57" t="str">
            <v>3070221307CCLRDANIEL12-NONMYSECURITY SERVICES</v>
          </cell>
        </row>
        <row r="58">
          <cell r="I58">
            <v>12750</v>
          </cell>
          <cell r="V58" t="str">
            <v>3080241SW308CCLRDANIEL12-NONlsStorm Water Prevention Plan</v>
          </cell>
        </row>
        <row r="59">
          <cell r="I59">
            <v>27557.577600000004</v>
          </cell>
          <cell r="V59" t="str">
            <v>3070201307CCLRDANIEL12-ECO%TEMPORARY CONSTRUCTION SERVICES</v>
          </cell>
        </row>
        <row r="60">
          <cell r="I60">
            <v>111026.16391111111</v>
          </cell>
          <cell r="V60" t="str">
            <v>3070201307CCLRDANIEL12-NON%TEMPORARY CONSTRUCTION SERVICES</v>
          </cell>
        </row>
        <row r="61">
          <cell r="I61">
            <v>14168.433824999998</v>
          </cell>
          <cell r="V61" t="str">
            <v>311UND31111LDDANIEL12-NONntTransport &amp;  Dispose of Combustibles</v>
          </cell>
        </row>
        <row r="62">
          <cell r="I62">
            <v>14168.433824999998</v>
          </cell>
          <cell r="V62" t="str">
            <v>311UND31122LDDANIEL12-NONntTransport &amp;  Dispose of Combustibles</v>
          </cell>
        </row>
        <row r="63">
          <cell r="I63">
            <v>1795.625</v>
          </cell>
          <cell r="V63" t="str">
            <v>341UND341CCLDDANIEL12-NONntTransport &amp;  Dispose of Combustibles</v>
          </cell>
        </row>
        <row r="64">
          <cell r="I64">
            <v>-19800</v>
          </cell>
          <cell r="V64" t="str">
            <v>315UND31511MSDANIEL12-NONlbsUnit &amp; Service Transformers - CU Sales</v>
          </cell>
        </row>
        <row r="65">
          <cell r="I65">
            <v>-19800</v>
          </cell>
          <cell r="V65" t="str">
            <v>315UND31522MSDANIEL12-NONlbsUnit &amp; Service Transformers - CU Sales</v>
          </cell>
        </row>
        <row r="66">
          <cell r="I66">
            <v>7200</v>
          </cell>
          <cell r="V66" t="str">
            <v>315UND31511LRDANIEL12-NONntUnit &amp; Service Transformers - Demo</v>
          </cell>
        </row>
        <row r="67">
          <cell r="I67">
            <v>7200</v>
          </cell>
          <cell r="V67" t="str">
            <v>315UND31522LRDANIEL12-NONntUnit &amp; Service Transformers - Demo</v>
          </cell>
        </row>
        <row r="68">
          <cell r="I68">
            <v>-8520</v>
          </cell>
          <cell r="V68" t="str">
            <v>315UND31511MSDANIEL12-NONntUnit &amp; Service Transformers - FE Sales</v>
          </cell>
        </row>
        <row r="69">
          <cell r="I69">
            <v>-8520</v>
          </cell>
          <cell r="V69" t="str">
            <v>315UND31522MSDANIEL12-NONntUnit &amp; Service Transformers - FE Sales</v>
          </cell>
        </row>
        <row r="70">
          <cell r="I70">
            <v>52314.217199999999</v>
          </cell>
          <cell r="V70" t="str">
            <v>3430000FM34311LDDANIEL12-NONntUniversal Wastes, Grease &amp; Oil Removal</v>
          </cell>
        </row>
        <row r="71">
          <cell r="I71">
            <v>52314.217199999999</v>
          </cell>
          <cell r="V71" t="str">
            <v>3430000FM34322LDDANIEL12-NONntUniversal Wastes, Grease &amp; Oil Removal</v>
          </cell>
        </row>
        <row r="72">
          <cell r="I72">
            <v>42500</v>
          </cell>
          <cell r="V72" t="str">
            <v>311UND311CCLRDANIEL12-NONlsUtility Disconnects</v>
          </cell>
        </row>
        <row r="73">
          <cell r="I73">
            <v>8267.2732800000013</v>
          </cell>
          <cell r="V73" t="str">
            <v>3080361308CCLRDANIEL12-ECO%WRAP-UP AND ALL-RISK INSURANCE</v>
          </cell>
        </row>
        <row r="74">
          <cell r="I74">
            <v>33307.849173333336</v>
          </cell>
          <cell r="V74" t="str">
            <v>3080361308CCLRDANIEL12-NON%WRAP-UP AND ALL-RISK INSURANCE</v>
          </cell>
        </row>
        <row r="75">
          <cell r="I75">
            <v>15025.2</v>
          </cell>
          <cell r="V75" t="str">
            <v>3090481309CCLRDANIEL34CC-NON%ADMINISTRATIVE &amp; GENERAL OVERHEAD</v>
          </cell>
        </row>
        <row r="76">
          <cell r="I76">
            <v>10800</v>
          </cell>
          <cell r="V76" t="str">
            <v>311UND311CCLRDANIEL34CC-NONntANCILLARY BUILDINGS - Demo</v>
          </cell>
        </row>
        <row r="77">
          <cell r="I77">
            <v>-8520</v>
          </cell>
          <cell r="V77" t="str">
            <v>311UND311CCMSDANIEL34CC-NONntANCILLARY BUILDINGS - FE SALES</v>
          </cell>
        </row>
        <row r="78">
          <cell r="I78">
            <v>30377.399999999998</v>
          </cell>
          <cell r="V78" t="str">
            <v>3080261308CCLRDANIEL34CC-NONMHAPC ENGINEERING</v>
          </cell>
        </row>
        <row r="79">
          <cell r="I79">
            <v>0</v>
          </cell>
          <cell r="V79" t="str">
            <v>3040000304CCLRDANIEL12-ASHCONTINGENCY</v>
          </cell>
        </row>
        <row r="80">
          <cell r="I80">
            <v>0</v>
          </cell>
          <cell r="V80" t="str">
            <v>304000030411LRDANIEL12-ECOCONTINGENCY</v>
          </cell>
        </row>
        <row r="81">
          <cell r="I81">
            <v>0</v>
          </cell>
          <cell r="V81" t="str">
            <v>304000030422LRDANIEL12-ECOCONTINGENCY</v>
          </cell>
        </row>
        <row r="82">
          <cell r="I82">
            <v>0</v>
          </cell>
          <cell r="V82" t="str">
            <v>3040000304CCLRDANIEL12-ECOCONTINGENCY</v>
          </cell>
        </row>
        <row r="83">
          <cell r="I83">
            <v>0</v>
          </cell>
          <cell r="V83" t="str">
            <v>304000030411LRDANIEL12-NONCONTINGENCY</v>
          </cell>
        </row>
        <row r="84">
          <cell r="I84">
            <v>0</v>
          </cell>
          <cell r="V84" t="str">
            <v>304000030422LRDANIEL12-NONCONTINGENCY</v>
          </cell>
        </row>
        <row r="85">
          <cell r="I85">
            <v>0</v>
          </cell>
          <cell r="V85" t="str">
            <v>3040000304CCLRDANIEL12-NONCONTINGENCY</v>
          </cell>
        </row>
        <row r="86">
          <cell r="I86">
            <v>0</v>
          </cell>
          <cell r="V86" t="str">
            <v>30400003043CC3CCLRDANIEL34CC-ECOCONTINGENCY</v>
          </cell>
        </row>
        <row r="87">
          <cell r="I87">
            <v>0</v>
          </cell>
          <cell r="V87" t="str">
            <v>30400003044CC4CCLRDANIEL34CC-ECOCONTINGENCY</v>
          </cell>
        </row>
        <row r="88">
          <cell r="I88">
            <v>0</v>
          </cell>
          <cell r="V88" t="str">
            <v>3040000304CCLRDANIEL34CC-NONCONTINGENCY</v>
          </cell>
        </row>
        <row r="89">
          <cell r="I89">
            <v>0</v>
          </cell>
          <cell r="V89" t="str">
            <v>30400003043CC3CCLRDANIEL34CC-NONCONTINGENCY</v>
          </cell>
        </row>
        <row r="90">
          <cell r="I90">
            <v>0</v>
          </cell>
          <cell r="V90" t="str">
            <v>30400003044CC4CCLRDANIEL34CC-NONCONTINGENCY</v>
          </cell>
        </row>
        <row r="91">
          <cell r="I91">
            <v>37500</v>
          </cell>
          <cell r="V91" t="str">
            <v>3070201MO307CCLRDANIEL34CC-NONLTCONTRACTOR MOBILIZATION</v>
          </cell>
        </row>
        <row r="92">
          <cell r="I92">
            <v>-29318.327500000003</v>
          </cell>
          <cell r="V92" t="str">
            <v>343UND3433CC3CCMSDANIEL34CC-NONlbsCTs - CU Sales</v>
          </cell>
        </row>
        <row r="93">
          <cell r="I93">
            <v>-117273.31000000001</v>
          </cell>
          <cell r="V93" t="str">
            <v>345UND3453CC3CCMSDANIEL34CC-NONlbsCTs - CU Sales</v>
          </cell>
        </row>
        <row r="94">
          <cell r="I94">
            <v>-29318.327500000003</v>
          </cell>
          <cell r="V94" t="str">
            <v>343UND3434CC4CCMSDANIEL34CC-NONlbsCTs - CU Sales</v>
          </cell>
        </row>
        <row r="95">
          <cell r="I95">
            <v>-117273.31000000001</v>
          </cell>
          <cell r="V95" t="str">
            <v>345UND3454CC4CCMSDANIEL34CC-NONlbsCTs - CU Sales</v>
          </cell>
        </row>
        <row r="96">
          <cell r="I96">
            <v>407016</v>
          </cell>
          <cell r="V96" t="str">
            <v>341UND3413CC3CCLRDANIEL34CC-NONntCTs - DEMO</v>
          </cell>
        </row>
        <row r="97">
          <cell r="I97">
            <v>135672</v>
          </cell>
          <cell r="V97" t="str">
            <v>343UND3433CC3CCLRDANIEL34CC-NONntCTs - DEMO</v>
          </cell>
        </row>
        <row r="98">
          <cell r="I98">
            <v>101754</v>
          </cell>
          <cell r="V98" t="str">
            <v>344UND3443CC3CCLRDANIEL34CC-NONntCTs - DEMO</v>
          </cell>
        </row>
        <row r="99">
          <cell r="I99">
            <v>33918</v>
          </cell>
          <cell r="V99" t="str">
            <v>345UND3453CC3CCLRDANIEL34CC-NONntCTs - DEMO</v>
          </cell>
        </row>
        <row r="100">
          <cell r="I100">
            <v>407016</v>
          </cell>
          <cell r="V100" t="str">
            <v>341UND3414CC4CCLRDANIEL34CC-NONntCTs - DEMO</v>
          </cell>
        </row>
        <row r="101">
          <cell r="I101">
            <v>135672</v>
          </cell>
          <cell r="V101" t="str">
            <v>343UND3434CC4CCLRDANIEL34CC-NONntCTs - DEMO</v>
          </cell>
        </row>
        <row r="102">
          <cell r="I102">
            <v>101754</v>
          </cell>
          <cell r="V102" t="str">
            <v>344UND3444CC4CCLRDANIEL34CC-NONntCTs - DEMO</v>
          </cell>
        </row>
        <row r="103">
          <cell r="I103">
            <v>33918</v>
          </cell>
          <cell r="V103" t="str">
            <v>345UND3454CC4CCLRDANIEL34CC-NONntCTs - DEMO</v>
          </cell>
        </row>
        <row r="104">
          <cell r="I104">
            <v>-481635.6</v>
          </cell>
          <cell r="V104" t="str">
            <v>341UND3413CC3CCMSDANIEL34CC-NONntCTs - FE Sales</v>
          </cell>
        </row>
        <row r="105">
          <cell r="I105">
            <v>-200681.5</v>
          </cell>
          <cell r="V105" t="str">
            <v>343UND3433CC3CCMSDANIEL34CC-NONntCTs - FE Sales</v>
          </cell>
        </row>
        <row r="106">
          <cell r="I106">
            <v>-120408.9</v>
          </cell>
          <cell r="V106" t="str">
            <v>344UND3443CC3CCMSDANIEL34CC-NONntCTs - FE Sales</v>
          </cell>
        </row>
        <row r="107">
          <cell r="I107">
            <v>-481635.6</v>
          </cell>
          <cell r="V107" t="str">
            <v>341UND3414CC4CCMSDANIEL34CC-NONntCTs - FE Sales</v>
          </cell>
        </row>
        <row r="108">
          <cell r="I108">
            <v>-200681.5</v>
          </cell>
          <cell r="V108" t="str">
            <v>343UND3434CC4CCMSDANIEL34CC-NONntCTs - FE Sales</v>
          </cell>
        </row>
        <row r="109">
          <cell r="I109">
            <v>-120408.9</v>
          </cell>
          <cell r="V109" t="str">
            <v>344UND3444CC4CCMSDANIEL34CC-NONntCTs - FE Sales</v>
          </cell>
        </row>
        <row r="110">
          <cell r="I110">
            <v>-294360</v>
          </cell>
          <cell r="V110" t="str">
            <v>345UND3453CC3CCMSDANIEL34CC-NONlbsCTs Transformers - CU Sales</v>
          </cell>
        </row>
        <row r="111">
          <cell r="I111">
            <v>-294360</v>
          </cell>
          <cell r="V111" t="str">
            <v>345UND3454CC4CCMSDANIEL34CC-NONlbsCTs Transformers - CU Sales</v>
          </cell>
        </row>
        <row r="112">
          <cell r="I112">
            <v>107040</v>
          </cell>
          <cell r="V112" t="str">
            <v>345UND3453CC3CCMSDANIEL34CC-NONntCTs Transformers - Demo</v>
          </cell>
        </row>
        <row r="113">
          <cell r="I113">
            <v>107040</v>
          </cell>
          <cell r="V113" t="str">
            <v>345UND3454CC4CCMSDANIEL34CC-NONntCTs Transformers - Demo</v>
          </cell>
        </row>
        <row r="114">
          <cell r="I114">
            <v>-126664</v>
          </cell>
          <cell r="V114" t="str">
            <v>345UND3453CC3CCMSDANIEL34CC-NONntCTs Transformers - FE Sales</v>
          </cell>
        </row>
        <row r="115">
          <cell r="I115">
            <v>-126664</v>
          </cell>
          <cell r="V115" t="str">
            <v>345UND3454CC4CCMSDANIEL34CC-NONntCTs Transformers - FE Sales</v>
          </cell>
        </row>
        <row r="116">
          <cell r="I116">
            <v>7500</v>
          </cell>
          <cell r="V116" t="str">
            <v>3080241308CCLRDANIEL34CC-NONlsDesign bulkhead for intake and discharge tunnel</v>
          </cell>
        </row>
        <row r="117">
          <cell r="I117">
            <v>15000</v>
          </cell>
          <cell r="V117" t="str">
            <v>3110001LC311CCLRDANIEL34CC-NONsfGrade and Seeding</v>
          </cell>
        </row>
        <row r="118">
          <cell r="I118">
            <v>37500</v>
          </cell>
          <cell r="V118" t="str">
            <v>314052102314CCLRDANIEL34CC-NONlsInstall Bulkhead in Intake &amp; Discharge Tunnel</v>
          </cell>
        </row>
        <row r="119">
          <cell r="I119">
            <v>30000</v>
          </cell>
          <cell r="V119" t="str">
            <v>307UND307CCLRDANIEL34CC-NONlsInstall Electrical for Decommissioning Work</v>
          </cell>
        </row>
        <row r="120">
          <cell r="I120">
            <v>67500</v>
          </cell>
          <cell r="V120" t="str">
            <v>3110061311CCLRDANIEL34CC-NONsfPavement Repairs</v>
          </cell>
        </row>
        <row r="121">
          <cell r="I121">
            <v>37500</v>
          </cell>
          <cell r="V121" t="str">
            <v>3080268EA308CCLRDANIEL34CC-NONlsPerform environmental survey of above grade structures</v>
          </cell>
        </row>
        <row r="122">
          <cell r="I122">
            <v>1202.0160000000001</v>
          </cell>
          <cell r="V122" t="str">
            <v>3080268308CCLRDANIEL34CC-NONLTPERMITS</v>
          </cell>
        </row>
        <row r="123">
          <cell r="I123">
            <v>60754.842000000004</v>
          </cell>
          <cell r="V123" t="str">
            <v>3070041307CCLRDANIEL34CC-NONMYPOWER GENERATION SUPERVISION</v>
          </cell>
        </row>
        <row r="124">
          <cell r="I124">
            <v>45075.600000000006</v>
          </cell>
          <cell r="V124" t="str">
            <v>3080241308CCLRDANIEL34CC-NON%SCS ENGINEERING</v>
          </cell>
        </row>
        <row r="125">
          <cell r="I125">
            <v>45675.278999999995</v>
          </cell>
          <cell r="V125" t="str">
            <v>3070221307CCLRDANIEL34CC-NONMYSECURITY SERVICES</v>
          </cell>
        </row>
        <row r="126">
          <cell r="I126">
            <v>4500</v>
          </cell>
          <cell r="V126" t="str">
            <v>3080241SW308CCLRDANIEL34CC-NONlsStorm Water Prevention Plan</v>
          </cell>
        </row>
        <row r="127">
          <cell r="I127">
            <v>30050.400000000001</v>
          </cell>
          <cell r="V127" t="str">
            <v>3070201307CCLRDANIEL34CC-NON%TEMPORARY CONSTRUCTION SERVICES</v>
          </cell>
        </row>
        <row r="128">
          <cell r="I128">
            <v>633.75</v>
          </cell>
          <cell r="V128" t="str">
            <v>341UND341CCLDDANIEL34CC-NONntTransport &amp;  Dispose of Combustibles</v>
          </cell>
        </row>
        <row r="129">
          <cell r="I129">
            <v>1300</v>
          </cell>
          <cell r="V129" t="str">
            <v>341UND3413CC3CCLDDANIEL34CC-NONntTransport &amp;  Dispose of Combustibles</v>
          </cell>
        </row>
        <row r="130">
          <cell r="I130">
            <v>1300</v>
          </cell>
          <cell r="V130" t="str">
            <v>341UND3414CC4CCLDDANIEL34CC-NONntTransport &amp;  Dispose of Combustibles</v>
          </cell>
        </row>
        <row r="131">
          <cell r="I131">
            <v>11625.381600000001</v>
          </cell>
          <cell r="V131" t="str">
            <v>3430000FM3433CC3CCLDDANIEL34CC-NONntUniversal Wastes, Grease &amp; Oil Removal</v>
          </cell>
        </row>
        <row r="132">
          <cell r="I132">
            <v>11625.381600000001</v>
          </cell>
          <cell r="V132" t="str">
            <v>3430000FM3434CC4CCLDDANIEL34CC-NONntUniversal Wastes, Grease &amp; Oil Removal</v>
          </cell>
        </row>
        <row r="133">
          <cell r="I133">
            <v>15000</v>
          </cell>
          <cell r="V133" t="str">
            <v>311UND311CCLRDANIEL34CC-NONlsUtility Disconnects</v>
          </cell>
        </row>
        <row r="134">
          <cell r="I134">
            <v>9015.1200000000008</v>
          </cell>
          <cell r="V134" t="str">
            <v>3080361308CCLRDANIEL34CC-NON%WRAP-UP AND ALL-RISK INSURANCE</v>
          </cell>
        </row>
      </sheetData>
      <sheetData sheetId="3">
        <row r="2">
          <cell r="I2" t="str">
            <v>VALUE</v>
          </cell>
          <cell r="V2">
            <v>3</v>
          </cell>
        </row>
        <row r="3">
          <cell r="I3">
            <v>13778.788800000002</v>
          </cell>
          <cell r="V3" t="str">
            <v>3090481309CCLRDANIEL12-ECO%ADMINISTRATIVE &amp; GENERAL OVERHEAD</v>
          </cell>
        </row>
        <row r="4">
          <cell r="I4">
            <v>1102.3031040000001</v>
          </cell>
          <cell r="V4" t="str">
            <v>3080268308CCLRDANIEL12-ECOLTPERMITS</v>
          </cell>
        </row>
        <row r="5">
          <cell r="I5">
            <v>688939.44000000006</v>
          </cell>
          <cell r="V5" t="str">
            <v>312UND31211LRDANIEL12-ECOntPrecipitators - DEMO</v>
          </cell>
        </row>
        <row r="6">
          <cell r="I6">
            <v>688939.44000000006</v>
          </cell>
          <cell r="V6" t="str">
            <v>312UND31222LRDANIEL12-ECOntPrecipitators - DEMO</v>
          </cell>
        </row>
        <row r="7">
          <cell r="I7">
            <v>-815245.00400000007</v>
          </cell>
          <cell r="V7" t="str">
            <v>312UND31211MSDANIEL12-ECOntPrecipitators - FE Sales</v>
          </cell>
        </row>
        <row r="8">
          <cell r="I8">
            <v>-815245.00400000007</v>
          </cell>
          <cell r="V8" t="str">
            <v>312UND31222MSDANIEL12-ECOntPrecipitators - FE Sales</v>
          </cell>
        </row>
        <row r="9">
          <cell r="I9">
            <v>41336.366400000006</v>
          </cell>
          <cell r="V9" t="str">
            <v>3080241308CCLRDANIEL12-ECO%SCS ENGINEERING</v>
          </cell>
        </row>
        <row r="10">
          <cell r="I10">
            <v>27557.577600000004</v>
          </cell>
          <cell r="V10" t="str">
            <v>3070201307CCLRDANIEL12-ECO%TEMPORARY CONSTRUCTION SERVICES</v>
          </cell>
        </row>
        <row r="11">
          <cell r="I11">
            <v>8267.2732800000013</v>
          </cell>
          <cell r="V11" t="str">
            <v>3080361308CCLRDANIEL12-ECO%WRAP-UP AND ALL-RISK INSURANCE</v>
          </cell>
        </row>
        <row r="12">
          <cell r="I12">
            <v>2937500</v>
          </cell>
          <cell r="V12" t="str">
            <v>3110230311CCLRDANIEL12-ASHACAsh Disposal Pond</v>
          </cell>
        </row>
        <row r="13">
          <cell r="I13">
            <v>55513.081955555557</v>
          </cell>
          <cell r="V13" t="str">
            <v>3090481309CCLRDANIEL12-NON%ADMINISTRATIVE &amp; GENERAL OVERHEAD</v>
          </cell>
        </row>
        <row r="14">
          <cell r="I14">
            <v>30600</v>
          </cell>
          <cell r="V14" t="str">
            <v>311UND311CCLRDANIEL12-NONntANCILLARY BUILDINGS - Demo</v>
          </cell>
        </row>
        <row r="15">
          <cell r="I15">
            <v>-24140</v>
          </cell>
          <cell r="V15" t="str">
            <v>311UND311CCMSDANIEL12-NONntANCILLARY BUILDINGS - FE SALES</v>
          </cell>
        </row>
        <row r="16">
          <cell r="I16">
            <v>86069.3</v>
          </cell>
          <cell r="V16" t="str">
            <v>3080261308CCLRDANIEL12-NONMHAPC ENGINEERING</v>
          </cell>
        </row>
        <row r="17">
          <cell r="I17">
            <v>106250</v>
          </cell>
          <cell r="V17" t="str">
            <v>3070201MO307CCLRDANIEL12-NONLTCONTRACTOR MOBILIZATION</v>
          </cell>
        </row>
        <row r="18">
          <cell r="I18">
            <v>21250</v>
          </cell>
          <cell r="V18" t="str">
            <v>3080241308CCLRDANIEL12-NONlsDesign bulkhead for intake and discharge tunnel</v>
          </cell>
        </row>
        <row r="19">
          <cell r="I19">
            <v>115555.55555555556</v>
          </cell>
          <cell r="V19" t="str">
            <v>312UND31211LDDANIEL12-NONntDispose of Refractory in Subtitle D Landfill</v>
          </cell>
        </row>
        <row r="20">
          <cell r="I20">
            <v>115555.55555555556</v>
          </cell>
          <cell r="V20" t="str">
            <v>312UND31222LDDANIEL12-NONntDispose of Refractory in Subtitle D Landfill</v>
          </cell>
        </row>
        <row r="21">
          <cell r="I21">
            <v>42500</v>
          </cell>
          <cell r="V21" t="str">
            <v>3110001LC311CCLRDANIEL12-NONsfGrade and Seeding</v>
          </cell>
        </row>
        <row r="22">
          <cell r="I22">
            <v>106250</v>
          </cell>
          <cell r="V22" t="str">
            <v>314052102314CCLRDANIEL12-NONlsInstall Bulkhead in Intake &amp; Discharge Tunnel</v>
          </cell>
        </row>
        <row r="23">
          <cell r="I23">
            <v>85000</v>
          </cell>
          <cell r="V23" t="str">
            <v>307UND307CCLRDANIEL12-NONlsInstall Electrical for Decommissioning Work</v>
          </cell>
        </row>
        <row r="24">
          <cell r="I24">
            <v>87500</v>
          </cell>
          <cell r="V24" t="str">
            <v>312UND31211LRDANIEL12-NONeaMain Power Block - (1) each 350' Stack (felling)</v>
          </cell>
        </row>
        <row r="25">
          <cell r="I25">
            <v>87500</v>
          </cell>
          <cell r="V25" t="str">
            <v>312UND31222LRDANIEL12-NONeaMain Power Block - (1) each 350' Stack (felling)</v>
          </cell>
        </row>
        <row r="26">
          <cell r="I26">
            <v>-42723.27738</v>
          </cell>
          <cell r="V26" t="str">
            <v>312UND31211MSDANIEL12-NONlbsMain Power Block - AL Sales</v>
          </cell>
        </row>
        <row r="27">
          <cell r="I27">
            <v>-42723.27738</v>
          </cell>
          <cell r="V27" t="str">
            <v>312UND31222MSDANIEL12-NONlbsMain Power Block - AL Sales</v>
          </cell>
        </row>
        <row r="28">
          <cell r="I28">
            <v>-160875.00000000003</v>
          </cell>
          <cell r="V28" t="str">
            <v>314UND31411MSDANIEL12-NONlbsMain Power Block - Condenser Tubes (Titanium)</v>
          </cell>
        </row>
        <row r="29">
          <cell r="I29">
            <v>-160875.00000000003</v>
          </cell>
          <cell r="V29" t="str">
            <v>314UND31422MSDANIEL12-NONlbsMain Power Block - Condenser Tubes (Titanium)</v>
          </cell>
        </row>
        <row r="30">
          <cell r="I30">
            <v>-86793.161461999989</v>
          </cell>
          <cell r="V30" t="str">
            <v>312UND31211MSDANIEL12-NONlbsMain Power Block - CU Sales</v>
          </cell>
        </row>
        <row r="31">
          <cell r="I31">
            <v>-347172.64584799996</v>
          </cell>
          <cell r="V31" t="str">
            <v>315UND31511MSDANIEL12-NONlbsMain Power Block - CU Sales</v>
          </cell>
        </row>
        <row r="32">
          <cell r="I32">
            <v>-86793.161461999989</v>
          </cell>
          <cell r="V32" t="str">
            <v>312UND31222MSDANIEL12-NONlbsMain Power Block - CU Sales</v>
          </cell>
        </row>
        <row r="33">
          <cell r="I33">
            <v>-347172.64584799996</v>
          </cell>
          <cell r="V33" t="str">
            <v>315UND31522MSDANIEL12-NONlbsMain Power Block - CU Sales</v>
          </cell>
        </row>
        <row r="34">
          <cell r="I34">
            <v>1390725.7919999999</v>
          </cell>
          <cell r="V34" t="str">
            <v>311UND31111LRDANIEL12-NONntMain Power Block - DEMO</v>
          </cell>
        </row>
        <row r="35">
          <cell r="I35">
            <v>463575.26399999997</v>
          </cell>
          <cell r="V35" t="str">
            <v>312UND31211LRDANIEL12-NONntMain Power Block - DEMO</v>
          </cell>
        </row>
        <row r="36">
          <cell r="I36">
            <v>347681.44799999997</v>
          </cell>
          <cell r="V36" t="str">
            <v>314UND31411LRDANIEL12-NONntMain Power Block - DEMO</v>
          </cell>
        </row>
        <row r="37">
          <cell r="I37">
            <v>115893.81599999999</v>
          </cell>
          <cell r="V37" t="str">
            <v>315UND31511LRDANIEL12-NONntMain Power Block - DEMO</v>
          </cell>
        </row>
        <row r="38">
          <cell r="I38">
            <v>1390725.7919999999</v>
          </cell>
          <cell r="V38" t="str">
            <v>311UND31122LRDANIEL12-NONntMain Power Block - DEMO</v>
          </cell>
        </row>
        <row r="39">
          <cell r="I39">
            <v>463575.26399999997</v>
          </cell>
          <cell r="V39" t="str">
            <v>312UND31222LRDANIEL12-NONntMain Power Block - DEMO</v>
          </cell>
        </row>
        <row r="40">
          <cell r="I40">
            <v>347681.44799999997</v>
          </cell>
          <cell r="V40" t="str">
            <v>314UND31422LRDANIEL12-NONntMain Power Block - DEMO</v>
          </cell>
        </row>
        <row r="41">
          <cell r="I41">
            <v>115893.81599999999</v>
          </cell>
          <cell r="V41" t="str">
            <v>315UND31522LRDANIEL12-NONntMain Power Block - DEMO</v>
          </cell>
        </row>
        <row r="42">
          <cell r="I42">
            <v>-1645692.1871999998</v>
          </cell>
          <cell r="V42" t="str">
            <v>311UND31111MSDANIEL12-NONntMain Power Block - FE Sales</v>
          </cell>
        </row>
        <row r="43">
          <cell r="I43">
            <v>-685705.07799999998</v>
          </cell>
          <cell r="V43" t="str">
            <v>312UND31211MSDANIEL12-NONntMain Power Block - FE Sales</v>
          </cell>
        </row>
        <row r="44">
          <cell r="I44">
            <v>-411423.04679999995</v>
          </cell>
          <cell r="V44" t="str">
            <v>314UND31411MSDANIEL12-NONntMain Power Block - FE Sales</v>
          </cell>
        </row>
        <row r="45">
          <cell r="I45">
            <v>-1645692.1871999998</v>
          </cell>
          <cell r="V45" t="str">
            <v>311UND31122MSDANIEL12-NONntMain Power Block - FE Sales</v>
          </cell>
        </row>
        <row r="46">
          <cell r="I46">
            <v>-685705.07799999998</v>
          </cell>
          <cell r="V46" t="str">
            <v>312UND31222MSDANIEL12-NONntMain Power Block - FE Sales</v>
          </cell>
        </row>
        <row r="47">
          <cell r="I47">
            <v>-411423.04679999995</v>
          </cell>
          <cell r="V47" t="str">
            <v>314UND31422MSDANIEL12-NONntMain Power Block - FE Sales</v>
          </cell>
        </row>
        <row r="48">
          <cell r="I48">
            <v>-53476.755359999996</v>
          </cell>
          <cell r="V48" t="str">
            <v>312UND31211MSDANIEL12-NONlbsMain Power Block - SS Sales</v>
          </cell>
        </row>
        <row r="49">
          <cell r="I49">
            <v>-53476.755359999996</v>
          </cell>
          <cell r="V49" t="str">
            <v>312UND31222MSDANIEL12-NONlbsMain Power Block - SS Sales</v>
          </cell>
        </row>
        <row r="50">
          <cell r="I50">
            <v>156527.77777777778</v>
          </cell>
          <cell r="V50" t="str">
            <v>314UND31411LRDANIEL12-NONcyMain Power Block - Turbine Foundations Concrete</v>
          </cell>
        </row>
        <row r="51">
          <cell r="I51">
            <v>156527.77777777778</v>
          </cell>
          <cell r="V51" t="str">
            <v>314UND31422LRDANIEL12-NONcyMain Power Block - Turbine Foundations Concrete</v>
          </cell>
        </row>
        <row r="52">
          <cell r="I52">
            <v>191250</v>
          </cell>
          <cell r="V52" t="str">
            <v>3110061311CCLRDANIEL12-NONsfPavement Repairs</v>
          </cell>
        </row>
        <row r="53">
          <cell r="I53">
            <v>106250</v>
          </cell>
          <cell r="V53" t="str">
            <v>3080268EA308CCLRDANIEL12-NONlsPerform environmental survey of above grade structures</v>
          </cell>
        </row>
        <row r="54">
          <cell r="I54">
            <v>4441.0465564444448</v>
          </cell>
          <cell r="V54" t="str">
            <v>3080268308CCLRDANIEL12-NONLTPERMITS</v>
          </cell>
        </row>
        <row r="55">
          <cell r="I55">
            <v>172138.71900000001</v>
          </cell>
          <cell r="V55" t="str">
            <v>3070041307CCLRDANIEL12-NONMYPOWER GENERATION SUPERVISION</v>
          </cell>
        </row>
        <row r="56">
          <cell r="I56">
            <v>67500</v>
          </cell>
          <cell r="V56" t="str">
            <v>3111002CN31111LDDANIEL12-NONntProcess, haul and backfill brick &amp; block</v>
          </cell>
        </row>
        <row r="57">
          <cell r="I57">
            <v>67500</v>
          </cell>
          <cell r="V57" t="str">
            <v>3111002CN31122LDDANIEL12-NONntProcess, haul and backfill brick &amp; block</v>
          </cell>
        </row>
        <row r="58">
          <cell r="I58">
            <v>166539.24586666666</v>
          </cell>
          <cell r="V58" t="str">
            <v>3080241308CCLRDANIEL12-NON%SCS ENGINEERING</v>
          </cell>
        </row>
        <row r="59">
          <cell r="I59">
            <v>129413.29049999997</v>
          </cell>
          <cell r="V59" t="str">
            <v>3070221307CCLRDANIEL12-NONMYSECURITY SERVICES</v>
          </cell>
        </row>
        <row r="60">
          <cell r="I60">
            <v>12750</v>
          </cell>
          <cell r="V60" t="str">
            <v>3080241SW308CCLRDANIEL12-NONlsStorm Water Prevention Plan</v>
          </cell>
        </row>
        <row r="61">
          <cell r="I61">
            <v>111026.16391111111</v>
          </cell>
          <cell r="V61" t="str">
            <v>3070201307CCLRDANIEL12-NON%TEMPORARY CONSTRUCTION SERVICES</v>
          </cell>
        </row>
        <row r="62">
          <cell r="I62">
            <v>14168.433824999998</v>
          </cell>
          <cell r="V62" t="str">
            <v>311UND31111LDDANIEL12-NONntTransport &amp;  Dispose of Combustibles</v>
          </cell>
        </row>
        <row r="63">
          <cell r="I63">
            <v>14168.433824999998</v>
          </cell>
          <cell r="V63" t="str">
            <v>311UND31122LDDANIEL12-NONntTransport &amp;  Dispose of Combustibles</v>
          </cell>
        </row>
        <row r="64">
          <cell r="I64">
            <v>1795.625</v>
          </cell>
          <cell r="V64" t="str">
            <v>341UND341CCLDDANIEL12-NONntTransport &amp;  Dispose of Combustibles</v>
          </cell>
        </row>
        <row r="65">
          <cell r="I65">
            <v>-19800</v>
          </cell>
          <cell r="V65" t="str">
            <v>315UND31511MSDANIEL12-NONlbsUnit &amp; Service Transformers - CU Sales</v>
          </cell>
        </row>
        <row r="66">
          <cell r="I66">
            <v>-19800</v>
          </cell>
          <cell r="V66" t="str">
            <v>315UND31522MSDANIEL12-NONlbsUnit &amp; Service Transformers - CU Sales</v>
          </cell>
        </row>
        <row r="67">
          <cell r="I67">
            <v>7200</v>
          </cell>
          <cell r="V67" t="str">
            <v>315UND31511LRDANIEL12-NONntUnit &amp; Service Transformers - Demo</v>
          </cell>
        </row>
        <row r="68">
          <cell r="I68">
            <v>7200</v>
          </cell>
          <cell r="V68" t="str">
            <v>315UND31522LRDANIEL12-NONntUnit &amp; Service Transformers - Demo</v>
          </cell>
        </row>
        <row r="69">
          <cell r="I69">
            <v>-8520</v>
          </cell>
          <cell r="V69" t="str">
            <v>315UND31511MSDANIEL12-NONntUnit &amp; Service Transformers - FE Sales</v>
          </cell>
        </row>
        <row r="70">
          <cell r="I70">
            <v>-8520</v>
          </cell>
          <cell r="V70" t="str">
            <v>315UND31522MSDANIEL12-NONntUnit &amp; Service Transformers - FE Sales</v>
          </cell>
        </row>
        <row r="71">
          <cell r="I71">
            <v>52314.217199999999</v>
          </cell>
          <cell r="V71" t="str">
            <v>3430000FM34311LDDANIEL12-NONntUniversal Wastes, Grease &amp; Oil Removal</v>
          </cell>
        </row>
        <row r="72">
          <cell r="I72">
            <v>52314.217199999999</v>
          </cell>
          <cell r="V72" t="str">
            <v>3430000FM34322LDDANIEL12-NONntUniversal Wastes, Grease &amp; Oil Removal</v>
          </cell>
        </row>
        <row r="73">
          <cell r="I73">
            <v>42500</v>
          </cell>
          <cell r="V73" t="str">
            <v>311UND311CCLRDANIEL12-NONlsUtility Disconnects</v>
          </cell>
        </row>
        <row r="74">
          <cell r="I74">
            <v>33307.849173333336</v>
          </cell>
          <cell r="V74" t="str">
            <v>3080361308CCLRDANIEL12-NON%WRAP-UP AND ALL-RISK INSURANCE</v>
          </cell>
        </row>
        <row r="75">
          <cell r="I75">
            <v>0</v>
          </cell>
          <cell r="V75" t="str">
            <v>304000030411LRDANIEL12-ECOCONTINGENCY</v>
          </cell>
        </row>
        <row r="76">
          <cell r="I76">
            <v>0</v>
          </cell>
          <cell r="V76" t="str">
            <v>304000030422LRDANIEL12-ECOCONTINGENCY</v>
          </cell>
        </row>
        <row r="77">
          <cell r="I77">
            <v>0</v>
          </cell>
          <cell r="V77" t="str">
            <v>3040000304CCLRDANIEL12-ECOCONTINGENCY</v>
          </cell>
        </row>
        <row r="78">
          <cell r="I78">
            <v>0</v>
          </cell>
          <cell r="V78" t="str">
            <v>3040000304CCLRDANIEL12-ASHCONTINGENCY</v>
          </cell>
        </row>
        <row r="79">
          <cell r="I79">
            <v>0</v>
          </cell>
          <cell r="V79" t="str">
            <v>304000030411LRDANIEL12-NONCONTINGENCY</v>
          </cell>
        </row>
        <row r="80">
          <cell r="I80">
            <v>0</v>
          </cell>
          <cell r="V80" t="str">
            <v>304000030422LRDANIEL12-NONCONTINGENCY</v>
          </cell>
        </row>
        <row r="81">
          <cell r="I81">
            <v>0</v>
          </cell>
          <cell r="V81" t="str">
            <v>3040000304CCLRDANIEL12-NONCONTINGENCY</v>
          </cell>
        </row>
        <row r="84">
          <cell r="I84">
            <v>2970557.8077637786</v>
          </cell>
        </row>
        <row r="85">
          <cell r="I85"/>
        </row>
        <row r="86">
          <cell r="I86">
            <v>3267613.5885401568</v>
          </cell>
        </row>
        <row r="89">
          <cell r="I89"/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alprices.com/metal/cupro-nickel/cupro-nickel-c706" TargetMode="External"/><Relationship Id="rId3" Type="http://schemas.openxmlformats.org/officeDocument/2006/relationships/hyperlink" Target="http://www.metalprices.com/historical/database/copper/lme-copper-cash-official" TargetMode="External"/><Relationship Id="rId7" Type="http://schemas.openxmlformats.org/officeDocument/2006/relationships/hyperlink" Target="http://www.metalprices.com/historical/database/stainless-steel/stainless-steel-304-s-p" TargetMode="External"/><Relationship Id="rId2" Type="http://schemas.openxmlformats.org/officeDocument/2006/relationships/hyperlink" Target="http://www.metalprices.com/historical/database/aluminum/lme-aluminum-cash-official" TargetMode="External"/><Relationship Id="rId1" Type="http://schemas.openxmlformats.org/officeDocument/2006/relationships/hyperlink" Target="http://www.metalprices.com/historical/database/ferrous-scrap-price-index/fe-spi-5-plate-structural-birmingham" TargetMode="External"/><Relationship Id="rId6" Type="http://schemas.openxmlformats.org/officeDocument/2006/relationships/hyperlink" Target="http://www.metalprices.com/historical/database/brass/brass-yellow-brass" TargetMode="External"/><Relationship Id="rId5" Type="http://schemas.openxmlformats.org/officeDocument/2006/relationships/hyperlink" Target="http://www.metalprices.com/historical/database/stainless-steel/stainless-steel-304-s-p" TargetMode="External"/><Relationship Id="rId4" Type="http://schemas.openxmlformats.org/officeDocument/2006/relationships/hyperlink" Target="http://www.metalprices.com/historical/database/stainless-steel/stainless-steel-304-s-p" TargetMode="External"/><Relationship Id="rId9" Type="http://schemas.openxmlformats.org/officeDocument/2006/relationships/hyperlink" Target="http://www.metalprices.com/metal/titanium/titanium-scrap-ferro-ti-quality-turnings-non-tin-bearing-gt-85-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15"/>
  <sheetViews>
    <sheetView showZeros="0" zoomScale="85" zoomScaleNormal="85" zoomScaleSheetLayoutView="100" workbookViewId="0">
      <pane xSplit="7" ySplit="3" topLeftCell="H16" activePane="bottomRight" state="frozen"/>
      <selection activeCell="F50" sqref="F50"/>
      <selection pane="topRight" activeCell="F50" sqref="F50"/>
      <selection pane="bottomLeft" activeCell="F50" sqref="F50"/>
      <selection pane="bottomRight" activeCell="H4" sqref="H4"/>
    </sheetView>
  </sheetViews>
  <sheetFormatPr defaultRowHeight="15" x14ac:dyDescent="0.25"/>
  <cols>
    <col min="1" max="1" width="2.42578125" style="1" customWidth="1"/>
    <col min="2" max="2" width="51.7109375" style="2" customWidth="1"/>
    <col min="3" max="3" width="4.85546875" style="67" bestFit="1" customWidth="1"/>
    <col min="4" max="4" width="10.140625" style="68" bestFit="1" customWidth="1"/>
    <col min="5" max="5" width="11.85546875" style="69" bestFit="1" customWidth="1"/>
    <col min="6" max="6" width="12.5703125" style="70" bestFit="1" customWidth="1"/>
    <col min="7" max="7" width="1.85546875" style="71" customWidth="1"/>
    <col min="8" max="8" width="12.5703125" style="193" customWidth="1"/>
    <col min="9" max="9" width="1.85546875" style="71" customWidth="1"/>
    <col min="10" max="10" width="5.5703125" style="72" bestFit="1" customWidth="1"/>
    <col min="11" max="11" width="9.5703125" style="67" customWidth="1"/>
    <col min="12" max="12" width="5.5703125" style="73" bestFit="1" customWidth="1"/>
    <col min="13" max="13" width="10" style="6" customWidth="1"/>
    <col min="14" max="14" width="4.5703125" style="6" bestFit="1" customWidth="1"/>
    <col min="15" max="15" width="9.28515625" style="2" customWidth="1"/>
    <col min="16" max="16" width="4.5703125" style="6" bestFit="1" customWidth="1"/>
    <col min="17" max="17" width="9.28515625" style="6" bestFit="1" customWidth="1"/>
    <col min="18" max="18" width="4.5703125" style="6" bestFit="1" customWidth="1"/>
    <col min="19" max="19" width="9.28515625" style="2" bestFit="1" customWidth="1"/>
    <col min="20" max="20" width="5.5703125" style="6" bestFit="1" customWidth="1"/>
    <col min="21" max="21" width="9.28515625" style="6" bestFit="1" customWidth="1"/>
    <col min="22" max="22" width="2" style="71" customWidth="1"/>
    <col min="23" max="23" width="5.7109375" style="72" bestFit="1" customWidth="1"/>
    <col min="24" max="24" width="10.85546875" style="6" bestFit="1" customWidth="1"/>
    <col min="25" max="25" width="5.5703125" style="73" bestFit="1" customWidth="1"/>
    <col min="26" max="26" width="10.85546875" style="6" bestFit="1" customWidth="1"/>
    <col min="27" max="27" width="5.5703125" style="6" bestFit="1" customWidth="1"/>
    <col min="28" max="28" width="10.85546875" style="2" bestFit="1" customWidth="1"/>
    <col min="29" max="29" width="5.5703125" style="6" bestFit="1" customWidth="1"/>
    <col min="30" max="30" width="10.85546875" style="6" bestFit="1" customWidth="1"/>
    <col min="31" max="31" width="5.5703125" style="6" bestFit="1" customWidth="1"/>
    <col min="32" max="32" width="10.85546875" style="2" bestFit="1" customWidth="1"/>
    <col min="33" max="33" width="5.5703125" style="6" bestFit="1" customWidth="1"/>
    <col min="34" max="34" width="10.85546875" style="2" bestFit="1" customWidth="1"/>
    <col min="35" max="35" width="5.7109375" style="74" bestFit="1" customWidth="1"/>
    <col min="36" max="36" width="11.5703125" style="72" bestFit="1" customWidth="1"/>
    <col min="37" max="37" width="12.5703125" style="6" bestFit="1" customWidth="1"/>
    <col min="38" max="38" width="5.5703125" style="73" bestFit="1" customWidth="1"/>
    <col min="39" max="39" width="11.5703125" style="6" bestFit="1" customWidth="1"/>
    <col min="40" max="40" width="5.5703125" style="6" bestFit="1" customWidth="1"/>
    <col min="41" max="41" width="11.5703125" style="2" bestFit="1" customWidth="1"/>
    <col min="42" max="42" width="5.5703125" style="6" bestFit="1" customWidth="1"/>
    <col min="43" max="43" width="11.5703125" style="6" customWidth="1"/>
    <col min="44" max="44" width="5.5703125" style="6" bestFit="1" customWidth="1"/>
    <col min="45" max="45" width="11.5703125" style="2" bestFit="1" customWidth="1"/>
    <col min="46" max="46" width="5.5703125" style="6" bestFit="1" customWidth="1"/>
    <col min="47" max="47" width="11.5703125" style="2" bestFit="1" customWidth="1"/>
    <col min="48" max="48" width="11.5703125" style="74" bestFit="1" customWidth="1"/>
    <col min="49" max="49" width="5.5703125" style="72" bestFit="1" customWidth="1"/>
    <col min="50" max="50" width="11.5703125" style="6" customWidth="1"/>
    <col min="51" max="51" width="5.7109375" style="73" bestFit="1" customWidth="1"/>
    <col min="52" max="52" width="11.5703125" style="6" bestFit="1" customWidth="1"/>
    <col min="53" max="53" width="5.7109375" style="6" bestFit="1" customWidth="1"/>
    <col min="54" max="54" width="11.5703125" style="2" bestFit="1" customWidth="1"/>
    <col min="55" max="55" width="5.7109375" style="6" bestFit="1" customWidth="1"/>
    <col min="56" max="56" width="11.5703125" style="6" customWidth="1"/>
    <col min="57" max="57" width="5.7109375" style="6" bestFit="1" customWidth="1"/>
    <col min="58" max="58" width="11.5703125" style="2" bestFit="1" customWidth="1"/>
    <col min="59" max="59" width="5.5703125" style="6" bestFit="1" customWidth="1"/>
    <col min="60" max="60" width="11.5703125" style="2" bestFit="1" customWidth="1"/>
    <col min="61" max="61" width="5.7109375" style="74" bestFit="1" customWidth="1"/>
    <col min="62" max="62" width="5.5703125" style="72" bestFit="1" customWidth="1"/>
    <col min="63" max="63" width="11.5703125" style="6" customWidth="1"/>
    <col min="64" max="64" width="5.5703125" style="73" bestFit="1" customWidth="1"/>
    <col min="65" max="65" width="11.5703125" style="6" bestFit="1" customWidth="1"/>
    <col min="66" max="66" width="5.5703125" style="6" bestFit="1" customWidth="1"/>
    <col min="67" max="67" width="11.5703125" style="2" bestFit="1" customWidth="1"/>
    <col min="68" max="68" width="5.5703125" style="6" bestFit="1" customWidth="1"/>
    <col min="69" max="69" width="11.5703125" style="6" customWidth="1"/>
    <col min="70" max="70" width="5.5703125" style="6" bestFit="1" customWidth="1"/>
    <col min="71" max="71" width="11.5703125" style="2" bestFit="1" customWidth="1"/>
    <col min="72" max="72" width="5.5703125" style="6" bestFit="1" customWidth="1"/>
    <col min="73" max="73" width="11.5703125" style="2" bestFit="1" customWidth="1"/>
    <col min="74" max="74" width="1.28515625" style="74" customWidth="1"/>
    <col min="75" max="75" width="5.7109375" style="72" bestFit="1" customWidth="1"/>
    <col min="76" max="76" width="11.5703125" style="6" customWidth="1"/>
    <col min="77" max="77" width="5.5703125" style="73" bestFit="1" customWidth="1"/>
    <col min="78" max="78" width="11.5703125" style="6" bestFit="1" customWidth="1"/>
    <col min="79" max="79" width="5.5703125" style="6" bestFit="1" customWidth="1"/>
    <col min="80" max="80" width="11.5703125" style="2" bestFit="1" customWidth="1"/>
    <col min="81" max="81" width="5.5703125" style="6" bestFit="1" customWidth="1"/>
    <col min="82" max="82" width="11.5703125" style="6" customWidth="1"/>
    <col min="83" max="83" width="5.5703125" style="6" bestFit="1" customWidth="1"/>
    <col min="84" max="84" width="10" style="2" bestFit="1" customWidth="1"/>
    <col min="85" max="85" width="5.7109375" style="6" bestFit="1" customWidth="1"/>
    <col min="86" max="86" width="10" style="2" bestFit="1" customWidth="1"/>
    <col min="87" max="87" width="2.42578125" style="74" customWidth="1"/>
    <col min="88" max="88" width="4.7109375" style="72" bestFit="1" customWidth="1"/>
    <col min="89" max="89" width="11.85546875" style="6" bestFit="1" customWidth="1"/>
    <col min="90" max="90" width="5.5703125" style="73" bestFit="1" customWidth="1"/>
    <col min="91" max="91" width="8.28515625" style="6" bestFit="1" customWidth="1"/>
    <col min="92" max="92" width="6.5703125" style="6" bestFit="1" customWidth="1"/>
    <col min="93" max="93" width="8.28515625" style="2" bestFit="1" customWidth="1"/>
    <col min="94" max="94" width="5.5703125" style="6" bestFit="1" customWidth="1"/>
    <col min="95" max="95" width="8.28515625" style="6" bestFit="1" customWidth="1"/>
    <col min="96" max="96" width="5.5703125" style="6" bestFit="1" customWidth="1"/>
    <col min="97" max="97" width="8.28515625" style="2" bestFit="1" customWidth="1"/>
    <col min="98" max="98" width="5.5703125" style="6" bestFit="1" customWidth="1"/>
    <col min="99" max="99" width="8.28515625" style="2" bestFit="1" customWidth="1"/>
    <col min="100" max="100" width="1.85546875" style="74" customWidth="1"/>
    <col min="101" max="101" width="5.5703125" style="72" bestFit="1" customWidth="1"/>
    <col min="102" max="102" width="11.5703125" style="6" customWidth="1"/>
    <col min="103" max="103" width="5.5703125" style="73" bestFit="1" customWidth="1"/>
    <col min="104" max="104" width="11.5703125" style="6" bestFit="1" customWidth="1"/>
    <col min="105" max="105" width="5.5703125" style="6" bestFit="1" customWidth="1"/>
    <col min="106" max="106" width="11.5703125" style="2" bestFit="1" customWidth="1"/>
    <col min="107" max="107" width="5.5703125" style="6" bestFit="1" customWidth="1"/>
    <col min="108" max="108" width="11.5703125" style="6" customWidth="1"/>
    <col min="109" max="109" width="5.5703125" style="6" bestFit="1" customWidth="1"/>
    <col min="110" max="110" width="11.5703125" style="2" bestFit="1" customWidth="1"/>
    <col min="111" max="111" width="5.5703125" style="6" bestFit="1" customWidth="1"/>
    <col min="112" max="112" width="11.5703125" style="2" bestFit="1" customWidth="1"/>
    <col min="113" max="113" width="36.42578125" style="5" bestFit="1" customWidth="1"/>
    <col min="114" max="115" width="36.42578125" style="6" bestFit="1" customWidth="1"/>
    <col min="116" max="16384" width="9.140625" style="2"/>
  </cols>
  <sheetData>
    <row r="1" spans="1:115" x14ac:dyDescent="0.25">
      <c r="C1" s="264" t="s">
        <v>0</v>
      </c>
      <c r="D1" s="265"/>
      <c r="E1" s="265"/>
      <c r="F1" s="265"/>
      <c r="G1" s="3"/>
      <c r="H1" s="187"/>
      <c r="I1" s="3"/>
      <c r="J1" s="258" t="s">
        <v>1</v>
      </c>
      <c r="K1" s="259"/>
      <c r="L1" s="259"/>
      <c r="M1" s="259"/>
      <c r="N1" s="259"/>
      <c r="O1" s="259"/>
      <c r="P1" s="3"/>
      <c r="Q1" s="258" t="s">
        <v>2</v>
      </c>
      <c r="R1" s="259"/>
      <c r="S1" s="259"/>
      <c r="T1" s="259"/>
      <c r="U1" s="259"/>
      <c r="V1" s="259"/>
      <c r="W1" s="4"/>
      <c r="X1" s="258" t="s">
        <v>3</v>
      </c>
      <c r="Y1" s="259"/>
      <c r="Z1" s="259"/>
      <c r="AA1" s="259"/>
      <c r="AB1" s="259"/>
      <c r="AC1" s="259"/>
      <c r="AD1" s="4"/>
      <c r="AE1" s="258" t="s">
        <v>4</v>
      </c>
      <c r="AF1" s="259"/>
      <c r="AG1" s="259"/>
      <c r="AH1" s="259"/>
      <c r="AI1" s="259"/>
      <c r="AJ1" s="259"/>
      <c r="AK1" s="4"/>
      <c r="AL1" s="258" t="s">
        <v>5</v>
      </c>
      <c r="AM1" s="259"/>
      <c r="AN1" s="259"/>
      <c r="AO1" s="259"/>
      <c r="AP1" s="259"/>
      <c r="AQ1" s="259"/>
      <c r="AR1" s="4"/>
      <c r="AS1" s="258" t="s">
        <v>6</v>
      </c>
      <c r="AT1" s="259"/>
      <c r="AU1" s="259"/>
      <c r="AV1" s="259"/>
      <c r="AW1" s="259"/>
      <c r="AX1" s="259"/>
      <c r="AY1" s="4"/>
      <c r="AZ1" s="258" t="s">
        <v>7</v>
      </c>
      <c r="BA1" s="259"/>
      <c r="BB1" s="259"/>
      <c r="BC1" s="259"/>
      <c r="BD1" s="259"/>
      <c r="BE1" s="259"/>
      <c r="BF1" s="4"/>
      <c r="BG1" s="258" t="s">
        <v>8</v>
      </c>
      <c r="BH1" s="259"/>
      <c r="BI1" s="259"/>
      <c r="BJ1" s="259"/>
      <c r="BK1" s="259"/>
      <c r="BL1" s="259"/>
      <c r="BM1" s="5"/>
      <c r="BO1" s="6"/>
      <c r="BP1" s="2"/>
      <c r="BQ1" s="2"/>
      <c r="BR1" s="2"/>
      <c r="BT1" s="2"/>
      <c r="BV1" s="2"/>
      <c r="BW1" s="2"/>
      <c r="BX1" s="2"/>
      <c r="BY1" s="2"/>
      <c r="BZ1" s="2"/>
      <c r="CA1" s="2"/>
      <c r="CC1" s="2"/>
      <c r="CD1" s="2"/>
      <c r="CE1" s="2"/>
      <c r="CG1" s="2"/>
      <c r="CI1" s="2"/>
      <c r="CJ1" s="2"/>
      <c r="CK1" s="2"/>
      <c r="CL1" s="2"/>
      <c r="CM1" s="2"/>
      <c r="CN1" s="2"/>
      <c r="CP1" s="2"/>
      <c r="CQ1" s="2"/>
      <c r="CR1" s="2"/>
      <c r="CT1" s="2"/>
      <c r="CV1" s="2"/>
      <c r="CW1" s="2"/>
      <c r="CX1" s="2"/>
      <c r="CY1" s="2"/>
      <c r="CZ1" s="2"/>
      <c r="DA1" s="2"/>
      <c r="DC1" s="2"/>
      <c r="DD1" s="2"/>
      <c r="DE1" s="2"/>
      <c r="DG1" s="2"/>
      <c r="DI1" s="2"/>
      <c r="DJ1" s="2"/>
      <c r="DK1" s="2"/>
    </row>
    <row r="2" spans="1:115" s="8" customFormat="1" ht="57.75" customHeight="1" x14ac:dyDescent="0.25">
      <c r="A2" s="7"/>
      <c r="C2" s="260"/>
      <c r="D2" s="261"/>
      <c r="E2" s="261"/>
      <c r="F2" s="261"/>
      <c r="G2" s="9"/>
      <c r="H2" s="188"/>
      <c r="I2" s="9"/>
      <c r="J2" s="10"/>
      <c r="K2" s="11"/>
      <c r="L2" s="262" t="s">
        <v>9</v>
      </c>
      <c r="M2" s="263"/>
      <c r="N2" s="262" t="s">
        <v>10</v>
      </c>
      <c r="O2" s="263"/>
      <c r="P2" s="9"/>
      <c r="Q2" s="10"/>
      <c r="R2" s="11"/>
      <c r="S2" s="262" t="s">
        <v>9</v>
      </c>
      <c r="T2" s="263"/>
      <c r="U2" s="262" t="s">
        <v>10</v>
      </c>
      <c r="V2" s="263"/>
      <c r="W2" s="12"/>
      <c r="X2" s="10"/>
      <c r="Y2" s="11"/>
      <c r="Z2" s="262" t="s">
        <v>9</v>
      </c>
      <c r="AA2" s="263"/>
      <c r="AB2" s="262" t="s">
        <v>10</v>
      </c>
      <c r="AC2" s="263"/>
      <c r="AD2" s="12"/>
      <c r="AE2" s="10"/>
      <c r="AF2" s="11"/>
      <c r="AG2" s="262" t="s">
        <v>9</v>
      </c>
      <c r="AH2" s="263"/>
      <c r="AI2" s="262" t="s">
        <v>10</v>
      </c>
      <c r="AJ2" s="263"/>
      <c r="AK2" s="12"/>
      <c r="AL2" s="10"/>
      <c r="AM2" s="11"/>
      <c r="AN2" s="262" t="s">
        <v>9</v>
      </c>
      <c r="AO2" s="263"/>
      <c r="AP2" s="262" t="s">
        <v>10</v>
      </c>
      <c r="AQ2" s="263"/>
      <c r="AR2" s="12"/>
      <c r="AS2" s="10"/>
      <c r="AT2" s="11"/>
      <c r="AU2" s="262" t="s">
        <v>9</v>
      </c>
      <c r="AV2" s="263"/>
      <c r="AW2" s="262" t="s">
        <v>10</v>
      </c>
      <c r="AX2" s="263"/>
      <c r="AY2" s="12"/>
      <c r="AZ2" s="10"/>
      <c r="BA2" s="11"/>
      <c r="BB2" s="262" t="s">
        <v>9</v>
      </c>
      <c r="BC2" s="263"/>
      <c r="BD2" s="262" t="s">
        <v>10</v>
      </c>
      <c r="BE2" s="263"/>
      <c r="BF2" s="12"/>
      <c r="BG2" s="10"/>
      <c r="BH2" s="11"/>
      <c r="BI2" s="262" t="s">
        <v>9</v>
      </c>
      <c r="BJ2" s="263"/>
      <c r="BK2" s="262" t="s">
        <v>10</v>
      </c>
      <c r="BL2" s="263"/>
      <c r="BM2" s="13"/>
      <c r="BN2" s="14"/>
      <c r="BO2" s="14"/>
    </row>
    <row r="3" spans="1:115" s="15" customFormat="1" ht="135" x14ac:dyDescent="0.25"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20"/>
      <c r="H3" s="189" t="s">
        <v>271</v>
      </c>
      <c r="I3" s="20"/>
      <c r="J3" s="21" t="s">
        <v>16</v>
      </c>
      <c r="K3" s="22" t="s">
        <v>0</v>
      </c>
      <c r="L3" s="23" t="s">
        <v>16</v>
      </c>
      <c r="M3" s="24" t="s">
        <v>15</v>
      </c>
      <c r="N3" s="25" t="s">
        <v>16</v>
      </c>
      <c r="O3" s="24" t="s">
        <v>15</v>
      </c>
      <c r="P3" s="20"/>
      <c r="Q3" s="21" t="s">
        <v>16</v>
      </c>
      <c r="R3" s="22" t="s">
        <v>0</v>
      </c>
      <c r="S3" s="23" t="s">
        <v>16</v>
      </c>
      <c r="T3" s="24" t="s">
        <v>15</v>
      </c>
      <c r="U3" s="25" t="s">
        <v>16</v>
      </c>
      <c r="V3" s="24" t="s">
        <v>15</v>
      </c>
      <c r="W3" s="26"/>
      <c r="X3" s="21" t="s">
        <v>16</v>
      </c>
      <c r="Y3" s="22" t="s">
        <v>0</v>
      </c>
      <c r="Z3" s="23" t="s">
        <v>16</v>
      </c>
      <c r="AA3" s="24" t="s">
        <v>15</v>
      </c>
      <c r="AB3" s="25" t="s">
        <v>16</v>
      </c>
      <c r="AC3" s="24" t="s">
        <v>15</v>
      </c>
      <c r="AD3" s="26"/>
      <c r="AE3" s="21" t="s">
        <v>16</v>
      </c>
      <c r="AF3" s="22" t="s">
        <v>0</v>
      </c>
      <c r="AG3" s="23" t="s">
        <v>16</v>
      </c>
      <c r="AH3" s="24" t="s">
        <v>15</v>
      </c>
      <c r="AI3" s="25" t="s">
        <v>16</v>
      </c>
      <c r="AJ3" s="24" t="s">
        <v>15</v>
      </c>
      <c r="AK3" s="26"/>
      <c r="AL3" s="21" t="s">
        <v>16</v>
      </c>
      <c r="AM3" s="22" t="s">
        <v>0</v>
      </c>
      <c r="AN3" s="23" t="s">
        <v>16</v>
      </c>
      <c r="AO3" s="24" t="s">
        <v>15</v>
      </c>
      <c r="AP3" s="25" t="s">
        <v>16</v>
      </c>
      <c r="AQ3" s="24" t="s">
        <v>15</v>
      </c>
      <c r="AR3" s="26"/>
      <c r="AS3" s="21" t="s">
        <v>16</v>
      </c>
      <c r="AT3" s="22" t="s">
        <v>0</v>
      </c>
      <c r="AU3" s="23" t="s">
        <v>16</v>
      </c>
      <c r="AV3" s="24" t="s">
        <v>15</v>
      </c>
      <c r="AW3" s="25" t="s">
        <v>16</v>
      </c>
      <c r="AX3" s="24" t="s">
        <v>15</v>
      </c>
      <c r="AY3" s="26"/>
      <c r="AZ3" s="21" t="s">
        <v>16</v>
      </c>
      <c r="BA3" s="22" t="s">
        <v>0</v>
      </c>
      <c r="BB3" s="23" t="s">
        <v>16</v>
      </c>
      <c r="BC3" s="24" t="s">
        <v>15</v>
      </c>
      <c r="BD3" s="25" t="s">
        <v>16</v>
      </c>
      <c r="BE3" s="24" t="s">
        <v>15</v>
      </c>
      <c r="BF3" s="26"/>
      <c r="BG3" s="21" t="s">
        <v>16</v>
      </c>
      <c r="BH3" s="22" t="s">
        <v>0</v>
      </c>
      <c r="BI3" s="23" t="s">
        <v>16</v>
      </c>
      <c r="BJ3" s="24" t="s">
        <v>15</v>
      </c>
      <c r="BK3" s="25" t="s">
        <v>16</v>
      </c>
      <c r="BL3" s="24" t="s">
        <v>15</v>
      </c>
      <c r="BM3" s="27" t="s">
        <v>17</v>
      </c>
      <c r="BN3" s="28" t="s">
        <v>18</v>
      </c>
      <c r="BO3" s="28" t="s">
        <v>19</v>
      </c>
      <c r="BP3" s="15" t="s">
        <v>20</v>
      </c>
    </row>
    <row r="4" spans="1:115" s="15" customFormat="1" x14ac:dyDescent="0.25">
      <c r="A4" s="29" t="s">
        <v>21</v>
      </c>
      <c r="C4" s="30"/>
      <c r="D4" s="31"/>
      <c r="E4" s="32"/>
      <c r="F4" s="33">
        <f t="shared" ref="F4:F7" si="0">D4*E4</f>
        <v>0</v>
      </c>
      <c r="G4" s="34"/>
      <c r="H4" s="190"/>
      <c r="I4" s="34"/>
      <c r="J4" s="35"/>
      <c r="K4" s="36">
        <f>J4*$F4</f>
        <v>0</v>
      </c>
      <c r="L4" s="37"/>
      <c r="M4" s="38">
        <f>L4*K4</f>
        <v>0</v>
      </c>
      <c r="N4" s="37"/>
      <c r="O4" s="38">
        <f>N4*K4</f>
        <v>0</v>
      </c>
      <c r="P4" s="34"/>
      <c r="Q4" s="35"/>
      <c r="R4" s="36">
        <f>Q4*$F4</f>
        <v>0</v>
      </c>
      <c r="S4" s="37"/>
      <c r="T4" s="38">
        <f>S4*R4</f>
        <v>0</v>
      </c>
      <c r="U4" s="37"/>
      <c r="V4" s="38">
        <f>U4*R4</f>
        <v>0</v>
      </c>
      <c r="W4" s="39"/>
      <c r="X4" s="35"/>
      <c r="Y4" s="36">
        <f>X4*$F4</f>
        <v>0</v>
      </c>
      <c r="Z4" s="37"/>
      <c r="AA4" s="38">
        <f>Z4*Y4</f>
        <v>0</v>
      </c>
      <c r="AB4" s="37"/>
      <c r="AC4" s="38">
        <f>AB4*Y4</f>
        <v>0</v>
      </c>
      <c r="AD4" s="39"/>
      <c r="AE4" s="35"/>
      <c r="AF4" s="36">
        <f>AE4*$F4</f>
        <v>0</v>
      </c>
      <c r="AG4" s="37"/>
      <c r="AH4" s="38">
        <f>AG4*AF4</f>
        <v>0</v>
      </c>
      <c r="AI4" s="37"/>
      <c r="AJ4" s="38">
        <f>AI4*AF4</f>
        <v>0</v>
      </c>
      <c r="AK4" s="39"/>
      <c r="AL4" s="35"/>
      <c r="AM4" s="36">
        <f>AL4*$F4</f>
        <v>0</v>
      </c>
      <c r="AN4" s="37"/>
      <c r="AO4" s="38">
        <f>AN4*AM4</f>
        <v>0</v>
      </c>
      <c r="AP4" s="37"/>
      <c r="AQ4" s="38">
        <f>AP4*AM4</f>
        <v>0</v>
      </c>
      <c r="AR4" s="39"/>
      <c r="AS4" s="35"/>
      <c r="AT4" s="36">
        <f>AS4*$F4</f>
        <v>0</v>
      </c>
      <c r="AU4" s="37"/>
      <c r="AV4" s="38">
        <f>AU4*AT4</f>
        <v>0</v>
      </c>
      <c r="AW4" s="37"/>
      <c r="AX4" s="38">
        <f>AW4*AT4</f>
        <v>0</v>
      </c>
      <c r="AY4" s="39"/>
      <c r="AZ4" s="35"/>
      <c r="BA4" s="36">
        <f>AZ4*$F4</f>
        <v>0</v>
      </c>
      <c r="BB4" s="37"/>
      <c r="BC4" s="38">
        <f>BB4*BA4</f>
        <v>0</v>
      </c>
      <c r="BD4" s="37"/>
      <c r="BE4" s="38">
        <f>BD4*BA4</f>
        <v>0</v>
      </c>
      <c r="BF4" s="39"/>
      <c r="BG4" s="35"/>
      <c r="BH4" s="36">
        <f>BG4*$F4</f>
        <v>0</v>
      </c>
      <c r="BI4" s="37"/>
      <c r="BJ4" s="38">
        <f>BI4*BH4</f>
        <v>0</v>
      </c>
      <c r="BK4" s="37"/>
      <c r="BL4" s="38">
        <f>BK4*BH4</f>
        <v>0</v>
      </c>
      <c r="BM4" s="40">
        <f t="shared" ref="BM4:BM27" si="1">F4</f>
        <v>0</v>
      </c>
      <c r="BN4" s="40">
        <f t="shared" ref="BN4:BN29" si="2">K4+R4+Y4+AF4+AM4+AT4+BA4+BH4</f>
        <v>0</v>
      </c>
      <c r="BO4" s="40">
        <f>SUM(BL4,BJ4,BE4,BC4,AX4,AV4,AQ4,AO4,AJ4,AH4,AC4,AA4,V4,T4,O4,M4)</f>
        <v>0</v>
      </c>
      <c r="BP4" s="15">
        <f>IF(AND(BM4=BN4,BN4=BO4,BM4=BO4),0,1)</f>
        <v>0</v>
      </c>
    </row>
    <row r="5" spans="1:115" s="15" customFormat="1" x14ac:dyDescent="0.25">
      <c r="B5" s="2" t="s">
        <v>22</v>
      </c>
      <c r="C5" s="41" t="s">
        <v>23</v>
      </c>
      <c r="D5" s="42">
        <v>1</v>
      </c>
      <c r="E5" s="33">
        <v>50000</v>
      </c>
      <c r="F5" s="43">
        <f t="shared" si="0"/>
        <v>50000</v>
      </c>
      <c r="G5" s="39"/>
      <c r="H5" s="194">
        <v>50000</v>
      </c>
      <c r="I5" s="39"/>
      <c r="J5" s="35">
        <v>1</v>
      </c>
      <c r="K5" s="36">
        <f t="shared" ref="K5:K52" si="3">J5*$F5</f>
        <v>50000</v>
      </c>
      <c r="L5" s="37">
        <v>0.85</v>
      </c>
      <c r="M5" s="38">
        <f t="shared" ref="M5:M29" si="4">L5*K5</f>
        <v>42500</v>
      </c>
      <c r="N5" s="37">
        <v>0.15</v>
      </c>
      <c r="O5" s="38">
        <f t="shared" ref="O5:O29" si="5">N5*K5</f>
        <v>7500</v>
      </c>
      <c r="P5" s="39"/>
      <c r="Q5" s="35"/>
      <c r="R5" s="36">
        <f t="shared" ref="R5:R52" si="6">Q5*$F5</f>
        <v>0</v>
      </c>
      <c r="S5" s="37"/>
      <c r="T5" s="38">
        <f t="shared" ref="T5:T29" si="7">S5*R5</f>
        <v>0</v>
      </c>
      <c r="U5" s="37"/>
      <c r="V5" s="38">
        <f t="shared" ref="V5:V29" si="8">U5*R5</f>
        <v>0</v>
      </c>
      <c r="W5" s="39"/>
      <c r="X5" s="35"/>
      <c r="Y5" s="36">
        <f t="shared" ref="Y5:Y52" si="9">X5*$F5</f>
        <v>0</v>
      </c>
      <c r="Z5" s="37"/>
      <c r="AA5" s="38">
        <f t="shared" ref="AA5:AA29" si="10">Z5*Y5</f>
        <v>0</v>
      </c>
      <c r="AB5" s="37"/>
      <c r="AC5" s="38">
        <f t="shared" ref="AC5:AC29" si="11">AB5*Y5</f>
        <v>0</v>
      </c>
      <c r="AD5" s="39"/>
      <c r="AE5" s="35"/>
      <c r="AF5" s="36">
        <f t="shared" ref="AF5:AF52" si="12">AE5*$F5</f>
        <v>0</v>
      </c>
      <c r="AG5" s="37"/>
      <c r="AH5" s="38">
        <f t="shared" ref="AH5:AH29" si="13">AG5*AF5</f>
        <v>0</v>
      </c>
      <c r="AI5" s="37"/>
      <c r="AJ5" s="38">
        <f t="shared" ref="AJ5:AJ29" si="14">AI5*AF5</f>
        <v>0</v>
      </c>
      <c r="AK5" s="39"/>
      <c r="AL5" s="35"/>
      <c r="AM5" s="36">
        <f t="shared" ref="AM5:AM52" si="15">AL5*$F5</f>
        <v>0</v>
      </c>
      <c r="AN5" s="37"/>
      <c r="AO5" s="38">
        <f t="shared" ref="AO5:AO29" si="16">AN5*AM5</f>
        <v>0</v>
      </c>
      <c r="AP5" s="37"/>
      <c r="AQ5" s="38">
        <f t="shared" ref="AQ5:AQ29" si="17">AP5*AM5</f>
        <v>0</v>
      </c>
      <c r="AR5" s="39"/>
      <c r="AS5" s="35"/>
      <c r="AT5" s="36">
        <f t="shared" ref="AT5:AT52" si="18">AS5*$F5</f>
        <v>0</v>
      </c>
      <c r="AU5" s="37"/>
      <c r="AV5" s="38">
        <f t="shared" ref="AV5:AV29" si="19">AU5*AT5</f>
        <v>0</v>
      </c>
      <c r="AW5" s="37"/>
      <c r="AX5" s="38">
        <f t="shared" ref="AX5:AX29" si="20">AW5*AT5</f>
        <v>0</v>
      </c>
      <c r="AY5" s="39"/>
      <c r="AZ5" s="35"/>
      <c r="BA5" s="36">
        <f t="shared" ref="BA5:BA52" si="21">AZ5*$F5</f>
        <v>0</v>
      </c>
      <c r="BB5" s="37"/>
      <c r="BC5" s="38">
        <f t="shared" ref="BC5:BC29" si="22">BB5*BA5</f>
        <v>0</v>
      </c>
      <c r="BD5" s="37"/>
      <c r="BE5" s="38">
        <f t="shared" ref="BE5:BE29" si="23">BD5*BA5</f>
        <v>0</v>
      </c>
      <c r="BF5" s="39"/>
      <c r="BG5" s="35"/>
      <c r="BH5" s="36">
        <f t="shared" ref="BH5:BH52" si="24">BG5*$F5</f>
        <v>0</v>
      </c>
      <c r="BI5" s="37"/>
      <c r="BJ5" s="38">
        <f t="shared" ref="BJ5:BJ29" si="25">BI5*BH5</f>
        <v>0</v>
      </c>
      <c r="BK5" s="37"/>
      <c r="BL5" s="38">
        <f t="shared" ref="BL5:BL27" si="26">BK5*BH5</f>
        <v>0</v>
      </c>
      <c r="BM5" s="40">
        <f t="shared" si="1"/>
        <v>50000</v>
      </c>
      <c r="BN5" s="40">
        <f t="shared" si="2"/>
        <v>50000</v>
      </c>
      <c r="BO5" s="40">
        <f t="shared" ref="BO5:BO60" si="27">SUM(BL5,BJ5,BE5,BC5,AX5,AV5,AQ5,AO5,AJ5,AH5,AC5,AA5,V5,T5,O5,M5)</f>
        <v>50000</v>
      </c>
      <c r="BP5" s="15">
        <f>IF(AND(BM5=BN5,BN5=BO5,BM5=BO5),0,1)</f>
        <v>0</v>
      </c>
    </row>
    <row r="6" spans="1:115" s="15" customFormat="1" x14ac:dyDescent="0.25">
      <c r="B6" s="2" t="s">
        <v>24</v>
      </c>
      <c r="C6" s="41" t="s">
        <v>23</v>
      </c>
      <c r="D6" s="42">
        <v>1</v>
      </c>
      <c r="E6" s="33">
        <v>250000</v>
      </c>
      <c r="F6" s="43">
        <f t="shared" si="0"/>
        <v>250000</v>
      </c>
      <c r="G6" s="39"/>
      <c r="H6" s="194">
        <v>250000</v>
      </c>
      <c r="I6" s="39"/>
      <c r="J6" s="35">
        <v>1</v>
      </c>
      <c r="K6" s="36">
        <f t="shared" si="3"/>
        <v>250000</v>
      </c>
      <c r="L6" s="37">
        <v>0.85</v>
      </c>
      <c r="M6" s="38">
        <f t="shared" si="4"/>
        <v>212500</v>
      </c>
      <c r="N6" s="37">
        <v>0.15</v>
      </c>
      <c r="O6" s="38">
        <f t="shared" si="5"/>
        <v>37500</v>
      </c>
      <c r="P6" s="39"/>
      <c r="Q6" s="35"/>
      <c r="R6" s="36">
        <f t="shared" si="6"/>
        <v>0</v>
      </c>
      <c r="S6" s="37"/>
      <c r="T6" s="38">
        <f t="shared" si="7"/>
        <v>0</v>
      </c>
      <c r="U6" s="37"/>
      <c r="V6" s="38">
        <f t="shared" si="8"/>
        <v>0</v>
      </c>
      <c r="W6" s="39"/>
      <c r="X6" s="35"/>
      <c r="Y6" s="36">
        <f t="shared" si="9"/>
        <v>0</v>
      </c>
      <c r="Z6" s="37"/>
      <c r="AA6" s="38">
        <f t="shared" si="10"/>
        <v>0</v>
      </c>
      <c r="AB6" s="37"/>
      <c r="AC6" s="38">
        <f t="shared" si="11"/>
        <v>0</v>
      </c>
      <c r="AD6" s="39"/>
      <c r="AE6" s="35"/>
      <c r="AF6" s="36">
        <f t="shared" si="12"/>
        <v>0</v>
      </c>
      <c r="AG6" s="37"/>
      <c r="AH6" s="38">
        <f t="shared" si="13"/>
        <v>0</v>
      </c>
      <c r="AI6" s="37"/>
      <c r="AJ6" s="38">
        <f t="shared" si="14"/>
        <v>0</v>
      </c>
      <c r="AK6" s="39"/>
      <c r="AL6" s="35"/>
      <c r="AM6" s="36">
        <f t="shared" si="15"/>
        <v>0</v>
      </c>
      <c r="AN6" s="37"/>
      <c r="AO6" s="38">
        <f t="shared" si="16"/>
        <v>0</v>
      </c>
      <c r="AP6" s="37"/>
      <c r="AQ6" s="38">
        <f t="shared" si="17"/>
        <v>0</v>
      </c>
      <c r="AR6" s="39"/>
      <c r="AS6" s="35"/>
      <c r="AT6" s="36">
        <f t="shared" si="18"/>
        <v>0</v>
      </c>
      <c r="AU6" s="37"/>
      <c r="AV6" s="38">
        <f t="shared" si="19"/>
        <v>0</v>
      </c>
      <c r="AW6" s="37"/>
      <c r="AX6" s="38">
        <f t="shared" si="20"/>
        <v>0</v>
      </c>
      <c r="AY6" s="39"/>
      <c r="AZ6" s="35"/>
      <c r="BA6" s="36">
        <f t="shared" si="21"/>
        <v>0</v>
      </c>
      <c r="BB6" s="37"/>
      <c r="BC6" s="38">
        <f t="shared" si="22"/>
        <v>0</v>
      </c>
      <c r="BD6" s="37"/>
      <c r="BE6" s="38">
        <f t="shared" si="23"/>
        <v>0</v>
      </c>
      <c r="BF6" s="39"/>
      <c r="BG6" s="35"/>
      <c r="BH6" s="36">
        <f t="shared" si="24"/>
        <v>0</v>
      </c>
      <c r="BI6" s="37"/>
      <c r="BJ6" s="38">
        <f t="shared" si="25"/>
        <v>0</v>
      </c>
      <c r="BK6" s="37"/>
      <c r="BL6" s="38">
        <f t="shared" si="26"/>
        <v>0</v>
      </c>
      <c r="BM6" s="40">
        <f t="shared" si="1"/>
        <v>250000</v>
      </c>
      <c r="BN6" s="40">
        <f t="shared" si="2"/>
        <v>250000</v>
      </c>
      <c r="BO6" s="40">
        <f t="shared" si="27"/>
        <v>250000</v>
      </c>
      <c r="BP6" s="15">
        <f t="shared" ref="BP6:BP60" si="28">IF(AND(BM6=BN6,BN6=BO6,BM6=BO6),0,1)</f>
        <v>0</v>
      </c>
    </row>
    <row r="7" spans="1:115" s="15" customFormat="1" x14ac:dyDescent="0.25">
      <c r="B7" s="44" t="s">
        <v>25</v>
      </c>
      <c r="C7" s="41" t="s">
        <v>23</v>
      </c>
      <c r="D7" s="42">
        <v>1</v>
      </c>
      <c r="E7" s="33">
        <v>30000</v>
      </c>
      <c r="F7" s="43">
        <f t="shared" si="0"/>
        <v>30000</v>
      </c>
      <c r="G7" s="39"/>
      <c r="H7" s="194">
        <v>30000</v>
      </c>
      <c r="I7" s="39"/>
      <c r="J7" s="35">
        <v>1</v>
      </c>
      <c r="K7" s="36">
        <f t="shared" si="3"/>
        <v>30000</v>
      </c>
      <c r="L7" s="37">
        <v>0.85</v>
      </c>
      <c r="M7" s="38">
        <f t="shared" si="4"/>
        <v>25500</v>
      </c>
      <c r="N7" s="37">
        <v>0.15</v>
      </c>
      <c r="O7" s="38">
        <f t="shared" si="5"/>
        <v>4500</v>
      </c>
      <c r="P7" s="39"/>
      <c r="Q7" s="35"/>
      <c r="R7" s="36">
        <f t="shared" si="6"/>
        <v>0</v>
      </c>
      <c r="S7" s="37"/>
      <c r="T7" s="38">
        <f t="shared" si="7"/>
        <v>0</v>
      </c>
      <c r="U7" s="37"/>
      <c r="V7" s="38">
        <f t="shared" si="8"/>
        <v>0</v>
      </c>
      <c r="W7" s="39"/>
      <c r="X7" s="35"/>
      <c r="Y7" s="36">
        <f t="shared" si="9"/>
        <v>0</v>
      </c>
      <c r="Z7" s="37"/>
      <c r="AA7" s="38">
        <f t="shared" si="10"/>
        <v>0</v>
      </c>
      <c r="AB7" s="37"/>
      <c r="AC7" s="38">
        <f t="shared" si="11"/>
        <v>0</v>
      </c>
      <c r="AD7" s="39"/>
      <c r="AE7" s="35"/>
      <c r="AF7" s="36">
        <f t="shared" si="12"/>
        <v>0</v>
      </c>
      <c r="AG7" s="37"/>
      <c r="AH7" s="38">
        <f t="shared" si="13"/>
        <v>0</v>
      </c>
      <c r="AI7" s="37"/>
      <c r="AJ7" s="38">
        <f t="shared" si="14"/>
        <v>0</v>
      </c>
      <c r="AK7" s="39"/>
      <c r="AL7" s="35"/>
      <c r="AM7" s="36">
        <f t="shared" si="15"/>
        <v>0</v>
      </c>
      <c r="AN7" s="37"/>
      <c r="AO7" s="38">
        <f t="shared" si="16"/>
        <v>0</v>
      </c>
      <c r="AP7" s="37"/>
      <c r="AQ7" s="38">
        <f t="shared" si="17"/>
        <v>0</v>
      </c>
      <c r="AR7" s="39"/>
      <c r="AS7" s="35"/>
      <c r="AT7" s="36">
        <f t="shared" si="18"/>
        <v>0</v>
      </c>
      <c r="AU7" s="37"/>
      <c r="AV7" s="38">
        <f t="shared" si="19"/>
        <v>0</v>
      </c>
      <c r="AW7" s="37"/>
      <c r="AX7" s="38">
        <f t="shared" si="20"/>
        <v>0</v>
      </c>
      <c r="AY7" s="39"/>
      <c r="AZ7" s="35"/>
      <c r="BA7" s="36">
        <f t="shared" si="21"/>
        <v>0</v>
      </c>
      <c r="BB7" s="37"/>
      <c r="BC7" s="38">
        <f t="shared" si="22"/>
        <v>0</v>
      </c>
      <c r="BD7" s="37"/>
      <c r="BE7" s="38">
        <f t="shared" si="23"/>
        <v>0</v>
      </c>
      <c r="BF7" s="39"/>
      <c r="BG7" s="35"/>
      <c r="BH7" s="36">
        <f t="shared" si="24"/>
        <v>0</v>
      </c>
      <c r="BI7" s="37"/>
      <c r="BJ7" s="38">
        <f t="shared" si="25"/>
        <v>0</v>
      </c>
      <c r="BK7" s="37"/>
      <c r="BL7" s="38">
        <f t="shared" si="26"/>
        <v>0</v>
      </c>
      <c r="BM7" s="40">
        <f t="shared" si="1"/>
        <v>30000</v>
      </c>
      <c r="BN7" s="40">
        <f t="shared" si="2"/>
        <v>30000</v>
      </c>
      <c r="BO7" s="40">
        <f t="shared" si="27"/>
        <v>30000</v>
      </c>
      <c r="BP7" s="15">
        <f t="shared" si="28"/>
        <v>0</v>
      </c>
    </row>
    <row r="8" spans="1:115" s="15" customFormat="1" x14ac:dyDescent="0.25">
      <c r="B8" s="2"/>
      <c r="C8" s="45"/>
      <c r="D8" s="42"/>
      <c r="E8" s="33"/>
      <c r="F8" s="33"/>
      <c r="G8" s="39"/>
      <c r="H8" s="194">
        <v>0</v>
      </c>
      <c r="I8" s="39"/>
      <c r="J8" s="35"/>
      <c r="K8" s="36">
        <f t="shared" si="3"/>
        <v>0</v>
      </c>
      <c r="L8" s="37"/>
      <c r="M8" s="38">
        <f t="shared" si="4"/>
        <v>0</v>
      </c>
      <c r="N8" s="37"/>
      <c r="O8" s="38">
        <f t="shared" si="5"/>
        <v>0</v>
      </c>
      <c r="P8" s="39"/>
      <c r="Q8" s="35"/>
      <c r="R8" s="36">
        <f t="shared" si="6"/>
        <v>0</v>
      </c>
      <c r="S8" s="37"/>
      <c r="T8" s="38">
        <f t="shared" si="7"/>
        <v>0</v>
      </c>
      <c r="U8" s="37"/>
      <c r="V8" s="38">
        <f t="shared" si="8"/>
        <v>0</v>
      </c>
      <c r="W8" s="39"/>
      <c r="X8" s="35"/>
      <c r="Y8" s="36">
        <f t="shared" si="9"/>
        <v>0</v>
      </c>
      <c r="Z8" s="37"/>
      <c r="AA8" s="38">
        <f t="shared" si="10"/>
        <v>0</v>
      </c>
      <c r="AB8" s="37"/>
      <c r="AC8" s="38">
        <f t="shared" si="11"/>
        <v>0</v>
      </c>
      <c r="AD8" s="39"/>
      <c r="AE8" s="35"/>
      <c r="AF8" s="36">
        <f t="shared" si="12"/>
        <v>0</v>
      </c>
      <c r="AG8" s="37"/>
      <c r="AH8" s="38">
        <f t="shared" si="13"/>
        <v>0</v>
      </c>
      <c r="AI8" s="37"/>
      <c r="AJ8" s="38">
        <f t="shared" si="14"/>
        <v>0</v>
      </c>
      <c r="AK8" s="39"/>
      <c r="AL8" s="35"/>
      <c r="AM8" s="36">
        <f t="shared" si="15"/>
        <v>0</v>
      </c>
      <c r="AN8" s="37"/>
      <c r="AO8" s="38">
        <f t="shared" si="16"/>
        <v>0</v>
      </c>
      <c r="AP8" s="37"/>
      <c r="AQ8" s="38">
        <f t="shared" si="17"/>
        <v>0</v>
      </c>
      <c r="AR8" s="39"/>
      <c r="AS8" s="35"/>
      <c r="AT8" s="36">
        <f t="shared" si="18"/>
        <v>0</v>
      </c>
      <c r="AU8" s="37"/>
      <c r="AV8" s="38">
        <f t="shared" si="19"/>
        <v>0</v>
      </c>
      <c r="AW8" s="37"/>
      <c r="AX8" s="38">
        <f t="shared" si="20"/>
        <v>0</v>
      </c>
      <c r="AY8" s="39"/>
      <c r="AZ8" s="35"/>
      <c r="BA8" s="36">
        <f t="shared" si="21"/>
        <v>0</v>
      </c>
      <c r="BB8" s="37"/>
      <c r="BC8" s="38">
        <f t="shared" si="22"/>
        <v>0</v>
      </c>
      <c r="BD8" s="37"/>
      <c r="BE8" s="38">
        <f t="shared" si="23"/>
        <v>0</v>
      </c>
      <c r="BF8" s="39"/>
      <c r="BG8" s="35"/>
      <c r="BH8" s="36">
        <f t="shared" si="24"/>
        <v>0</v>
      </c>
      <c r="BI8" s="37"/>
      <c r="BJ8" s="38">
        <f t="shared" si="25"/>
        <v>0</v>
      </c>
      <c r="BK8" s="37"/>
      <c r="BL8" s="38">
        <f t="shared" si="26"/>
        <v>0</v>
      </c>
      <c r="BM8" s="40">
        <f t="shared" si="1"/>
        <v>0</v>
      </c>
      <c r="BN8" s="40">
        <f t="shared" si="2"/>
        <v>0</v>
      </c>
      <c r="BO8" s="40">
        <f t="shared" si="27"/>
        <v>0</v>
      </c>
      <c r="BP8" s="15">
        <f t="shared" si="28"/>
        <v>0</v>
      </c>
    </row>
    <row r="9" spans="1:115" x14ac:dyDescent="0.25">
      <c r="A9" s="1" t="s">
        <v>26</v>
      </c>
      <c r="C9" s="45"/>
      <c r="D9" s="46"/>
      <c r="E9" s="33"/>
      <c r="F9" s="33">
        <f t="shared" ref="F9:F27" si="29">D9*E9</f>
        <v>0</v>
      </c>
      <c r="G9" s="39"/>
      <c r="H9" s="194">
        <v>0</v>
      </c>
      <c r="I9" s="39"/>
      <c r="J9" s="35"/>
      <c r="K9" s="36">
        <f t="shared" si="3"/>
        <v>0</v>
      </c>
      <c r="L9" s="37"/>
      <c r="M9" s="38">
        <f t="shared" si="4"/>
        <v>0</v>
      </c>
      <c r="N9" s="37"/>
      <c r="O9" s="38">
        <f t="shared" si="5"/>
        <v>0</v>
      </c>
      <c r="P9" s="39"/>
      <c r="Q9" s="35"/>
      <c r="R9" s="36">
        <f t="shared" si="6"/>
        <v>0</v>
      </c>
      <c r="S9" s="37"/>
      <c r="T9" s="38">
        <f t="shared" si="7"/>
        <v>0</v>
      </c>
      <c r="U9" s="37"/>
      <c r="V9" s="38">
        <f t="shared" si="8"/>
        <v>0</v>
      </c>
      <c r="W9" s="39"/>
      <c r="X9" s="35"/>
      <c r="Y9" s="36">
        <f t="shared" si="9"/>
        <v>0</v>
      </c>
      <c r="Z9" s="37"/>
      <c r="AA9" s="38">
        <f t="shared" si="10"/>
        <v>0</v>
      </c>
      <c r="AB9" s="37"/>
      <c r="AC9" s="38">
        <f t="shared" si="11"/>
        <v>0</v>
      </c>
      <c r="AD9" s="39"/>
      <c r="AE9" s="35"/>
      <c r="AF9" s="36">
        <f t="shared" si="12"/>
        <v>0</v>
      </c>
      <c r="AG9" s="37"/>
      <c r="AH9" s="38">
        <f t="shared" si="13"/>
        <v>0</v>
      </c>
      <c r="AI9" s="37"/>
      <c r="AJ9" s="38">
        <f t="shared" si="14"/>
        <v>0</v>
      </c>
      <c r="AK9" s="39"/>
      <c r="AL9" s="35"/>
      <c r="AM9" s="36">
        <f t="shared" si="15"/>
        <v>0</v>
      </c>
      <c r="AN9" s="37"/>
      <c r="AO9" s="38">
        <f t="shared" si="16"/>
        <v>0</v>
      </c>
      <c r="AP9" s="37"/>
      <c r="AQ9" s="38">
        <f t="shared" si="17"/>
        <v>0</v>
      </c>
      <c r="AR9" s="39"/>
      <c r="AS9" s="35"/>
      <c r="AT9" s="36">
        <f t="shared" si="18"/>
        <v>0</v>
      </c>
      <c r="AU9" s="37"/>
      <c r="AV9" s="38">
        <f t="shared" si="19"/>
        <v>0</v>
      </c>
      <c r="AW9" s="37"/>
      <c r="AX9" s="38">
        <f t="shared" si="20"/>
        <v>0</v>
      </c>
      <c r="AY9" s="39"/>
      <c r="AZ9" s="35"/>
      <c r="BA9" s="36">
        <f t="shared" si="21"/>
        <v>0</v>
      </c>
      <c r="BB9" s="37"/>
      <c r="BC9" s="38">
        <f t="shared" si="22"/>
        <v>0</v>
      </c>
      <c r="BD9" s="37"/>
      <c r="BE9" s="38">
        <f t="shared" si="23"/>
        <v>0</v>
      </c>
      <c r="BF9" s="39"/>
      <c r="BG9" s="35"/>
      <c r="BH9" s="36">
        <f t="shared" si="24"/>
        <v>0</v>
      </c>
      <c r="BI9" s="37"/>
      <c r="BJ9" s="38">
        <f t="shared" si="25"/>
        <v>0</v>
      </c>
      <c r="BK9" s="37"/>
      <c r="BL9" s="38">
        <f t="shared" si="26"/>
        <v>0</v>
      </c>
      <c r="BM9" s="40">
        <f t="shared" si="1"/>
        <v>0</v>
      </c>
      <c r="BN9" s="40">
        <f t="shared" si="2"/>
        <v>0</v>
      </c>
      <c r="BO9" s="40">
        <f t="shared" si="27"/>
        <v>0</v>
      </c>
      <c r="BP9" s="15">
        <f t="shared" si="28"/>
        <v>0</v>
      </c>
      <c r="BQ9" s="2"/>
      <c r="BR9" s="2"/>
      <c r="BT9" s="2"/>
      <c r="BV9" s="2"/>
      <c r="BW9" s="2"/>
      <c r="BX9" s="2"/>
      <c r="BY9" s="2"/>
      <c r="BZ9" s="2"/>
      <c r="CA9" s="2"/>
      <c r="CC9" s="2"/>
      <c r="CD9" s="2"/>
      <c r="CE9" s="2"/>
      <c r="CG9" s="2"/>
      <c r="CI9" s="2"/>
      <c r="CJ9" s="2"/>
      <c r="CK9" s="2"/>
      <c r="CL9" s="2"/>
      <c r="CM9" s="2"/>
      <c r="CN9" s="2"/>
      <c r="CP9" s="2"/>
      <c r="CQ9" s="2"/>
      <c r="CR9" s="2"/>
      <c r="CT9" s="2"/>
      <c r="CV9" s="2"/>
      <c r="CW9" s="2"/>
      <c r="CX9" s="2"/>
      <c r="CY9" s="2"/>
      <c r="CZ9" s="2"/>
      <c r="DA9" s="2"/>
      <c r="DC9" s="2"/>
      <c r="DD9" s="2"/>
      <c r="DE9" s="2"/>
      <c r="DG9" s="2"/>
      <c r="DI9" s="2"/>
      <c r="DJ9" s="2"/>
      <c r="DK9" s="2"/>
    </row>
    <row r="10" spans="1:115" x14ac:dyDescent="0.25">
      <c r="A10" s="2"/>
      <c r="B10" s="2" t="s">
        <v>27</v>
      </c>
      <c r="C10" s="41" t="s">
        <v>23</v>
      </c>
      <c r="D10" s="46">
        <v>1</v>
      </c>
      <c r="E10" s="33">
        <v>250000</v>
      </c>
      <c r="F10" s="43">
        <f t="shared" si="29"/>
        <v>250000</v>
      </c>
      <c r="G10" s="39"/>
      <c r="H10" s="194">
        <v>250000</v>
      </c>
      <c r="I10" s="39"/>
      <c r="J10" s="35">
        <v>0.125</v>
      </c>
      <c r="K10" s="36">
        <f t="shared" si="3"/>
        <v>31250</v>
      </c>
      <c r="L10" s="37">
        <v>0.85</v>
      </c>
      <c r="M10" s="38">
        <f t="shared" si="4"/>
        <v>26562.5</v>
      </c>
      <c r="N10" s="37">
        <v>0.15</v>
      </c>
      <c r="O10" s="38">
        <f t="shared" si="5"/>
        <v>4687.5</v>
      </c>
      <c r="P10" s="39"/>
      <c r="Q10" s="35">
        <v>0.125</v>
      </c>
      <c r="R10" s="36">
        <f t="shared" si="6"/>
        <v>31250</v>
      </c>
      <c r="S10" s="37">
        <v>0.85</v>
      </c>
      <c r="T10" s="38">
        <f t="shared" si="7"/>
        <v>26562.5</v>
      </c>
      <c r="U10" s="37">
        <v>0.15</v>
      </c>
      <c r="V10" s="38">
        <f t="shared" si="8"/>
        <v>4687.5</v>
      </c>
      <c r="W10" s="39"/>
      <c r="X10" s="35">
        <v>0.125</v>
      </c>
      <c r="Y10" s="36">
        <f t="shared" si="9"/>
        <v>31250</v>
      </c>
      <c r="Z10" s="37">
        <v>0.85</v>
      </c>
      <c r="AA10" s="38">
        <f t="shared" si="10"/>
        <v>26562.5</v>
      </c>
      <c r="AB10" s="37">
        <v>0.15</v>
      </c>
      <c r="AC10" s="38">
        <f t="shared" si="11"/>
        <v>4687.5</v>
      </c>
      <c r="AD10" s="39"/>
      <c r="AE10" s="35">
        <v>0.125</v>
      </c>
      <c r="AF10" s="36">
        <f t="shared" si="12"/>
        <v>31250</v>
      </c>
      <c r="AG10" s="37">
        <v>0.85</v>
      </c>
      <c r="AH10" s="38">
        <f t="shared" si="13"/>
        <v>26562.5</v>
      </c>
      <c r="AI10" s="37">
        <v>0.15</v>
      </c>
      <c r="AJ10" s="38">
        <f t="shared" si="14"/>
        <v>4687.5</v>
      </c>
      <c r="AK10" s="39"/>
      <c r="AL10" s="35">
        <v>0.125</v>
      </c>
      <c r="AM10" s="36">
        <f t="shared" si="15"/>
        <v>31250</v>
      </c>
      <c r="AN10" s="37">
        <v>0.85</v>
      </c>
      <c r="AO10" s="38">
        <f t="shared" si="16"/>
        <v>26562.5</v>
      </c>
      <c r="AP10" s="37">
        <v>0.15</v>
      </c>
      <c r="AQ10" s="38">
        <f t="shared" si="17"/>
        <v>4687.5</v>
      </c>
      <c r="AR10" s="39"/>
      <c r="AS10" s="35">
        <v>0.125</v>
      </c>
      <c r="AT10" s="36">
        <f t="shared" si="18"/>
        <v>31250</v>
      </c>
      <c r="AU10" s="37">
        <v>0.85</v>
      </c>
      <c r="AV10" s="38">
        <f t="shared" si="19"/>
        <v>26562.5</v>
      </c>
      <c r="AW10" s="37">
        <v>0.15</v>
      </c>
      <c r="AX10" s="38">
        <f t="shared" si="20"/>
        <v>4687.5</v>
      </c>
      <c r="AY10" s="39"/>
      <c r="AZ10" s="35">
        <v>0.125</v>
      </c>
      <c r="BA10" s="36">
        <f t="shared" si="21"/>
        <v>31250</v>
      </c>
      <c r="BB10" s="37">
        <v>0.85</v>
      </c>
      <c r="BC10" s="38">
        <f t="shared" si="22"/>
        <v>26562.5</v>
      </c>
      <c r="BD10" s="37">
        <v>0.15</v>
      </c>
      <c r="BE10" s="38">
        <f t="shared" si="23"/>
        <v>4687.5</v>
      </c>
      <c r="BF10" s="39"/>
      <c r="BG10" s="35">
        <v>0.125</v>
      </c>
      <c r="BH10" s="36">
        <f t="shared" si="24"/>
        <v>31250</v>
      </c>
      <c r="BI10" s="37">
        <v>0.85</v>
      </c>
      <c r="BJ10" s="38">
        <f t="shared" si="25"/>
        <v>26562.5</v>
      </c>
      <c r="BK10" s="37">
        <v>0.15</v>
      </c>
      <c r="BL10" s="38">
        <f t="shared" si="26"/>
        <v>4687.5</v>
      </c>
      <c r="BM10" s="40">
        <f t="shared" si="1"/>
        <v>250000</v>
      </c>
      <c r="BN10" s="40">
        <f t="shared" si="2"/>
        <v>250000</v>
      </c>
      <c r="BO10" s="40">
        <f t="shared" si="27"/>
        <v>250000</v>
      </c>
      <c r="BP10" s="15">
        <f t="shared" si="28"/>
        <v>0</v>
      </c>
      <c r="BQ10" s="2"/>
      <c r="BR10" s="2"/>
      <c r="BT10" s="2"/>
      <c r="BV10" s="2"/>
      <c r="BW10" s="2"/>
      <c r="BX10" s="2"/>
      <c r="BY10" s="2"/>
      <c r="BZ10" s="2"/>
      <c r="CA10" s="2"/>
      <c r="CC10" s="2"/>
      <c r="CD10" s="2"/>
      <c r="CE10" s="2"/>
      <c r="CG10" s="2"/>
      <c r="CI10" s="2"/>
      <c r="CJ10" s="2"/>
      <c r="CK10" s="2"/>
      <c r="CL10" s="2"/>
      <c r="CM10" s="2"/>
      <c r="CN10" s="2"/>
      <c r="CP10" s="2"/>
      <c r="CQ10" s="2"/>
      <c r="CR10" s="2"/>
      <c r="CT10" s="2"/>
      <c r="CV10" s="2"/>
      <c r="CW10" s="2"/>
      <c r="CX10" s="2"/>
      <c r="CY10" s="2"/>
      <c r="CZ10" s="2"/>
      <c r="DA10" s="2"/>
      <c r="DC10" s="2"/>
      <c r="DD10" s="2"/>
      <c r="DE10" s="2"/>
      <c r="DG10" s="2"/>
      <c r="DI10" s="2"/>
      <c r="DJ10" s="2"/>
      <c r="DK10" s="2"/>
    </row>
    <row r="11" spans="1:115" x14ac:dyDescent="0.25">
      <c r="B11" s="47" t="s">
        <v>28</v>
      </c>
      <c r="C11" s="41" t="s">
        <v>29</v>
      </c>
      <c r="D11" s="46">
        <v>100000</v>
      </c>
      <c r="E11" s="195">
        <f>H11*$K$83</f>
        <v>4.5918000000000001</v>
      </c>
      <c r="F11" s="43">
        <f t="shared" si="29"/>
        <v>459180</v>
      </c>
      <c r="G11" s="39"/>
      <c r="H11" s="194">
        <v>4.5</v>
      </c>
      <c r="I11" s="39"/>
      <c r="J11" s="35"/>
      <c r="K11" s="36">
        <f t="shared" si="3"/>
        <v>0</v>
      </c>
      <c r="L11" s="37"/>
      <c r="M11" s="38">
        <f t="shared" si="4"/>
        <v>0</v>
      </c>
      <c r="N11" s="37"/>
      <c r="O11" s="38">
        <f t="shared" si="5"/>
        <v>0</v>
      </c>
      <c r="P11" s="39"/>
      <c r="Q11" s="35">
        <v>1</v>
      </c>
      <c r="R11" s="36">
        <f t="shared" si="6"/>
        <v>459180</v>
      </c>
      <c r="S11" s="37">
        <v>0.85</v>
      </c>
      <c r="T11" s="38">
        <f t="shared" si="7"/>
        <v>390303</v>
      </c>
      <c r="U11" s="37">
        <v>0.15</v>
      </c>
      <c r="V11" s="38">
        <f t="shared" si="8"/>
        <v>68877</v>
      </c>
      <c r="W11" s="39"/>
      <c r="X11" s="35"/>
      <c r="Y11" s="36">
        <f t="shared" si="9"/>
        <v>0</v>
      </c>
      <c r="Z11" s="37"/>
      <c r="AA11" s="38">
        <f t="shared" si="10"/>
        <v>0</v>
      </c>
      <c r="AB11" s="37"/>
      <c r="AC11" s="38">
        <f t="shared" si="11"/>
        <v>0</v>
      </c>
      <c r="AD11" s="39"/>
      <c r="AE11" s="35"/>
      <c r="AF11" s="36">
        <f t="shared" si="12"/>
        <v>0</v>
      </c>
      <c r="AG11" s="37"/>
      <c r="AH11" s="38">
        <f t="shared" si="13"/>
        <v>0</v>
      </c>
      <c r="AI11" s="37"/>
      <c r="AJ11" s="38">
        <f t="shared" si="14"/>
        <v>0</v>
      </c>
      <c r="AK11" s="39"/>
      <c r="AL11" s="35"/>
      <c r="AM11" s="36">
        <f t="shared" si="15"/>
        <v>0</v>
      </c>
      <c r="AN11" s="37"/>
      <c r="AO11" s="38">
        <f t="shared" si="16"/>
        <v>0</v>
      </c>
      <c r="AP11" s="37"/>
      <c r="AQ11" s="38">
        <f t="shared" si="17"/>
        <v>0</v>
      </c>
      <c r="AR11" s="39"/>
      <c r="AS11" s="35"/>
      <c r="AT11" s="36">
        <f t="shared" si="18"/>
        <v>0</v>
      </c>
      <c r="AU11" s="37"/>
      <c r="AV11" s="38">
        <f t="shared" si="19"/>
        <v>0</v>
      </c>
      <c r="AW11" s="37"/>
      <c r="AX11" s="38">
        <f t="shared" si="20"/>
        <v>0</v>
      </c>
      <c r="AY11" s="39"/>
      <c r="AZ11" s="35"/>
      <c r="BA11" s="36">
        <f t="shared" si="21"/>
        <v>0</v>
      </c>
      <c r="BB11" s="37"/>
      <c r="BC11" s="38">
        <f t="shared" si="22"/>
        <v>0</v>
      </c>
      <c r="BD11" s="37"/>
      <c r="BE11" s="38">
        <f t="shared" si="23"/>
        <v>0</v>
      </c>
      <c r="BF11" s="39"/>
      <c r="BG11" s="35"/>
      <c r="BH11" s="36">
        <f t="shared" si="24"/>
        <v>0</v>
      </c>
      <c r="BI11" s="37"/>
      <c r="BJ11" s="38">
        <f t="shared" si="25"/>
        <v>0</v>
      </c>
      <c r="BK11" s="37"/>
      <c r="BL11" s="38">
        <f t="shared" si="26"/>
        <v>0</v>
      </c>
      <c r="BM11" s="40">
        <f t="shared" si="1"/>
        <v>459180</v>
      </c>
      <c r="BN11" s="40">
        <f t="shared" si="2"/>
        <v>459180</v>
      </c>
      <c r="BO11" s="40">
        <f t="shared" si="27"/>
        <v>459180</v>
      </c>
      <c r="BP11" s="15">
        <f t="shared" si="28"/>
        <v>0</v>
      </c>
      <c r="BQ11" s="2"/>
      <c r="BR11" s="2"/>
      <c r="BT11" s="2"/>
      <c r="BV11" s="2"/>
      <c r="BW11" s="2"/>
      <c r="BX11" s="2"/>
      <c r="BY11" s="2"/>
      <c r="BZ11" s="2"/>
      <c r="CA11" s="2"/>
      <c r="CC11" s="2"/>
      <c r="CD11" s="2"/>
      <c r="CE11" s="2"/>
      <c r="CG11" s="2"/>
      <c r="CI11" s="2"/>
      <c r="CJ11" s="2"/>
      <c r="CK11" s="2"/>
      <c r="CL11" s="2"/>
      <c r="CM11" s="2"/>
      <c r="CN11" s="2"/>
      <c r="CP11" s="2"/>
      <c r="CQ11" s="2"/>
      <c r="CR11" s="2"/>
      <c r="CT11" s="2"/>
      <c r="CV11" s="2"/>
      <c r="CW11" s="2"/>
      <c r="CX11" s="2"/>
      <c r="CY11" s="2"/>
      <c r="CZ11" s="2"/>
      <c r="DA11" s="2"/>
      <c r="DC11" s="2"/>
      <c r="DD11" s="2"/>
      <c r="DE11" s="2"/>
      <c r="DG11" s="2"/>
      <c r="DI11" s="2"/>
      <c r="DJ11" s="2"/>
      <c r="DK11" s="2"/>
    </row>
    <row r="12" spans="1:115" x14ac:dyDescent="0.25">
      <c r="B12" s="47" t="s">
        <v>30</v>
      </c>
      <c r="C12" s="41" t="s">
        <v>23</v>
      </c>
      <c r="D12" s="46">
        <v>1</v>
      </c>
      <c r="E12" s="33">
        <v>100000</v>
      </c>
      <c r="F12" s="43">
        <f t="shared" si="29"/>
        <v>100000</v>
      </c>
      <c r="G12" s="39"/>
      <c r="H12" s="194">
        <v>100000</v>
      </c>
      <c r="I12" s="39"/>
      <c r="J12" s="35">
        <v>0.125</v>
      </c>
      <c r="K12" s="36">
        <f t="shared" si="3"/>
        <v>12500</v>
      </c>
      <c r="L12" s="37">
        <v>0.85</v>
      </c>
      <c r="M12" s="38">
        <f t="shared" si="4"/>
        <v>10625</v>
      </c>
      <c r="N12" s="37">
        <v>0.15</v>
      </c>
      <c r="O12" s="38">
        <f t="shared" si="5"/>
        <v>1875</v>
      </c>
      <c r="P12" s="39"/>
      <c r="Q12" s="35">
        <v>0.125</v>
      </c>
      <c r="R12" s="36">
        <f t="shared" si="6"/>
        <v>12500</v>
      </c>
      <c r="S12" s="37">
        <v>0.85</v>
      </c>
      <c r="T12" s="38">
        <f t="shared" si="7"/>
        <v>10625</v>
      </c>
      <c r="U12" s="37">
        <v>0.15</v>
      </c>
      <c r="V12" s="38">
        <f t="shared" si="8"/>
        <v>1875</v>
      </c>
      <c r="W12" s="39"/>
      <c r="X12" s="35">
        <v>0.125</v>
      </c>
      <c r="Y12" s="36">
        <f t="shared" si="9"/>
        <v>12500</v>
      </c>
      <c r="Z12" s="37">
        <v>0.85</v>
      </c>
      <c r="AA12" s="38">
        <f t="shared" si="10"/>
        <v>10625</v>
      </c>
      <c r="AB12" s="37">
        <v>0.15</v>
      </c>
      <c r="AC12" s="38">
        <f t="shared" si="11"/>
        <v>1875</v>
      </c>
      <c r="AD12" s="39"/>
      <c r="AE12" s="35">
        <v>0.125</v>
      </c>
      <c r="AF12" s="36">
        <f t="shared" si="12"/>
        <v>12500</v>
      </c>
      <c r="AG12" s="37">
        <v>0.85</v>
      </c>
      <c r="AH12" s="38">
        <f t="shared" si="13"/>
        <v>10625</v>
      </c>
      <c r="AI12" s="37">
        <v>0.15</v>
      </c>
      <c r="AJ12" s="38">
        <f t="shared" si="14"/>
        <v>1875</v>
      </c>
      <c r="AK12" s="39"/>
      <c r="AL12" s="35">
        <v>0.125</v>
      </c>
      <c r="AM12" s="36">
        <f t="shared" si="15"/>
        <v>12500</v>
      </c>
      <c r="AN12" s="37">
        <v>0.85</v>
      </c>
      <c r="AO12" s="38">
        <f t="shared" si="16"/>
        <v>10625</v>
      </c>
      <c r="AP12" s="37">
        <v>0.15</v>
      </c>
      <c r="AQ12" s="38">
        <f t="shared" si="17"/>
        <v>1875</v>
      </c>
      <c r="AR12" s="39"/>
      <c r="AS12" s="35">
        <v>0.125</v>
      </c>
      <c r="AT12" s="36">
        <f t="shared" si="18"/>
        <v>12500</v>
      </c>
      <c r="AU12" s="37">
        <v>0.85</v>
      </c>
      <c r="AV12" s="38">
        <f t="shared" si="19"/>
        <v>10625</v>
      </c>
      <c r="AW12" s="37">
        <v>0.15</v>
      </c>
      <c r="AX12" s="38">
        <f t="shared" si="20"/>
        <v>1875</v>
      </c>
      <c r="AY12" s="39"/>
      <c r="AZ12" s="35">
        <v>0.125</v>
      </c>
      <c r="BA12" s="36">
        <f t="shared" si="21"/>
        <v>12500</v>
      </c>
      <c r="BB12" s="37">
        <v>0.85</v>
      </c>
      <c r="BC12" s="38">
        <f t="shared" si="22"/>
        <v>10625</v>
      </c>
      <c r="BD12" s="37">
        <v>0.15</v>
      </c>
      <c r="BE12" s="38">
        <f t="shared" si="23"/>
        <v>1875</v>
      </c>
      <c r="BF12" s="39"/>
      <c r="BG12" s="35">
        <v>0.125</v>
      </c>
      <c r="BH12" s="36">
        <f t="shared" si="24"/>
        <v>12500</v>
      </c>
      <c r="BI12" s="37">
        <v>0.85</v>
      </c>
      <c r="BJ12" s="38">
        <f t="shared" si="25"/>
        <v>10625</v>
      </c>
      <c r="BK12" s="37">
        <v>0.15</v>
      </c>
      <c r="BL12" s="38">
        <f t="shared" si="26"/>
        <v>1875</v>
      </c>
      <c r="BM12" s="40">
        <f t="shared" si="1"/>
        <v>100000</v>
      </c>
      <c r="BN12" s="40">
        <f t="shared" si="2"/>
        <v>100000</v>
      </c>
      <c r="BO12" s="40">
        <f t="shared" si="27"/>
        <v>100000</v>
      </c>
      <c r="BP12" s="15">
        <f t="shared" si="28"/>
        <v>0</v>
      </c>
      <c r="BQ12" s="2"/>
      <c r="BR12" s="2"/>
      <c r="BT12" s="2"/>
      <c r="BV12" s="2"/>
      <c r="BW12" s="2"/>
      <c r="BX12" s="2"/>
      <c r="BY12" s="2"/>
      <c r="BZ12" s="2"/>
      <c r="CA12" s="2"/>
      <c r="CC12" s="2"/>
      <c r="CD12" s="2"/>
      <c r="CE12" s="2"/>
      <c r="CG12" s="2"/>
      <c r="CI12" s="2"/>
      <c r="CJ12" s="2"/>
      <c r="CK12" s="2"/>
      <c r="CL12" s="2"/>
      <c r="CM12" s="2"/>
      <c r="CN12" s="2"/>
      <c r="CP12" s="2"/>
      <c r="CQ12" s="2"/>
      <c r="CR12" s="2"/>
      <c r="CT12" s="2"/>
      <c r="CV12" s="2"/>
      <c r="CW12" s="2"/>
      <c r="CX12" s="2"/>
      <c r="CY12" s="2"/>
      <c r="CZ12" s="2"/>
      <c r="DA12" s="2"/>
      <c r="DC12" s="2"/>
      <c r="DD12" s="2"/>
      <c r="DE12" s="2"/>
      <c r="DG12" s="2"/>
      <c r="DI12" s="2"/>
      <c r="DJ12" s="2"/>
      <c r="DK12" s="2"/>
    </row>
    <row r="13" spans="1:115" x14ac:dyDescent="0.25">
      <c r="B13" s="49" t="s">
        <v>31</v>
      </c>
      <c r="C13" s="41" t="s">
        <v>23</v>
      </c>
      <c r="D13" s="46">
        <v>1</v>
      </c>
      <c r="E13" s="33">
        <v>250000</v>
      </c>
      <c r="F13" s="43">
        <f t="shared" si="29"/>
        <v>250000</v>
      </c>
      <c r="G13" s="39"/>
      <c r="H13" s="194">
        <v>250000</v>
      </c>
      <c r="I13" s="39"/>
      <c r="J13" s="35"/>
      <c r="K13" s="36">
        <f t="shared" si="3"/>
        <v>0</v>
      </c>
      <c r="L13" s="37"/>
      <c r="M13" s="38">
        <f t="shared" si="4"/>
        <v>0</v>
      </c>
      <c r="N13" s="37"/>
      <c r="O13" s="38">
        <f t="shared" si="5"/>
        <v>0</v>
      </c>
      <c r="P13" s="39"/>
      <c r="Q13" s="35"/>
      <c r="R13" s="36">
        <f t="shared" si="6"/>
        <v>0</v>
      </c>
      <c r="S13" s="37"/>
      <c r="T13" s="38">
        <f t="shared" si="7"/>
        <v>0</v>
      </c>
      <c r="U13" s="37"/>
      <c r="V13" s="38">
        <f t="shared" si="8"/>
        <v>0</v>
      </c>
      <c r="W13" s="39"/>
      <c r="X13" s="35"/>
      <c r="Y13" s="36">
        <f t="shared" si="9"/>
        <v>0</v>
      </c>
      <c r="Z13" s="37"/>
      <c r="AA13" s="38">
        <f t="shared" si="10"/>
        <v>0</v>
      </c>
      <c r="AB13" s="37"/>
      <c r="AC13" s="38">
        <f t="shared" si="11"/>
        <v>0</v>
      </c>
      <c r="AD13" s="39"/>
      <c r="AE13" s="35">
        <v>0.05</v>
      </c>
      <c r="AF13" s="36">
        <f t="shared" si="12"/>
        <v>12500</v>
      </c>
      <c r="AG13" s="37">
        <v>0.85</v>
      </c>
      <c r="AH13" s="38">
        <f t="shared" si="13"/>
        <v>10625</v>
      </c>
      <c r="AI13" s="37">
        <v>0.15</v>
      </c>
      <c r="AJ13" s="38">
        <f t="shared" si="14"/>
        <v>1875</v>
      </c>
      <c r="AK13" s="39"/>
      <c r="AL13" s="35">
        <v>0.95</v>
      </c>
      <c r="AM13" s="36">
        <f t="shared" si="15"/>
        <v>237500</v>
      </c>
      <c r="AN13" s="37">
        <v>0.85</v>
      </c>
      <c r="AO13" s="38">
        <f t="shared" si="16"/>
        <v>201875</v>
      </c>
      <c r="AP13" s="37">
        <v>0.15</v>
      </c>
      <c r="AQ13" s="38">
        <f t="shared" si="17"/>
        <v>35625</v>
      </c>
      <c r="AR13" s="39"/>
      <c r="AS13" s="35"/>
      <c r="AT13" s="36">
        <f t="shared" si="18"/>
        <v>0</v>
      </c>
      <c r="AU13" s="37"/>
      <c r="AV13" s="38">
        <f t="shared" si="19"/>
        <v>0</v>
      </c>
      <c r="AW13" s="37"/>
      <c r="AX13" s="38">
        <f t="shared" si="20"/>
        <v>0</v>
      </c>
      <c r="AY13" s="39"/>
      <c r="AZ13" s="35"/>
      <c r="BA13" s="36">
        <f t="shared" si="21"/>
        <v>0</v>
      </c>
      <c r="BB13" s="37"/>
      <c r="BC13" s="38">
        <f t="shared" si="22"/>
        <v>0</v>
      </c>
      <c r="BD13" s="37"/>
      <c r="BE13" s="38">
        <f t="shared" si="23"/>
        <v>0</v>
      </c>
      <c r="BF13" s="39"/>
      <c r="BG13" s="35"/>
      <c r="BH13" s="36">
        <f t="shared" si="24"/>
        <v>0</v>
      </c>
      <c r="BI13" s="37"/>
      <c r="BJ13" s="38">
        <f t="shared" si="25"/>
        <v>0</v>
      </c>
      <c r="BK13" s="37"/>
      <c r="BL13" s="38">
        <f t="shared" si="26"/>
        <v>0</v>
      </c>
      <c r="BM13" s="40">
        <f t="shared" si="1"/>
        <v>250000</v>
      </c>
      <c r="BN13" s="40">
        <f t="shared" si="2"/>
        <v>250000</v>
      </c>
      <c r="BO13" s="40">
        <f t="shared" si="27"/>
        <v>250000</v>
      </c>
      <c r="BP13" s="15">
        <f t="shared" si="28"/>
        <v>0</v>
      </c>
      <c r="BQ13" s="2"/>
      <c r="BR13" s="2"/>
      <c r="BT13" s="2"/>
      <c r="BV13" s="2"/>
      <c r="BW13" s="2"/>
      <c r="BX13" s="2"/>
      <c r="BY13" s="2"/>
      <c r="BZ13" s="2"/>
      <c r="CA13" s="2"/>
      <c r="CC13" s="2"/>
      <c r="CD13" s="2"/>
      <c r="CE13" s="2"/>
      <c r="CG13" s="2"/>
      <c r="CI13" s="2"/>
      <c r="CJ13" s="2"/>
      <c r="CK13" s="2"/>
      <c r="CL13" s="2"/>
      <c r="CM13" s="2"/>
      <c r="CN13" s="2"/>
      <c r="CP13" s="2"/>
      <c r="CQ13" s="2"/>
      <c r="CR13" s="2"/>
      <c r="CT13" s="2"/>
      <c r="CV13" s="2"/>
      <c r="CW13" s="2"/>
      <c r="CX13" s="2"/>
      <c r="CY13" s="2"/>
      <c r="CZ13" s="2"/>
      <c r="DA13" s="2"/>
      <c r="DC13" s="2"/>
      <c r="DD13" s="2"/>
      <c r="DE13" s="2"/>
      <c r="DG13" s="2"/>
      <c r="DI13" s="2"/>
      <c r="DJ13" s="2"/>
      <c r="DK13" s="2"/>
    </row>
    <row r="14" spans="1:115" x14ac:dyDescent="0.25">
      <c r="B14" s="47" t="s">
        <v>32</v>
      </c>
      <c r="C14" s="41" t="s">
        <v>23</v>
      </c>
      <c r="D14" s="46">
        <v>1</v>
      </c>
      <c r="E14" s="33">
        <v>200000</v>
      </c>
      <c r="F14" s="43">
        <f t="shared" si="29"/>
        <v>200000</v>
      </c>
      <c r="G14" s="39"/>
      <c r="H14" s="194">
        <v>200000</v>
      </c>
      <c r="I14" s="39"/>
      <c r="J14" s="35"/>
      <c r="K14" s="36">
        <f t="shared" si="3"/>
        <v>0</v>
      </c>
      <c r="L14" s="37"/>
      <c r="M14" s="38">
        <f t="shared" si="4"/>
        <v>0</v>
      </c>
      <c r="N14" s="37"/>
      <c r="O14" s="38">
        <f t="shared" si="5"/>
        <v>0</v>
      </c>
      <c r="P14" s="39"/>
      <c r="Q14" s="35"/>
      <c r="R14" s="36">
        <f t="shared" si="6"/>
        <v>0</v>
      </c>
      <c r="S14" s="37"/>
      <c r="T14" s="38">
        <f t="shared" si="7"/>
        <v>0</v>
      </c>
      <c r="U14" s="37"/>
      <c r="V14" s="38">
        <f t="shared" si="8"/>
        <v>0</v>
      </c>
      <c r="W14" s="39"/>
      <c r="X14" s="35"/>
      <c r="Y14" s="36">
        <f t="shared" si="9"/>
        <v>0</v>
      </c>
      <c r="Z14" s="37"/>
      <c r="AA14" s="38">
        <f t="shared" si="10"/>
        <v>0</v>
      </c>
      <c r="AB14" s="37"/>
      <c r="AC14" s="38">
        <f t="shared" si="11"/>
        <v>0</v>
      </c>
      <c r="AD14" s="39"/>
      <c r="AE14" s="35"/>
      <c r="AF14" s="36">
        <f t="shared" si="12"/>
        <v>0</v>
      </c>
      <c r="AG14" s="37"/>
      <c r="AH14" s="38">
        <f t="shared" si="13"/>
        <v>0</v>
      </c>
      <c r="AI14" s="37"/>
      <c r="AJ14" s="38">
        <f t="shared" si="14"/>
        <v>0</v>
      </c>
      <c r="AK14" s="39"/>
      <c r="AL14" s="35"/>
      <c r="AM14" s="36">
        <f t="shared" si="15"/>
        <v>0</v>
      </c>
      <c r="AN14" s="37"/>
      <c r="AO14" s="38">
        <f t="shared" si="16"/>
        <v>0</v>
      </c>
      <c r="AP14" s="37"/>
      <c r="AQ14" s="38">
        <f t="shared" si="17"/>
        <v>0</v>
      </c>
      <c r="AR14" s="39"/>
      <c r="AS14" s="35">
        <v>1</v>
      </c>
      <c r="AT14" s="36">
        <f t="shared" si="18"/>
        <v>200000</v>
      </c>
      <c r="AU14" s="37">
        <v>0.85</v>
      </c>
      <c r="AV14" s="38">
        <f t="shared" si="19"/>
        <v>170000</v>
      </c>
      <c r="AW14" s="37">
        <v>0.15</v>
      </c>
      <c r="AX14" s="38">
        <f t="shared" si="20"/>
        <v>30000</v>
      </c>
      <c r="AY14" s="39"/>
      <c r="AZ14" s="35"/>
      <c r="BA14" s="36">
        <f t="shared" si="21"/>
        <v>0</v>
      </c>
      <c r="BB14" s="37"/>
      <c r="BC14" s="38">
        <f t="shared" si="22"/>
        <v>0</v>
      </c>
      <c r="BD14" s="37"/>
      <c r="BE14" s="38">
        <f t="shared" si="23"/>
        <v>0</v>
      </c>
      <c r="BF14" s="39"/>
      <c r="BG14" s="35"/>
      <c r="BH14" s="36">
        <f t="shared" si="24"/>
        <v>0</v>
      </c>
      <c r="BI14" s="37"/>
      <c r="BJ14" s="38">
        <f t="shared" si="25"/>
        <v>0</v>
      </c>
      <c r="BK14" s="37"/>
      <c r="BL14" s="38">
        <f t="shared" si="26"/>
        <v>0</v>
      </c>
      <c r="BM14" s="40">
        <f t="shared" si="1"/>
        <v>200000</v>
      </c>
      <c r="BN14" s="40">
        <f t="shared" si="2"/>
        <v>200000</v>
      </c>
      <c r="BO14" s="40">
        <f t="shared" si="27"/>
        <v>200000</v>
      </c>
      <c r="BP14" s="15">
        <f t="shared" si="28"/>
        <v>0</v>
      </c>
      <c r="BQ14" s="2"/>
      <c r="BR14" s="2"/>
      <c r="BT14" s="2"/>
      <c r="BV14" s="2"/>
      <c r="BW14" s="2"/>
      <c r="BX14" s="2"/>
      <c r="BY14" s="2"/>
      <c r="BZ14" s="2"/>
      <c r="CA14" s="2"/>
      <c r="CC14" s="2"/>
      <c r="CD14" s="2"/>
      <c r="CE14" s="2"/>
      <c r="CG14" s="2"/>
      <c r="CI14" s="2"/>
      <c r="CJ14" s="2"/>
      <c r="CK14" s="2"/>
      <c r="CL14" s="2"/>
      <c r="CM14" s="2"/>
      <c r="CN14" s="2"/>
      <c r="CP14" s="2"/>
      <c r="CQ14" s="2"/>
      <c r="CR14" s="2"/>
      <c r="CT14" s="2"/>
      <c r="CV14" s="2"/>
      <c r="CW14" s="2"/>
      <c r="CX14" s="2"/>
      <c r="CY14" s="2"/>
      <c r="CZ14" s="2"/>
      <c r="DA14" s="2"/>
      <c r="DC14" s="2"/>
      <c r="DD14" s="2"/>
      <c r="DE14" s="2"/>
      <c r="DG14" s="2"/>
      <c r="DI14" s="2"/>
      <c r="DJ14" s="2"/>
      <c r="DK14" s="2"/>
    </row>
    <row r="15" spans="1:115" x14ac:dyDescent="0.25">
      <c r="A15" s="2"/>
      <c r="B15" s="2" t="s">
        <v>33</v>
      </c>
      <c r="C15" s="41" t="s">
        <v>29</v>
      </c>
      <c r="D15" s="46">
        <v>400000</v>
      </c>
      <c r="E15" s="195">
        <f>H15*$K$83</f>
        <v>0.25509999999999999</v>
      </c>
      <c r="F15" s="43">
        <f t="shared" si="29"/>
        <v>102040</v>
      </c>
      <c r="G15" s="39"/>
      <c r="H15" s="194">
        <v>0.25</v>
      </c>
      <c r="I15" s="39"/>
      <c r="J15" s="35"/>
      <c r="K15" s="36">
        <f t="shared" si="3"/>
        <v>0</v>
      </c>
      <c r="L15" s="37"/>
      <c r="M15" s="38">
        <f t="shared" si="4"/>
        <v>0</v>
      </c>
      <c r="N15" s="37"/>
      <c r="O15" s="38">
        <f t="shared" si="5"/>
        <v>0</v>
      </c>
      <c r="P15" s="39"/>
      <c r="Q15" s="35">
        <v>1</v>
      </c>
      <c r="R15" s="36">
        <f t="shared" si="6"/>
        <v>102040</v>
      </c>
      <c r="S15" s="37">
        <v>0.85</v>
      </c>
      <c r="T15" s="38">
        <f t="shared" si="7"/>
        <v>86734</v>
      </c>
      <c r="U15" s="37">
        <v>0.15</v>
      </c>
      <c r="V15" s="38">
        <f t="shared" si="8"/>
        <v>15306</v>
      </c>
      <c r="W15" s="39"/>
      <c r="X15" s="35"/>
      <c r="Y15" s="36">
        <f t="shared" si="9"/>
        <v>0</v>
      </c>
      <c r="Z15" s="37"/>
      <c r="AA15" s="38">
        <f t="shared" si="10"/>
        <v>0</v>
      </c>
      <c r="AB15" s="37"/>
      <c r="AC15" s="38">
        <f t="shared" si="11"/>
        <v>0</v>
      </c>
      <c r="AD15" s="39"/>
      <c r="AE15" s="35"/>
      <c r="AF15" s="36">
        <f t="shared" si="12"/>
        <v>0</v>
      </c>
      <c r="AG15" s="37"/>
      <c r="AH15" s="38">
        <f t="shared" si="13"/>
        <v>0</v>
      </c>
      <c r="AI15" s="37"/>
      <c r="AJ15" s="38">
        <f t="shared" si="14"/>
        <v>0</v>
      </c>
      <c r="AK15" s="39"/>
      <c r="AL15" s="35"/>
      <c r="AM15" s="36">
        <f t="shared" si="15"/>
        <v>0</v>
      </c>
      <c r="AN15" s="37"/>
      <c r="AO15" s="38">
        <f t="shared" si="16"/>
        <v>0</v>
      </c>
      <c r="AP15" s="37"/>
      <c r="AQ15" s="38">
        <f t="shared" si="17"/>
        <v>0</v>
      </c>
      <c r="AR15" s="39"/>
      <c r="AS15" s="35"/>
      <c r="AT15" s="36">
        <f t="shared" si="18"/>
        <v>0</v>
      </c>
      <c r="AU15" s="37"/>
      <c r="AV15" s="38">
        <f t="shared" si="19"/>
        <v>0</v>
      </c>
      <c r="AW15" s="37"/>
      <c r="AX15" s="38">
        <f t="shared" si="20"/>
        <v>0</v>
      </c>
      <c r="AY15" s="39"/>
      <c r="AZ15" s="35"/>
      <c r="BA15" s="36">
        <f t="shared" si="21"/>
        <v>0</v>
      </c>
      <c r="BB15" s="37"/>
      <c r="BC15" s="38">
        <f t="shared" si="22"/>
        <v>0</v>
      </c>
      <c r="BD15" s="37"/>
      <c r="BE15" s="38">
        <f t="shared" si="23"/>
        <v>0</v>
      </c>
      <c r="BF15" s="39"/>
      <c r="BG15" s="35"/>
      <c r="BH15" s="36">
        <f t="shared" si="24"/>
        <v>0</v>
      </c>
      <c r="BI15" s="37"/>
      <c r="BJ15" s="38">
        <f t="shared" si="25"/>
        <v>0</v>
      </c>
      <c r="BK15" s="37"/>
      <c r="BL15" s="38">
        <f t="shared" si="26"/>
        <v>0</v>
      </c>
      <c r="BM15" s="40">
        <f t="shared" si="1"/>
        <v>102040</v>
      </c>
      <c r="BN15" s="40">
        <f t="shared" si="2"/>
        <v>102040</v>
      </c>
      <c r="BO15" s="40">
        <f t="shared" si="27"/>
        <v>102040</v>
      </c>
      <c r="BP15" s="15">
        <f t="shared" si="28"/>
        <v>0</v>
      </c>
      <c r="BQ15" s="2"/>
      <c r="BR15" s="2"/>
      <c r="BT15" s="2"/>
      <c r="BV15" s="2"/>
      <c r="BW15" s="2"/>
      <c r="BX15" s="2"/>
      <c r="BY15" s="2"/>
      <c r="BZ15" s="2"/>
      <c r="CA15" s="2"/>
      <c r="CC15" s="2"/>
      <c r="CD15" s="2"/>
      <c r="CE15" s="2"/>
      <c r="CG15" s="2"/>
      <c r="CI15" s="2"/>
      <c r="CJ15" s="2"/>
      <c r="CK15" s="2"/>
      <c r="CL15" s="2"/>
      <c r="CM15" s="2"/>
      <c r="CN15" s="2"/>
      <c r="CP15" s="2"/>
      <c r="CQ15" s="2"/>
      <c r="CR15" s="2"/>
      <c r="CT15" s="2"/>
      <c r="CV15" s="2"/>
      <c r="CW15" s="2"/>
      <c r="CX15" s="2"/>
      <c r="CY15" s="2"/>
      <c r="CZ15" s="2"/>
      <c r="DA15" s="2"/>
      <c r="DC15" s="2"/>
      <c r="DD15" s="2"/>
      <c r="DE15" s="2"/>
      <c r="DG15" s="2"/>
      <c r="DI15" s="2"/>
      <c r="DJ15" s="2"/>
      <c r="DK15" s="2"/>
    </row>
    <row r="16" spans="1:115" x14ac:dyDescent="0.25">
      <c r="B16" s="44"/>
      <c r="C16" s="41"/>
      <c r="D16" s="46"/>
      <c r="E16" s="50"/>
      <c r="F16" s="33">
        <f t="shared" si="29"/>
        <v>0</v>
      </c>
      <c r="G16" s="39"/>
      <c r="H16" s="194">
        <v>0</v>
      </c>
      <c r="I16" s="39"/>
      <c r="J16" s="35"/>
      <c r="K16" s="36">
        <f t="shared" si="3"/>
        <v>0</v>
      </c>
      <c r="L16" s="37"/>
      <c r="M16" s="38">
        <f t="shared" si="4"/>
        <v>0</v>
      </c>
      <c r="N16" s="37"/>
      <c r="O16" s="38">
        <f t="shared" si="5"/>
        <v>0</v>
      </c>
      <c r="P16" s="39"/>
      <c r="Q16" s="35"/>
      <c r="R16" s="36">
        <f t="shared" si="6"/>
        <v>0</v>
      </c>
      <c r="S16" s="37"/>
      <c r="T16" s="38">
        <f t="shared" si="7"/>
        <v>0</v>
      </c>
      <c r="U16" s="37"/>
      <c r="V16" s="38">
        <f t="shared" si="8"/>
        <v>0</v>
      </c>
      <c r="W16" s="39"/>
      <c r="X16" s="35"/>
      <c r="Y16" s="36">
        <f t="shared" si="9"/>
        <v>0</v>
      </c>
      <c r="Z16" s="37"/>
      <c r="AA16" s="38">
        <f t="shared" si="10"/>
        <v>0</v>
      </c>
      <c r="AB16" s="37"/>
      <c r="AC16" s="38">
        <f t="shared" si="11"/>
        <v>0</v>
      </c>
      <c r="AD16" s="39"/>
      <c r="AE16" s="35"/>
      <c r="AF16" s="36">
        <f t="shared" si="12"/>
        <v>0</v>
      </c>
      <c r="AG16" s="37"/>
      <c r="AH16" s="38">
        <f t="shared" si="13"/>
        <v>0</v>
      </c>
      <c r="AI16" s="37"/>
      <c r="AJ16" s="38">
        <f t="shared" si="14"/>
        <v>0</v>
      </c>
      <c r="AK16" s="39"/>
      <c r="AL16" s="35"/>
      <c r="AM16" s="36">
        <f t="shared" si="15"/>
        <v>0</v>
      </c>
      <c r="AN16" s="37"/>
      <c r="AO16" s="38">
        <f t="shared" si="16"/>
        <v>0</v>
      </c>
      <c r="AP16" s="37"/>
      <c r="AQ16" s="38">
        <f t="shared" si="17"/>
        <v>0</v>
      </c>
      <c r="AR16" s="39"/>
      <c r="AS16" s="35"/>
      <c r="AT16" s="36">
        <f t="shared" si="18"/>
        <v>0</v>
      </c>
      <c r="AU16" s="37"/>
      <c r="AV16" s="38">
        <f t="shared" si="19"/>
        <v>0</v>
      </c>
      <c r="AW16" s="37"/>
      <c r="AX16" s="38">
        <f t="shared" si="20"/>
        <v>0</v>
      </c>
      <c r="AY16" s="39"/>
      <c r="AZ16" s="35"/>
      <c r="BA16" s="36">
        <f t="shared" si="21"/>
        <v>0</v>
      </c>
      <c r="BB16" s="37"/>
      <c r="BC16" s="38">
        <f t="shared" si="22"/>
        <v>0</v>
      </c>
      <c r="BD16" s="37"/>
      <c r="BE16" s="38">
        <f t="shared" si="23"/>
        <v>0</v>
      </c>
      <c r="BF16" s="39"/>
      <c r="BG16" s="35"/>
      <c r="BH16" s="36">
        <f t="shared" si="24"/>
        <v>0</v>
      </c>
      <c r="BI16" s="37"/>
      <c r="BJ16" s="38">
        <f t="shared" si="25"/>
        <v>0</v>
      </c>
      <c r="BK16" s="37"/>
      <c r="BL16" s="38">
        <f t="shared" si="26"/>
        <v>0</v>
      </c>
      <c r="BM16" s="40">
        <f t="shared" si="1"/>
        <v>0</v>
      </c>
      <c r="BN16" s="40">
        <f t="shared" si="2"/>
        <v>0</v>
      </c>
      <c r="BO16" s="40">
        <f t="shared" si="27"/>
        <v>0</v>
      </c>
      <c r="BP16" s="15">
        <f t="shared" si="28"/>
        <v>0</v>
      </c>
      <c r="BQ16" s="2"/>
      <c r="BR16" s="2"/>
      <c r="BT16" s="2"/>
      <c r="BV16" s="2"/>
      <c r="BW16" s="2"/>
      <c r="BX16" s="2"/>
      <c r="BY16" s="2"/>
      <c r="BZ16" s="2"/>
      <c r="CA16" s="2"/>
      <c r="CC16" s="2"/>
      <c r="CD16" s="2"/>
      <c r="CE16" s="2"/>
      <c r="CG16" s="2"/>
      <c r="CI16" s="2"/>
      <c r="CJ16" s="2"/>
      <c r="CK16" s="2"/>
      <c r="CL16" s="2"/>
      <c r="CM16" s="2"/>
      <c r="CN16" s="2"/>
      <c r="CP16" s="2"/>
      <c r="CQ16" s="2"/>
      <c r="CR16" s="2"/>
      <c r="CT16" s="2"/>
      <c r="CV16" s="2"/>
      <c r="CW16" s="2"/>
      <c r="CX16" s="2"/>
      <c r="CY16" s="2"/>
      <c r="CZ16" s="2"/>
      <c r="DA16" s="2"/>
      <c r="DC16" s="2"/>
      <c r="DD16" s="2"/>
      <c r="DE16" s="2"/>
      <c r="DG16" s="2"/>
      <c r="DI16" s="2"/>
      <c r="DJ16" s="2"/>
      <c r="DK16" s="2"/>
    </row>
    <row r="17" spans="1:115" x14ac:dyDescent="0.25">
      <c r="A17" s="1" t="s">
        <v>34</v>
      </c>
      <c r="C17" s="41"/>
      <c r="D17" s="46"/>
      <c r="E17" s="33"/>
      <c r="F17" s="33">
        <f t="shared" si="29"/>
        <v>0</v>
      </c>
      <c r="G17" s="39"/>
      <c r="H17" s="194">
        <v>0</v>
      </c>
      <c r="I17" s="39"/>
      <c r="J17" s="35"/>
      <c r="K17" s="36">
        <f t="shared" si="3"/>
        <v>0</v>
      </c>
      <c r="L17" s="37"/>
      <c r="M17" s="38">
        <f t="shared" si="4"/>
        <v>0</v>
      </c>
      <c r="N17" s="37"/>
      <c r="O17" s="38">
        <f t="shared" si="5"/>
        <v>0</v>
      </c>
      <c r="P17" s="39"/>
      <c r="Q17" s="35"/>
      <c r="R17" s="36">
        <f t="shared" si="6"/>
        <v>0</v>
      </c>
      <c r="S17" s="37"/>
      <c r="T17" s="38">
        <f t="shared" si="7"/>
        <v>0</v>
      </c>
      <c r="U17" s="37"/>
      <c r="V17" s="38">
        <f t="shared" si="8"/>
        <v>0</v>
      </c>
      <c r="W17" s="39"/>
      <c r="X17" s="35"/>
      <c r="Y17" s="36">
        <f t="shared" si="9"/>
        <v>0</v>
      </c>
      <c r="Z17" s="37"/>
      <c r="AA17" s="38">
        <f t="shared" si="10"/>
        <v>0</v>
      </c>
      <c r="AB17" s="37"/>
      <c r="AC17" s="38">
        <f t="shared" si="11"/>
        <v>0</v>
      </c>
      <c r="AD17" s="39"/>
      <c r="AE17" s="35"/>
      <c r="AF17" s="36">
        <f t="shared" si="12"/>
        <v>0</v>
      </c>
      <c r="AG17" s="37"/>
      <c r="AH17" s="38">
        <f t="shared" si="13"/>
        <v>0</v>
      </c>
      <c r="AI17" s="37"/>
      <c r="AJ17" s="38">
        <f t="shared" si="14"/>
        <v>0</v>
      </c>
      <c r="AK17" s="39"/>
      <c r="AL17" s="35"/>
      <c r="AM17" s="36">
        <f t="shared" si="15"/>
        <v>0</v>
      </c>
      <c r="AN17" s="37"/>
      <c r="AO17" s="38">
        <f t="shared" si="16"/>
        <v>0</v>
      </c>
      <c r="AP17" s="37"/>
      <c r="AQ17" s="38">
        <f t="shared" si="17"/>
        <v>0</v>
      </c>
      <c r="AR17" s="39"/>
      <c r="AS17" s="35"/>
      <c r="AT17" s="36">
        <f t="shared" si="18"/>
        <v>0</v>
      </c>
      <c r="AU17" s="37"/>
      <c r="AV17" s="38">
        <f t="shared" si="19"/>
        <v>0</v>
      </c>
      <c r="AW17" s="37"/>
      <c r="AX17" s="38">
        <f t="shared" si="20"/>
        <v>0</v>
      </c>
      <c r="AY17" s="39"/>
      <c r="AZ17" s="35"/>
      <c r="BA17" s="36">
        <f t="shared" si="21"/>
        <v>0</v>
      </c>
      <c r="BB17" s="37"/>
      <c r="BC17" s="38">
        <f t="shared" si="22"/>
        <v>0</v>
      </c>
      <c r="BD17" s="37"/>
      <c r="BE17" s="38">
        <f t="shared" si="23"/>
        <v>0</v>
      </c>
      <c r="BF17" s="39"/>
      <c r="BG17" s="35"/>
      <c r="BH17" s="36">
        <f t="shared" si="24"/>
        <v>0</v>
      </c>
      <c r="BI17" s="37"/>
      <c r="BJ17" s="38">
        <f t="shared" si="25"/>
        <v>0</v>
      </c>
      <c r="BK17" s="37"/>
      <c r="BL17" s="38">
        <f t="shared" si="26"/>
        <v>0</v>
      </c>
      <c r="BM17" s="40">
        <f t="shared" si="1"/>
        <v>0</v>
      </c>
      <c r="BN17" s="40">
        <f t="shared" si="2"/>
        <v>0</v>
      </c>
      <c r="BO17" s="40">
        <f t="shared" si="27"/>
        <v>0</v>
      </c>
      <c r="BP17" s="15">
        <f t="shared" si="28"/>
        <v>0</v>
      </c>
      <c r="BQ17" s="2"/>
      <c r="BR17" s="2"/>
      <c r="BT17" s="2"/>
      <c r="BV17" s="2"/>
      <c r="BW17" s="2"/>
      <c r="BX17" s="2"/>
      <c r="BY17" s="2"/>
      <c r="BZ17" s="2"/>
      <c r="CA17" s="2"/>
      <c r="CC17" s="2"/>
      <c r="CD17" s="2"/>
      <c r="CE17" s="2"/>
      <c r="CG17" s="2"/>
      <c r="CI17" s="2"/>
      <c r="CJ17" s="2"/>
      <c r="CK17" s="2"/>
      <c r="CL17" s="2"/>
      <c r="CM17" s="2"/>
      <c r="CN17" s="2"/>
      <c r="CP17" s="2"/>
      <c r="CQ17" s="2"/>
      <c r="CR17" s="2"/>
      <c r="CT17" s="2"/>
      <c r="CV17" s="2"/>
      <c r="CW17" s="2"/>
      <c r="CX17" s="2"/>
      <c r="CY17" s="2"/>
      <c r="CZ17" s="2"/>
      <c r="DA17" s="2"/>
      <c r="DC17" s="2"/>
      <c r="DD17" s="2"/>
      <c r="DE17" s="2"/>
      <c r="DG17" s="2"/>
      <c r="DI17" s="2"/>
      <c r="DJ17" s="2"/>
      <c r="DK17" s="2"/>
    </row>
    <row r="18" spans="1:115" x14ac:dyDescent="0.25">
      <c r="B18" s="47" t="s">
        <v>35</v>
      </c>
      <c r="C18" s="41" t="s">
        <v>36</v>
      </c>
      <c r="D18" s="46">
        <f>38751.272-D28</f>
        <v>38631.271999999997</v>
      </c>
      <c r="E18" s="195">
        <f>H18*$K$83</f>
        <v>244.89599999999999</v>
      </c>
      <c r="F18" s="43">
        <f t="shared" si="29"/>
        <v>9460643.9877119996</v>
      </c>
      <c r="G18" s="39"/>
      <c r="H18" s="194">
        <v>240</v>
      </c>
      <c r="I18" s="39"/>
      <c r="J18" s="35"/>
      <c r="K18" s="36">
        <f t="shared" si="3"/>
        <v>0</v>
      </c>
      <c r="L18" s="37"/>
      <c r="M18" s="38">
        <f t="shared" si="4"/>
        <v>0</v>
      </c>
      <c r="N18" s="37"/>
      <c r="O18" s="38">
        <f t="shared" si="5"/>
        <v>0</v>
      </c>
      <c r="P18" s="39"/>
      <c r="Q18" s="35"/>
      <c r="R18" s="36">
        <f t="shared" si="6"/>
        <v>0</v>
      </c>
      <c r="S18" s="37"/>
      <c r="T18" s="38">
        <f t="shared" si="7"/>
        <v>0</v>
      </c>
      <c r="U18" s="37"/>
      <c r="V18" s="38">
        <f t="shared" si="8"/>
        <v>0</v>
      </c>
      <c r="W18" s="39"/>
      <c r="X18" s="35">
        <v>0.6</v>
      </c>
      <c r="Y18" s="36">
        <f t="shared" si="9"/>
        <v>5676386.3926271992</v>
      </c>
      <c r="Z18" s="37">
        <v>1</v>
      </c>
      <c r="AA18" s="38">
        <f t="shared" si="10"/>
        <v>5676386.3926271992</v>
      </c>
      <c r="AB18" s="37"/>
      <c r="AC18" s="38">
        <f t="shared" si="11"/>
        <v>0</v>
      </c>
      <c r="AD18" s="39"/>
      <c r="AE18" s="35">
        <v>0.2</v>
      </c>
      <c r="AF18" s="36">
        <f t="shared" si="12"/>
        <v>1892128.7975424</v>
      </c>
      <c r="AG18" s="37">
        <v>1</v>
      </c>
      <c r="AH18" s="38">
        <f t="shared" si="13"/>
        <v>1892128.7975424</v>
      </c>
      <c r="AI18" s="37"/>
      <c r="AJ18" s="38">
        <f t="shared" si="14"/>
        <v>0</v>
      </c>
      <c r="AK18" s="39"/>
      <c r="AL18" s="35">
        <v>0.15</v>
      </c>
      <c r="AM18" s="36">
        <f t="shared" si="15"/>
        <v>1419096.5981567998</v>
      </c>
      <c r="AN18" s="37">
        <v>1</v>
      </c>
      <c r="AO18" s="38">
        <f t="shared" si="16"/>
        <v>1419096.5981567998</v>
      </c>
      <c r="AP18" s="37"/>
      <c r="AQ18" s="38">
        <f t="shared" si="17"/>
        <v>0</v>
      </c>
      <c r="AR18" s="39"/>
      <c r="AS18" s="35">
        <v>0.05</v>
      </c>
      <c r="AT18" s="36">
        <f t="shared" si="18"/>
        <v>473032.19938559999</v>
      </c>
      <c r="AU18" s="37">
        <v>1</v>
      </c>
      <c r="AV18" s="38">
        <f t="shared" si="19"/>
        <v>473032.19938559999</v>
      </c>
      <c r="AW18" s="37"/>
      <c r="AX18" s="38">
        <f t="shared" si="20"/>
        <v>0</v>
      </c>
      <c r="AY18" s="39"/>
      <c r="AZ18" s="35"/>
      <c r="BA18" s="36">
        <f t="shared" si="21"/>
        <v>0</v>
      </c>
      <c r="BB18" s="37"/>
      <c r="BC18" s="38">
        <f t="shared" si="22"/>
        <v>0</v>
      </c>
      <c r="BD18" s="37"/>
      <c r="BE18" s="38">
        <f t="shared" si="23"/>
        <v>0</v>
      </c>
      <c r="BF18" s="39"/>
      <c r="BG18" s="35"/>
      <c r="BH18" s="36">
        <f t="shared" si="24"/>
        <v>0</v>
      </c>
      <c r="BI18" s="37"/>
      <c r="BJ18" s="38">
        <f t="shared" si="25"/>
        <v>0</v>
      </c>
      <c r="BK18" s="37"/>
      <c r="BL18" s="38">
        <f t="shared" si="26"/>
        <v>0</v>
      </c>
      <c r="BM18" s="40">
        <f t="shared" si="1"/>
        <v>9460643.9877119996</v>
      </c>
      <c r="BN18" s="40">
        <f t="shared" si="2"/>
        <v>9460643.9877119996</v>
      </c>
      <c r="BO18" s="40">
        <f t="shared" si="27"/>
        <v>9460643.9877119996</v>
      </c>
      <c r="BP18" s="15">
        <f t="shared" si="28"/>
        <v>0</v>
      </c>
      <c r="BQ18" s="2"/>
      <c r="BR18" s="2"/>
      <c r="BT18" s="2"/>
      <c r="BV18" s="2"/>
      <c r="BW18" s="2"/>
      <c r="BX18" s="2"/>
      <c r="BY18" s="2"/>
      <c r="BZ18" s="2"/>
      <c r="CA18" s="2"/>
      <c r="CC18" s="2"/>
      <c r="CD18" s="2"/>
      <c r="CE18" s="2"/>
      <c r="CG18" s="2"/>
      <c r="CI18" s="2"/>
      <c r="CJ18" s="2"/>
      <c r="CK18" s="2"/>
      <c r="CL18" s="2"/>
      <c r="CM18" s="2"/>
      <c r="CN18" s="2"/>
      <c r="CP18" s="2"/>
      <c r="CQ18" s="2"/>
      <c r="CR18" s="2"/>
      <c r="CT18" s="2"/>
      <c r="CV18" s="2"/>
      <c r="CW18" s="2"/>
      <c r="CX18" s="2"/>
      <c r="CY18" s="2"/>
      <c r="CZ18" s="2"/>
      <c r="DA18" s="2"/>
      <c r="DC18" s="2"/>
      <c r="DD18" s="2"/>
      <c r="DE18" s="2"/>
      <c r="DG18" s="2"/>
      <c r="DI18" s="2"/>
      <c r="DJ18" s="2"/>
      <c r="DK18" s="2"/>
    </row>
    <row r="19" spans="1:115" x14ac:dyDescent="0.25">
      <c r="B19" s="47" t="s">
        <v>37</v>
      </c>
      <c r="C19" s="41" t="s">
        <v>36</v>
      </c>
      <c r="D19" s="46">
        <f>38751.272-D30</f>
        <v>38631.271999999997</v>
      </c>
      <c r="E19" s="33">
        <f>$K$72</f>
        <v>-108.3695731319762</v>
      </c>
      <c r="F19" s="43">
        <f t="shared" si="29"/>
        <v>-4186454.456185264</v>
      </c>
      <c r="G19" s="39"/>
      <c r="H19" s="194">
        <v>-123.79</v>
      </c>
      <c r="I19" s="39"/>
      <c r="J19" s="35"/>
      <c r="K19" s="36">
        <f t="shared" si="3"/>
        <v>0</v>
      </c>
      <c r="L19" s="37"/>
      <c r="M19" s="38">
        <f t="shared" si="4"/>
        <v>0</v>
      </c>
      <c r="N19" s="37"/>
      <c r="O19" s="38">
        <f t="shared" si="5"/>
        <v>0</v>
      </c>
      <c r="P19" s="39"/>
      <c r="Q19" s="35"/>
      <c r="R19" s="36">
        <f t="shared" si="6"/>
        <v>0</v>
      </c>
      <c r="S19" s="37"/>
      <c r="T19" s="38">
        <f t="shared" si="7"/>
        <v>0</v>
      </c>
      <c r="U19" s="37"/>
      <c r="V19" s="38">
        <f t="shared" si="8"/>
        <v>0</v>
      </c>
      <c r="W19" s="39"/>
      <c r="X19" s="35">
        <v>0.6</v>
      </c>
      <c r="Y19" s="36">
        <f t="shared" si="9"/>
        <v>-2511872.6737111583</v>
      </c>
      <c r="Z19" s="37">
        <v>1</v>
      </c>
      <c r="AA19" s="38">
        <f t="shared" si="10"/>
        <v>-2511872.6737111583</v>
      </c>
      <c r="AB19" s="37"/>
      <c r="AC19" s="38">
        <f t="shared" si="11"/>
        <v>0</v>
      </c>
      <c r="AD19" s="39"/>
      <c r="AE19" s="35">
        <v>0.25</v>
      </c>
      <c r="AF19" s="36">
        <f t="shared" si="12"/>
        <v>-1046613.614046316</v>
      </c>
      <c r="AG19" s="37">
        <v>1</v>
      </c>
      <c r="AH19" s="38">
        <f t="shared" si="13"/>
        <v>-1046613.614046316</v>
      </c>
      <c r="AI19" s="37"/>
      <c r="AJ19" s="38">
        <f t="shared" si="14"/>
        <v>0</v>
      </c>
      <c r="AK19" s="39"/>
      <c r="AL19" s="35">
        <v>0.15</v>
      </c>
      <c r="AM19" s="36">
        <f t="shared" si="15"/>
        <v>-627968.16842778958</v>
      </c>
      <c r="AN19" s="37">
        <v>1</v>
      </c>
      <c r="AO19" s="38">
        <f t="shared" si="16"/>
        <v>-627968.16842778958</v>
      </c>
      <c r="AP19" s="37"/>
      <c r="AQ19" s="38">
        <f t="shared" si="17"/>
        <v>0</v>
      </c>
      <c r="AR19" s="39"/>
      <c r="AS19" s="35"/>
      <c r="AT19" s="36">
        <f t="shared" si="18"/>
        <v>0</v>
      </c>
      <c r="AU19" s="37"/>
      <c r="AV19" s="38">
        <f t="shared" si="19"/>
        <v>0</v>
      </c>
      <c r="AW19" s="37"/>
      <c r="AX19" s="38">
        <f t="shared" si="20"/>
        <v>0</v>
      </c>
      <c r="AY19" s="39"/>
      <c r="AZ19" s="35"/>
      <c r="BA19" s="36">
        <f t="shared" si="21"/>
        <v>0</v>
      </c>
      <c r="BB19" s="37"/>
      <c r="BC19" s="38">
        <f t="shared" si="22"/>
        <v>0</v>
      </c>
      <c r="BD19" s="37"/>
      <c r="BE19" s="38">
        <f t="shared" si="23"/>
        <v>0</v>
      </c>
      <c r="BF19" s="39"/>
      <c r="BG19" s="35"/>
      <c r="BH19" s="36">
        <f t="shared" si="24"/>
        <v>0</v>
      </c>
      <c r="BI19" s="37"/>
      <c r="BJ19" s="38">
        <f t="shared" si="25"/>
        <v>0</v>
      </c>
      <c r="BK19" s="37"/>
      <c r="BL19" s="38">
        <f t="shared" si="26"/>
        <v>0</v>
      </c>
      <c r="BM19" s="40">
        <f t="shared" si="1"/>
        <v>-4186454.456185264</v>
      </c>
      <c r="BN19" s="40">
        <f t="shared" si="2"/>
        <v>-4186454.456185264</v>
      </c>
      <c r="BO19" s="40">
        <f t="shared" si="27"/>
        <v>-4186454.456185264</v>
      </c>
      <c r="BP19" s="15">
        <f t="shared" si="28"/>
        <v>0</v>
      </c>
      <c r="BQ19" s="2"/>
      <c r="BR19" s="2"/>
      <c r="BT19" s="2"/>
      <c r="BV19" s="2"/>
      <c r="BW19" s="2"/>
      <c r="BX19" s="2"/>
      <c r="BY19" s="2"/>
      <c r="BZ19" s="2"/>
      <c r="CA19" s="2"/>
      <c r="CC19" s="2"/>
      <c r="CD19" s="2"/>
      <c r="CE19" s="2"/>
      <c r="CG19" s="2"/>
      <c r="CI19" s="2"/>
      <c r="CJ19" s="2"/>
      <c r="CK19" s="2"/>
      <c r="CL19" s="2"/>
      <c r="CM19" s="2"/>
      <c r="CN19" s="2"/>
      <c r="CP19" s="2"/>
      <c r="CQ19" s="2"/>
      <c r="CR19" s="2"/>
      <c r="CT19" s="2"/>
      <c r="CV19" s="2"/>
      <c r="CW19" s="2"/>
      <c r="CX19" s="2"/>
      <c r="CY19" s="2"/>
      <c r="CZ19" s="2"/>
      <c r="DA19" s="2"/>
      <c r="DC19" s="2"/>
      <c r="DD19" s="2"/>
      <c r="DE19" s="2"/>
      <c r="DG19" s="2"/>
      <c r="DI19" s="2"/>
      <c r="DJ19" s="2"/>
      <c r="DK19" s="2"/>
    </row>
    <row r="20" spans="1:115" x14ac:dyDescent="0.25">
      <c r="B20" s="47" t="s">
        <v>38</v>
      </c>
      <c r="C20" s="41" t="s">
        <v>39</v>
      </c>
      <c r="D20" s="46">
        <v>348761.44799999997</v>
      </c>
      <c r="E20" s="48">
        <f>$K$73</f>
        <v>-0.38793301271641789</v>
      </c>
      <c r="F20" s="43">
        <f t="shared" si="29"/>
        <v>-135296.0792419803</v>
      </c>
      <c r="G20" s="39"/>
      <c r="H20" s="194">
        <v>-0.38</v>
      </c>
      <c r="I20" s="39"/>
      <c r="J20" s="35"/>
      <c r="K20" s="36">
        <f t="shared" si="3"/>
        <v>0</v>
      </c>
      <c r="L20" s="37"/>
      <c r="M20" s="38">
        <f t="shared" si="4"/>
        <v>0</v>
      </c>
      <c r="N20" s="37"/>
      <c r="O20" s="38">
        <f t="shared" si="5"/>
        <v>0</v>
      </c>
      <c r="P20" s="39"/>
      <c r="Q20" s="35"/>
      <c r="R20" s="36">
        <f t="shared" si="6"/>
        <v>0</v>
      </c>
      <c r="S20" s="37"/>
      <c r="T20" s="38">
        <f t="shared" si="7"/>
        <v>0</v>
      </c>
      <c r="U20" s="37"/>
      <c r="V20" s="38">
        <f t="shared" si="8"/>
        <v>0</v>
      </c>
      <c r="W20" s="39"/>
      <c r="X20" s="35"/>
      <c r="Y20" s="36">
        <f t="shared" si="9"/>
        <v>0</v>
      </c>
      <c r="Z20" s="37"/>
      <c r="AA20" s="38">
        <f t="shared" si="10"/>
        <v>0</v>
      </c>
      <c r="AB20" s="37"/>
      <c r="AC20" s="38">
        <f t="shared" si="11"/>
        <v>0</v>
      </c>
      <c r="AD20" s="39"/>
      <c r="AE20" s="35">
        <v>1</v>
      </c>
      <c r="AF20" s="36">
        <f t="shared" si="12"/>
        <v>-135296.0792419803</v>
      </c>
      <c r="AG20" s="37">
        <v>1</v>
      </c>
      <c r="AH20" s="38">
        <f t="shared" si="13"/>
        <v>-135296.0792419803</v>
      </c>
      <c r="AI20" s="37"/>
      <c r="AJ20" s="38">
        <f t="shared" si="14"/>
        <v>0</v>
      </c>
      <c r="AK20" s="39"/>
      <c r="AL20" s="35"/>
      <c r="AM20" s="36">
        <f t="shared" si="15"/>
        <v>0</v>
      </c>
      <c r="AN20" s="37"/>
      <c r="AO20" s="38">
        <f t="shared" si="16"/>
        <v>0</v>
      </c>
      <c r="AP20" s="37"/>
      <c r="AQ20" s="38">
        <f t="shared" si="17"/>
        <v>0</v>
      </c>
      <c r="AR20" s="39"/>
      <c r="AS20" s="35"/>
      <c r="AT20" s="36">
        <f t="shared" si="18"/>
        <v>0</v>
      </c>
      <c r="AU20" s="37"/>
      <c r="AV20" s="38">
        <f t="shared" si="19"/>
        <v>0</v>
      </c>
      <c r="AW20" s="37"/>
      <c r="AX20" s="38">
        <f t="shared" si="20"/>
        <v>0</v>
      </c>
      <c r="AY20" s="39"/>
      <c r="AZ20" s="35"/>
      <c r="BA20" s="36">
        <f t="shared" si="21"/>
        <v>0</v>
      </c>
      <c r="BB20" s="37"/>
      <c r="BC20" s="38">
        <f t="shared" si="22"/>
        <v>0</v>
      </c>
      <c r="BD20" s="37"/>
      <c r="BE20" s="38">
        <f t="shared" si="23"/>
        <v>0</v>
      </c>
      <c r="BF20" s="39"/>
      <c r="BG20" s="35"/>
      <c r="BH20" s="36">
        <f t="shared" si="24"/>
        <v>0</v>
      </c>
      <c r="BI20" s="37"/>
      <c r="BJ20" s="38">
        <f t="shared" si="25"/>
        <v>0</v>
      </c>
      <c r="BK20" s="37"/>
      <c r="BL20" s="38">
        <f t="shared" si="26"/>
        <v>0</v>
      </c>
      <c r="BM20" s="40">
        <f t="shared" si="1"/>
        <v>-135296.0792419803</v>
      </c>
      <c r="BN20" s="40">
        <f t="shared" si="2"/>
        <v>-135296.0792419803</v>
      </c>
      <c r="BO20" s="40">
        <f t="shared" si="27"/>
        <v>-135296.0792419803</v>
      </c>
      <c r="BP20" s="15">
        <f t="shared" si="28"/>
        <v>0</v>
      </c>
      <c r="BQ20" s="2"/>
      <c r="BR20" s="2"/>
      <c r="BT20" s="2"/>
      <c r="BV20" s="2"/>
      <c r="BW20" s="2"/>
      <c r="BX20" s="2"/>
      <c r="BY20" s="2"/>
      <c r="BZ20" s="2"/>
      <c r="CA20" s="2"/>
      <c r="CC20" s="2"/>
      <c r="CD20" s="2"/>
      <c r="CE20" s="2"/>
      <c r="CG20" s="2"/>
      <c r="CI20" s="2"/>
      <c r="CJ20" s="2"/>
      <c r="CK20" s="2"/>
      <c r="CL20" s="2"/>
      <c r="CM20" s="2"/>
      <c r="CN20" s="2"/>
      <c r="CP20" s="2"/>
      <c r="CQ20" s="2"/>
      <c r="CR20" s="2"/>
      <c r="CT20" s="2"/>
      <c r="CV20" s="2"/>
      <c r="CW20" s="2"/>
      <c r="CX20" s="2"/>
      <c r="CY20" s="2"/>
      <c r="CZ20" s="2"/>
      <c r="DA20" s="2"/>
      <c r="DC20" s="2"/>
      <c r="DD20" s="2"/>
      <c r="DE20" s="2"/>
      <c r="DG20" s="2"/>
      <c r="DI20" s="2"/>
      <c r="DJ20" s="2"/>
      <c r="DK20" s="2"/>
    </row>
    <row r="21" spans="1:115" x14ac:dyDescent="0.25">
      <c r="B21" s="47" t="s">
        <v>40</v>
      </c>
      <c r="C21" s="41" t="s">
        <v>39</v>
      </c>
      <c r="D21" s="46">
        <v>3293858.1199999996</v>
      </c>
      <c r="E21" s="48">
        <f>$K$74</f>
        <v>-0.31414430979039298</v>
      </c>
      <c r="F21" s="43">
        <f t="shared" si="29"/>
        <v>-1034746.7856548813</v>
      </c>
      <c r="G21" s="39"/>
      <c r="H21" s="194">
        <v>-0.37</v>
      </c>
      <c r="I21" s="39"/>
      <c r="J21" s="35"/>
      <c r="K21" s="36">
        <f t="shared" si="3"/>
        <v>0</v>
      </c>
      <c r="L21" s="37"/>
      <c r="M21" s="38">
        <f t="shared" si="4"/>
        <v>0</v>
      </c>
      <c r="N21" s="37"/>
      <c r="O21" s="38">
        <f t="shared" si="5"/>
        <v>0</v>
      </c>
      <c r="P21" s="39"/>
      <c r="Q21" s="35"/>
      <c r="R21" s="36">
        <f t="shared" si="6"/>
        <v>0</v>
      </c>
      <c r="S21" s="37"/>
      <c r="T21" s="38">
        <f t="shared" si="7"/>
        <v>0</v>
      </c>
      <c r="U21" s="37"/>
      <c r="V21" s="38">
        <f t="shared" si="8"/>
        <v>0</v>
      </c>
      <c r="W21" s="39"/>
      <c r="X21" s="35"/>
      <c r="Y21" s="36">
        <f t="shared" si="9"/>
        <v>0</v>
      </c>
      <c r="Z21" s="37"/>
      <c r="AA21" s="38">
        <f t="shared" si="10"/>
        <v>0</v>
      </c>
      <c r="AB21" s="37"/>
      <c r="AC21" s="38">
        <f t="shared" si="11"/>
        <v>0</v>
      </c>
      <c r="AD21" s="39"/>
      <c r="AE21" s="35">
        <v>0.2</v>
      </c>
      <c r="AF21" s="36">
        <f t="shared" si="12"/>
        <v>-206949.35713097628</v>
      </c>
      <c r="AG21" s="37">
        <v>1</v>
      </c>
      <c r="AH21" s="38">
        <f t="shared" si="13"/>
        <v>-206949.35713097628</v>
      </c>
      <c r="AI21" s="37"/>
      <c r="AJ21" s="38">
        <f t="shared" si="14"/>
        <v>0</v>
      </c>
      <c r="AK21" s="39"/>
      <c r="AL21" s="35"/>
      <c r="AM21" s="36">
        <f t="shared" si="15"/>
        <v>0</v>
      </c>
      <c r="AN21" s="37"/>
      <c r="AO21" s="38">
        <f t="shared" si="16"/>
        <v>0</v>
      </c>
      <c r="AP21" s="37"/>
      <c r="AQ21" s="38">
        <f t="shared" si="17"/>
        <v>0</v>
      </c>
      <c r="AR21" s="39"/>
      <c r="AS21" s="35">
        <v>0.8</v>
      </c>
      <c r="AT21" s="36">
        <f t="shared" si="18"/>
        <v>-827797.42852390511</v>
      </c>
      <c r="AU21" s="37">
        <v>1</v>
      </c>
      <c r="AV21" s="38">
        <f t="shared" si="19"/>
        <v>-827797.42852390511</v>
      </c>
      <c r="AW21" s="37"/>
      <c r="AX21" s="38">
        <f t="shared" si="20"/>
        <v>0</v>
      </c>
      <c r="AY21" s="39"/>
      <c r="AZ21" s="35"/>
      <c r="BA21" s="36">
        <f t="shared" si="21"/>
        <v>0</v>
      </c>
      <c r="BB21" s="37"/>
      <c r="BC21" s="38">
        <f t="shared" si="22"/>
        <v>0</v>
      </c>
      <c r="BD21" s="37"/>
      <c r="BE21" s="38">
        <f t="shared" si="23"/>
        <v>0</v>
      </c>
      <c r="BF21" s="39"/>
      <c r="BG21" s="35"/>
      <c r="BH21" s="36">
        <f t="shared" si="24"/>
        <v>0</v>
      </c>
      <c r="BI21" s="37"/>
      <c r="BJ21" s="38">
        <f t="shared" si="25"/>
        <v>0</v>
      </c>
      <c r="BK21" s="37"/>
      <c r="BL21" s="38">
        <f t="shared" si="26"/>
        <v>0</v>
      </c>
      <c r="BM21" s="40">
        <f t="shared" si="1"/>
        <v>-1034746.7856548813</v>
      </c>
      <c r="BN21" s="40">
        <f t="shared" si="2"/>
        <v>-1034746.7856548814</v>
      </c>
      <c r="BO21" s="40">
        <f t="shared" si="27"/>
        <v>-1034746.7856548814</v>
      </c>
      <c r="BP21" s="15">
        <f t="shared" si="28"/>
        <v>0</v>
      </c>
      <c r="BQ21" s="2"/>
      <c r="BR21" s="2"/>
      <c r="BT21" s="2"/>
      <c r="BV21" s="2"/>
      <c r="BW21" s="2"/>
      <c r="BX21" s="2"/>
      <c r="BY21" s="2"/>
      <c r="BZ21" s="2"/>
      <c r="CA21" s="2"/>
      <c r="CC21" s="2"/>
      <c r="CD21" s="2"/>
      <c r="CE21" s="2"/>
      <c r="CG21" s="2"/>
      <c r="CI21" s="2"/>
      <c r="CJ21" s="2"/>
      <c r="CK21" s="2"/>
      <c r="CL21" s="2"/>
      <c r="CM21" s="2"/>
      <c r="CN21" s="2"/>
      <c r="CP21" s="2"/>
      <c r="CQ21" s="2"/>
      <c r="CR21" s="2"/>
      <c r="CT21" s="2"/>
      <c r="CV21" s="2"/>
      <c r="CW21" s="2"/>
      <c r="CX21" s="2"/>
      <c r="CY21" s="2"/>
      <c r="CZ21" s="2"/>
      <c r="DA21" s="2"/>
      <c r="DC21" s="2"/>
      <c r="DD21" s="2"/>
      <c r="DE21" s="2"/>
      <c r="DG21" s="2"/>
      <c r="DI21" s="2"/>
      <c r="DJ21" s="2"/>
      <c r="DK21" s="2"/>
    </row>
    <row r="22" spans="1:115" x14ac:dyDescent="0.25">
      <c r="B22" s="47" t="s">
        <v>41</v>
      </c>
      <c r="C22" s="41" t="s">
        <v>39</v>
      </c>
      <c r="D22" s="46">
        <v>465015.26399999997</v>
      </c>
      <c r="E22" s="48">
        <f>$K$75</f>
        <v>-0.13699903999999999</v>
      </c>
      <c r="F22" s="43">
        <f t="shared" si="29"/>
        <v>-63706.644753346547</v>
      </c>
      <c r="G22" s="39"/>
      <c r="H22" s="194">
        <v>-0.16</v>
      </c>
      <c r="I22" s="39"/>
      <c r="J22" s="35"/>
      <c r="K22" s="36">
        <f t="shared" si="3"/>
        <v>0</v>
      </c>
      <c r="L22" s="37"/>
      <c r="M22" s="38">
        <f t="shared" si="4"/>
        <v>0</v>
      </c>
      <c r="N22" s="37"/>
      <c r="O22" s="38">
        <f t="shared" si="5"/>
        <v>0</v>
      </c>
      <c r="P22" s="39"/>
      <c r="Q22" s="35"/>
      <c r="R22" s="36">
        <f t="shared" si="6"/>
        <v>0</v>
      </c>
      <c r="S22" s="37"/>
      <c r="T22" s="38">
        <f t="shared" si="7"/>
        <v>0</v>
      </c>
      <c r="U22" s="37"/>
      <c r="V22" s="38">
        <f t="shared" si="8"/>
        <v>0</v>
      </c>
      <c r="W22" s="39"/>
      <c r="X22" s="35"/>
      <c r="Y22" s="36">
        <f t="shared" si="9"/>
        <v>0</v>
      </c>
      <c r="Z22" s="37"/>
      <c r="AA22" s="38">
        <f t="shared" si="10"/>
        <v>0</v>
      </c>
      <c r="AB22" s="37"/>
      <c r="AC22" s="38">
        <f t="shared" si="11"/>
        <v>0</v>
      </c>
      <c r="AD22" s="39"/>
      <c r="AE22" s="35">
        <v>1</v>
      </c>
      <c r="AF22" s="36">
        <f t="shared" si="12"/>
        <v>-63706.644753346547</v>
      </c>
      <c r="AG22" s="37">
        <v>1</v>
      </c>
      <c r="AH22" s="38">
        <f t="shared" si="13"/>
        <v>-63706.644753346547</v>
      </c>
      <c r="AI22" s="37"/>
      <c r="AJ22" s="38">
        <f t="shared" si="14"/>
        <v>0</v>
      </c>
      <c r="AK22" s="39"/>
      <c r="AL22" s="35"/>
      <c r="AM22" s="36">
        <f t="shared" si="15"/>
        <v>0</v>
      </c>
      <c r="AN22" s="37"/>
      <c r="AO22" s="38">
        <f t="shared" si="16"/>
        <v>0</v>
      </c>
      <c r="AP22" s="37"/>
      <c r="AQ22" s="38">
        <f t="shared" si="17"/>
        <v>0</v>
      </c>
      <c r="AR22" s="39"/>
      <c r="AS22" s="35"/>
      <c r="AT22" s="36">
        <f t="shared" si="18"/>
        <v>0</v>
      </c>
      <c r="AU22" s="37"/>
      <c r="AV22" s="38">
        <f t="shared" si="19"/>
        <v>0</v>
      </c>
      <c r="AW22" s="37"/>
      <c r="AX22" s="38">
        <f t="shared" si="20"/>
        <v>0</v>
      </c>
      <c r="AY22" s="39"/>
      <c r="AZ22" s="35"/>
      <c r="BA22" s="36">
        <f t="shared" si="21"/>
        <v>0</v>
      </c>
      <c r="BB22" s="37"/>
      <c r="BC22" s="38">
        <f t="shared" si="22"/>
        <v>0</v>
      </c>
      <c r="BD22" s="37"/>
      <c r="BE22" s="38">
        <f t="shared" si="23"/>
        <v>0</v>
      </c>
      <c r="BF22" s="39"/>
      <c r="BG22" s="35"/>
      <c r="BH22" s="36">
        <f t="shared" si="24"/>
        <v>0</v>
      </c>
      <c r="BI22" s="37"/>
      <c r="BJ22" s="38">
        <f t="shared" si="25"/>
        <v>0</v>
      </c>
      <c r="BK22" s="37"/>
      <c r="BL22" s="38">
        <f t="shared" si="26"/>
        <v>0</v>
      </c>
      <c r="BM22" s="40">
        <f t="shared" si="1"/>
        <v>-63706.644753346547</v>
      </c>
      <c r="BN22" s="40">
        <f t="shared" si="2"/>
        <v>-63706.644753346547</v>
      </c>
      <c r="BO22" s="40">
        <f t="shared" si="27"/>
        <v>-63706.644753346547</v>
      </c>
      <c r="BP22" s="15">
        <f t="shared" si="28"/>
        <v>0</v>
      </c>
      <c r="BQ22" s="2"/>
      <c r="BR22" s="2"/>
      <c r="BT22" s="2"/>
      <c r="BV22" s="2"/>
      <c r="BW22" s="2"/>
      <c r="BX22" s="2"/>
      <c r="BY22" s="2"/>
      <c r="BZ22" s="2"/>
      <c r="CA22" s="2"/>
      <c r="CC22" s="2"/>
      <c r="CD22" s="2"/>
      <c r="CE22" s="2"/>
      <c r="CG22" s="2"/>
      <c r="CI22" s="2"/>
      <c r="CJ22" s="2"/>
      <c r="CK22" s="2"/>
      <c r="CL22" s="2"/>
      <c r="CM22" s="2"/>
      <c r="CN22" s="2"/>
      <c r="CP22" s="2"/>
      <c r="CQ22" s="2"/>
      <c r="CR22" s="2"/>
      <c r="CT22" s="2"/>
      <c r="CV22" s="2"/>
      <c r="CW22" s="2"/>
      <c r="CX22" s="2"/>
      <c r="CY22" s="2"/>
      <c r="CZ22" s="2"/>
      <c r="DA22" s="2"/>
      <c r="DC22" s="2"/>
      <c r="DD22" s="2"/>
      <c r="DE22" s="2"/>
      <c r="DG22" s="2"/>
      <c r="DI22" s="2"/>
      <c r="DJ22" s="2"/>
      <c r="DK22" s="2"/>
    </row>
    <row r="23" spans="1:115" x14ac:dyDescent="0.25">
      <c r="B23" s="47" t="s">
        <v>42</v>
      </c>
      <c r="C23" s="41" t="s">
        <v>43</v>
      </c>
      <c r="D23" s="46">
        <v>5962.9629629629626</v>
      </c>
      <c r="E23" s="195">
        <f>H23*$K$83</f>
        <v>107.142</v>
      </c>
      <c r="F23" s="43">
        <f t="shared" si="29"/>
        <v>638883.77777777775</v>
      </c>
      <c r="G23" s="39"/>
      <c r="H23" s="194">
        <v>105</v>
      </c>
      <c r="I23" s="39"/>
      <c r="J23" s="35"/>
      <c r="K23" s="36">
        <f t="shared" si="3"/>
        <v>0</v>
      </c>
      <c r="L23" s="37"/>
      <c r="M23" s="38">
        <f t="shared" si="4"/>
        <v>0</v>
      </c>
      <c r="N23" s="37"/>
      <c r="O23" s="38">
        <f t="shared" si="5"/>
        <v>0</v>
      </c>
      <c r="P23" s="39"/>
      <c r="Q23" s="35"/>
      <c r="R23" s="36">
        <f t="shared" si="6"/>
        <v>0</v>
      </c>
      <c r="S23" s="37"/>
      <c r="T23" s="38">
        <f t="shared" si="7"/>
        <v>0</v>
      </c>
      <c r="U23" s="37"/>
      <c r="V23" s="38">
        <f t="shared" si="8"/>
        <v>0</v>
      </c>
      <c r="W23" s="39"/>
      <c r="X23" s="35">
        <v>1</v>
      </c>
      <c r="Y23" s="36">
        <f t="shared" si="9"/>
        <v>638883.77777777775</v>
      </c>
      <c r="Z23" s="37">
        <v>1</v>
      </c>
      <c r="AA23" s="38">
        <f t="shared" si="10"/>
        <v>638883.77777777775</v>
      </c>
      <c r="AB23" s="37"/>
      <c r="AC23" s="38">
        <f t="shared" si="11"/>
        <v>0</v>
      </c>
      <c r="AD23" s="39"/>
      <c r="AE23" s="35"/>
      <c r="AF23" s="36">
        <f t="shared" si="12"/>
        <v>0</v>
      </c>
      <c r="AG23" s="37"/>
      <c r="AH23" s="38">
        <f t="shared" si="13"/>
        <v>0</v>
      </c>
      <c r="AI23" s="37"/>
      <c r="AJ23" s="38">
        <f t="shared" si="14"/>
        <v>0</v>
      </c>
      <c r="AK23" s="39"/>
      <c r="AL23" s="35"/>
      <c r="AM23" s="36">
        <f t="shared" si="15"/>
        <v>0</v>
      </c>
      <c r="AN23" s="37"/>
      <c r="AO23" s="38">
        <f t="shared" si="16"/>
        <v>0</v>
      </c>
      <c r="AP23" s="37"/>
      <c r="AQ23" s="38">
        <f t="shared" si="17"/>
        <v>0</v>
      </c>
      <c r="AR23" s="39"/>
      <c r="AS23" s="35"/>
      <c r="AT23" s="36">
        <f t="shared" si="18"/>
        <v>0</v>
      </c>
      <c r="AU23" s="37"/>
      <c r="AV23" s="38">
        <f t="shared" si="19"/>
        <v>0</v>
      </c>
      <c r="AW23" s="37"/>
      <c r="AX23" s="38">
        <f t="shared" si="20"/>
        <v>0</v>
      </c>
      <c r="AY23" s="39"/>
      <c r="AZ23" s="35"/>
      <c r="BA23" s="36">
        <f t="shared" si="21"/>
        <v>0</v>
      </c>
      <c r="BB23" s="37"/>
      <c r="BC23" s="38">
        <f t="shared" si="22"/>
        <v>0</v>
      </c>
      <c r="BD23" s="37"/>
      <c r="BE23" s="38">
        <f t="shared" si="23"/>
        <v>0</v>
      </c>
      <c r="BF23" s="39"/>
      <c r="BG23" s="35"/>
      <c r="BH23" s="36">
        <f t="shared" si="24"/>
        <v>0</v>
      </c>
      <c r="BI23" s="37"/>
      <c r="BJ23" s="38">
        <f t="shared" si="25"/>
        <v>0</v>
      </c>
      <c r="BK23" s="37"/>
      <c r="BL23" s="38">
        <f t="shared" si="26"/>
        <v>0</v>
      </c>
      <c r="BM23" s="40">
        <f t="shared" si="1"/>
        <v>638883.77777777775</v>
      </c>
      <c r="BN23" s="40">
        <f t="shared" si="2"/>
        <v>638883.77777777775</v>
      </c>
      <c r="BO23" s="40">
        <f t="shared" si="27"/>
        <v>638883.77777777775</v>
      </c>
      <c r="BP23" s="15">
        <f t="shared" si="28"/>
        <v>0</v>
      </c>
      <c r="BQ23" s="2"/>
      <c r="BR23" s="2"/>
      <c r="BT23" s="2"/>
      <c r="BV23" s="2"/>
      <c r="BW23" s="2"/>
      <c r="BX23" s="2"/>
      <c r="BY23" s="2"/>
      <c r="BZ23" s="2"/>
      <c r="CA23" s="2"/>
      <c r="CC23" s="2"/>
      <c r="CD23" s="2"/>
      <c r="CE23" s="2"/>
      <c r="CG23" s="2"/>
      <c r="CI23" s="2"/>
      <c r="CJ23" s="2"/>
      <c r="CK23" s="2"/>
      <c r="CL23" s="2"/>
      <c r="CM23" s="2"/>
      <c r="CN23" s="2"/>
      <c r="CP23" s="2"/>
      <c r="CQ23" s="2"/>
      <c r="CR23" s="2"/>
      <c r="CT23" s="2"/>
      <c r="CV23" s="2"/>
      <c r="CW23" s="2"/>
      <c r="CX23" s="2"/>
      <c r="CY23" s="2"/>
      <c r="CZ23" s="2"/>
      <c r="DA23" s="2"/>
      <c r="DC23" s="2"/>
      <c r="DD23" s="2"/>
      <c r="DE23" s="2"/>
      <c r="DG23" s="2"/>
      <c r="DI23" s="2"/>
      <c r="DJ23" s="2"/>
      <c r="DK23" s="2"/>
    </row>
    <row r="24" spans="1:115" x14ac:dyDescent="0.25">
      <c r="B24" s="49" t="s">
        <v>44</v>
      </c>
      <c r="C24" s="41" t="s">
        <v>39</v>
      </c>
      <c r="D24" s="46">
        <v>900000</v>
      </c>
      <c r="E24" s="48">
        <f>$K$78</f>
        <v>-0.16439166666666666</v>
      </c>
      <c r="F24" s="43">
        <f t="shared" si="29"/>
        <v>-147952.5</v>
      </c>
      <c r="G24" s="39"/>
      <c r="H24" s="194">
        <v>-0.25</v>
      </c>
      <c r="I24" s="39"/>
      <c r="J24" s="35"/>
      <c r="K24" s="36">
        <f t="shared" si="3"/>
        <v>0</v>
      </c>
      <c r="L24" s="37"/>
      <c r="M24" s="38">
        <f t="shared" si="4"/>
        <v>0</v>
      </c>
      <c r="N24" s="37"/>
      <c r="O24" s="38">
        <f t="shared" si="5"/>
        <v>0</v>
      </c>
      <c r="P24" s="39"/>
      <c r="Q24" s="35"/>
      <c r="R24" s="36">
        <f t="shared" si="6"/>
        <v>0</v>
      </c>
      <c r="S24" s="37"/>
      <c r="T24" s="38">
        <f t="shared" si="7"/>
        <v>0</v>
      </c>
      <c r="U24" s="37"/>
      <c r="V24" s="38">
        <f t="shared" si="8"/>
        <v>0</v>
      </c>
      <c r="W24" s="39"/>
      <c r="X24" s="35"/>
      <c r="Y24" s="36">
        <f t="shared" si="9"/>
        <v>0</v>
      </c>
      <c r="Z24" s="37"/>
      <c r="AA24" s="38">
        <f t="shared" si="10"/>
        <v>0</v>
      </c>
      <c r="AB24" s="37"/>
      <c r="AC24" s="38">
        <f t="shared" si="11"/>
        <v>0</v>
      </c>
      <c r="AD24" s="39"/>
      <c r="AE24" s="35">
        <v>0.1</v>
      </c>
      <c r="AF24" s="36">
        <f t="shared" si="12"/>
        <v>-14795.25</v>
      </c>
      <c r="AG24" s="37">
        <v>1</v>
      </c>
      <c r="AH24" s="38">
        <f t="shared" si="13"/>
        <v>-14795.25</v>
      </c>
      <c r="AI24" s="37"/>
      <c r="AJ24" s="38">
        <f t="shared" si="14"/>
        <v>0</v>
      </c>
      <c r="AK24" s="39"/>
      <c r="AL24" s="35">
        <v>0.9</v>
      </c>
      <c r="AM24" s="36">
        <f t="shared" si="15"/>
        <v>-133157.25</v>
      </c>
      <c r="AN24" s="37">
        <v>1</v>
      </c>
      <c r="AO24" s="38">
        <f t="shared" si="16"/>
        <v>-133157.25</v>
      </c>
      <c r="AP24" s="37"/>
      <c r="AQ24" s="38">
        <f t="shared" si="17"/>
        <v>0</v>
      </c>
      <c r="AR24" s="39"/>
      <c r="AS24" s="35"/>
      <c r="AT24" s="36">
        <f t="shared" si="18"/>
        <v>0</v>
      </c>
      <c r="AU24" s="37"/>
      <c r="AV24" s="38">
        <f t="shared" si="19"/>
        <v>0</v>
      </c>
      <c r="AW24" s="37"/>
      <c r="AX24" s="38">
        <f t="shared" si="20"/>
        <v>0</v>
      </c>
      <c r="AY24" s="39"/>
      <c r="AZ24" s="35"/>
      <c r="BA24" s="36">
        <f t="shared" si="21"/>
        <v>0</v>
      </c>
      <c r="BB24" s="37"/>
      <c r="BC24" s="38">
        <f t="shared" si="22"/>
        <v>0</v>
      </c>
      <c r="BD24" s="37"/>
      <c r="BE24" s="38">
        <f t="shared" si="23"/>
        <v>0</v>
      </c>
      <c r="BF24" s="39"/>
      <c r="BG24" s="35"/>
      <c r="BH24" s="36">
        <f t="shared" si="24"/>
        <v>0</v>
      </c>
      <c r="BI24" s="37"/>
      <c r="BJ24" s="38">
        <f t="shared" si="25"/>
        <v>0</v>
      </c>
      <c r="BK24" s="37"/>
      <c r="BL24" s="38">
        <f t="shared" si="26"/>
        <v>0</v>
      </c>
      <c r="BM24" s="40">
        <f t="shared" si="1"/>
        <v>-147952.5</v>
      </c>
      <c r="BN24" s="40">
        <f t="shared" si="2"/>
        <v>-147952.5</v>
      </c>
      <c r="BO24" s="40">
        <f t="shared" si="27"/>
        <v>-147952.5</v>
      </c>
      <c r="BP24" s="15">
        <f t="shared" si="28"/>
        <v>0</v>
      </c>
      <c r="BQ24" s="2"/>
      <c r="BR24" s="2"/>
      <c r="BT24" s="2"/>
      <c r="BV24" s="2"/>
      <c r="BW24" s="2"/>
      <c r="BX24" s="2"/>
      <c r="BY24" s="2"/>
      <c r="BZ24" s="2"/>
      <c r="CA24" s="2"/>
      <c r="CC24" s="2"/>
      <c r="CD24" s="2"/>
      <c r="CE24" s="2"/>
      <c r="CG24" s="2"/>
      <c r="CI24" s="2"/>
      <c r="CJ24" s="2"/>
      <c r="CK24" s="2"/>
      <c r="CL24" s="2"/>
      <c r="CM24" s="2"/>
      <c r="CN24" s="2"/>
      <c r="CP24" s="2"/>
      <c r="CQ24" s="2"/>
      <c r="CR24" s="2"/>
      <c r="CT24" s="2"/>
      <c r="CV24" s="2"/>
      <c r="CW24" s="2"/>
      <c r="CX24" s="2"/>
      <c r="CY24" s="2"/>
      <c r="CZ24" s="2"/>
      <c r="DA24" s="2"/>
      <c r="DC24" s="2"/>
      <c r="DD24" s="2"/>
      <c r="DE24" s="2"/>
      <c r="DG24" s="2"/>
      <c r="DI24" s="2"/>
      <c r="DJ24" s="2"/>
      <c r="DK24" s="2"/>
    </row>
    <row r="25" spans="1:115" x14ac:dyDescent="0.25">
      <c r="A25" s="2"/>
      <c r="B25" s="51" t="s">
        <v>45</v>
      </c>
      <c r="C25" s="41" t="s">
        <v>36</v>
      </c>
      <c r="D25" s="46">
        <v>871.90361999999993</v>
      </c>
      <c r="E25" s="195">
        <f>H25*$K$83</f>
        <v>66.325999999999993</v>
      </c>
      <c r="F25" s="43">
        <f t="shared" si="29"/>
        <v>57829.879500119991</v>
      </c>
      <c r="G25" s="39"/>
      <c r="H25" s="194">
        <v>65</v>
      </c>
      <c r="I25" s="39"/>
      <c r="J25" s="35"/>
      <c r="K25" s="36">
        <f t="shared" si="3"/>
        <v>0</v>
      </c>
      <c r="L25" s="37"/>
      <c r="M25" s="38">
        <f t="shared" si="4"/>
        <v>0</v>
      </c>
      <c r="N25" s="37"/>
      <c r="O25" s="38">
        <f t="shared" si="5"/>
        <v>0</v>
      </c>
      <c r="P25" s="39"/>
      <c r="Q25" s="35">
        <v>0.14285714285714288</v>
      </c>
      <c r="R25" s="36">
        <f t="shared" si="6"/>
        <v>8261.4113571599992</v>
      </c>
      <c r="S25" s="37">
        <v>1</v>
      </c>
      <c r="T25" s="38">
        <f t="shared" si="7"/>
        <v>8261.4113571599992</v>
      </c>
      <c r="U25" s="37"/>
      <c r="V25" s="38">
        <f t="shared" si="8"/>
        <v>0</v>
      </c>
      <c r="W25" s="39"/>
      <c r="X25" s="35">
        <v>0.14285714285714288</v>
      </c>
      <c r="Y25" s="36">
        <f t="shared" si="9"/>
        <v>8261.4113571599992</v>
      </c>
      <c r="Z25" s="37">
        <v>1</v>
      </c>
      <c r="AA25" s="38">
        <f t="shared" si="10"/>
        <v>8261.4113571599992</v>
      </c>
      <c r="AB25" s="37"/>
      <c r="AC25" s="38">
        <f t="shared" si="11"/>
        <v>0</v>
      </c>
      <c r="AD25" s="39"/>
      <c r="AE25" s="35">
        <v>0.14285714285714288</v>
      </c>
      <c r="AF25" s="36">
        <f t="shared" si="12"/>
        <v>8261.4113571599992</v>
      </c>
      <c r="AG25" s="37">
        <v>1</v>
      </c>
      <c r="AH25" s="38">
        <f t="shared" si="13"/>
        <v>8261.4113571599992</v>
      </c>
      <c r="AI25" s="37"/>
      <c r="AJ25" s="38">
        <f t="shared" si="14"/>
        <v>0</v>
      </c>
      <c r="AK25" s="39"/>
      <c r="AL25" s="35">
        <v>0.14285714285714288</v>
      </c>
      <c r="AM25" s="36">
        <f t="shared" si="15"/>
        <v>8261.4113571599992</v>
      </c>
      <c r="AN25" s="37">
        <v>1</v>
      </c>
      <c r="AO25" s="38">
        <f t="shared" si="16"/>
        <v>8261.4113571599992</v>
      </c>
      <c r="AP25" s="52"/>
      <c r="AQ25" s="38">
        <f t="shared" si="17"/>
        <v>0</v>
      </c>
      <c r="AR25" s="39"/>
      <c r="AS25" s="35">
        <v>0.14285714285714288</v>
      </c>
      <c r="AT25" s="36">
        <f t="shared" si="18"/>
        <v>8261.4113571599992</v>
      </c>
      <c r="AU25" s="37">
        <v>1</v>
      </c>
      <c r="AV25" s="38">
        <f t="shared" si="19"/>
        <v>8261.4113571599992</v>
      </c>
      <c r="AW25" s="37"/>
      <c r="AX25" s="38">
        <f t="shared" si="20"/>
        <v>0</v>
      </c>
      <c r="AY25" s="39"/>
      <c r="AZ25" s="35">
        <v>0.14285714285714288</v>
      </c>
      <c r="BA25" s="36">
        <f t="shared" si="21"/>
        <v>8261.4113571599992</v>
      </c>
      <c r="BB25" s="37">
        <v>1</v>
      </c>
      <c r="BC25" s="38">
        <f t="shared" si="22"/>
        <v>8261.4113571599992</v>
      </c>
      <c r="BD25" s="37"/>
      <c r="BE25" s="38">
        <f t="shared" si="23"/>
        <v>0</v>
      </c>
      <c r="BF25" s="39"/>
      <c r="BG25" s="35">
        <v>0.14285714285714288</v>
      </c>
      <c r="BH25" s="36">
        <f t="shared" si="24"/>
        <v>8261.4113571599992</v>
      </c>
      <c r="BI25" s="37">
        <v>1</v>
      </c>
      <c r="BJ25" s="38">
        <f t="shared" si="25"/>
        <v>8261.4113571599992</v>
      </c>
      <c r="BK25" s="37"/>
      <c r="BL25" s="38">
        <f t="shared" si="26"/>
        <v>0</v>
      </c>
      <c r="BM25" s="40">
        <f t="shared" si="1"/>
        <v>57829.879500119991</v>
      </c>
      <c r="BN25" s="40">
        <f t="shared" si="2"/>
        <v>57829.879500120005</v>
      </c>
      <c r="BO25" s="40">
        <f t="shared" si="27"/>
        <v>57829.879500120005</v>
      </c>
      <c r="BP25" s="15">
        <f t="shared" si="28"/>
        <v>0</v>
      </c>
      <c r="BQ25" s="2"/>
      <c r="BR25" s="2"/>
      <c r="BT25" s="2"/>
      <c r="BV25" s="2"/>
      <c r="BW25" s="2"/>
      <c r="BX25" s="2"/>
      <c r="BY25" s="2"/>
      <c r="BZ25" s="2"/>
      <c r="CA25" s="2"/>
      <c r="CC25" s="2"/>
      <c r="CD25" s="2"/>
      <c r="CE25" s="2"/>
      <c r="CG25" s="2"/>
      <c r="CI25" s="2"/>
      <c r="CJ25" s="2"/>
      <c r="CK25" s="2"/>
      <c r="CL25" s="2"/>
      <c r="CM25" s="2"/>
      <c r="CN25" s="2"/>
      <c r="CP25" s="2"/>
      <c r="CQ25" s="2"/>
      <c r="CR25" s="2"/>
      <c r="CT25" s="2"/>
      <c r="CV25" s="2"/>
      <c r="CW25" s="2"/>
      <c r="CX25" s="2"/>
      <c r="CY25" s="2"/>
      <c r="CZ25" s="2"/>
      <c r="DA25" s="2"/>
      <c r="DC25" s="2"/>
      <c r="DD25" s="2"/>
      <c r="DE25" s="2"/>
      <c r="DG25" s="2"/>
      <c r="DI25" s="2"/>
      <c r="DJ25" s="2"/>
      <c r="DK25" s="2"/>
    </row>
    <row r="26" spans="1:115" x14ac:dyDescent="0.25">
      <c r="B26" s="47" t="s">
        <v>46</v>
      </c>
      <c r="C26" s="41" t="s">
        <v>47</v>
      </c>
      <c r="D26" s="46">
        <v>1</v>
      </c>
      <c r="E26" s="33">
        <v>350000</v>
      </c>
      <c r="F26" s="43">
        <f t="shared" si="29"/>
        <v>350000</v>
      </c>
      <c r="G26" s="39"/>
      <c r="H26" s="194">
        <v>350000</v>
      </c>
      <c r="I26" s="39"/>
      <c r="J26" s="35"/>
      <c r="K26" s="36">
        <f t="shared" si="3"/>
        <v>0</v>
      </c>
      <c r="L26" s="37"/>
      <c r="M26" s="38">
        <f t="shared" si="4"/>
        <v>0</v>
      </c>
      <c r="N26" s="37"/>
      <c r="O26" s="38">
        <f t="shared" si="5"/>
        <v>0</v>
      </c>
      <c r="P26" s="39"/>
      <c r="Q26" s="35"/>
      <c r="R26" s="36">
        <f t="shared" si="6"/>
        <v>0</v>
      </c>
      <c r="S26" s="37"/>
      <c r="T26" s="38">
        <f t="shared" si="7"/>
        <v>0</v>
      </c>
      <c r="U26" s="37"/>
      <c r="V26" s="38">
        <f t="shared" si="8"/>
        <v>0</v>
      </c>
      <c r="W26" s="39"/>
      <c r="X26" s="35">
        <v>0.8</v>
      </c>
      <c r="Y26" s="36">
        <f t="shared" si="9"/>
        <v>280000</v>
      </c>
      <c r="Z26" s="37">
        <v>1</v>
      </c>
      <c r="AA26" s="38">
        <f t="shared" si="10"/>
        <v>280000</v>
      </c>
      <c r="AB26" s="37"/>
      <c r="AC26" s="38">
        <f t="shared" si="11"/>
        <v>0</v>
      </c>
      <c r="AD26" s="39"/>
      <c r="AE26" s="35">
        <v>0.2</v>
      </c>
      <c r="AF26" s="36">
        <f t="shared" si="12"/>
        <v>70000</v>
      </c>
      <c r="AG26" s="37">
        <v>1</v>
      </c>
      <c r="AH26" s="38">
        <f t="shared" si="13"/>
        <v>70000</v>
      </c>
      <c r="AI26" s="37"/>
      <c r="AJ26" s="38">
        <f t="shared" si="14"/>
        <v>0</v>
      </c>
      <c r="AK26" s="39"/>
      <c r="AL26" s="35"/>
      <c r="AM26" s="36">
        <f t="shared" si="15"/>
        <v>0</v>
      </c>
      <c r="AN26" s="37"/>
      <c r="AO26" s="38">
        <f t="shared" si="16"/>
        <v>0</v>
      </c>
      <c r="AP26" s="37"/>
      <c r="AQ26" s="38">
        <f t="shared" si="17"/>
        <v>0</v>
      </c>
      <c r="AR26" s="39"/>
      <c r="AS26" s="35"/>
      <c r="AT26" s="36">
        <f t="shared" si="18"/>
        <v>0</v>
      </c>
      <c r="AU26" s="37"/>
      <c r="AV26" s="38">
        <f t="shared" si="19"/>
        <v>0</v>
      </c>
      <c r="AW26" s="37"/>
      <c r="AX26" s="38">
        <f t="shared" si="20"/>
        <v>0</v>
      </c>
      <c r="AY26" s="39"/>
      <c r="AZ26" s="35"/>
      <c r="BA26" s="36">
        <f t="shared" si="21"/>
        <v>0</v>
      </c>
      <c r="BB26" s="37"/>
      <c r="BC26" s="38">
        <f t="shared" si="22"/>
        <v>0</v>
      </c>
      <c r="BD26" s="37"/>
      <c r="BE26" s="38">
        <f t="shared" si="23"/>
        <v>0</v>
      </c>
      <c r="BF26" s="39"/>
      <c r="BG26" s="35"/>
      <c r="BH26" s="36">
        <f t="shared" si="24"/>
        <v>0</v>
      </c>
      <c r="BI26" s="37"/>
      <c r="BJ26" s="38">
        <f t="shared" si="25"/>
        <v>0</v>
      </c>
      <c r="BK26" s="37"/>
      <c r="BL26" s="38">
        <f t="shared" si="26"/>
        <v>0</v>
      </c>
      <c r="BM26" s="40">
        <f t="shared" si="1"/>
        <v>350000</v>
      </c>
      <c r="BN26" s="40">
        <f t="shared" si="2"/>
        <v>350000</v>
      </c>
      <c r="BO26" s="40">
        <f t="shared" si="27"/>
        <v>350000</v>
      </c>
      <c r="BP26" s="15">
        <f t="shared" si="28"/>
        <v>0</v>
      </c>
      <c r="BQ26" s="2"/>
      <c r="BR26" s="2"/>
      <c r="BT26" s="2"/>
      <c r="BV26" s="2"/>
      <c r="BW26" s="2"/>
      <c r="BX26" s="2"/>
      <c r="BY26" s="2"/>
      <c r="BZ26" s="2"/>
      <c r="CA26" s="2"/>
      <c r="CC26" s="2"/>
      <c r="CD26" s="2"/>
      <c r="CE26" s="2"/>
      <c r="CG26" s="2"/>
      <c r="CI26" s="2"/>
      <c r="CJ26" s="2"/>
      <c r="CK26" s="2"/>
      <c r="CL26" s="2"/>
      <c r="CM26" s="2"/>
      <c r="CN26" s="2"/>
      <c r="CP26" s="2"/>
      <c r="CQ26" s="2"/>
      <c r="CR26" s="2"/>
      <c r="CT26" s="2"/>
      <c r="CV26" s="2"/>
      <c r="CW26" s="2"/>
      <c r="CX26" s="2"/>
      <c r="CY26" s="2"/>
      <c r="CZ26" s="2"/>
      <c r="DA26" s="2"/>
      <c r="DC26" s="2"/>
      <c r="DD26" s="2"/>
      <c r="DE26" s="2"/>
      <c r="DG26" s="2"/>
      <c r="DI26" s="2"/>
      <c r="DJ26" s="2"/>
      <c r="DK26" s="2"/>
    </row>
    <row r="27" spans="1:115" x14ac:dyDescent="0.25">
      <c r="B27" s="49" t="s">
        <v>48</v>
      </c>
      <c r="C27" s="41" t="s">
        <v>36</v>
      </c>
      <c r="D27" s="46">
        <v>18000</v>
      </c>
      <c r="E27" s="195">
        <f>H27*$K$83</f>
        <v>15.305999999999999</v>
      </c>
      <c r="F27" s="43">
        <f t="shared" si="29"/>
        <v>275508</v>
      </c>
      <c r="G27" s="39"/>
      <c r="H27" s="194">
        <v>15</v>
      </c>
      <c r="I27" s="39"/>
      <c r="J27" s="35"/>
      <c r="K27" s="36">
        <f t="shared" si="3"/>
        <v>0</v>
      </c>
      <c r="L27" s="37"/>
      <c r="M27" s="38">
        <f t="shared" si="4"/>
        <v>0</v>
      </c>
      <c r="N27" s="37"/>
      <c r="O27" s="38">
        <f t="shared" si="5"/>
        <v>0</v>
      </c>
      <c r="P27" s="39"/>
      <c r="Q27" s="35">
        <v>1</v>
      </c>
      <c r="R27" s="36">
        <f t="shared" si="6"/>
        <v>275508</v>
      </c>
      <c r="S27" s="37">
        <v>1</v>
      </c>
      <c r="T27" s="38">
        <f t="shared" si="7"/>
        <v>275508</v>
      </c>
      <c r="U27" s="37"/>
      <c r="V27" s="38">
        <f t="shared" si="8"/>
        <v>0</v>
      </c>
      <c r="W27" s="39"/>
      <c r="X27" s="35"/>
      <c r="Y27" s="36">
        <f t="shared" si="9"/>
        <v>0</v>
      </c>
      <c r="Z27" s="37"/>
      <c r="AA27" s="38">
        <f t="shared" si="10"/>
        <v>0</v>
      </c>
      <c r="AB27" s="37"/>
      <c r="AC27" s="38">
        <f t="shared" si="11"/>
        <v>0</v>
      </c>
      <c r="AD27" s="39"/>
      <c r="AE27" s="35"/>
      <c r="AF27" s="36">
        <f t="shared" si="12"/>
        <v>0</v>
      </c>
      <c r="AG27" s="37"/>
      <c r="AH27" s="38">
        <f t="shared" si="13"/>
        <v>0</v>
      </c>
      <c r="AI27" s="37"/>
      <c r="AJ27" s="38">
        <f t="shared" si="14"/>
        <v>0</v>
      </c>
      <c r="AK27" s="39"/>
      <c r="AL27" s="35"/>
      <c r="AM27" s="36">
        <f t="shared" si="15"/>
        <v>0</v>
      </c>
      <c r="AN27" s="37"/>
      <c r="AO27" s="38">
        <f t="shared" si="16"/>
        <v>0</v>
      </c>
      <c r="AP27" s="37"/>
      <c r="AQ27" s="38">
        <f t="shared" si="17"/>
        <v>0</v>
      </c>
      <c r="AR27" s="39"/>
      <c r="AS27" s="35"/>
      <c r="AT27" s="36">
        <f t="shared" si="18"/>
        <v>0</v>
      </c>
      <c r="AU27" s="37"/>
      <c r="AV27" s="38">
        <f t="shared" si="19"/>
        <v>0</v>
      </c>
      <c r="AW27" s="37"/>
      <c r="AX27" s="38">
        <f t="shared" si="20"/>
        <v>0</v>
      </c>
      <c r="AY27" s="39"/>
      <c r="AZ27" s="35"/>
      <c r="BA27" s="36">
        <f t="shared" si="21"/>
        <v>0</v>
      </c>
      <c r="BB27" s="37"/>
      <c r="BC27" s="38">
        <f t="shared" si="22"/>
        <v>0</v>
      </c>
      <c r="BD27" s="37"/>
      <c r="BE27" s="38">
        <f t="shared" si="23"/>
        <v>0</v>
      </c>
      <c r="BF27" s="39"/>
      <c r="BG27" s="35"/>
      <c r="BH27" s="36">
        <f t="shared" si="24"/>
        <v>0</v>
      </c>
      <c r="BI27" s="37"/>
      <c r="BJ27" s="38">
        <f t="shared" si="25"/>
        <v>0</v>
      </c>
      <c r="BK27" s="37"/>
      <c r="BL27" s="38">
        <f t="shared" si="26"/>
        <v>0</v>
      </c>
      <c r="BM27" s="40">
        <f t="shared" si="1"/>
        <v>275508</v>
      </c>
      <c r="BN27" s="40">
        <f t="shared" si="2"/>
        <v>275508</v>
      </c>
      <c r="BO27" s="40">
        <f t="shared" si="27"/>
        <v>275508</v>
      </c>
      <c r="BP27" s="15">
        <f t="shared" si="28"/>
        <v>0</v>
      </c>
      <c r="BQ27" s="2"/>
      <c r="BR27" s="2"/>
      <c r="BT27" s="2"/>
      <c r="BV27" s="2"/>
      <c r="BW27" s="2"/>
      <c r="BX27" s="2"/>
      <c r="BY27" s="2"/>
      <c r="BZ27" s="2"/>
      <c r="CA27" s="2"/>
      <c r="CC27" s="2"/>
      <c r="CD27" s="2"/>
      <c r="CE27" s="2"/>
      <c r="CG27" s="2"/>
      <c r="CI27" s="2"/>
      <c r="CJ27" s="2"/>
      <c r="CK27" s="2"/>
      <c r="CL27" s="2"/>
      <c r="CM27" s="2"/>
      <c r="CN27" s="2"/>
      <c r="CP27" s="2"/>
      <c r="CQ27" s="2"/>
      <c r="CR27" s="2"/>
      <c r="CT27" s="2"/>
      <c r="CV27" s="2"/>
      <c r="CW27" s="2"/>
      <c r="CX27" s="2"/>
      <c r="CY27" s="2"/>
      <c r="CZ27" s="2"/>
      <c r="DA27" s="2"/>
      <c r="DC27" s="2"/>
      <c r="DD27" s="2"/>
      <c r="DE27" s="2"/>
      <c r="DG27" s="2"/>
      <c r="DI27" s="2"/>
      <c r="DJ27" s="2"/>
      <c r="DK27" s="2"/>
    </row>
    <row r="28" spans="1:115" x14ac:dyDescent="0.25">
      <c r="B28" s="53" t="s">
        <v>49</v>
      </c>
      <c r="C28" s="54" t="s">
        <v>36</v>
      </c>
      <c r="D28" s="55">
        <v>120</v>
      </c>
      <c r="E28" s="195">
        <f>H28*$K$83</f>
        <v>244.89599999999999</v>
      </c>
      <c r="F28" s="43">
        <f>E28*D28</f>
        <v>29387.519999999997</v>
      </c>
      <c r="G28" s="39"/>
      <c r="H28" s="194">
        <v>240</v>
      </c>
      <c r="I28" s="39"/>
      <c r="J28" s="35"/>
      <c r="K28" s="36"/>
      <c r="L28" s="37"/>
      <c r="M28" s="38"/>
      <c r="N28" s="37"/>
      <c r="O28" s="38"/>
      <c r="P28" s="39"/>
      <c r="Q28" s="35"/>
      <c r="R28" s="36"/>
      <c r="S28" s="37"/>
      <c r="T28" s="38"/>
      <c r="U28" s="37"/>
      <c r="V28" s="38"/>
      <c r="W28" s="39"/>
      <c r="X28" s="35"/>
      <c r="Y28" s="36"/>
      <c r="Z28" s="37"/>
      <c r="AA28" s="38"/>
      <c r="AB28" s="37"/>
      <c r="AC28" s="38"/>
      <c r="AD28" s="39"/>
      <c r="AE28" s="35"/>
      <c r="AF28" s="36"/>
      <c r="AG28" s="37"/>
      <c r="AH28" s="38"/>
      <c r="AI28" s="37"/>
      <c r="AJ28" s="38"/>
      <c r="AK28" s="39"/>
      <c r="AL28" s="35"/>
      <c r="AM28" s="36"/>
      <c r="AN28" s="37"/>
      <c r="AO28" s="38"/>
      <c r="AP28" s="37"/>
      <c r="AQ28" s="38"/>
      <c r="AR28" s="39"/>
      <c r="AS28" s="35"/>
      <c r="AT28" s="36"/>
      <c r="AU28" s="37"/>
      <c r="AV28" s="38"/>
      <c r="AW28" s="37"/>
      <c r="AX28" s="38"/>
      <c r="AY28" s="39"/>
      <c r="AZ28" s="35"/>
      <c r="BA28" s="36"/>
      <c r="BB28" s="37"/>
      <c r="BC28" s="38"/>
      <c r="BD28" s="37"/>
      <c r="BE28" s="38"/>
      <c r="BF28" s="39"/>
      <c r="BG28" s="35"/>
      <c r="BH28" s="36"/>
      <c r="BI28" s="37"/>
      <c r="BJ28" s="38"/>
      <c r="BK28" s="37"/>
      <c r="BL28" s="38"/>
      <c r="BM28" s="40"/>
      <c r="BN28" s="40"/>
      <c r="BO28" s="40"/>
      <c r="BP28" s="15"/>
      <c r="BQ28" s="2"/>
      <c r="BR28" s="2"/>
      <c r="BT28" s="2"/>
      <c r="BV28" s="2"/>
      <c r="BW28" s="2"/>
      <c r="BX28" s="2"/>
      <c r="BY28" s="2"/>
      <c r="BZ28" s="2"/>
      <c r="CA28" s="2"/>
      <c r="CC28" s="2"/>
      <c r="CD28" s="2"/>
      <c r="CE28" s="2"/>
      <c r="CG28" s="2"/>
      <c r="CI28" s="2"/>
      <c r="CJ28" s="2"/>
      <c r="CK28" s="2"/>
      <c r="CL28" s="2"/>
      <c r="CM28" s="2"/>
      <c r="CN28" s="2"/>
      <c r="CP28" s="2"/>
      <c r="CQ28" s="2"/>
      <c r="CR28" s="2"/>
      <c r="CT28" s="2"/>
      <c r="CV28" s="2"/>
      <c r="CW28" s="2"/>
      <c r="CX28" s="2"/>
      <c r="CY28" s="2"/>
      <c r="CZ28" s="2"/>
      <c r="DA28" s="2"/>
      <c r="DC28" s="2"/>
      <c r="DD28" s="2"/>
      <c r="DE28" s="2"/>
      <c r="DG28" s="2"/>
      <c r="DI28" s="2"/>
      <c r="DJ28" s="2"/>
      <c r="DK28" s="2"/>
    </row>
    <row r="29" spans="1:115" x14ac:dyDescent="0.25">
      <c r="B29" s="53" t="s">
        <v>50</v>
      </c>
      <c r="C29" s="54" t="s">
        <v>39</v>
      </c>
      <c r="D29" s="55">
        <f>F29/E29</f>
        <v>252113.43173092883</v>
      </c>
      <c r="E29" s="57">
        <f>E21</f>
        <v>-0.31414430979039298</v>
      </c>
      <c r="F29" s="43">
        <v>-79200</v>
      </c>
      <c r="G29" s="39"/>
      <c r="H29" s="194">
        <v>-0.37</v>
      </c>
      <c r="I29" s="39"/>
      <c r="J29" s="35"/>
      <c r="K29" s="36">
        <f t="shared" si="3"/>
        <v>0</v>
      </c>
      <c r="L29" s="37"/>
      <c r="M29" s="38">
        <f t="shared" si="4"/>
        <v>0</v>
      </c>
      <c r="N29" s="37"/>
      <c r="O29" s="38">
        <f t="shared" si="5"/>
        <v>0</v>
      </c>
      <c r="P29" s="39"/>
      <c r="Q29" s="35"/>
      <c r="R29" s="36">
        <f t="shared" si="6"/>
        <v>0</v>
      </c>
      <c r="S29" s="37"/>
      <c r="T29" s="38">
        <f t="shared" si="7"/>
        <v>0</v>
      </c>
      <c r="U29" s="37"/>
      <c r="V29" s="38">
        <f t="shared" si="8"/>
        <v>0</v>
      </c>
      <c r="W29" s="39"/>
      <c r="X29" s="35"/>
      <c r="Y29" s="36">
        <f t="shared" si="9"/>
        <v>0</v>
      </c>
      <c r="Z29" s="37"/>
      <c r="AA29" s="38">
        <f t="shared" si="10"/>
        <v>0</v>
      </c>
      <c r="AB29" s="37"/>
      <c r="AC29" s="38">
        <f t="shared" si="11"/>
        <v>0</v>
      </c>
      <c r="AD29" s="39"/>
      <c r="AE29" s="35"/>
      <c r="AF29" s="36">
        <f t="shared" si="12"/>
        <v>0</v>
      </c>
      <c r="AG29" s="37"/>
      <c r="AH29" s="38">
        <f t="shared" si="13"/>
        <v>0</v>
      </c>
      <c r="AI29" s="37"/>
      <c r="AJ29" s="38">
        <f t="shared" si="14"/>
        <v>0</v>
      </c>
      <c r="AK29" s="39"/>
      <c r="AL29" s="35"/>
      <c r="AM29" s="36">
        <f t="shared" si="15"/>
        <v>0</v>
      </c>
      <c r="AN29" s="37"/>
      <c r="AO29" s="38">
        <f t="shared" si="16"/>
        <v>0</v>
      </c>
      <c r="AP29" s="37"/>
      <c r="AQ29" s="38">
        <f t="shared" si="17"/>
        <v>0</v>
      </c>
      <c r="AR29" s="39"/>
      <c r="AS29" s="35">
        <v>1</v>
      </c>
      <c r="AT29" s="36">
        <f t="shared" si="18"/>
        <v>-79200</v>
      </c>
      <c r="AU29" s="37">
        <v>1</v>
      </c>
      <c r="AV29" s="38">
        <f t="shared" si="19"/>
        <v>-79200</v>
      </c>
      <c r="AW29" s="37"/>
      <c r="AX29" s="38">
        <f t="shared" si="20"/>
        <v>0</v>
      </c>
      <c r="AY29" s="39"/>
      <c r="AZ29" s="35"/>
      <c r="BA29" s="36">
        <f t="shared" si="21"/>
        <v>0</v>
      </c>
      <c r="BB29" s="37"/>
      <c r="BC29" s="38">
        <f t="shared" si="22"/>
        <v>0</v>
      </c>
      <c r="BD29" s="37"/>
      <c r="BE29" s="38">
        <f t="shared" si="23"/>
        <v>0</v>
      </c>
      <c r="BF29" s="39"/>
      <c r="BG29" s="35"/>
      <c r="BH29" s="36">
        <f t="shared" si="24"/>
        <v>0</v>
      </c>
      <c r="BI29" s="37"/>
      <c r="BJ29" s="38">
        <f t="shared" si="25"/>
        <v>0</v>
      </c>
      <c r="BK29" s="37"/>
      <c r="BL29" s="38">
        <f>BK29*BH29</f>
        <v>0</v>
      </c>
      <c r="BM29" s="40">
        <f>F29</f>
        <v>-79200</v>
      </c>
      <c r="BN29" s="40">
        <f t="shared" si="2"/>
        <v>-79200</v>
      </c>
      <c r="BO29" s="40">
        <f t="shared" si="27"/>
        <v>-79200</v>
      </c>
      <c r="BP29" s="15">
        <f t="shared" si="28"/>
        <v>0</v>
      </c>
      <c r="BQ29" s="2"/>
      <c r="BR29" s="2"/>
      <c r="BT29" s="2"/>
      <c r="BV29" s="2"/>
      <c r="BW29" s="2"/>
      <c r="BX29" s="2"/>
      <c r="BY29" s="2"/>
      <c r="BZ29" s="2"/>
      <c r="CA29" s="2"/>
      <c r="CC29" s="2"/>
      <c r="CD29" s="2"/>
      <c r="CE29" s="2"/>
      <c r="CG29" s="2"/>
      <c r="CI29" s="2"/>
      <c r="CJ29" s="2"/>
      <c r="CK29" s="2"/>
      <c r="CL29" s="2"/>
      <c r="CM29" s="2"/>
      <c r="CN29" s="2"/>
      <c r="CP29" s="2"/>
      <c r="CQ29" s="2"/>
      <c r="CR29" s="2"/>
      <c r="CT29" s="2"/>
      <c r="CV29" s="2"/>
      <c r="CW29" s="2"/>
      <c r="CX29" s="2"/>
      <c r="CY29" s="2"/>
      <c r="CZ29" s="2"/>
      <c r="DA29" s="2"/>
      <c r="DC29" s="2"/>
      <c r="DD29" s="2"/>
      <c r="DE29" s="2"/>
      <c r="DG29" s="2"/>
      <c r="DI29" s="2"/>
      <c r="DJ29" s="2"/>
      <c r="DK29" s="2"/>
    </row>
    <row r="30" spans="1:115" x14ac:dyDescent="0.25">
      <c r="B30" s="53" t="s">
        <v>51</v>
      </c>
      <c r="C30" s="54" t="s">
        <v>36</v>
      </c>
      <c r="D30" s="55">
        <v>120</v>
      </c>
      <c r="E30" s="33">
        <f>E19</f>
        <v>-108.3695731319762</v>
      </c>
      <c r="F30" s="43">
        <f>E30*D30</f>
        <v>-13004.348775837143</v>
      </c>
      <c r="G30" s="39"/>
      <c r="H30" s="194">
        <v>-123.79</v>
      </c>
      <c r="I30" s="39"/>
      <c r="J30" s="35"/>
      <c r="K30" s="36"/>
      <c r="L30" s="37"/>
      <c r="M30" s="38"/>
      <c r="N30" s="37"/>
      <c r="O30" s="38"/>
      <c r="P30" s="39"/>
      <c r="Q30" s="35"/>
      <c r="R30" s="36"/>
      <c r="S30" s="37"/>
      <c r="T30" s="38"/>
      <c r="U30" s="37"/>
      <c r="V30" s="38"/>
      <c r="W30" s="39"/>
      <c r="X30" s="35"/>
      <c r="Y30" s="36"/>
      <c r="Z30" s="37"/>
      <c r="AA30" s="38"/>
      <c r="AB30" s="37"/>
      <c r="AC30" s="38"/>
      <c r="AD30" s="39"/>
      <c r="AE30" s="35"/>
      <c r="AF30" s="36"/>
      <c r="AG30" s="37"/>
      <c r="AH30" s="38"/>
      <c r="AI30" s="37"/>
      <c r="AJ30" s="38"/>
      <c r="AK30" s="39"/>
      <c r="AL30" s="35"/>
      <c r="AM30" s="36"/>
      <c r="AN30" s="37"/>
      <c r="AO30" s="38"/>
      <c r="AP30" s="37"/>
      <c r="AQ30" s="38"/>
      <c r="AR30" s="39"/>
      <c r="AS30" s="35"/>
      <c r="AT30" s="36"/>
      <c r="AU30" s="37"/>
      <c r="AV30" s="38"/>
      <c r="AW30" s="37"/>
      <c r="AX30" s="38"/>
      <c r="AY30" s="39"/>
      <c r="AZ30" s="35"/>
      <c r="BA30" s="36"/>
      <c r="BB30" s="37"/>
      <c r="BC30" s="38"/>
      <c r="BD30" s="37"/>
      <c r="BE30" s="38"/>
      <c r="BF30" s="39"/>
      <c r="BG30" s="35"/>
      <c r="BH30" s="36"/>
      <c r="BI30" s="37"/>
      <c r="BJ30" s="38"/>
      <c r="BK30" s="37"/>
      <c r="BL30" s="38"/>
      <c r="BM30" s="40"/>
      <c r="BN30" s="40"/>
      <c r="BO30" s="40"/>
      <c r="BP30" s="15"/>
      <c r="BQ30" s="2"/>
      <c r="BR30" s="2"/>
      <c r="BT30" s="2"/>
      <c r="BV30" s="2"/>
      <c r="BW30" s="2"/>
      <c r="BX30" s="2"/>
      <c r="BY30" s="2"/>
      <c r="BZ30" s="2"/>
      <c r="CA30" s="2"/>
      <c r="CC30" s="2"/>
      <c r="CD30" s="2"/>
      <c r="CE30" s="2"/>
      <c r="CG30" s="2"/>
      <c r="CI30" s="2"/>
      <c r="CJ30" s="2"/>
      <c r="CK30" s="2"/>
      <c r="CL30" s="2"/>
      <c r="CM30" s="2"/>
      <c r="CN30" s="2"/>
      <c r="CP30" s="2"/>
      <c r="CQ30" s="2"/>
      <c r="CR30" s="2"/>
      <c r="CT30" s="2"/>
      <c r="CV30" s="2"/>
      <c r="CW30" s="2"/>
      <c r="CX30" s="2"/>
      <c r="CY30" s="2"/>
      <c r="CZ30" s="2"/>
      <c r="DA30" s="2"/>
      <c r="DC30" s="2"/>
      <c r="DD30" s="2"/>
      <c r="DE30" s="2"/>
      <c r="DG30" s="2"/>
      <c r="DI30" s="2"/>
      <c r="DJ30" s="2"/>
      <c r="DK30" s="2"/>
    </row>
    <row r="31" spans="1:115" x14ac:dyDescent="0.25">
      <c r="B31" s="47"/>
      <c r="C31" s="41"/>
      <c r="D31" s="46"/>
      <c r="E31" s="33"/>
      <c r="F31" s="33"/>
      <c r="G31" s="39"/>
      <c r="H31" s="194">
        <v>0</v>
      </c>
      <c r="I31" s="39"/>
      <c r="J31" s="35"/>
      <c r="K31" s="36"/>
      <c r="L31" s="37"/>
      <c r="M31" s="38"/>
      <c r="N31" s="37"/>
      <c r="O31" s="38"/>
      <c r="P31" s="39"/>
      <c r="Q31" s="35"/>
      <c r="R31" s="36"/>
      <c r="S31" s="37"/>
      <c r="T31" s="38"/>
      <c r="U31" s="37"/>
      <c r="V31" s="38"/>
      <c r="W31" s="39"/>
      <c r="X31" s="35"/>
      <c r="Y31" s="36"/>
      <c r="Z31" s="37"/>
      <c r="AA31" s="38"/>
      <c r="AB31" s="37"/>
      <c r="AC31" s="38"/>
      <c r="AD31" s="39"/>
      <c r="AE31" s="35"/>
      <c r="AF31" s="36"/>
      <c r="AG31" s="37"/>
      <c r="AH31" s="38"/>
      <c r="AI31" s="37"/>
      <c r="AJ31" s="38"/>
      <c r="AK31" s="39"/>
      <c r="AL31" s="35"/>
      <c r="AM31" s="36"/>
      <c r="AN31" s="37"/>
      <c r="AO31" s="38"/>
      <c r="AP31" s="37"/>
      <c r="AQ31" s="38"/>
      <c r="AR31" s="39"/>
      <c r="AS31" s="35"/>
      <c r="AT31" s="36"/>
      <c r="AU31" s="37"/>
      <c r="AV31" s="38"/>
      <c r="AW31" s="37"/>
      <c r="AX31" s="38"/>
      <c r="AY31" s="39"/>
      <c r="AZ31" s="35"/>
      <c r="BA31" s="36"/>
      <c r="BB31" s="37"/>
      <c r="BC31" s="38"/>
      <c r="BD31" s="37"/>
      <c r="BE31" s="38"/>
      <c r="BF31" s="39"/>
      <c r="BG31" s="35"/>
      <c r="BH31" s="36"/>
      <c r="BI31" s="37"/>
      <c r="BJ31" s="38"/>
      <c r="BK31" s="37"/>
      <c r="BL31" s="38"/>
      <c r="BM31" s="40"/>
      <c r="BN31" s="40"/>
      <c r="BO31" s="40"/>
      <c r="BP31" s="15"/>
      <c r="BQ31" s="2"/>
      <c r="BR31" s="2"/>
      <c r="BT31" s="2"/>
      <c r="BV31" s="2"/>
      <c r="BW31" s="2"/>
      <c r="BX31" s="2"/>
      <c r="BY31" s="2"/>
      <c r="BZ31" s="2"/>
      <c r="CA31" s="2"/>
      <c r="CC31" s="2"/>
      <c r="CD31" s="2"/>
      <c r="CE31" s="2"/>
      <c r="CG31" s="2"/>
      <c r="CI31" s="2"/>
      <c r="CJ31" s="2"/>
      <c r="CK31" s="2"/>
      <c r="CL31" s="2"/>
      <c r="CM31" s="2"/>
      <c r="CN31" s="2"/>
      <c r="CP31" s="2"/>
      <c r="CQ31" s="2"/>
      <c r="CR31" s="2"/>
      <c r="CT31" s="2"/>
      <c r="CV31" s="2"/>
      <c r="CW31" s="2"/>
      <c r="CX31" s="2"/>
      <c r="CY31" s="2"/>
      <c r="CZ31" s="2"/>
      <c r="DA31" s="2"/>
      <c r="DC31" s="2"/>
      <c r="DD31" s="2"/>
      <c r="DE31" s="2"/>
      <c r="DG31" s="2"/>
      <c r="DI31" s="2"/>
      <c r="DJ31" s="2"/>
      <c r="DK31" s="2"/>
    </row>
    <row r="32" spans="1:115" x14ac:dyDescent="0.25">
      <c r="B32" s="47"/>
      <c r="C32" s="41"/>
      <c r="D32" s="46"/>
      <c r="E32" s="33"/>
      <c r="F32" s="33"/>
      <c r="G32" s="39"/>
      <c r="H32" s="194">
        <v>0</v>
      </c>
      <c r="I32" s="39"/>
      <c r="J32" s="35"/>
      <c r="K32" s="36"/>
      <c r="L32" s="37"/>
      <c r="M32" s="38"/>
      <c r="N32" s="37"/>
      <c r="O32" s="38"/>
      <c r="P32" s="39"/>
      <c r="Q32" s="35"/>
      <c r="R32" s="36"/>
      <c r="S32" s="37"/>
      <c r="T32" s="38"/>
      <c r="U32" s="37"/>
      <c r="V32" s="38"/>
      <c r="W32" s="39"/>
      <c r="X32" s="35"/>
      <c r="Y32" s="36"/>
      <c r="Z32" s="37"/>
      <c r="AA32" s="38"/>
      <c r="AB32" s="37"/>
      <c r="AC32" s="38"/>
      <c r="AD32" s="39"/>
      <c r="AE32" s="35"/>
      <c r="AF32" s="36"/>
      <c r="AG32" s="37"/>
      <c r="AH32" s="38"/>
      <c r="AI32" s="37"/>
      <c r="AJ32" s="38"/>
      <c r="AK32" s="39"/>
      <c r="AL32" s="35"/>
      <c r="AM32" s="36"/>
      <c r="AN32" s="37"/>
      <c r="AO32" s="38"/>
      <c r="AP32" s="37"/>
      <c r="AQ32" s="38"/>
      <c r="AR32" s="39"/>
      <c r="AS32" s="35"/>
      <c r="AT32" s="36"/>
      <c r="AU32" s="37"/>
      <c r="AV32" s="38"/>
      <c r="AW32" s="37"/>
      <c r="AX32" s="38"/>
      <c r="AY32" s="39"/>
      <c r="AZ32" s="35"/>
      <c r="BA32" s="36"/>
      <c r="BB32" s="37"/>
      <c r="BC32" s="38"/>
      <c r="BD32" s="37"/>
      <c r="BE32" s="38"/>
      <c r="BF32" s="39"/>
      <c r="BG32" s="35"/>
      <c r="BH32" s="36"/>
      <c r="BI32" s="37"/>
      <c r="BJ32" s="38"/>
      <c r="BK32" s="37"/>
      <c r="BL32" s="38"/>
      <c r="BM32" s="40"/>
      <c r="BN32" s="40"/>
      <c r="BO32" s="40">
        <f t="shared" si="27"/>
        <v>0</v>
      </c>
      <c r="BP32" s="15"/>
      <c r="BQ32" s="2"/>
      <c r="BR32" s="2"/>
      <c r="BT32" s="2"/>
      <c r="BV32" s="2"/>
      <c r="BW32" s="2"/>
      <c r="BX32" s="2"/>
      <c r="BY32" s="2"/>
      <c r="BZ32" s="2"/>
      <c r="CA32" s="2"/>
      <c r="CC32" s="2"/>
      <c r="CD32" s="2"/>
      <c r="CE32" s="2"/>
      <c r="CG32" s="2"/>
      <c r="CI32" s="2"/>
      <c r="CJ32" s="2"/>
      <c r="CK32" s="2"/>
      <c r="CL32" s="2"/>
      <c r="CM32" s="2"/>
      <c r="CN32" s="2"/>
      <c r="CP32" s="2"/>
      <c r="CQ32" s="2"/>
      <c r="CR32" s="2"/>
      <c r="CT32" s="2"/>
      <c r="CV32" s="2"/>
      <c r="CW32" s="2"/>
      <c r="CX32" s="2"/>
      <c r="CY32" s="2"/>
      <c r="CZ32" s="2"/>
      <c r="DA32" s="2"/>
      <c r="DC32" s="2"/>
      <c r="DD32" s="2"/>
      <c r="DE32" s="2"/>
      <c r="DG32" s="2"/>
      <c r="DI32" s="2"/>
      <c r="DJ32" s="2"/>
      <c r="DK32" s="2"/>
    </row>
    <row r="33" spans="1:115" x14ac:dyDescent="0.25">
      <c r="A33" s="1" t="s">
        <v>52</v>
      </c>
      <c r="C33" s="45"/>
      <c r="D33" s="46"/>
      <c r="E33" s="50"/>
      <c r="F33" s="33">
        <f>D33*E33</f>
        <v>0</v>
      </c>
      <c r="G33" s="39"/>
      <c r="H33" s="194">
        <v>0</v>
      </c>
      <c r="I33" s="39"/>
      <c r="J33" s="35"/>
      <c r="K33" s="36">
        <f t="shared" si="3"/>
        <v>0</v>
      </c>
      <c r="L33" s="37"/>
      <c r="M33" s="38">
        <f>L33*K33</f>
        <v>0</v>
      </c>
      <c r="N33" s="37"/>
      <c r="O33" s="38">
        <f>N33*K33</f>
        <v>0</v>
      </c>
      <c r="P33" s="39"/>
      <c r="Q33" s="35"/>
      <c r="R33" s="36">
        <f t="shared" si="6"/>
        <v>0</v>
      </c>
      <c r="S33" s="37"/>
      <c r="T33" s="38">
        <f>S33*R33</f>
        <v>0</v>
      </c>
      <c r="U33" s="37"/>
      <c r="V33" s="38">
        <f>U33*R33</f>
        <v>0</v>
      </c>
      <c r="W33" s="39"/>
      <c r="X33" s="35"/>
      <c r="Y33" s="36">
        <f t="shared" si="9"/>
        <v>0</v>
      </c>
      <c r="Z33" s="37"/>
      <c r="AA33" s="38">
        <f>Z33*Y33</f>
        <v>0</v>
      </c>
      <c r="AB33" s="37"/>
      <c r="AC33" s="38">
        <f>AB33*Y33</f>
        <v>0</v>
      </c>
      <c r="AD33" s="39"/>
      <c r="AE33" s="35"/>
      <c r="AF33" s="36">
        <f t="shared" si="12"/>
        <v>0</v>
      </c>
      <c r="AG33" s="37"/>
      <c r="AH33" s="38">
        <f>AG33*AF33</f>
        <v>0</v>
      </c>
      <c r="AI33" s="37"/>
      <c r="AJ33" s="38">
        <f>AI33*AF33</f>
        <v>0</v>
      </c>
      <c r="AK33" s="39"/>
      <c r="AL33" s="35"/>
      <c r="AM33" s="36">
        <f t="shared" si="15"/>
        <v>0</v>
      </c>
      <c r="AN33" s="37"/>
      <c r="AO33" s="38">
        <f>AN33*AM33</f>
        <v>0</v>
      </c>
      <c r="AP33" s="37"/>
      <c r="AQ33" s="38">
        <f>AP33*AM33</f>
        <v>0</v>
      </c>
      <c r="AR33" s="39"/>
      <c r="AS33" s="35"/>
      <c r="AT33" s="36">
        <f t="shared" si="18"/>
        <v>0</v>
      </c>
      <c r="AU33" s="37"/>
      <c r="AV33" s="38">
        <f>AU33*AT33</f>
        <v>0</v>
      </c>
      <c r="AW33" s="37"/>
      <c r="AX33" s="38">
        <f>AW33*AT33</f>
        <v>0</v>
      </c>
      <c r="AY33" s="39"/>
      <c r="AZ33" s="35"/>
      <c r="BA33" s="36">
        <f t="shared" si="21"/>
        <v>0</v>
      </c>
      <c r="BB33" s="37"/>
      <c r="BC33" s="38">
        <f>BB33*BA33</f>
        <v>0</v>
      </c>
      <c r="BD33" s="37"/>
      <c r="BE33" s="38">
        <f>BD33*BA33</f>
        <v>0</v>
      </c>
      <c r="BF33" s="39"/>
      <c r="BG33" s="35"/>
      <c r="BH33" s="36">
        <f t="shared" si="24"/>
        <v>0</v>
      </c>
      <c r="BI33" s="37"/>
      <c r="BJ33" s="38">
        <f>BI33*BH33</f>
        <v>0</v>
      </c>
      <c r="BK33" s="37"/>
      <c r="BL33" s="38">
        <f>BK33*BH33</f>
        <v>0</v>
      </c>
      <c r="BM33" s="40">
        <f>F33</f>
        <v>0</v>
      </c>
      <c r="BN33" s="40">
        <f>K33+R33+Y33+AF33+AM33+AT33+BA33+BH33</f>
        <v>0</v>
      </c>
      <c r="BO33" s="40">
        <f t="shared" si="27"/>
        <v>0</v>
      </c>
      <c r="BP33" s="15">
        <f>IF(AND(BM33=BN33,BN33=BO33,BM33=BO33),0,1)</f>
        <v>0</v>
      </c>
      <c r="BQ33" s="2"/>
      <c r="BR33" s="2"/>
      <c r="BT33" s="2"/>
      <c r="BV33" s="2"/>
      <c r="BW33" s="2"/>
      <c r="BX33" s="2"/>
      <c r="BY33" s="2"/>
      <c r="BZ33" s="2"/>
      <c r="CA33" s="2"/>
      <c r="CC33" s="2"/>
      <c r="CD33" s="2"/>
      <c r="CE33" s="2"/>
      <c r="CG33" s="2"/>
      <c r="CI33" s="2"/>
      <c r="CJ33" s="2"/>
      <c r="CK33" s="2"/>
      <c r="CL33" s="2"/>
      <c r="CM33" s="2"/>
      <c r="CN33" s="2"/>
      <c r="CP33" s="2"/>
      <c r="CQ33" s="2"/>
      <c r="CR33" s="2"/>
      <c r="CT33" s="2"/>
      <c r="CV33" s="2"/>
      <c r="CW33" s="2"/>
      <c r="CX33" s="2"/>
      <c r="CY33" s="2"/>
      <c r="CZ33" s="2"/>
      <c r="DA33" s="2"/>
      <c r="DC33" s="2"/>
      <c r="DD33" s="2"/>
      <c r="DE33" s="2"/>
      <c r="DG33" s="2"/>
      <c r="DI33" s="2"/>
      <c r="DJ33" s="2"/>
      <c r="DK33" s="2"/>
    </row>
    <row r="34" spans="1:115" x14ac:dyDescent="0.25">
      <c r="B34" s="49" t="s">
        <v>35</v>
      </c>
      <c r="C34" s="41" t="s">
        <v>36</v>
      </c>
      <c r="D34" s="46">
        <v>11482.324000000001</v>
      </c>
      <c r="E34" s="195">
        <f>H34*$K$83</f>
        <v>244.89599999999999</v>
      </c>
      <c r="F34" s="43">
        <f>D34*E34</f>
        <v>2811975.2183039999</v>
      </c>
      <c r="G34" s="39"/>
      <c r="H34" s="194">
        <v>240</v>
      </c>
      <c r="I34" s="39"/>
      <c r="J34" s="35"/>
      <c r="K34" s="36">
        <f t="shared" si="3"/>
        <v>0</v>
      </c>
      <c r="L34" s="37"/>
      <c r="M34" s="38">
        <f>L34*K34</f>
        <v>0</v>
      </c>
      <c r="N34" s="37"/>
      <c r="O34" s="38">
        <f>N34*K34</f>
        <v>0</v>
      </c>
      <c r="P34" s="39"/>
      <c r="Q34" s="35"/>
      <c r="R34" s="36">
        <f t="shared" si="6"/>
        <v>0</v>
      </c>
      <c r="S34" s="37"/>
      <c r="T34" s="38">
        <f>S34*R34</f>
        <v>0</v>
      </c>
      <c r="U34" s="37"/>
      <c r="V34" s="38">
        <f>U34*R34</f>
        <v>0</v>
      </c>
      <c r="W34" s="39"/>
      <c r="X34" s="35">
        <v>0.8</v>
      </c>
      <c r="Y34" s="36">
        <f t="shared" si="9"/>
        <v>2249580.1746431999</v>
      </c>
      <c r="Z34" s="37">
        <v>1</v>
      </c>
      <c r="AA34" s="38">
        <f>Z34*Y34</f>
        <v>2249580.1746431999</v>
      </c>
      <c r="AB34" s="37"/>
      <c r="AC34" s="38">
        <f>AB34*Y34</f>
        <v>0</v>
      </c>
      <c r="AD34" s="39"/>
      <c r="AE34" s="35">
        <v>0.2</v>
      </c>
      <c r="AF34" s="36">
        <f t="shared" si="12"/>
        <v>562395.04366079997</v>
      </c>
      <c r="AG34" s="37">
        <v>1</v>
      </c>
      <c r="AH34" s="38">
        <f>AG34*AF34</f>
        <v>562395.04366079997</v>
      </c>
      <c r="AI34" s="37"/>
      <c r="AJ34" s="38">
        <f>AI34*AF34</f>
        <v>0</v>
      </c>
      <c r="AK34" s="39"/>
      <c r="AL34" s="35"/>
      <c r="AM34" s="36">
        <f t="shared" si="15"/>
        <v>0</v>
      </c>
      <c r="AN34" s="37"/>
      <c r="AO34" s="38">
        <f>AN34*AM34</f>
        <v>0</v>
      </c>
      <c r="AP34" s="37"/>
      <c r="AQ34" s="38">
        <f>AP34*AM34</f>
        <v>0</v>
      </c>
      <c r="AR34" s="39"/>
      <c r="AS34" s="35"/>
      <c r="AT34" s="36">
        <f t="shared" si="18"/>
        <v>0</v>
      </c>
      <c r="AU34" s="37"/>
      <c r="AV34" s="38">
        <f>AU34*AT34</f>
        <v>0</v>
      </c>
      <c r="AW34" s="37"/>
      <c r="AX34" s="38">
        <f>AW34*AT34</f>
        <v>0</v>
      </c>
      <c r="AY34" s="39"/>
      <c r="AZ34" s="35"/>
      <c r="BA34" s="36">
        <f t="shared" si="21"/>
        <v>0</v>
      </c>
      <c r="BB34" s="37"/>
      <c r="BC34" s="38">
        <f>BB34*BA34</f>
        <v>0</v>
      </c>
      <c r="BD34" s="37"/>
      <c r="BE34" s="38">
        <f>BD34*BA34</f>
        <v>0</v>
      </c>
      <c r="BF34" s="39"/>
      <c r="BG34" s="35"/>
      <c r="BH34" s="36">
        <f t="shared" si="24"/>
        <v>0</v>
      </c>
      <c r="BI34" s="37"/>
      <c r="BJ34" s="38">
        <f>BI34*BH34</f>
        <v>0</v>
      </c>
      <c r="BK34" s="37"/>
      <c r="BL34" s="38">
        <f>BK34*BH34</f>
        <v>0</v>
      </c>
      <c r="BM34" s="40">
        <f>F34</f>
        <v>2811975.2183039999</v>
      </c>
      <c r="BN34" s="40">
        <f>K34+R34+Y34+AF34+AM34+AT34+BA34+BH34</f>
        <v>2811975.2183039999</v>
      </c>
      <c r="BO34" s="40">
        <f t="shared" si="27"/>
        <v>2811975.2183039999</v>
      </c>
      <c r="BP34" s="15">
        <f>IF(AND(BM34=BN34,BN34=BO34,BM34=BO34),0,1)</f>
        <v>0</v>
      </c>
      <c r="BQ34" s="2"/>
      <c r="BR34" s="2"/>
      <c r="BT34" s="2"/>
      <c r="BV34" s="2"/>
      <c r="BW34" s="2"/>
      <c r="BX34" s="2"/>
      <c r="BY34" s="2"/>
      <c r="BZ34" s="2"/>
      <c r="CA34" s="2"/>
      <c r="CC34" s="2"/>
      <c r="CD34" s="2"/>
      <c r="CE34" s="2"/>
      <c r="CG34" s="2"/>
      <c r="CI34" s="2"/>
      <c r="CJ34" s="2"/>
      <c r="CK34" s="2"/>
      <c r="CL34" s="2"/>
      <c r="CM34" s="2"/>
      <c r="CN34" s="2"/>
      <c r="CP34" s="2"/>
      <c r="CQ34" s="2"/>
      <c r="CR34" s="2"/>
      <c r="CT34" s="2"/>
      <c r="CV34" s="2"/>
      <c r="CW34" s="2"/>
      <c r="CX34" s="2"/>
      <c r="CY34" s="2"/>
      <c r="CZ34" s="2"/>
      <c r="DA34" s="2"/>
      <c r="DC34" s="2"/>
      <c r="DD34" s="2"/>
      <c r="DE34" s="2"/>
      <c r="DG34" s="2"/>
      <c r="DI34" s="2"/>
      <c r="DJ34" s="2"/>
      <c r="DK34" s="2"/>
    </row>
    <row r="35" spans="1:115" x14ac:dyDescent="0.25">
      <c r="B35" s="47" t="s">
        <v>37</v>
      </c>
      <c r="C35" s="41" t="s">
        <v>36</v>
      </c>
      <c r="D35" s="46">
        <v>11482.324000000001</v>
      </c>
      <c r="E35" s="33">
        <f>$K$72</f>
        <v>-108.3695731319762</v>
      </c>
      <c r="F35" s="43">
        <f>D35*E35</f>
        <v>-1244334.5504430456</v>
      </c>
      <c r="G35" s="39"/>
      <c r="H35" s="194">
        <v>-123.79</v>
      </c>
      <c r="I35" s="39"/>
      <c r="J35" s="35"/>
      <c r="K35" s="36">
        <f t="shared" si="3"/>
        <v>0</v>
      </c>
      <c r="L35" s="37"/>
      <c r="M35" s="38">
        <f>L35*K35</f>
        <v>0</v>
      </c>
      <c r="N35" s="37"/>
      <c r="O35" s="38">
        <f>N35*K35</f>
        <v>0</v>
      </c>
      <c r="P35" s="39"/>
      <c r="Q35" s="35"/>
      <c r="R35" s="36">
        <f t="shared" si="6"/>
        <v>0</v>
      </c>
      <c r="S35" s="37"/>
      <c r="T35" s="38">
        <f>S35*R35</f>
        <v>0</v>
      </c>
      <c r="U35" s="37"/>
      <c r="V35" s="38">
        <f>U35*R35</f>
        <v>0</v>
      </c>
      <c r="W35" s="39"/>
      <c r="X35" s="35">
        <v>0.8</v>
      </c>
      <c r="Y35" s="36">
        <f t="shared" si="9"/>
        <v>-995467.64035443647</v>
      </c>
      <c r="Z35" s="37">
        <v>1</v>
      </c>
      <c r="AA35" s="38">
        <f>Z35*Y35</f>
        <v>-995467.64035443647</v>
      </c>
      <c r="AB35" s="37"/>
      <c r="AC35" s="38">
        <f>AB35*Y35</f>
        <v>0</v>
      </c>
      <c r="AD35" s="39"/>
      <c r="AE35" s="35">
        <v>0.2</v>
      </c>
      <c r="AF35" s="36">
        <f t="shared" si="12"/>
        <v>-248866.91008860912</v>
      </c>
      <c r="AG35" s="37">
        <v>1</v>
      </c>
      <c r="AH35" s="38">
        <f>AG35*AF35</f>
        <v>-248866.91008860912</v>
      </c>
      <c r="AI35" s="37"/>
      <c r="AJ35" s="38">
        <f>AI35*AF35</f>
        <v>0</v>
      </c>
      <c r="AK35" s="39"/>
      <c r="AL35" s="35"/>
      <c r="AM35" s="36">
        <f t="shared" si="15"/>
        <v>0</v>
      </c>
      <c r="AN35" s="37"/>
      <c r="AO35" s="38">
        <f>AN35*AM35</f>
        <v>0</v>
      </c>
      <c r="AP35" s="37"/>
      <c r="AQ35" s="38">
        <f>AP35*AM35</f>
        <v>0</v>
      </c>
      <c r="AR35" s="39"/>
      <c r="AS35" s="35"/>
      <c r="AT35" s="36">
        <f t="shared" si="18"/>
        <v>0</v>
      </c>
      <c r="AU35" s="37"/>
      <c r="AV35" s="38">
        <f>AU35*AT35</f>
        <v>0</v>
      </c>
      <c r="AW35" s="37"/>
      <c r="AX35" s="38">
        <f>AW35*AT35</f>
        <v>0</v>
      </c>
      <c r="AY35" s="39"/>
      <c r="AZ35" s="35"/>
      <c r="BA35" s="36">
        <f t="shared" si="21"/>
        <v>0</v>
      </c>
      <c r="BB35" s="37"/>
      <c r="BC35" s="38">
        <f>BB35*BA35</f>
        <v>0</v>
      </c>
      <c r="BD35" s="37"/>
      <c r="BE35" s="38">
        <f>BD35*BA35</f>
        <v>0</v>
      </c>
      <c r="BF35" s="39"/>
      <c r="BG35" s="35"/>
      <c r="BH35" s="36">
        <f t="shared" si="24"/>
        <v>0</v>
      </c>
      <c r="BI35" s="37"/>
      <c r="BJ35" s="38">
        <f>BI35*BH35</f>
        <v>0</v>
      </c>
      <c r="BK35" s="37"/>
      <c r="BL35" s="38">
        <f>BK35*BH35</f>
        <v>0</v>
      </c>
      <c r="BM35" s="40">
        <f>F35</f>
        <v>-1244334.5504430456</v>
      </c>
      <c r="BN35" s="40">
        <f>K35+R35+Y35+AF35+AM35+AT35+BA35+BH35</f>
        <v>-1244334.5504430456</v>
      </c>
      <c r="BO35" s="40">
        <f t="shared" si="27"/>
        <v>-1244334.5504430456</v>
      </c>
      <c r="BP35" s="15">
        <f>IF(AND(BM35=BN35,BN35=BO35,BM35=BO35),0,1)</f>
        <v>0</v>
      </c>
      <c r="BQ35" s="2"/>
      <c r="BR35" s="2"/>
      <c r="BT35" s="2"/>
      <c r="BV35" s="2"/>
      <c r="BW35" s="2"/>
      <c r="BX35" s="2"/>
      <c r="BY35" s="2"/>
      <c r="BZ35" s="2"/>
      <c r="CA35" s="2"/>
      <c r="CC35" s="2"/>
      <c r="CD35" s="2"/>
      <c r="CE35" s="2"/>
      <c r="CG35" s="2"/>
      <c r="CI35" s="2"/>
      <c r="CJ35" s="2"/>
      <c r="CK35" s="2"/>
      <c r="CL35" s="2"/>
      <c r="CM35" s="2"/>
      <c r="CN35" s="2"/>
      <c r="CP35" s="2"/>
      <c r="CQ35" s="2"/>
      <c r="CR35" s="2"/>
      <c r="CT35" s="2"/>
      <c r="CV35" s="2"/>
      <c r="CW35" s="2"/>
      <c r="CX35" s="2"/>
      <c r="CY35" s="2"/>
      <c r="CZ35" s="2"/>
      <c r="DA35" s="2"/>
      <c r="DC35" s="2"/>
      <c r="DD35" s="2"/>
      <c r="DE35" s="2"/>
      <c r="DG35" s="2"/>
      <c r="DI35" s="2"/>
      <c r="DJ35" s="2"/>
      <c r="DK35" s="2"/>
    </row>
    <row r="36" spans="1:115" x14ac:dyDescent="0.25">
      <c r="B36" s="47"/>
      <c r="C36" s="41"/>
      <c r="D36" s="46"/>
      <c r="E36" s="33"/>
      <c r="F36" s="33"/>
      <c r="G36" s="39"/>
      <c r="H36" s="194">
        <v>0</v>
      </c>
      <c r="I36" s="39"/>
      <c r="J36" s="35"/>
      <c r="K36" s="36"/>
      <c r="L36" s="37"/>
      <c r="M36" s="38"/>
      <c r="N36" s="37"/>
      <c r="O36" s="38"/>
      <c r="P36" s="39"/>
      <c r="Q36" s="35"/>
      <c r="R36" s="36"/>
      <c r="S36" s="37"/>
      <c r="T36" s="38"/>
      <c r="U36" s="37"/>
      <c r="V36" s="38"/>
      <c r="W36" s="39"/>
      <c r="X36" s="35"/>
      <c r="Y36" s="36"/>
      <c r="Z36" s="37"/>
      <c r="AA36" s="38"/>
      <c r="AB36" s="37"/>
      <c r="AC36" s="38"/>
      <c r="AD36" s="39"/>
      <c r="AE36" s="35"/>
      <c r="AF36" s="36"/>
      <c r="AG36" s="37"/>
      <c r="AH36" s="38"/>
      <c r="AI36" s="37"/>
      <c r="AJ36" s="38"/>
      <c r="AK36" s="39"/>
      <c r="AL36" s="35"/>
      <c r="AM36" s="36"/>
      <c r="AN36" s="37"/>
      <c r="AO36" s="38"/>
      <c r="AP36" s="37"/>
      <c r="AQ36" s="38"/>
      <c r="AR36" s="39"/>
      <c r="AS36" s="35"/>
      <c r="AT36" s="36"/>
      <c r="AU36" s="37"/>
      <c r="AV36" s="38"/>
      <c r="AW36" s="37"/>
      <c r="AX36" s="38"/>
      <c r="AY36" s="39"/>
      <c r="AZ36" s="35"/>
      <c r="BA36" s="36"/>
      <c r="BB36" s="37"/>
      <c r="BC36" s="38"/>
      <c r="BD36" s="37"/>
      <c r="BE36" s="38"/>
      <c r="BF36" s="39"/>
      <c r="BG36" s="35"/>
      <c r="BH36" s="36"/>
      <c r="BI36" s="37"/>
      <c r="BJ36" s="38"/>
      <c r="BK36" s="37"/>
      <c r="BL36" s="38"/>
      <c r="BM36" s="40"/>
      <c r="BN36" s="40"/>
      <c r="BO36" s="40">
        <f t="shared" si="27"/>
        <v>0</v>
      </c>
      <c r="BP36" s="15"/>
      <c r="BQ36" s="2"/>
      <c r="BR36" s="2"/>
      <c r="BT36" s="2"/>
      <c r="BV36" s="2"/>
      <c r="BW36" s="2"/>
      <c r="BX36" s="2"/>
      <c r="BY36" s="2"/>
      <c r="BZ36" s="2"/>
      <c r="CA36" s="2"/>
      <c r="CC36" s="2"/>
      <c r="CD36" s="2"/>
      <c r="CE36" s="2"/>
      <c r="CG36" s="2"/>
      <c r="CI36" s="2"/>
      <c r="CJ36" s="2"/>
      <c r="CK36" s="2"/>
      <c r="CL36" s="2"/>
      <c r="CM36" s="2"/>
      <c r="CN36" s="2"/>
      <c r="CP36" s="2"/>
      <c r="CQ36" s="2"/>
      <c r="CR36" s="2"/>
      <c r="CT36" s="2"/>
      <c r="CV36" s="2"/>
      <c r="CW36" s="2"/>
      <c r="CX36" s="2"/>
      <c r="CY36" s="2"/>
      <c r="CZ36" s="2"/>
      <c r="DA36" s="2"/>
      <c r="DC36" s="2"/>
      <c r="DD36" s="2"/>
      <c r="DE36" s="2"/>
      <c r="DG36" s="2"/>
      <c r="DI36" s="2"/>
      <c r="DJ36" s="2"/>
      <c r="DK36" s="2"/>
    </row>
    <row r="37" spans="1:115" x14ac:dyDescent="0.25">
      <c r="A37" s="1" t="s">
        <v>207</v>
      </c>
      <c r="C37" s="41"/>
      <c r="D37" s="46"/>
      <c r="E37" s="33"/>
      <c r="F37" s="33">
        <v>0</v>
      </c>
      <c r="G37" s="39"/>
      <c r="H37" s="194">
        <v>0</v>
      </c>
      <c r="I37" s="39"/>
      <c r="J37" s="35"/>
      <c r="K37" s="36"/>
      <c r="L37" s="37"/>
      <c r="M37" s="38"/>
      <c r="N37" s="37"/>
      <c r="O37" s="38"/>
      <c r="P37" s="39"/>
      <c r="Q37" s="35"/>
      <c r="R37" s="36"/>
      <c r="S37" s="37"/>
      <c r="T37" s="38"/>
      <c r="U37" s="37"/>
      <c r="V37" s="38"/>
      <c r="W37" s="39"/>
      <c r="X37" s="35"/>
      <c r="Y37" s="36"/>
      <c r="Z37" s="37"/>
      <c r="AA37" s="38"/>
      <c r="AB37" s="37"/>
      <c r="AC37" s="38"/>
      <c r="AD37" s="39"/>
      <c r="AE37" s="35"/>
      <c r="AF37" s="36"/>
      <c r="AG37" s="37"/>
      <c r="AH37" s="38"/>
      <c r="AI37" s="37"/>
      <c r="AJ37" s="38"/>
      <c r="AK37" s="39"/>
      <c r="AL37" s="35"/>
      <c r="AM37" s="36"/>
      <c r="AN37" s="37"/>
      <c r="AO37" s="38"/>
      <c r="AP37" s="37"/>
      <c r="AQ37" s="38"/>
      <c r="AR37" s="39"/>
      <c r="AS37" s="35"/>
      <c r="AT37" s="36"/>
      <c r="AU37" s="37"/>
      <c r="AV37" s="38"/>
      <c r="AW37" s="37"/>
      <c r="AX37" s="38"/>
      <c r="AY37" s="39"/>
      <c r="AZ37" s="35"/>
      <c r="BA37" s="36"/>
      <c r="BB37" s="37"/>
      <c r="BC37" s="38"/>
      <c r="BD37" s="37"/>
      <c r="BE37" s="38"/>
      <c r="BF37" s="39"/>
      <c r="BG37" s="35"/>
      <c r="BH37" s="36"/>
      <c r="BI37" s="37"/>
      <c r="BJ37" s="38"/>
      <c r="BK37" s="37"/>
      <c r="BL37" s="38"/>
      <c r="BM37" s="40"/>
      <c r="BN37" s="40"/>
      <c r="BO37" s="40"/>
      <c r="BP37" s="15"/>
      <c r="BQ37" s="2"/>
      <c r="BR37" s="2"/>
      <c r="BT37" s="2"/>
      <c r="BV37" s="2"/>
      <c r="BW37" s="2"/>
      <c r="BX37" s="2"/>
      <c r="BY37" s="2"/>
      <c r="BZ37" s="2"/>
      <c r="CA37" s="2"/>
      <c r="CC37" s="2"/>
      <c r="CD37" s="2"/>
      <c r="CE37" s="2"/>
      <c r="CG37" s="2"/>
      <c r="CI37" s="2"/>
      <c r="CJ37" s="2"/>
      <c r="CK37" s="2"/>
      <c r="CL37" s="2"/>
      <c r="CM37" s="2"/>
      <c r="CN37" s="2"/>
      <c r="CP37" s="2"/>
      <c r="CQ37" s="2"/>
      <c r="CR37" s="2"/>
      <c r="CT37" s="2"/>
      <c r="CV37" s="2"/>
      <c r="CW37" s="2"/>
      <c r="CX37" s="2"/>
      <c r="CY37" s="2"/>
      <c r="CZ37" s="2"/>
      <c r="DA37" s="2"/>
      <c r="DC37" s="2"/>
      <c r="DD37" s="2"/>
      <c r="DE37" s="2"/>
      <c r="DG37" s="2"/>
      <c r="DI37" s="2"/>
      <c r="DJ37" s="2"/>
      <c r="DK37" s="2"/>
    </row>
    <row r="38" spans="1:115" x14ac:dyDescent="0.25">
      <c r="B38" s="47" t="s">
        <v>35</v>
      </c>
      <c r="C38" s="41" t="s">
        <v>36</v>
      </c>
      <c r="D38" s="46">
        <v>1350</v>
      </c>
      <c r="E38" s="195">
        <f>H38*$K$83</f>
        <v>244.89599999999999</v>
      </c>
      <c r="F38" s="43">
        <v>324000</v>
      </c>
      <c r="G38" s="39"/>
      <c r="H38" s="194">
        <v>240</v>
      </c>
      <c r="I38" s="39"/>
      <c r="J38" s="35"/>
      <c r="K38" s="36"/>
      <c r="L38" s="37"/>
      <c r="M38" s="38"/>
      <c r="N38" s="37"/>
      <c r="O38" s="38"/>
      <c r="P38" s="39"/>
      <c r="Q38" s="35"/>
      <c r="R38" s="36"/>
      <c r="S38" s="37"/>
      <c r="T38" s="38"/>
      <c r="U38" s="37"/>
      <c r="V38" s="38"/>
      <c r="W38" s="39"/>
      <c r="X38" s="35"/>
      <c r="Y38" s="36"/>
      <c r="Z38" s="37"/>
      <c r="AA38" s="38"/>
      <c r="AB38" s="37"/>
      <c r="AC38" s="38"/>
      <c r="AD38" s="39"/>
      <c r="AE38" s="35"/>
      <c r="AF38" s="36"/>
      <c r="AG38" s="37"/>
      <c r="AH38" s="38"/>
      <c r="AI38" s="37"/>
      <c r="AJ38" s="38"/>
      <c r="AK38" s="39"/>
      <c r="AL38" s="35"/>
      <c r="AM38" s="36"/>
      <c r="AN38" s="37"/>
      <c r="AO38" s="38"/>
      <c r="AP38" s="37"/>
      <c r="AQ38" s="38"/>
      <c r="AR38" s="39"/>
      <c r="AS38" s="35"/>
      <c r="AT38" s="36"/>
      <c r="AU38" s="37"/>
      <c r="AV38" s="38"/>
      <c r="AW38" s="37"/>
      <c r="AX38" s="38"/>
      <c r="AY38" s="39"/>
      <c r="AZ38" s="35"/>
      <c r="BA38" s="36"/>
      <c r="BB38" s="37"/>
      <c r="BC38" s="38"/>
      <c r="BD38" s="37"/>
      <c r="BE38" s="38"/>
      <c r="BF38" s="39"/>
      <c r="BG38" s="35"/>
      <c r="BH38" s="36"/>
      <c r="BI38" s="37"/>
      <c r="BJ38" s="38"/>
      <c r="BK38" s="37"/>
      <c r="BL38" s="38"/>
      <c r="BM38" s="40"/>
      <c r="BN38" s="40"/>
      <c r="BO38" s="40"/>
      <c r="BP38" s="15"/>
      <c r="BQ38" s="2"/>
      <c r="BR38" s="2"/>
      <c r="BT38" s="2"/>
      <c r="BV38" s="2"/>
      <c r="BW38" s="2"/>
      <c r="BX38" s="2"/>
      <c r="BY38" s="2"/>
      <c r="BZ38" s="2"/>
      <c r="CA38" s="2"/>
      <c r="CC38" s="2"/>
      <c r="CD38" s="2"/>
      <c r="CE38" s="2"/>
      <c r="CG38" s="2"/>
      <c r="CI38" s="2"/>
      <c r="CJ38" s="2"/>
      <c r="CK38" s="2"/>
      <c r="CL38" s="2"/>
      <c r="CM38" s="2"/>
      <c r="CN38" s="2"/>
      <c r="CP38" s="2"/>
      <c r="CQ38" s="2"/>
      <c r="CR38" s="2"/>
      <c r="CT38" s="2"/>
      <c r="CV38" s="2"/>
      <c r="CW38" s="2"/>
      <c r="CX38" s="2"/>
      <c r="CY38" s="2"/>
      <c r="CZ38" s="2"/>
      <c r="DA38" s="2"/>
      <c r="DC38" s="2"/>
      <c r="DD38" s="2"/>
      <c r="DE38" s="2"/>
      <c r="DG38" s="2"/>
      <c r="DI38" s="2"/>
      <c r="DJ38" s="2"/>
      <c r="DK38" s="2"/>
    </row>
    <row r="39" spans="1:115" x14ac:dyDescent="0.25">
      <c r="B39" s="47" t="s">
        <v>37</v>
      </c>
      <c r="C39" s="41" t="s">
        <v>36</v>
      </c>
      <c r="D39" s="46">
        <v>1350</v>
      </c>
      <c r="E39" s="33">
        <f>$K$72</f>
        <v>-108.3695731319762</v>
      </c>
      <c r="F39" s="43">
        <v>-243710.52631578947</v>
      </c>
      <c r="G39" s="39"/>
      <c r="H39" s="194">
        <v>-123.79</v>
      </c>
      <c r="I39" s="39"/>
      <c r="J39" s="35"/>
      <c r="K39" s="36"/>
      <c r="L39" s="37"/>
      <c r="M39" s="38"/>
      <c r="N39" s="37"/>
      <c r="O39" s="38"/>
      <c r="P39" s="39"/>
      <c r="Q39" s="35"/>
      <c r="R39" s="36"/>
      <c r="S39" s="37"/>
      <c r="T39" s="38"/>
      <c r="U39" s="37"/>
      <c r="V39" s="38"/>
      <c r="W39" s="39"/>
      <c r="X39" s="35"/>
      <c r="Y39" s="36"/>
      <c r="Z39" s="37"/>
      <c r="AA39" s="38"/>
      <c r="AB39" s="37"/>
      <c r="AC39" s="38"/>
      <c r="AD39" s="39"/>
      <c r="AE39" s="35"/>
      <c r="AF39" s="36"/>
      <c r="AG39" s="37"/>
      <c r="AH39" s="38"/>
      <c r="AI39" s="37"/>
      <c r="AJ39" s="38"/>
      <c r="AK39" s="39"/>
      <c r="AL39" s="35"/>
      <c r="AM39" s="36"/>
      <c r="AN39" s="37"/>
      <c r="AO39" s="38"/>
      <c r="AP39" s="37"/>
      <c r="AQ39" s="38"/>
      <c r="AR39" s="39"/>
      <c r="AS39" s="35"/>
      <c r="AT39" s="36"/>
      <c r="AU39" s="37"/>
      <c r="AV39" s="38"/>
      <c r="AW39" s="37"/>
      <c r="AX39" s="38"/>
      <c r="AY39" s="39"/>
      <c r="AZ39" s="35"/>
      <c r="BA39" s="36"/>
      <c r="BB39" s="37"/>
      <c r="BC39" s="38"/>
      <c r="BD39" s="37"/>
      <c r="BE39" s="38"/>
      <c r="BF39" s="39"/>
      <c r="BG39" s="35"/>
      <c r="BH39" s="36"/>
      <c r="BI39" s="37"/>
      <c r="BJ39" s="38"/>
      <c r="BK39" s="37"/>
      <c r="BL39" s="38"/>
      <c r="BM39" s="40"/>
      <c r="BN39" s="40"/>
      <c r="BO39" s="40"/>
      <c r="BP39" s="15"/>
      <c r="BQ39" s="2"/>
      <c r="BR39" s="2"/>
      <c r="BT39" s="2"/>
      <c r="BV39" s="2"/>
      <c r="BW39" s="2"/>
      <c r="BX39" s="2"/>
      <c r="BY39" s="2"/>
      <c r="BZ39" s="2"/>
      <c r="CA39" s="2"/>
      <c r="CC39" s="2"/>
      <c r="CD39" s="2"/>
      <c r="CE39" s="2"/>
      <c r="CG39" s="2"/>
      <c r="CI39" s="2"/>
      <c r="CJ39" s="2"/>
      <c r="CK39" s="2"/>
      <c r="CL39" s="2"/>
      <c r="CM39" s="2"/>
      <c r="CN39" s="2"/>
      <c r="CP39" s="2"/>
      <c r="CQ39" s="2"/>
      <c r="CR39" s="2"/>
      <c r="CT39" s="2"/>
      <c r="CV39" s="2"/>
      <c r="CW39" s="2"/>
      <c r="CX39" s="2"/>
      <c r="CY39" s="2"/>
      <c r="CZ39" s="2"/>
      <c r="DA39" s="2"/>
      <c r="DC39" s="2"/>
      <c r="DD39" s="2"/>
      <c r="DE39" s="2"/>
      <c r="DG39" s="2"/>
      <c r="DI39" s="2"/>
      <c r="DJ39" s="2"/>
      <c r="DK39" s="2"/>
    </row>
    <row r="40" spans="1:115" x14ac:dyDescent="0.25">
      <c r="B40" s="47" t="s">
        <v>38</v>
      </c>
      <c r="C40" s="41" t="s">
        <v>39</v>
      </c>
      <c r="D40" s="46">
        <v>12150</v>
      </c>
      <c r="E40" s="48">
        <f>$K$73</f>
        <v>-0.38793301271641789</v>
      </c>
      <c r="F40" s="43">
        <v>-4743.2960526315774</v>
      </c>
      <c r="G40" s="39"/>
      <c r="H40" s="194">
        <v>-0.38</v>
      </c>
      <c r="I40" s="39"/>
      <c r="J40" s="35"/>
      <c r="K40" s="36"/>
      <c r="L40" s="37"/>
      <c r="M40" s="38"/>
      <c r="N40" s="37"/>
      <c r="O40" s="38"/>
      <c r="P40" s="39"/>
      <c r="Q40" s="35"/>
      <c r="R40" s="36"/>
      <c r="S40" s="37"/>
      <c r="T40" s="38"/>
      <c r="U40" s="37"/>
      <c r="V40" s="38"/>
      <c r="W40" s="39"/>
      <c r="X40" s="35"/>
      <c r="Y40" s="36"/>
      <c r="Z40" s="37"/>
      <c r="AA40" s="38"/>
      <c r="AB40" s="37"/>
      <c r="AC40" s="38"/>
      <c r="AD40" s="39"/>
      <c r="AE40" s="35"/>
      <c r="AF40" s="36"/>
      <c r="AG40" s="37"/>
      <c r="AH40" s="38"/>
      <c r="AI40" s="37"/>
      <c r="AJ40" s="38"/>
      <c r="AK40" s="39"/>
      <c r="AL40" s="35"/>
      <c r="AM40" s="36"/>
      <c r="AN40" s="37"/>
      <c r="AO40" s="38"/>
      <c r="AP40" s="37"/>
      <c r="AQ40" s="38"/>
      <c r="AR40" s="39"/>
      <c r="AS40" s="35"/>
      <c r="AT40" s="36"/>
      <c r="AU40" s="37"/>
      <c r="AV40" s="38"/>
      <c r="AW40" s="37"/>
      <c r="AX40" s="38"/>
      <c r="AY40" s="39"/>
      <c r="AZ40" s="35"/>
      <c r="BA40" s="36"/>
      <c r="BB40" s="37"/>
      <c r="BC40" s="38"/>
      <c r="BD40" s="37"/>
      <c r="BE40" s="38"/>
      <c r="BF40" s="39"/>
      <c r="BG40" s="35"/>
      <c r="BH40" s="36"/>
      <c r="BI40" s="37"/>
      <c r="BJ40" s="38"/>
      <c r="BK40" s="37"/>
      <c r="BL40" s="38"/>
      <c r="BM40" s="40"/>
      <c r="BN40" s="40"/>
      <c r="BO40" s="40"/>
      <c r="BP40" s="15"/>
      <c r="BQ40" s="2"/>
      <c r="BR40" s="2"/>
      <c r="BT40" s="2"/>
      <c r="BV40" s="2"/>
      <c r="BW40" s="2"/>
      <c r="BX40" s="2"/>
      <c r="BY40" s="2"/>
      <c r="BZ40" s="2"/>
      <c r="CA40" s="2"/>
      <c r="CC40" s="2"/>
      <c r="CD40" s="2"/>
      <c r="CE40" s="2"/>
      <c r="CG40" s="2"/>
      <c r="CI40" s="2"/>
      <c r="CJ40" s="2"/>
      <c r="CK40" s="2"/>
      <c r="CL40" s="2"/>
      <c r="CM40" s="2"/>
      <c r="CN40" s="2"/>
      <c r="CP40" s="2"/>
      <c r="CQ40" s="2"/>
      <c r="CR40" s="2"/>
      <c r="CT40" s="2"/>
      <c r="CV40" s="2"/>
      <c r="CW40" s="2"/>
      <c r="CX40" s="2"/>
      <c r="CY40" s="2"/>
      <c r="CZ40" s="2"/>
      <c r="DA40" s="2"/>
      <c r="DC40" s="2"/>
      <c r="DD40" s="2"/>
      <c r="DE40" s="2"/>
      <c r="DG40" s="2"/>
      <c r="DI40" s="2"/>
      <c r="DJ40" s="2"/>
      <c r="DK40" s="2"/>
    </row>
    <row r="41" spans="1:115" x14ac:dyDescent="0.25">
      <c r="B41" s="47" t="s">
        <v>40</v>
      </c>
      <c r="C41" s="41" t="s">
        <v>39</v>
      </c>
      <c r="D41" s="46">
        <v>27000</v>
      </c>
      <c r="E41" s="48">
        <f>$K$74</f>
        <v>-0.31414430979039298</v>
      </c>
      <c r="F41" s="43">
        <v>-9994.9846153846174</v>
      </c>
      <c r="G41" s="39"/>
      <c r="H41" s="194">
        <v>-0.37</v>
      </c>
      <c r="I41" s="39"/>
      <c r="J41" s="35"/>
      <c r="K41" s="36"/>
      <c r="L41" s="37"/>
      <c r="M41" s="38"/>
      <c r="N41" s="37"/>
      <c r="O41" s="38"/>
      <c r="P41" s="39"/>
      <c r="Q41" s="35"/>
      <c r="R41" s="36"/>
      <c r="S41" s="37"/>
      <c r="T41" s="38"/>
      <c r="U41" s="37"/>
      <c r="V41" s="38"/>
      <c r="W41" s="39"/>
      <c r="X41" s="35"/>
      <c r="Y41" s="36"/>
      <c r="Z41" s="37"/>
      <c r="AA41" s="38"/>
      <c r="AB41" s="37"/>
      <c r="AC41" s="38"/>
      <c r="AD41" s="39"/>
      <c r="AE41" s="35"/>
      <c r="AF41" s="36"/>
      <c r="AG41" s="37"/>
      <c r="AH41" s="38"/>
      <c r="AI41" s="37"/>
      <c r="AJ41" s="38"/>
      <c r="AK41" s="39"/>
      <c r="AL41" s="35"/>
      <c r="AM41" s="36"/>
      <c r="AN41" s="37"/>
      <c r="AO41" s="38"/>
      <c r="AP41" s="37"/>
      <c r="AQ41" s="38"/>
      <c r="AR41" s="39"/>
      <c r="AS41" s="35"/>
      <c r="AT41" s="36"/>
      <c r="AU41" s="37"/>
      <c r="AV41" s="38"/>
      <c r="AW41" s="37"/>
      <c r="AX41" s="38"/>
      <c r="AY41" s="39"/>
      <c r="AZ41" s="35"/>
      <c r="BA41" s="36"/>
      <c r="BB41" s="37"/>
      <c r="BC41" s="38"/>
      <c r="BD41" s="37"/>
      <c r="BE41" s="38"/>
      <c r="BF41" s="39"/>
      <c r="BG41" s="35"/>
      <c r="BH41" s="36"/>
      <c r="BI41" s="37"/>
      <c r="BJ41" s="38"/>
      <c r="BK41" s="37"/>
      <c r="BL41" s="38"/>
      <c r="BM41" s="40"/>
      <c r="BN41" s="40"/>
      <c r="BO41" s="40"/>
      <c r="BP41" s="15"/>
      <c r="BQ41" s="2"/>
      <c r="BR41" s="2"/>
      <c r="BT41" s="2"/>
      <c r="BV41" s="2"/>
      <c r="BW41" s="2"/>
      <c r="BX41" s="2"/>
      <c r="BY41" s="2"/>
      <c r="BZ41" s="2"/>
      <c r="CA41" s="2"/>
      <c r="CC41" s="2"/>
      <c r="CD41" s="2"/>
      <c r="CE41" s="2"/>
      <c r="CG41" s="2"/>
      <c r="CI41" s="2"/>
      <c r="CJ41" s="2"/>
      <c r="CK41" s="2"/>
      <c r="CL41" s="2"/>
      <c r="CM41" s="2"/>
      <c r="CN41" s="2"/>
      <c r="CP41" s="2"/>
      <c r="CQ41" s="2"/>
      <c r="CR41" s="2"/>
      <c r="CT41" s="2"/>
      <c r="CV41" s="2"/>
      <c r="CW41" s="2"/>
      <c r="CX41" s="2"/>
      <c r="CY41" s="2"/>
      <c r="CZ41" s="2"/>
      <c r="DA41" s="2"/>
      <c r="DC41" s="2"/>
      <c r="DD41" s="2"/>
      <c r="DE41" s="2"/>
      <c r="DG41" s="2"/>
      <c r="DI41" s="2"/>
      <c r="DJ41" s="2"/>
      <c r="DK41" s="2"/>
    </row>
    <row r="42" spans="1:115" x14ac:dyDescent="0.25">
      <c r="B42" s="47" t="s">
        <v>41</v>
      </c>
      <c r="C42" s="41" t="s">
        <v>39</v>
      </c>
      <c r="D42" s="46">
        <v>16200</v>
      </c>
      <c r="E42" s="48">
        <f>$K$75</f>
        <v>-0.13699903999999999</v>
      </c>
      <c r="F42" s="43">
        <v>-2979.8281092012135</v>
      </c>
      <c r="G42" s="39"/>
      <c r="H42" s="194">
        <v>-0.16</v>
      </c>
      <c r="I42" s="39"/>
      <c r="J42" s="35"/>
      <c r="K42" s="36"/>
      <c r="L42" s="37"/>
      <c r="M42" s="38"/>
      <c r="N42" s="37"/>
      <c r="O42" s="38"/>
      <c r="P42" s="39"/>
      <c r="Q42" s="35"/>
      <c r="R42" s="36"/>
      <c r="S42" s="37"/>
      <c r="T42" s="38"/>
      <c r="U42" s="37"/>
      <c r="V42" s="38"/>
      <c r="W42" s="39"/>
      <c r="X42" s="35"/>
      <c r="Y42" s="36"/>
      <c r="Z42" s="37"/>
      <c r="AA42" s="38"/>
      <c r="AB42" s="37"/>
      <c r="AC42" s="38"/>
      <c r="AD42" s="39"/>
      <c r="AE42" s="35"/>
      <c r="AF42" s="36"/>
      <c r="AG42" s="37"/>
      <c r="AH42" s="38"/>
      <c r="AI42" s="37"/>
      <c r="AJ42" s="38"/>
      <c r="AK42" s="39"/>
      <c r="AL42" s="35"/>
      <c r="AM42" s="36"/>
      <c r="AN42" s="37"/>
      <c r="AO42" s="38"/>
      <c r="AP42" s="37"/>
      <c r="AQ42" s="38"/>
      <c r="AR42" s="39"/>
      <c r="AS42" s="35"/>
      <c r="AT42" s="36"/>
      <c r="AU42" s="37"/>
      <c r="AV42" s="38"/>
      <c r="AW42" s="37"/>
      <c r="AX42" s="38"/>
      <c r="AY42" s="39"/>
      <c r="AZ42" s="35"/>
      <c r="BA42" s="36"/>
      <c r="BB42" s="37"/>
      <c r="BC42" s="38"/>
      <c r="BD42" s="37"/>
      <c r="BE42" s="38"/>
      <c r="BF42" s="39"/>
      <c r="BG42" s="35"/>
      <c r="BH42" s="36"/>
      <c r="BI42" s="37"/>
      <c r="BJ42" s="38"/>
      <c r="BK42" s="37"/>
      <c r="BL42" s="38"/>
      <c r="BM42" s="40"/>
      <c r="BN42" s="40"/>
      <c r="BO42" s="40"/>
      <c r="BP42" s="15"/>
      <c r="BQ42" s="2"/>
      <c r="BR42" s="2"/>
      <c r="BT42" s="2"/>
      <c r="BV42" s="2"/>
      <c r="BW42" s="2"/>
      <c r="BX42" s="2"/>
      <c r="BY42" s="2"/>
      <c r="BZ42" s="2"/>
      <c r="CA42" s="2"/>
      <c r="CC42" s="2"/>
      <c r="CD42" s="2"/>
      <c r="CE42" s="2"/>
      <c r="CG42" s="2"/>
      <c r="CI42" s="2"/>
      <c r="CJ42" s="2"/>
      <c r="CK42" s="2"/>
      <c r="CL42" s="2"/>
      <c r="CM42" s="2"/>
      <c r="CN42" s="2"/>
      <c r="CP42" s="2"/>
      <c r="CQ42" s="2"/>
      <c r="CR42" s="2"/>
      <c r="CT42" s="2"/>
      <c r="CV42" s="2"/>
      <c r="CW42" s="2"/>
      <c r="CX42" s="2"/>
      <c r="CY42" s="2"/>
      <c r="CZ42" s="2"/>
      <c r="DA42" s="2"/>
      <c r="DC42" s="2"/>
      <c r="DD42" s="2"/>
      <c r="DE42" s="2"/>
      <c r="DG42" s="2"/>
      <c r="DI42" s="2"/>
      <c r="DJ42" s="2"/>
      <c r="DK42" s="2"/>
    </row>
    <row r="43" spans="1:115" x14ac:dyDescent="0.25">
      <c r="B43" s="47" t="s">
        <v>208</v>
      </c>
      <c r="C43" s="41" t="s">
        <v>43</v>
      </c>
      <c r="D43" s="46">
        <v>225</v>
      </c>
      <c r="E43" s="195">
        <f>H43*$K$83</f>
        <v>107.142</v>
      </c>
      <c r="F43" s="43">
        <v>23625</v>
      </c>
      <c r="G43" s="39"/>
      <c r="H43" s="194">
        <v>105</v>
      </c>
      <c r="I43" s="39"/>
      <c r="J43" s="35"/>
      <c r="K43" s="36"/>
      <c r="L43" s="37"/>
      <c r="M43" s="38"/>
      <c r="N43" s="37"/>
      <c r="O43" s="38"/>
      <c r="P43" s="39"/>
      <c r="Q43" s="35"/>
      <c r="R43" s="36"/>
      <c r="S43" s="37"/>
      <c r="T43" s="38"/>
      <c r="U43" s="37"/>
      <c r="V43" s="38"/>
      <c r="W43" s="39"/>
      <c r="X43" s="35"/>
      <c r="Y43" s="36"/>
      <c r="Z43" s="37"/>
      <c r="AA43" s="38"/>
      <c r="AB43" s="37"/>
      <c r="AC43" s="38"/>
      <c r="AD43" s="39"/>
      <c r="AE43" s="35"/>
      <c r="AF43" s="36"/>
      <c r="AG43" s="37"/>
      <c r="AH43" s="38"/>
      <c r="AI43" s="37"/>
      <c r="AJ43" s="38"/>
      <c r="AK43" s="39"/>
      <c r="AL43" s="35"/>
      <c r="AM43" s="36"/>
      <c r="AN43" s="37"/>
      <c r="AO43" s="38"/>
      <c r="AP43" s="37"/>
      <c r="AQ43" s="38"/>
      <c r="AR43" s="39"/>
      <c r="AS43" s="35"/>
      <c r="AT43" s="36"/>
      <c r="AU43" s="37"/>
      <c r="AV43" s="38"/>
      <c r="AW43" s="37"/>
      <c r="AX43" s="38"/>
      <c r="AY43" s="39"/>
      <c r="AZ43" s="35"/>
      <c r="BA43" s="36"/>
      <c r="BB43" s="37"/>
      <c r="BC43" s="38"/>
      <c r="BD43" s="37"/>
      <c r="BE43" s="38"/>
      <c r="BF43" s="39"/>
      <c r="BG43" s="35"/>
      <c r="BH43" s="36"/>
      <c r="BI43" s="37"/>
      <c r="BJ43" s="38"/>
      <c r="BK43" s="37"/>
      <c r="BL43" s="38"/>
      <c r="BM43" s="40"/>
      <c r="BN43" s="40"/>
      <c r="BO43" s="40"/>
      <c r="BP43" s="15"/>
      <c r="BQ43" s="2"/>
      <c r="BR43" s="2"/>
      <c r="BT43" s="2"/>
      <c r="BV43" s="2"/>
      <c r="BW43" s="2"/>
      <c r="BX43" s="2"/>
      <c r="BY43" s="2"/>
      <c r="BZ43" s="2"/>
      <c r="CA43" s="2"/>
      <c r="CC43" s="2"/>
      <c r="CD43" s="2"/>
      <c r="CE43" s="2"/>
      <c r="CG43" s="2"/>
      <c r="CI43" s="2"/>
      <c r="CJ43" s="2"/>
      <c r="CK43" s="2"/>
      <c r="CL43" s="2"/>
      <c r="CM43" s="2"/>
      <c r="CN43" s="2"/>
      <c r="CP43" s="2"/>
      <c r="CQ43" s="2"/>
      <c r="CR43" s="2"/>
      <c r="CT43" s="2"/>
      <c r="CV43" s="2"/>
      <c r="CW43" s="2"/>
      <c r="CX43" s="2"/>
      <c r="CY43" s="2"/>
      <c r="CZ43" s="2"/>
      <c r="DA43" s="2"/>
      <c r="DC43" s="2"/>
      <c r="DD43" s="2"/>
      <c r="DE43" s="2"/>
      <c r="DG43" s="2"/>
      <c r="DI43" s="2"/>
      <c r="DJ43" s="2"/>
      <c r="DK43" s="2"/>
    </row>
    <row r="44" spans="1:115" x14ac:dyDescent="0.25">
      <c r="A44" s="2"/>
      <c r="B44" s="51" t="s">
        <v>45</v>
      </c>
      <c r="C44" s="41" t="s">
        <v>36</v>
      </c>
      <c r="D44" s="46">
        <v>50.625</v>
      </c>
      <c r="E44" s="195">
        <f>H44*$K$83</f>
        <v>66.325999999999993</v>
      </c>
      <c r="F44" s="56">
        <v>3290.625</v>
      </c>
      <c r="G44" s="39"/>
      <c r="H44" s="194">
        <v>65</v>
      </c>
      <c r="I44" s="39"/>
      <c r="J44" s="35"/>
      <c r="K44" s="36"/>
      <c r="L44" s="37"/>
      <c r="M44" s="38"/>
      <c r="N44" s="37"/>
      <c r="O44" s="38"/>
      <c r="P44" s="39"/>
      <c r="Q44" s="35"/>
      <c r="R44" s="36"/>
      <c r="S44" s="37"/>
      <c r="T44" s="38"/>
      <c r="U44" s="37"/>
      <c r="V44" s="38"/>
      <c r="W44" s="39"/>
      <c r="X44" s="35"/>
      <c r="Y44" s="36"/>
      <c r="Z44" s="37"/>
      <c r="AA44" s="38"/>
      <c r="AB44" s="37"/>
      <c r="AC44" s="38"/>
      <c r="AD44" s="39"/>
      <c r="AE44" s="35"/>
      <c r="AF44" s="36"/>
      <c r="AG44" s="37"/>
      <c r="AH44" s="38"/>
      <c r="AI44" s="37"/>
      <c r="AJ44" s="38"/>
      <c r="AK44" s="39"/>
      <c r="AL44" s="35"/>
      <c r="AM44" s="36"/>
      <c r="AN44" s="37"/>
      <c r="AO44" s="38"/>
      <c r="AP44" s="37"/>
      <c r="AQ44" s="38"/>
      <c r="AR44" s="39"/>
      <c r="AS44" s="35"/>
      <c r="AT44" s="36"/>
      <c r="AU44" s="37"/>
      <c r="AV44" s="38"/>
      <c r="AW44" s="37"/>
      <c r="AX44" s="38"/>
      <c r="AY44" s="39"/>
      <c r="AZ44" s="35"/>
      <c r="BA44" s="36"/>
      <c r="BB44" s="37"/>
      <c r="BC44" s="38"/>
      <c r="BD44" s="37"/>
      <c r="BE44" s="38"/>
      <c r="BF44" s="39"/>
      <c r="BG44" s="35"/>
      <c r="BH44" s="36"/>
      <c r="BI44" s="37"/>
      <c r="BJ44" s="38"/>
      <c r="BK44" s="37"/>
      <c r="BL44" s="38"/>
      <c r="BM44" s="40"/>
      <c r="BN44" s="40"/>
      <c r="BO44" s="40"/>
      <c r="BP44" s="15"/>
      <c r="BQ44" s="2"/>
      <c r="BR44" s="2"/>
      <c r="BT44" s="2"/>
      <c r="BV44" s="2"/>
      <c r="BW44" s="2"/>
      <c r="BX44" s="2"/>
      <c r="BY44" s="2"/>
      <c r="BZ44" s="2"/>
      <c r="CA44" s="2"/>
      <c r="CC44" s="2"/>
      <c r="CD44" s="2"/>
      <c r="CE44" s="2"/>
      <c r="CG44" s="2"/>
      <c r="CI44" s="2"/>
      <c r="CJ44" s="2"/>
      <c r="CK44" s="2"/>
      <c r="CL44" s="2"/>
      <c r="CM44" s="2"/>
      <c r="CN44" s="2"/>
      <c r="CP44" s="2"/>
      <c r="CQ44" s="2"/>
      <c r="CR44" s="2"/>
      <c r="CT44" s="2"/>
      <c r="CV44" s="2"/>
      <c r="CW44" s="2"/>
      <c r="CX44" s="2"/>
      <c r="CY44" s="2"/>
      <c r="CZ44" s="2"/>
      <c r="DA44" s="2"/>
      <c r="DC44" s="2"/>
      <c r="DD44" s="2"/>
      <c r="DE44" s="2"/>
      <c r="DG44" s="2"/>
      <c r="DI44" s="2"/>
      <c r="DJ44" s="2"/>
      <c r="DK44" s="2"/>
    </row>
    <row r="45" spans="1:115" x14ac:dyDescent="0.25">
      <c r="B45" s="47" t="s">
        <v>209</v>
      </c>
      <c r="C45" s="41" t="s">
        <v>47</v>
      </c>
      <c r="D45" s="46">
        <v>1</v>
      </c>
      <c r="E45" s="33">
        <v>850000</v>
      </c>
      <c r="F45" s="56">
        <v>850000</v>
      </c>
      <c r="G45" s="39"/>
      <c r="H45" s="194">
        <v>850000</v>
      </c>
      <c r="I45" s="39"/>
      <c r="J45" s="35"/>
      <c r="K45" s="36"/>
      <c r="L45" s="37"/>
      <c r="M45" s="38"/>
      <c r="N45" s="37"/>
      <c r="O45" s="38"/>
      <c r="P45" s="39"/>
      <c r="Q45" s="35"/>
      <c r="R45" s="36"/>
      <c r="S45" s="37"/>
      <c r="T45" s="38"/>
      <c r="U45" s="37"/>
      <c r="V45" s="38"/>
      <c r="W45" s="39"/>
      <c r="X45" s="35"/>
      <c r="Y45" s="36"/>
      <c r="Z45" s="37"/>
      <c r="AA45" s="38"/>
      <c r="AB45" s="37"/>
      <c r="AC45" s="38"/>
      <c r="AD45" s="39"/>
      <c r="AE45" s="35"/>
      <c r="AF45" s="36"/>
      <c r="AG45" s="37"/>
      <c r="AH45" s="38"/>
      <c r="AI45" s="37"/>
      <c r="AJ45" s="38"/>
      <c r="AK45" s="39"/>
      <c r="AL45" s="35"/>
      <c r="AM45" s="36"/>
      <c r="AN45" s="37"/>
      <c r="AO45" s="38"/>
      <c r="AP45" s="37"/>
      <c r="AQ45" s="38"/>
      <c r="AR45" s="39"/>
      <c r="AS45" s="35"/>
      <c r="AT45" s="36"/>
      <c r="AU45" s="37"/>
      <c r="AV45" s="38"/>
      <c r="AW45" s="37"/>
      <c r="AX45" s="38"/>
      <c r="AY45" s="39"/>
      <c r="AZ45" s="35"/>
      <c r="BA45" s="36"/>
      <c r="BB45" s="37"/>
      <c r="BC45" s="38"/>
      <c r="BD45" s="37"/>
      <c r="BE45" s="38"/>
      <c r="BF45" s="39"/>
      <c r="BG45" s="35"/>
      <c r="BH45" s="36"/>
      <c r="BI45" s="37"/>
      <c r="BJ45" s="38"/>
      <c r="BK45" s="37"/>
      <c r="BL45" s="38"/>
      <c r="BM45" s="40"/>
      <c r="BN45" s="40"/>
      <c r="BO45" s="40"/>
      <c r="BP45" s="15"/>
      <c r="BQ45" s="2"/>
      <c r="BR45" s="2"/>
      <c r="BT45" s="2"/>
      <c r="BV45" s="2"/>
      <c r="BW45" s="2"/>
      <c r="BX45" s="2"/>
      <c r="BY45" s="2"/>
      <c r="BZ45" s="2"/>
      <c r="CA45" s="2"/>
      <c r="CC45" s="2"/>
      <c r="CD45" s="2"/>
      <c r="CE45" s="2"/>
      <c r="CG45" s="2"/>
      <c r="CI45" s="2"/>
      <c r="CJ45" s="2"/>
      <c r="CK45" s="2"/>
      <c r="CL45" s="2"/>
      <c r="CM45" s="2"/>
      <c r="CN45" s="2"/>
      <c r="CP45" s="2"/>
      <c r="CQ45" s="2"/>
      <c r="CR45" s="2"/>
      <c r="CT45" s="2"/>
      <c r="CV45" s="2"/>
      <c r="CW45" s="2"/>
      <c r="CX45" s="2"/>
      <c r="CY45" s="2"/>
      <c r="CZ45" s="2"/>
      <c r="DA45" s="2"/>
      <c r="DC45" s="2"/>
      <c r="DD45" s="2"/>
      <c r="DE45" s="2"/>
      <c r="DG45" s="2"/>
      <c r="DI45" s="2"/>
      <c r="DJ45" s="2"/>
      <c r="DK45" s="2"/>
    </row>
    <row r="46" spans="1:115" x14ac:dyDescent="0.25">
      <c r="B46" s="49" t="s">
        <v>48</v>
      </c>
      <c r="C46" s="41" t="s">
        <v>36</v>
      </c>
      <c r="D46" s="46">
        <v>6977.7777777777774</v>
      </c>
      <c r="E46" s="195">
        <f>H46*$K$83</f>
        <v>15.305999999999999</v>
      </c>
      <c r="F46" s="56">
        <v>104666.66666666666</v>
      </c>
      <c r="G46" s="39"/>
      <c r="H46" s="194">
        <v>15</v>
      </c>
      <c r="I46" s="39"/>
      <c r="J46" s="35"/>
      <c r="K46" s="36"/>
      <c r="L46" s="37"/>
      <c r="M46" s="38"/>
      <c r="N46" s="37"/>
      <c r="O46" s="38"/>
      <c r="P46" s="39"/>
      <c r="Q46" s="35"/>
      <c r="R46" s="36"/>
      <c r="S46" s="37"/>
      <c r="T46" s="38"/>
      <c r="U46" s="37"/>
      <c r="V46" s="38"/>
      <c r="W46" s="39"/>
      <c r="X46" s="35"/>
      <c r="Y46" s="36"/>
      <c r="Z46" s="37"/>
      <c r="AA46" s="38"/>
      <c r="AB46" s="37"/>
      <c r="AC46" s="38"/>
      <c r="AD46" s="39"/>
      <c r="AE46" s="35"/>
      <c r="AF46" s="36"/>
      <c r="AG46" s="37"/>
      <c r="AH46" s="38"/>
      <c r="AI46" s="37"/>
      <c r="AJ46" s="38"/>
      <c r="AK46" s="39"/>
      <c r="AL46" s="35"/>
      <c r="AM46" s="36"/>
      <c r="AN46" s="37"/>
      <c r="AO46" s="38"/>
      <c r="AP46" s="37"/>
      <c r="AQ46" s="38"/>
      <c r="AR46" s="39"/>
      <c r="AS46" s="35"/>
      <c r="AT46" s="36"/>
      <c r="AU46" s="37"/>
      <c r="AV46" s="38"/>
      <c r="AW46" s="37"/>
      <c r="AX46" s="38"/>
      <c r="AY46" s="39"/>
      <c r="AZ46" s="35"/>
      <c r="BA46" s="36"/>
      <c r="BB46" s="37"/>
      <c r="BC46" s="38"/>
      <c r="BD46" s="37"/>
      <c r="BE46" s="38"/>
      <c r="BF46" s="39"/>
      <c r="BG46" s="35"/>
      <c r="BH46" s="36"/>
      <c r="BI46" s="37"/>
      <c r="BJ46" s="38"/>
      <c r="BK46" s="37"/>
      <c r="BL46" s="38"/>
      <c r="BM46" s="40"/>
      <c r="BN46" s="40"/>
      <c r="BO46" s="40"/>
      <c r="BP46" s="15"/>
      <c r="BQ46" s="2"/>
      <c r="BR46" s="2"/>
      <c r="BT46" s="2"/>
      <c r="BV46" s="2"/>
      <c r="BW46" s="2"/>
      <c r="BX46" s="2"/>
      <c r="BY46" s="2"/>
      <c r="BZ46" s="2"/>
      <c r="CA46" s="2"/>
      <c r="CC46" s="2"/>
      <c r="CD46" s="2"/>
      <c r="CE46" s="2"/>
      <c r="CG46" s="2"/>
      <c r="CI46" s="2"/>
      <c r="CJ46" s="2"/>
      <c r="CK46" s="2"/>
      <c r="CL46" s="2"/>
      <c r="CM46" s="2"/>
      <c r="CN46" s="2"/>
      <c r="CP46" s="2"/>
      <c r="CQ46" s="2"/>
      <c r="CR46" s="2"/>
      <c r="CT46" s="2"/>
      <c r="CV46" s="2"/>
      <c r="CW46" s="2"/>
      <c r="CX46" s="2"/>
      <c r="CY46" s="2"/>
      <c r="CZ46" s="2"/>
      <c r="DA46" s="2"/>
      <c r="DC46" s="2"/>
      <c r="DD46" s="2"/>
      <c r="DE46" s="2"/>
      <c r="DG46" s="2"/>
      <c r="DI46" s="2"/>
      <c r="DJ46" s="2"/>
      <c r="DK46" s="2"/>
    </row>
    <row r="47" spans="1:115" x14ac:dyDescent="0.25">
      <c r="C47" s="45"/>
      <c r="D47" s="46"/>
      <c r="E47" s="50"/>
      <c r="F47" s="33">
        <f>D47*E47</f>
        <v>0</v>
      </c>
      <c r="G47" s="39"/>
      <c r="H47" s="194">
        <v>0</v>
      </c>
      <c r="I47" s="39"/>
      <c r="J47" s="35"/>
      <c r="K47" s="36">
        <f t="shared" si="3"/>
        <v>0</v>
      </c>
      <c r="L47" s="37"/>
      <c r="M47" s="38">
        <f>L47*K47</f>
        <v>0</v>
      </c>
      <c r="N47" s="37"/>
      <c r="O47" s="38">
        <f>N47*K47</f>
        <v>0</v>
      </c>
      <c r="P47" s="39"/>
      <c r="Q47" s="35"/>
      <c r="R47" s="36">
        <f t="shared" si="6"/>
        <v>0</v>
      </c>
      <c r="S47" s="37"/>
      <c r="T47" s="38">
        <f>S47*R47</f>
        <v>0</v>
      </c>
      <c r="U47" s="37"/>
      <c r="V47" s="38">
        <f>U47*R47</f>
        <v>0</v>
      </c>
      <c r="W47" s="39"/>
      <c r="X47" s="35"/>
      <c r="Y47" s="36">
        <f t="shared" si="9"/>
        <v>0</v>
      </c>
      <c r="Z47" s="37"/>
      <c r="AA47" s="38">
        <f>Z47*Y47</f>
        <v>0</v>
      </c>
      <c r="AB47" s="37"/>
      <c r="AC47" s="38">
        <f>AB47*Y47</f>
        <v>0</v>
      </c>
      <c r="AD47" s="39"/>
      <c r="AE47" s="35"/>
      <c r="AF47" s="36">
        <f t="shared" si="12"/>
        <v>0</v>
      </c>
      <c r="AG47" s="37"/>
      <c r="AH47" s="38">
        <f>AG47*AF47</f>
        <v>0</v>
      </c>
      <c r="AI47" s="37"/>
      <c r="AJ47" s="38">
        <f>AI47*AF47</f>
        <v>0</v>
      </c>
      <c r="AK47" s="39"/>
      <c r="AL47" s="35"/>
      <c r="AM47" s="36">
        <f t="shared" si="15"/>
        <v>0</v>
      </c>
      <c r="AN47" s="37"/>
      <c r="AO47" s="38">
        <f>AN47*AM47</f>
        <v>0</v>
      </c>
      <c r="AP47" s="37"/>
      <c r="AQ47" s="38">
        <f>AP47*AM47</f>
        <v>0</v>
      </c>
      <c r="AR47" s="39"/>
      <c r="AS47" s="35"/>
      <c r="AT47" s="36">
        <f t="shared" si="18"/>
        <v>0</v>
      </c>
      <c r="AU47" s="37"/>
      <c r="AV47" s="38">
        <f>AU47*AT47</f>
        <v>0</v>
      </c>
      <c r="AW47" s="37"/>
      <c r="AX47" s="38">
        <f>AW47*AT47</f>
        <v>0</v>
      </c>
      <c r="AY47" s="39"/>
      <c r="AZ47" s="35"/>
      <c r="BA47" s="36">
        <f t="shared" si="21"/>
        <v>0</v>
      </c>
      <c r="BB47" s="37"/>
      <c r="BC47" s="38">
        <f>BB47*BA47</f>
        <v>0</v>
      </c>
      <c r="BD47" s="37"/>
      <c r="BE47" s="38">
        <f>BD47*BA47</f>
        <v>0</v>
      </c>
      <c r="BF47" s="39"/>
      <c r="BG47" s="35"/>
      <c r="BH47" s="36">
        <f t="shared" si="24"/>
        <v>0</v>
      </c>
      <c r="BI47" s="37"/>
      <c r="BJ47" s="38">
        <f>BI47*BH47</f>
        <v>0</v>
      </c>
      <c r="BK47" s="37"/>
      <c r="BL47" s="38">
        <f>BK47*BH47</f>
        <v>0</v>
      </c>
      <c r="BM47" s="40">
        <f t="shared" ref="BM47:BM60" si="30">F47</f>
        <v>0</v>
      </c>
      <c r="BN47" s="40">
        <f t="shared" ref="BN47:BN60" si="31">K47+R47+Y47+AF47+AM47+AT47+BA47+BH47</f>
        <v>0</v>
      </c>
      <c r="BO47" s="40">
        <f t="shared" si="27"/>
        <v>0</v>
      </c>
      <c r="BP47" s="15">
        <f>IF(AND(BM47=BN47,BN47=BO47,BM47=BO47),0,1)</f>
        <v>0</v>
      </c>
      <c r="BQ47" s="2"/>
      <c r="BR47" s="2"/>
      <c r="BT47" s="2"/>
      <c r="BV47" s="2"/>
      <c r="BW47" s="2"/>
      <c r="BX47" s="2"/>
      <c r="BY47" s="2"/>
      <c r="BZ47" s="2"/>
      <c r="CA47" s="2"/>
      <c r="CC47" s="2"/>
      <c r="CD47" s="2"/>
      <c r="CE47" s="2"/>
      <c r="CG47" s="2"/>
      <c r="CI47" s="2"/>
      <c r="CJ47" s="2"/>
      <c r="CK47" s="2"/>
      <c r="CL47" s="2"/>
      <c r="CM47" s="2"/>
      <c r="CN47" s="2"/>
      <c r="CP47" s="2"/>
      <c r="CQ47" s="2"/>
      <c r="CR47" s="2"/>
      <c r="CT47" s="2"/>
      <c r="CV47" s="2"/>
      <c r="CW47" s="2"/>
      <c r="CX47" s="2"/>
      <c r="CY47" s="2"/>
      <c r="CZ47" s="2"/>
      <c r="DA47" s="2"/>
      <c r="DC47" s="2"/>
      <c r="DD47" s="2"/>
      <c r="DE47" s="2"/>
      <c r="DG47" s="2"/>
      <c r="DI47" s="2"/>
      <c r="DJ47" s="2"/>
      <c r="DK47" s="2"/>
    </row>
    <row r="48" spans="1:115" x14ac:dyDescent="0.25">
      <c r="A48" s="1" t="s">
        <v>53</v>
      </c>
      <c r="B48" s="44"/>
      <c r="C48" s="58"/>
      <c r="D48" s="46"/>
      <c r="E48" s="33"/>
      <c r="F48" s="33">
        <f t="shared" ref="F48:F51" si="32">E48*D48</f>
        <v>0</v>
      </c>
      <c r="G48" s="59"/>
      <c r="H48" s="194">
        <v>0</v>
      </c>
      <c r="I48" s="59"/>
      <c r="J48" s="35"/>
      <c r="K48" s="36">
        <f t="shared" si="3"/>
        <v>0</v>
      </c>
      <c r="L48" s="37"/>
      <c r="M48" s="38">
        <f t="shared" ref="M48:M52" si="33">L48*K48</f>
        <v>0</v>
      </c>
      <c r="N48" s="37"/>
      <c r="O48" s="38">
        <f t="shared" ref="O48:O52" si="34">N48*K48</f>
        <v>0</v>
      </c>
      <c r="P48" s="59"/>
      <c r="Q48" s="60"/>
      <c r="R48" s="36">
        <f t="shared" si="6"/>
        <v>0</v>
      </c>
      <c r="S48" s="61"/>
      <c r="T48" s="38">
        <f t="shared" ref="T48:T52" si="35">S48*R48</f>
        <v>0</v>
      </c>
      <c r="U48" s="61"/>
      <c r="V48" s="38">
        <f t="shared" ref="V48:V52" si="36">U48*R48</f>
        <v>0</v>
      </c>
      <c r="W48" s="59"/>
      <c r="X48" s="60"/>
      <c r="Y48" s="36">
        <f t="shared" si="9"/>
        <v>0</v>
      </c>
      <c r="Z48" s="61"/>
      <c r="AA48" s="38">
        <f t="shared" ref="AA48:AA52" si="37">Z48*Y48</f>
        <v>0</v>
      </c>
      <c r="AB48" s="61"/>
      <c r="AC48" s="38">
        <f t="shared" ref="AC48:AC52" si="38">AB48*Y48</f>
        <v>0</v>
      </c>
      <c r="AD48" s="59"/>
      <c r="AE48" s="60"/>
      <c r="AF48" s="36">
        <f t="shared" si="12"/>
        <v>0</v>
      </c>
      <c r="AG48" s="61"/>
      <c r="AH48" s="38">
        <f t="shared" ref="AH48:AH52" si="39">AG48*AF48</f>
        <v>0</v>
      </c>
      <c r="AI48" s="61"/>
      <c r="AJ48" s="38">
        <f t="shared" ref="AJ48:AJ52" si="40">AI48*AF48</f>
        <v>0</v>
      </c>
      <c r="AK48" s="59"/>
      <c r="AL48" s="60"/>
      <c r="AM48" s="36">
        <f t="shared" si="15"/>
        <v>0</v>
      </c>
      <c r="AN48" s="61"/>
      <c r="AO48" s="38">
        <f t="shared" ref="AO48:AO52" si="41">AN48*AM48</f>
        <v>0</v>
      </c>
      <c r="AP48" s="61"/>
      <c r="AQ48" s="38">
        <f t="shared" ref="AQ48:AQ52" si="42">AP48*AM48</f>
        <v>0</v>
      </c>
      <c r="AR48" s="59"/>
      <c r="AS48" s="60"/>
      <c r="AT48" s="36">
        <f t="shared" si="18"/>
        <v>0</v>
      </c>
      <c r="AU48" s="61"/>
      <c r="AV48" s="38">
        <f t="shared" ref="AV48:AV52" si="43">AU48*AT48</f>
        <v>0</v>
      </c>
      <c r="AW48" s="61"/>
      <c r="AX48" s="38">
        <f t="shared" ref="AX48:AX52" si="44">AW48*AT48</f>
        <v>0</v>
      </c>
      <c r="AY48" s="59"/>
      <c r="AZ48" s="60"/>
      <c r="BA48" s="36">
        <f t="shared" si="21"/>
        <v>0</v>
      </c>
      <c r="BB48" s="61"/>
      <c r="BC48" s="38">
        <f t="shared" ref="BC48:BC52" si="45">BB48*BA48</f>
        <v>0</v>
      </c>
      <c r="BD48" s="61"/>
      <c r="BE48" s="38">
        <f t="shared" ref="BE48:BE52" si="46">BD48*BA48</f>
        <v>0</v>
      </c>
      <c r="BF48" s="59"/>
      <c r="BG48" s="60"/>
      <c r="BH48" s="36">
        <f t="shared" si="24"/>
        <v>0</v>
      </c>
      <c r="BI48" s="61"/>
      <c r="BJ48" s="38">
        <f t="shared" ref="BJ48:BJ52" si="47">BI48*BH48</f>
        <v>0</v>
      </c>
      <c r="BK48" s="61"/>
      <c r="BL48" s="38">
        <f t="shared" ref="BL48:BL52" si="48">BK48*BH48</f>
        <v>0</v>
      </c>
      <c r="BM48" s="40">
        <f t="shared" si="30"/>
        <v>0</v>
      </c>
      <c r="BN48" s="40">
        <f t="shared" si="31"/>
        <v>0</v>
      </c>
      <c r="BO48" s="40">
        <f t="shared" si="27"/>
        <v>0</v>
      </c>
      <c r="BP48" s="15">
        <f t="shared" ref="BP48:BP53" si="49">IF(AND(BM48=BN48,BN48=BO48,BM48=BO48),0,1)</f>
        <v>0</v>
      </c>
      <c r="BQ48" s="2"/>
      <c r="BR48" s="2"/>
      <c r="BT48" s="2"/>
      <c r="BV48" s="2"/>
      <c r="BW48" s="2"/>
      <c r="BX48" s="2"/>
      <c r="BY48" s="2"/>
      <c r="BZ48" s="2"/>
      <c r="CA48" s="2"/>
      <c r="CC48" s="2"/>
      <c r="CD48" s="2"/>
      <c r="CE48" s="2"/>
      <c r="CG48" s="2"/>
      <c r="CI48" s="2"/>
      <c r="CJ48" s="2"/>
      <c r="CK48" s="2"/>
      <c r="CL48" s="2"/>
      <c r="CM48" s="2"/>
      <c r="CN48" s="2"/>
      <c r="CP48" s="2"/>
      <c r="CQ48" s="2"/>
      <c r="CR48" s="2"/>
      <c r="CT48" s="2"/>
      <c r="CV48" s="2"/>
      <c r="CW48" s="2"/>
      <c r="CX48" s="2"/>
      <c r="CY48" s="2"/>
      <c r="CZ48" s="2"/>
      <c r="DA48" s="2"/>
      <c r="DC48" s="2"/>
      <c r="DD48" s="2"/>
      <c r="DE48" s="2"/>
      <c r="DG48" s="2"/>
      <c r="DI48" s="2"/>
      <c r="DJ48" s="2"/>
      <c r="DK48" s="2"/>
    </row>
    <row r="49" spans="2:115" x14ac:dyDescent="0.25">
      <c r="B49" s="44" t="s">
        <v>54</v>
      </c>
      <c r="C49" s="58" t="s">
        <v>36</v>
      </c>
      <c r="D49" s="46">
        <v>200</v>
      </c>
      <c r="E49" s="195">
        <f>H49*$K$83</f>
        <v>367.34399999999999</v>
      </c>
      <c r="F49" s="43">
        <f t="shared" si="32"/>
        <v>73468.800000000003</v>
      </c>
      <c r="G49" s="59"/>
      <c r="H49" s="194">
        <v>360</v>
      </c>
      <c r="I49" s="59"/>
      <c r="J49" s="35"/>
      <c r="K49" s="36">
        <f t="shared" si="3"/>
        <v>0</v>
      </c>
      <c r="L49" s="37"/>
      <c r="M49" s="38">
        <f t="shared" si="33"/>
        <v>0</v>
      </c>
      <c r="N49" s="37"/>
      <c r="O49" s="38">
        <f t="shared" si="34"/>
        <v>0</v>
      </c>
      <c r="P49" s="59"/>
      <c r="Q49" s="60"/>
      <c r="R49" s="36">
        <f t="shared" si="6"/>
        <v>0</v>
      </c>
      <c r="S49" s="61"/>
      <c r="T49" s="38">
        <f t="shared" si="35"/>
        <v>0</v>
      </c>
      <c r="U49" s="61"/>
      <c r="V49" s="38">
        <f t="shared" si="36"/>
        <v>0</v>
      </c>
      <c r="W49" s="59"/>
      <c r="X49" s="60">
        <v>0.6</v>
      </c>
      <c r="Y49" s="36">
        <f t="shared" si="9"/>
        <v>44081.279999999999</v>
      </c>
      <c r="Z49" s="61">
        <v>0.85</v>
      </c>
      <c r="AA49" s="38">
        <f t="shared" si="37"/>
        <v>37469.087999999996</v>
      </c>
      <c r="AB49" s="61">
        <v>0.15</v>
      </c>
      <c r="AC49" s="38">
        <f t="shared" si="38"/>
        <v>6612.192</v>
      </c>
      <c r="AD49" s="59"/>
      <c r="AE49" s="60">
        <v>0.2</v>
      </c>
      <c r="AF49" s="36">
        <f t="shared" si="12"/>
        <v>14693.760000000002</v>
      </c>
      <c r="AG49" s="61">
        <v>0.85</v>
      </c>
      <c r="AH49" s="38">
        <f t="shared" si="39"/>
        <v>12489.696000000002</v>
      </c>
      <c r="AI49" s="61">
        <v>0.15</v>
      </c>
      <c r="AJ49" s="38">
        <f t="shared" si="40"/>
        <v>2204.0640000000003</v>
      </c>
      <c r="AK49" s="59"/>
      <c r="AL49" s="60">
        <v>0.15</v>
      </c>
      <c r="AM49" s="36">
        <f t="shared" si="15"/>
        <v>11020.32</v>
      </c>
      <c r="AN49" s="61">
        <v>0.85</v>
      </c>
      <c r="AO49" s="38">
        <f t="shared" si="41"/>
        <v>9367.271999999999</v>
      </c>
      <c r="AP49" s="61">
        <v>0.15</v>
      </c>
      <c r="AQ49" s="38">
        <f t="shared" si="42"/>
        <v>1653.048</v>
      </c>
      <c r="AR49" s="59"/>
      <c r="AS49" s="60">
        <v>0.05</v>
      </c>
      <c r="AT49" s="36">
        <f t="shared" si="18"/>
        <v>3673.4400000000005</v>
      </c>
      <c r="AU49" s="61">
        <v>0.85</v>
      </c>
      <c r="AV49" s="38">
        <f t="shared" si="43"/>
        <v>3122.4240000000004</v>
      </c>
      <c r="AW49" s="61">
        <v>0.15</v>
      </c>
      <c r="AX49" s="38">
        <f t="shared" si="44"/>
        <v>551.01600000000008</v>
      </c>
      <c r="AY49" s="59"/>
      <c r="AZ49" s="60"/>
      <c r="BA49" s="36">
        <f t="shared" si="21"/>
        <v>0</v>
      </c>
      <c r="BB49" s="61"/>
      <c r="BC49" s="38">
        <f t="shared" si="45"/>
        <v>0</v>
      </c>
      <c r="BD49" s="61"/>
      <c r="BE49" s="38">
        <f t="shared" si="46"/>
        <v>0</v>
      </c>
      <c r="BF49" s="59"/>
      <c r="BG49" s="60"/>
      <c r="BH49" s="36">
        <f t="shared" si="24"/>
        <v>0</v>
      </c>
      <c r="BI49" s="61"/>
      <c r="BJ49" s="38">
        <f t="shared" si="47"/>
        <v>0</v>
      </c>
      <c r="BK49" s="61"/>
      <c r="BL49" s="38">
        <f t="shared" si="48"/>
        <v>0</v>
      </c>
      <c r="BM49" s="40">
        <f t="shared" si="30"/>
        <v>73468.800000000003</v>
      </c>
      <c r="BN49" s="40">
        <f t="shared" si="31"/>
        <v>73468.800000000003</v>
      </c>
      <c r="BO49" s="40">
        <f t="shared" si="27"/>
        <v>73468.800000000003</v>
      </c>
      <c r="BP49" s="15">
        <f t="shared" si="49"/>
        <v>0</v>
      </c>
      <c r="BQ49" s="2"/>
      <c r="BR49" s="2"/>
      <c r="BT49" s="2"/>
      <c r="BV49" s="2"/>
      <c r="BW49" s="2"/>
      <c r="BX49" s="2"/>
      <c r="BY49" s="2"/>
      <c r="BZ49" s="2"/>
      <c r="CA49" s="2"/>
      <c r="CC49" s="2"/>
      <c r="CD49" s="2"/>
      <c r="CE49" s="2"/>
      <c r="CG49" s="2"/>
      <c r="CI49" s="2"/>
      <c r="CJ49" s="2"/>
      <c r="CK49" s="2"/>
      <c r="CL49" s="2"/>
      <c r="CM49" s="2"/>
      <c r="CN49" s="2"/>
      <c r="CP49" s="2"/>
      <c r="CQ49" s="2"/>
      <c r="CR49" s="2"/>
      <c r="CT49" s="2"/>
      <c r="CV49" s="2"/>
      <c r="CW49" s="2"/>
      <c r="CX49" s="2"/>
      <c r="CY49" s="2"/>
      <c r="CZ49" s="2"/>
      <c r="DA49" s="2"/>
      <c r="DC49" s="2"/>
      <c r="DD49" s="2"/>
      <c r="DE49" s="2"/>
      <c r="DG49" s="2"/>
      <c r="DI49" s="2"/>
      <c r="DJ49" s="2"/>
      <c r="DK49" s="2"/>
    </row>
    <row r="50" spans="2:115" x14ac:dyDescent="0.25">
      <c r="B50" s="44" t="s">
        <v>55</v>
      </c>
      <c r="C50" s="58" t="s">
        <v>36</v>
      </c>
      <c r="D50" s="46">
        <v>200</v>
      </c>
      <c r="E50" s="33">
        <f>$K$72</f>
        <v>-108.3695731319762</v>
      </c>
      <c r="F50" s="43">
        <f t="shared" si="32"/>
        <v>-21673.914626395239</v>
      </c>
      <c r="G50" s="59"/>
      <c r="H50" s="194">
        <v>-123.79</v>
      </c>
      <c r="I50" s="59"/>
      <c r="J50" s="35"/>
      <c r="K50" s="36">
        <f t="shared" si="3"/>
        <v>0</v>
      </c>
      <c r="L50" s="37"/>
      <c r="M50" s="38">
        <f t="shared" si="33"/>
        <v>0</v>
      </c>
      <c r="N50" s="37"/>
      <c r="O50" s="38">
        <f t="shared" si="34"/>
        <v>0</v>
      </c>
      <c r="P50" s="59"/>
      <c r="Q50" s="60"/>
      <c r="R50" s="36">
        <f t="shared" si="6"/>
        <v>0</v>
      </c>
      <c r="S50" s="61"/>
      <c r="T50" s="38">
        <f t="shared" si="35"/>
        <v>0</v>
      </c>
      <c r="U50" s="61"/>
      <c r="V50" s="38">
        <f t="shared" si="36"/>
        <v>0</v>
      </c>
      <c r="W50" s="59"/>
      <c r="X50" s="60">
        <v>0.6</v>
      </c>
      <c r="Y50" s="36">
        <f t="shared" si="9"/>
        <v>-13004.348775837143</v>
      </c>
      <c r="Z50" s="61">
        <v>0.85</v>
      </c>
      <c r="AA50" s="38">
        <f t="shared" si="37"/>
        <v>-11053.696459461571</v>
      </c>
      <c r="AB50" s="61">
        <v>0.15</v>
      </c>
      <c r="AC50" s="38">
        <f t="shared" si="38"/>
        <v>-1950.6523163755714</v>
      </c>
      <c r="AD50" s="59"/>
      <c r="AE50" s="60">
        <v>0.25</v>
      </c>
      <c r="AF50" s="36">
        <f t="shared" si="12"/>
        <v>-5418.4786565988097</v>
      </c>
      <c r="AG50" s="61">
        <v>0.85</v>
      </c>
      <c r="AH50" s="38">
        <f t="shared" si="39"/>
        <v>-4605.7068581089879</v>
      </c>
      <c r="AI50" s="61">
        <v>0.15</v>
      </c>
      <c r="AJ50" s="38">
        <f t="shared" si="40"/>
        <v>-812.77179848982144</v>
      </c>
      <c r="AK50" s="59"/>
      <c r="AL50" s="60">
        <v>0.15</v>
      </c>
      <c r="AM50" s="36">
        <f t="shared" si="15"/>
        <v>-3251.0871939592857</v>
      </c>
      <c r="AN50" s="61">
        <v>0.85</v>
      </c>
      <c r="AO50" s="38">
        <f t="shared" si="41"/>
        <v>-2763.4241148653928</v>
      </c>
      <c r="AP50" s="61">
        <v>0.15</v>
      </c>
      <c r="AQ50" s="38">
        <f t="shared" si="42"/>
        <v>-487.66307909389286</v>
      </c>
      <c r="AR50" s="59"/>
      <c r="AS50" s="60"/>
      <c r="AT50" s="36">
        <f t="shared" si="18"/>
        <v>0</v>
      </c>
      <c r="AU50" s="61"/>
      <c r="AV50" s="38">
        <f t="shared" si="43"/>
        <v>0</v>
      </c>
      <c r="AW50" s="61"/>
      <c r="AX50" s="38">
        <f t="shared" si="44"/>
        <v>0</v>
      </c>
      <c r="AY50" s="59"/>
      <c r="AZ50" s="60"/>
      <c r="BA50" s="36">
        <f t="shared" si="21"/>
        <v>0</v>
      </c>
      <c r="BB50" s="61"/>
      <c r="BC50" s="38">
        <f t="shared" si="45"/>
        <v>0</v>
      </c>
      <c r="BD50" s="61"/>
      <c r="BE50" s="38">
        <f t="shared" si="46"/>
        <v>0</v>
      </c>
      <c r="BF50" s="59"/>
      <c r="BG50" s="60"/>
      <c r="BH50" s="36">
        <f t="shared" si="24"/>
        <v>0</v>
      </c>
      <c r="BI50" s="61"/>
      <c r="BJ50" s="38">
        <f t="shared" si="47"/>
        <v>0</v>
      </c>
      <c r="BK50" s="61"/>
      <c r="BL50" s="38">
        <f t="shared" si="48"/>
        <v>0</v>
      </c>
      <c r="BM50" s="40">
        <f t="shared" si="30"/>
        <v>-21673.914626395239</v>
      </c>
      <c r="BN50" s="40">
        <f t="shared" si="31"/>
        <v>-21673.914626395239</v>
      </c>
      <c r="BO50" s="40">
        <f t="shared" si="27"/>
        <v>-21673.914626395235</v>
      </c>
      <c r="BP50" s="15">
        <f t="shared" si="49"/>
        <v>0</v>
      </c>
      <c r="BQ50" s="2"/>
      <c r="BR50" s="2"/>
      <c r="BT50" s="2"/>
      <c r="BV50" s="2"/>
      <c r="BW50" s="2"/>
      <c r="BX50" s="2"/>
      <c r="BY50" s="2"/>
      <c r="BZ50" s="2"/>
      <c r="CA50" s="2"/>
      <c r="CC50" s="2"/>
      <c r="CD50" s="2"/>
      <c r="CE50" s="2"/>
      <c r="CG50" s="2"/>
      <c r="CI50" s="2"/>
      <c r="CJ50" s="2"/>
      <c r="CK50" s="2"/>
      <c r="CL50" s="2"/>
      <c r="CM50" s="2"/>
      <c r="CN50" s="2"/>
      <c r="CP50" s="2"/>
      <c r="CQ50" s="2"/>
      <c r="CR50" s="2"/>
      <c r="CT50" s="2"/>
      <c r="CV50" s="2"/>
      <c r="CW50" s="2"/>
      <c r="CX50" s="2"/>
      <c r="CY50" s="2"/>
      <c r="CZ50" s="2"/>
      <c r="DA50" s="2"/>
      <c r="DC50" s="2"/>
      <c r="DD50" s="2"/>
      <c r="DE50" s="2"/>
      <c r="DG50" s="2"/>
      <c r="DI50" s="2"/>
      <c r="DJ50" s="2"/>
      <c r="DK50" s="2"/>
    </row>
    <row r="51" spans="2:115" x14ac:dyDescent="0.25">
      <c r="B51" s="51" t="s">
        <v>45</v>
      </c>
      <c r="C51" s="58" t="s">
        <v>36</v>
      </c>
      <c r="D51" s="46">
        <v>65</v>
      </c>
      <c r="E51" s="195">
        <f>H51*$K$83</f>
        <v>66.325999999999993</v>
      </c>
      <c r="F51" s="43">
        <f t="shared" si="32"/>
        <v>4311.1899999999996</v>
      </c>
      <c r="G51" s="59"/>
      <c r="H51" s="194">
        <v>65</v>
      </c>
      <c r="I51" s="59"/>
      <c r="J51" s="35"/>
      <c r="K51" s="36">
        <f t="shared" si="3"/>
        <v>0</v>
      </c>
      <c r="L51" s="37"/>
      <c r="M51" s="38">
        <f t="shared" si="33"/>
        <v>0</v>
      </c>
      <c r="N51" s="37"/>
      <c r="O51" s="38">
        <f t="shared" si="34"/>
        <v>0</v>
      </c>
      <c r="P51" s="59"/>
      <c r="Q51" s="60">
        <v>0.14285714285714288</v>
      </c>
      <c r="R51" s="36">
        <f t="shared" si="6"/>
        <v>615.88428571428574</v>
      </c>
      <c r="S51" s="61">
        <v>0.85</v>
      </c>
      <c r="T51" s="38">
        <f t="shared" si="35"/>
        <v>523.50164285714288</v>
      </c>
      <c r="U51" s="61">
        <v>0.15</v>
      </c>
      <c r="V51" s="38">
        <f t="shared" si="36"/>
        <v>92.382642857142855</v>
      </c>
      <c r="W51" s="59"/>
      <c r="X51" s="60">
        <v>0.14285714285714288</v>
      </c>
      <c r="Y51" s="36">
        <f t="shared" si="9"/>
        <v>615.88428571428574</v>
      </c>
      <c r="Z51" s="61">
        <v>0.85</v>
      </c>
      <c r="AA51" s="38">
        <f t="shared" si="37"/>
        <v>523.50164285714288</v>
      </c>
      <c r="AB51" s="61">
        <v>0.15</v>
      </c>
      <c r="AC51" s="38">
        <f t="shared" si="38"/>
        <v>92.382642857142855</v>
      </c>
      <c r="AD51" s="59"/>
      <c r="AE51" s="60">
        <v>0.14285714285714288</v>
      </c>
      <c r="AF51" s="36">
        <f t="shared" si="12"/>
        <v>615.88428571428574</v>
      </c>
      <c r="AG51" s="61">
        <v>0.85</v>
      </c>
      <c r="AH51" s="38">
        <f t="shared" si="39"/>
        <v>523.50164285714288</v>
      </c>
      <c r="AI51" s="61">
        <v>0.15</v>
      </c>
      <c r="AJ51" s="38">
        <f t="shared" si="40"/>
        <v>92.382642857142855</v>
      </c>
      <c r="AK51" s="59"/>
      <c r="AL51" s="60">
        <v>0.14285714285714288</v>
      </c>
      <c r="AM51" s="36">
        <f t="shared" si="15"/>
        <v>615.88428571428574</v>
      </c>
      <c r="AN51" s="61">
        <v>0.85</v>
      </c>
      <c r="AO51" s="38">
        <f t="shared" si="41"/>
        <v>523.50164285714288</v>
      </c>
      <c r="AP51" s="61">
        <v>0.15</v>
      </c>
      <c r="AQ51" s="38">
        <f t="shared" si="42"/>
        <v>92.382642857142855</v>
      </c>
      <c r="AR51" s="59"/>
      <c r="AS51" s="60">
        <v>0.14285714285714288</v>
      </c>
      <c r="AT51" s="36">
        <f t="shared" si="18"/>
        <v>615.88428571428574</v>
      </c>
      <c r="AU51" s="61">
        <v>0.85</v>
      </c>
      <c r="AV51" s="38">
        <f t="shared" si="43"/>
        <v>523.50164285714288</v>
      </c>
      <c r="AW51" s="61">
        <v>0.15</v>
      </c>
      <c r="AX51" s="38">
        <f t="shared" si="44"/>
        <v>92.382642857142855</v>
      </c>
      <c r="AY51" s="59"/>
      <c r="AZ51" s="60">
        <v>0.14285714285714288</v>
      </c>
      <c r="BA51" s="36">
        <f t="shared" si="21"/>
        <v>615.88428571428574</v>
      </c>
      <c r="BB51" s="61">
        <v>0.85</v>
      </c>
      <c r="BC51" s="38">
        <f t="shared" si="45"/>
        <v>523.50164285714288</v>
      </c>
      <c r="BD51" s="61">
        <v>0.15</v>
      </c>
      <c r="BE51" s="38">
        <f t="shared" si="46"/>
        <v>92.382642857142855</v>
      </c>
      <c r="BF51" s="59"/>
      <c r="BG51" s="60">
        <v>0.14285714285714288</v>
      </c>
      <c r="BH51" s="36">
        <f t="shared" si="24"/>
        <v>615.88428571428574</v>
      </c>
      <c r="BI51" s="61">
        <v>0.85</v>
      </c>
      <c r="BJ51" s="38">
        <f t="shared" si="47"/>
        <v>523.50164285714288</v>
      </c>
      <c r="BK51" s="61">
        <v>0.15</v>
      </c>
      <c r="BL51" s="38">
        <f t="shared" si="48"/>
        <v>92.382642857142855</v>
      </c>
      <c r="BM51" s="40">
        <f t="shared" si="30"/>
        <v>4311.1899999999996</v>
      </c>
      <c r="BN51" s="40">
        <f t="shared" si="31"/>
        <v>4311.1900000000005</v>
      </c>
      <c r="BO51" s="40">
        <f t="shared" si="27"/>
        <v>4311.1900000000005</v>
      </c>
      <c r="BP51" s="15">
        <f t="shared" si="49"/>
        <v>0</v>
      </c>
      <c r="BQ51" s="2"/>
      <c r="BR51" s="2"/>
      <c r="BT51" s="2"/>
      <c r="BV51" s="2"/>
      <c r="BW51" s="2"/>
      <c r="BX51" s="2"/>
      <c r="BY51" s="2"/>
      <c r="BZ51" s="2"/>
      <c r="CA51" s="2"/>
      <c r="CC51" s="2"/>
      <c r="CD51" s="2"/>
      <c r="CE51" s="2"/>
      <c r="CG51" s="2"/>
      <c r="CI51" s="2"/>
      <c r="CJ51" s="2"/>
      <c r="CK51" s="2"/>
      <c r="CL51" s="2"/>
      <c r="CM51" s="2"/>
      <c r="CN51" s="2"/>
      <c r="CP51" s="2"/>
      <c r="CQ51" s="2"/>
      <c r="CR51" s="2"/>
      <c r="CT51" s="2"/>
      <c r="CV51" s="2"/>
      <c r="CW51" s="2"/>
      <c r="CX51" s="2"/>
      <c r="CY51" s="2"/>
      <c r="CZ51" s="2"/>
      <c r="DA51" s="2"/>
      <c r="DC51" s="2"/>
      <c r="DD51" s="2"/>
      <c r="DE51" s="2"/>
      <c r="DG51" s="2"/>
      <c r="DI51" s="2"/>
      <c r="DJ51" s="2"/>
      <c r="DK51" s="2"/>
    </row>
    <row r="52" spans="2:115" x14ac:dyDescent="0.25">
      <c r="B52" s="44"/>
      <c r="C52" s="58"/>
      <c r="D52" s="42"/>
      <c r="E52" s="33"/>
      <c r="F52" s="33"/>
      <c r="G52" s="59"/>
      <c r="H52" s="194">
        <v>0</v>
      </c>
      <c r="I52" s="59"/>
      <c r="J52" s="35"/>
      <c r="K52" s="36">
        <f t="shared" si="3"/>
        <v>0</v>
      </c>
      <c r="L52" s="37"/>
      <c r="M52" s="38">
        <f t="shared" si="33"/>
        <v>0</v>
      </c>
      <c r="N52" s="37"/>
      <c r="O52" s="38">
        <f t="shared" si="34"/>
        <v>0</v>
      </c>
      <c r="P52" s="59"/>
      <c r="Q52" s="60"/>
      <c r="R52" s="36">
        <f t="shared" si="6"/>
        <v>0</v>
      </c>
      <c r="S52" s="61"/>
      <c r="T52" s="38">
        <f t="shared" si="35"/>
        <v>0</v>
      </c>
      <c r="U52" s="61"/>
      <c r="V52" s="38">
        <f t="shared" si="36"/>
        <v>0</v>
      </c>
      <c r="W52" s="59"/>
      <c r="X52" s="60"/>
      <c r="Y52" s="36">
        <f t="shared" si="9"/>
        <v>0</v>
      </c>
      <c r="Z52" s="61"/>
      <c r="AA52" s="38">
        <f t="shared" si="37"/>
        <v>0</v>
      </c>
      <c r="AB52" s="61"/>
      <c r="AC52" s="38">
        <f t="shared" si="38"/>
        <v>0</v>
      </c>
      <c r="AD52" s="59"/>
      <c r="AE52" s="60"/>
      <c r="AF52" s="36">
        <f t="shared" si="12"/>
        <v>0</v>
      </c>
      <c r="AG52" s="61"/>
      <c r="AH52" s="38">
        <f t="shared" si="39"/>
        <v>0</v>
      </c>
      <c r="AI52" s="61"/>
      <c r="AJ52" s="38">
        <f t="shared" si="40"/>
        <v>0</v>
      </c>
      <c r="AK52" s="59"/>
      <c r="AL52" s="60"/>
      <c r="AM52" s="36">
        <f t="shared" si="15"/>
        <v>0</v>
      </c>
      <c r="AN52" s="61"/>
      <c r="AO52" s="38">
        <f t="shared" si="41"/>
        <v>0</v>
      </c>
      <c r="AP52" s="61"/>
      <c r="AQ52" s="38">
        <f t="shared" si="42"/>
        <v>0</v>
      </c>
      <c r="AR52" s="59"/>
      <c r="AS52" s="60"/>
      <c r="AT52" s="36">
        <f t="shared" si="18"/>
        <v>0</v>
      </c>
      <c r="AU52" s="61"/>
      <c r="AV52" s="38">
        <f t="shared" si="43"/>
        <v>0</v>
      </c>
      <c r="AW52" s="61"/>
      <c r="AX52" s="38">
        <f t="shared" si="44"/>
        <v>0</v>
      </c>
      <c r="AY52" s="59"/>
      <c r="AZ52" s="60"/>
      <c r="BA52" s="36">
        <f t="shared" si="21"/>
        <v>0</v>
      </c>
      <c r="BB52" s="61"/>
      <c r="BC52" s="38">
        <f t="shared" si="45"/>
        <v>0</v>
      </c>
      <c r="BD52" s="61"/>
      <c r="BE52" s="38">
        <f t="shared" si="46"/>
        <v>0</v>
      </c>
      <c r="BF52" s="59"/>
      <c r="BG52" s="60"/>
      <c r="BH52" s="36">
        <f t="shared" si="24"/>
        <v>0</v>
      </c>
      <c r="BI52" s="61"/>
      <c r="BJ52" s="38">
        <f t="shared" si="47"/>
        <v>0</v>
      </c>
      <c r="BK52" s="61"/>
      <c r="BL52" s="38">
        <f t="shared" si="48"/>
        <v>0</v>
      </c>
      <c r="BM52" s="40">
        <f t="shared" si="30"/>
        <v>0</v>
      </c>
      <c r="BN52" s="40">
        <f t="shared" si="31"/>
        <v>0</v>
      </c>
      <c r="BO52" s="40">
        <f t="shared" si="27"/>
        <v>0</v>
      </c>
      <c r="BP52" s="15">
        <f t="shared" si="49"/>
        <v>0</v>
      </c>
      <c r="BQ52" s="2"/>
      <c r="BR52" s="2"/>
      <c r="BT52" s="2"/>
      <c r="BV52" s="2"/>
      <c r="BW52" s="2"/>
      <c r="BX52" s="2"/>
      <c r="BY52" s="2"/>
      <c r="BZ52" s="2"/>
      <c r="CA52" s="2"/>
      <c r="CC52" s="2"/>
      <c r="CD52" s="2"/>
      <c r="CE52" s="2"/>
      <c r="CG52" s="2"/>
      <c r="CI52" s="2"/>
      <c r="CJ52" s="2"/>
      <c r="CK52" s="2"/>
      <c r="CL52" s="2"/>
      <c r="CM52" s="2"/>
      <c r="CN52" s="2"/>
      <c r="CP52" s="2"/>
      <c r="CQ52" s="2"/>
      <c r="CR52" s="2"/>
      <c r="CT52" s="2"/>
      <c r="CV52" s="2"/>
      <c r="CW52" s="2"/>
      <c r="CX52" s="2"/>
      <c r="CY52" s="2"/>
      <c r="CZ52" s="2"/>
      <c r="DA52" s="2"/>
      <c r="DC52" s="2"/>
      <c r="DD52" s="2"/>
      <c r="DE52" s="2"/>
      <c r="DG52" s="2"/>
      <c r="DI52" s="2"/>
      <c r="DJ52" s="2"/>
      <c r="DK52" s="2"/>
    </row>
    <row r="53" spans="2:115" x14ac:dyDescent="0.25">
      <c r="B53" s="62" t="s">
        <v>0</v>
      </c>
      <c r="C53" s="63"/>
      <c r="D53" s="64"/>
      <c r="E53" s="65"/>
      <c r="F53" s="66">
        <f>SUM(F4:F52)</f>
        <v>9511012.7501868065</v>
      </c>
      <c r="G53" s="66">
        <f>SUM(G4:G52)</f>
        <v>0</v>
      </c>
      <c r="H53" s="194">
        <v>0</v>
      </c>
      <c r="I53" s="66"/>
      <c r="J53" s="66"/>
      <c r="K53" s="66">
        <f>SUM(K4:K52)</f>
        <v>373750</v>
      </c>
      <c r="L53" s="66"/>
      <c r="M53" s="66">
        <f>SUM(M4:M52)</f>
        <v>317687.5</v>
      </c>
      <c r="N53" s="66"/>
      <c r="O53" s="66">
        <f>SUM(O4:O52)</f>
        <v>56062.5</v>
      </c>
      <c r="P53" s="66">
        <f>SUM(P4:P52)</f>
        <v>0</v>
      </c>
      <c r="Q53" s="66"/>
      <c r="R53" s="66">
        <f>SUM(R4:R52)</f>
        <v>889355.2956428742</v>
      </c>
      <c r="S53" s="66"/>
      <c r="T53" s="66">
        <f>SUM(T4:T52)</f>
        <v>798517.41300001706</v>
      </c>
      <c r="U53" s="66"/>
      <c r="V53" s="66">
        <f>SUM(V4:V52)</f>
        <v>90837.882642857148</v>
      </c>
      <c r="W53" s="66">
        <f>SUM(W4:W52)</f>
        <v>0</v>
      </c>
      <c r="X53" s="66"/>
      <c r="Y53" s="66">
        <f>SUM(Y4:Y52)</f>
        <v>5421214.2578496188</v>
      </c>
      <c r="Z53" s="66"/>
      <c r="AA53" s="66">
        <f>SUM(AA4:AA52)</f>
        <v>5409897.8355231369</v>
      </c>
      <c r="AB53" s="66"/>
      <c r="AC53" s="66">
        <f>SUM(AC4:AC52)</f>
        <v>11316.42232648157</v>
      </c>
      <c r="AD53" s="66">
        <f>SUM(AD4:AD52)</f>
        <v>0</v>
      </c>
      <c r="AE53" s="66"/>
      <c r="AF53" s="66">
        <f>SUM(AF4:AF52)</f>
        <v>882698.56292824715</v>
      </c>
      <c r="AG53" s="66"/>
      <c r="AH53" s="66">
        <f>SUM(AH4:AH52)</f>
        <v>872777.38808387984</v>
      </c>
      <c r="AI53" s="66"/>
      <c r="AJ53" s="66">
        <f>SUM(AJ4:AJ52)</f>
        <v>9921.1748443673223</v>
      </c>
      <c r="AK53" s="66">
        <f>SUM(AK4:AK52)</f>
        <v>0</v>
      </c>
      <c r="AL53" s="66"/>
      <c r="AM53" s="66">
        <f>SUM(AM4:AM52)</f>
        <v>955867.70817792509</v>
      </c>
      <c r="AN53" s="66"/>
      <c r="AO53" s="66">
        <f>SUM(AO4:AO52)</f>
        <v>912422.4406141619</v>
      </c>
      <c r="AP53" s="66"/>
      <c r="AQ53" s="66">
        <f>SUM(AQ4:AQ52)</f>
        <v>43445.267563763249</v>
      </c>
      <c r="AR53" s="66">
        <f>SUM(AR4:AR52)</f>
        <v>0</v>
      </c>
      <c r="AS53" s="66"/>
      <c r="AT53" s="66">
        <f>SUM(AT4:AT52)</f>
        <v>-177664.49349543088</v>
      </c>
      <c r="AU53" s="66"/>
      <c r="AV53" s="66">
        <f>SUM(AV4:AV52)</f>
        <v>-214870.39213828804</v>
      </c>
      <c r="AW53" s="66"/>
      <c r="AX53" s="66">
        <f>SUM(AX4:AX52)</f>
        <v>37205.898642857144</v>
      </c>
      <c r="AY53" s="66">
        <f>SUM(AY4:AY52)</f>
        <v>0</v>
      </c>
      <c r="AZ53" s="66"/>
      <c r="BA53" s="66">
        <f>SUM(BA4:BA52)</f>
        <v>52627.295642874291</v>
      </c>
      <c r="BB53" s="66"/>
      <c r="BC53" s="66">
        <f>SUM(BC4:BC52)</f>
        <v>45972.413000017143</v>
      </c>
      <c r="BD53" s="66"/>
      <c r="BE53" s="66">
        <f>SUM(BE4:BE52)</f>
        <v>6654.8826428571429</v>
      </c>
      <c r="BF53" s="66">
        <f>SUM(BF4:BF52)</f>
        <v>0</v>
      </c>
      <c r="BG53" s="66"/>
      <c r="BH53" s="66">
        <f>SUM(BH4:BH52)</f>
        <v>52627.295642874291</v>
      </c>
      <c r="BI53" s="66"/>
      <c r="BJ53" s="66">
        <f>SUM(BJ4:BJ52)</f>
        <v>45972.413000017143</v>
      </c>
      <c r="BK53" s="66"/>
      <c r="BL53" s="66">
        <f>SUM(BL4:BL52)</f>
        <v>6654.8826428571429</v>
      </c>
      <c r="BM53" s="40">
        <f t="shared" si="30"/>
        <v>9511012.7501868065</v>
      </c>
      <c r="BN53" s="40">
        <f t="shared" si="31"/>
        <v>8450475.9223889858</v>
      </c>
      <c r="BO53" s="40">
        <f t="shared" si="27"/>
        <v>8450475.922388982</v>
      </c>
      <c r="BP53" s="15">
        <f t="shared" si="49"/>
        <v>1</v>
      </c>
      <c r="BQ53" s="2"/>
      <c r="BR53" s="2"/>
      <c r="BT53" s="2"/>
      <c r="BV53" s="2"/>
      <c r="BW53" s="2"/>
      <c r="BX53" s="2"/>
      <c r="BY53" s="2"/>
      <c r="BZ53" s="2"/>
      <c r="CA53" s="2"/>
      <c r="CC53" s="2"/>
      <c r="CD53" s="2"/>
      <c r="CE53" s="2"/>
      <c r="CG53" s="2"/>
      <c r="CI53" s="2"/>
      <c r="CJ53" s="2"/>
      <c r="CK53" s="2"/>
      <c r="CL53" s="2"/>
      <c r="CM53" s="2"/>
      <c r="CN53" s="2"/>
      <c r="CP53" s="2"/>
      <c r="CQ53" s="2"/>
      <c r="CR53" s="2"/>
      <c r="CT53" s="2"/>
      <c r="CV53" s="2"/>
      <c r="CW53" s="2"/>
      <c r="CX53" s="2"/>
      <c r="CY53" s="2"/>
      <c r="CZ53" s="2"/>
      <c r="DA53" s="2"/>
      <c r="DC53" s="2"/>
      <c r="DD53" s="2"/>
      <c r="DE53" s="2"/>
      <c r="DG53" s="2"/>
      <c r="DI53" s="2"/>
      <c r="DJ53" s="2"/>
      <c r="DK53" s="2"/>
    </row>
    <row r="54" spans="2:115" x14ac:dyDescent="0.25">
      <c r="H54" s="194">
        <v>0</v>
      </c>
      <c r="K54" s="36">
        <f>J54*F54</f>
        <v>0</v>
      </c>
      <c r="P54" s="71"/>
      <c r="Q54" s="72"/>
      <c r="S54" s="73"/>
      <c r="V54" s="2"/>
      <c r="W54" s="74"/>
      <c r="X54" s="72"/>
      <c r="Y54" s="6"/>
      <c r="Z54" s="73"/>
      <c r="AB54" s="6"/>
      <c r="AC54" s="2"/>
      <c r="AD54" s="74"/>
      <c r="AE54" s="72"/>
      <c r="AF54" s="6"/>
      <c r="AG54" s="73"/>
      <c r="AH54" s="6"/>
      <c r="AI54" s="6"/>
      <c r="AJ54" s="2"/>
      <c r="AK54" s="74"/>
      <c r="AL54" s="72"/>
      <c r="AN54" s="73"/>
      <c r="AO54" s="6"/>
      <c r="AQ54" s="2"/>
      <c r="AR54" s="74"/>
      <c r="AS54" s="72"/>
      <c r="AU54" s="73"/>
      <c r="AV54" s="6"/>
      <c r="AW54" s="6"/>
      <c r="AX54" s="2"/>
      <c r="AY54" s="74"/>
      <c r="AZ54" s="72"/>
      <c r="BB54" s="73"/>
      <c r="BE54" s="2"/>
      <c r="BF54" s="74"/>
      <c r="BG54" s="72"/>
      <c r="BH54" s="6"/>
      <c r="BI54" s="73"/>
      <c r="BJ54" s="6"/>
      <c r="BL54" s="2"/>
      <c r="BM54" s="40">
        <f t="shared" si="30"/>
        <v>0</v>
      </c>
      <c r="BN54" s="40">
        <f t="shared" si="31"/>
        <v>0</v>
      </c>
      <c r="BO54" s="40">
        <f t="shared" si="27"/>
        <v>0</v>
      </c>
      <c r="BP54" s="15">
        <f t="shared" si="28"/>
        <v>0</v>
      </c>
      <c r="BQ54" s="2"/>
      <c r="BR54" s="2"/>
      <c r="BT54" s="2"/>
      <c r="BV54" s="2"/>
      <c r="BW54" s="2"/>
      <c r="BX54" s="2"/>
      <c r="BY54" s="2"/>
      <c r="BZ54" s="2"/>
      <c r="CA54" s="2"/>
      <c r="CC54" s="2"/>
      <c r="CD54" s="2"/>
      <c r="CE54" s="2"/>
      <c r="CG54" s="2"/>
      <c r="CI54" s="2"/>
      <c r="CJ54" s="2"/>
      <c r="CK54" s="2"/>
      <c r="CL54" s="2"/>
      <c r="CM54" s="2"/>
      <c r="CN54" s="2"/>
      <c r="CP54" s="2"/>
      <c r="CQ54" s="2"/>
      <c r="CR54" s="2"/>
      <c r="CT54" s="2"/>
      <c r="CV54" s="2"/>
      <c r="CW54" s="2"/>
      <c r="CX54" s="2"/>
      <c r="CY54" s="2"/>
      <c r="CZ54" s="2"/>
      <c r="DA54" s="2"/>
      <c r="DC54" s="2"/>
      <c r="DD54" s="2"/>
      <c r="DE54" s="2"/>
      <c r="DG54" s="2"/>
      <c r="DI54" s="2"/>
      <c r="DJ54" s="2"/>
      <c r="DK54" s="2"/>
    </row>
    <row r="55" spans="2:115" x14ac:dyDescent="0.25">
      <c r="H55" s="194">
        <v>0</v>
      </c>
      <c r="K55" s="36">
        <f>J55*F55</f>
        <v>0</v>
      </c>
      <c r="P55" s="71"/>
      <c r="Q55" s="72"/>
      <c r="S55" s="73"/>
      <c r="V55" s="2"/>
      <c r="W55" s="74"/>
      <c r="X55" s="72"/>
      <c r="Y55" s="6"/>
      <c r="Z55" s="73"/>
      <c r="AB55" s="6"/>
      <c r="AC55" s="2"/>
      <c r="AD55" s="74"/>
      <c r="AE55" s="72"/>
      <c r="AF55" s="6"/>
      <c r="AG55" s="73"/>
      <c r="AH55" s="6"/>
      <c r="AI55" s="6"/>
      <c r="AJ55" s="2"/>
      <c r="AK55" s="74"/>
      <c r="AL55" s="72"/>
      <c r="AN55" s="73"/>
      <c r="AO55" s="6"/>
      <c r="AQ55" s="2"/>
      <c r="AR55" s="74"/>
      <c r="AS55" s="72"/>
      <c r="AU55" s="73"/>
      <c r="AV55" s="6"/>
      <c r="AW55" s="6"/>
      <c r="AX55" s="2"/>
      <c r="AY55" s="74"/>
      <c r="AZ55" s="72"/>
      <c r="BB55" s="73"/>
      <c r="BE55" s="2"/>
      <c r="BF55" s="74"/>
      <c r="BG55" s="72"/>
      <c r="BH55" s="6"/>
      <c r="BI55" s="73"/>
      <c r="BJ55" s="6"/>
      <c r="BL55" s="2"/>
      <c r="BM55" s="40">
        <f t="shared" si="30"/>
        <v>0</v>
      </c>
      <c r="BN55" s="40">
        <f t="shared" si="31"/>
        <v>0</v>
      </c>
      <c r="BO55" s="40">
        <f t="shared" si="27"/>
        <v>0</v>
      </c>
      <c r="BP55" s="15">
        <f t="shared" si="28"/>
        <v>0</v>
      </c>
      <c r="BQ55" s="2"/>
      <c r="BR55" s="2"/>
      <c r="BT55" s="2"/>
      <c r="BV55" s="2"/>
      <c r="BW55" s="2"/>
      <c r="BX55" s="2"/>
      <c r="BY55" s="2"/>
      <c r="BZ55" s="2"/>
      <c r="CA55" s="2"/>
      <c r="CC55" s="2"/>
      <c r="CD55" s="2"/>
      <c r="CE55" s="2"/>
      <c r="CG55" s="2"/>
      <c r="CI55" s="2"/>
      <c r="CJ55" s="2"/>
      <c r="CK55" s="2"/>
      <c r="CL55" s="2"/>
      <c r="CM55" s="2"/>
      <c r="CN55" s="2"/>
      <c r="CP55" s="2"/>
      <c r="CQ55" s="2"/>
      <c r="CR55" s="2"/>
      <c r="CT55" s="2"/>
      <c r="CV55" s="2"/>
      <c r="CW55" s="2"/>
      <c r="CX55" s="2"/>
      <c r="CY55" s="2"/>
      <c r="CZ55" s="2"/>
      <c r="DA55" s="2"/>
      <c r="DC55" s="2"/>
      <c r="DD55" s="2"/>
      <c r="DE55" s="2"/>
      <c r="DG55" s="2"/>
      <c r="DI55" s="2"/>
      <c r="DJ55" s="2"/>
      <c r="DK55" s="2"/>
    </row>
    <row r="56" spans="2:115" x14ac:dyDescent="0.25">
      <c r="H56" s="194">
        <v>0</v>
      </c>
      <c r="K56" s="36">
        <f>J56*F56</f>
        <v>0</v>
      </c>
      <c r="P56" s="71"/>
      <c r="Q56" s="72"/>
      <c r="S56" s="73"/>
      <c r="V56" s="2"/>
      <c r="W56" s="74"/>
      <c r="X56" s="72"/>
      <c r="Y56" s="6"/>
      <c r="Z56" s="73"/>
      <c r="AB56" s="6"/>
      <c r="AC56" s="2"/>
      <c r="AD56" s="74"/>
      <c r="AE56" s="72"/>
      <c r="AF56" s="6"/>
      <c r="AG56" s="73"/>
      <c r="AH56" s="6"/>
      <c r="AI56" s="6"/>
      <c r="AJ56" s="2"/>
      <c r="AK56" s="74"/>
      <c r="AL56" s="72"/>
      <c r="AN56" s="73"/>
      <c r="AO56" s="6"/>
      <c r="AQ56" s="2"/>
      <c r="AR56" s="74"/>
      <c r="AS56" s="72"/>
      <c r="AU56" s="73"/>
      <c r="AV56" s="6"/>
      <c r="AW56" s="6"/>
      <c r="AX56" s="2"/>
      <c r="AY56" s="74"/>
      <c r="AZ56" s="72"/>
      <c r="BB56" s="73"/>
      <c r="BE56" s="2"/>
      <c r="BF56" s="74"/>
      <c r="BG56" s="72"/>
      <c r="BH56" s="6"/>
      <c r="BI56" s="73"/>
      <c r="BJ56" s="6"/>
      <c r="BL56" s="2"/>
      <c r="BM56" s="40">
        <f t="shared" si="30"/>
        <v>0</v>
      </c>
      <c r="BN56" s="40">
        <f t="shared" si="31"/>
        <v>0</v>
      </c>
      <c r="BO56" s="40">
        <f t="shared" si="27"/>
        <v>0</v>
      </c>
      <c r="BP56" s="15">
        <f t="shared" si="28"/>
        <v>0</v>
      </c>
      <c r="BQ56" s="2"/>
      <c r="BR56" s="2"/>
      <c r="BT56" s="2"/>
      <c r="BV56" s="2"/>
      <c r="BW56" s="2"/>
      <c r="BX56" s="2"/>
      <c r="BY56" s="2"/>
      <c r="BZ56" s="2"/>
      <c r="CA56" s="2"/>
      <c r="CC56" s="2"/>
      <c r="CD56" s="2"/>
      <c r="CE56" s="2"/>
      <c r="CG56" s="2"/>
      <c r="CI56" s="2"/>
      <c r="CJ56" s="2"/>
      <c r="CK56" s="2"/>
      <c r="CL56" s="2"/>
      <c r="CM56" s="2"/>
      <c r="CN56" s="2"/>
      <c r="CP56" s="2"/>
      <c r="CQ56" s="2"/>
      <c r="CR56" s="2"/>
      <c r="CT56" s="2"/>
      <c r="CV56" s="2"/>
      <c r="CW56" s="2"/>
      <c r="CX56" s="2"/>
      <c r="CY56" s="2"/>
      <c r="CZ56" s="2"/>
      <c r="DA56" s="2"/>
      <c r="DC56" s="2"/>
      <c r="DD56" s="2"/>
      <c r="DE56" s="2"/>
      <c r="DG56" s="2"/>
      <c r="DI56" s="2"/>
      <c r="DJ56" s="2"/>
      <c r="DK56" s="2"/>
    </row>
    <row r="57" spans="2:115" x14ac:dyDescent="0.25">
      <c r="B57" s="47" t="s">
        <v>56</v>
      </c>
      <c r="C57" s="41" t="s">
        <v>36</v>
      </c>
      <c r="D57" s="42">
        <v>38751.271999999997</v>
      </c>
      <c r="E57" s="195">
        <f>H57*$K$83</f>
        <v>6.1223999999999998</v>
      </c>
      <c r="F57" s="43">
        <f>D57*E57</f>
        <v>237250.78769279999</v>
      </c>
      <c r="G57" s="39"/>
      <c r="H57" s="194">
        <v>6</v>
      </c>
      <c r="I57" s="39"/>
      <c r="J57" s="35"/>
      <c r="K57" s="36">
        <f t="shared" ref="K57:K60" si="50">J57*$F57</f>
        <v>0</v>
      </c>
      <c r="L57" s="37"/>
      <c r="M57" s="38">
        <f t="shared" ref="M57:M60" si="51">L57*K57</f>
        <v>0</v>
      </c>
      <c r="N57" s="37"/>
      <c r="O57" s="38">
        <f t="shared" ref="O57:O60" si="52">N57*K57</f>
        <v>0</v>
      </c>
      <c r="P57" s="39"/>
      <c r="Q57" s="35"/>
      <c r="R57" s="36">
        <f t="shared" ref="R57:R60" si="53">Q57*$F57</f>
        <v>0</v>
      </c>
      <c r="S57" s="37"/>
      <c r="T57" s="38">
        <f t="shared" ref="T57:T60" si="54">S57*R57</f>
        <v>0</v>
      </c>
      <c r="U57" s="37"/>
      <c r="V57" s="38">
        <f t="shared" ref="V57:V60" si="55">U57*R57</f>
        <v>0</v>
      </c>
      <c r="W57" s="39"/>
      <c r="X57" s="35"/>
      <c r="Y57" s="36">
        <f t="shared" ref="Y57:Y60" si="56">X57*$F57</f>
        <v>0</v>
      </c>
      <c r="Z57" s="37"/>
      <c r="AA57" s="38">
        <f t="shared" ref="AA57:AA60" si="57">Z57*Y57</f>
        <v>0</v>
      </c>
      <c r="AB57" s="37"/>
      <c r="AC57" s="38">
        <f t="shared" ref="AC57:AC60" si="58">AB57*Y57</f>
        <v>0</v>
      </c>
      <c r="AD57" s="39"/>
      <c r="AE57" s="35">
        <v>1</v>
      </c>
      <c r="AF57" s="36">
        <f t="shared" ref="AF57:AF60" si="59">AE57*$F57</f>
        <v>237250.78769279999</v>
      </c>
      <c r="AG57" s="37">
        <v>0.85</v>
      </c>
      <c r="AH57" s="38">
        <f t="shared" ref="AH57:AH60" si="60">AG57*AF57</f>
        <v>201663.16953888</v>
      </c>
      <c r="AI57" s="37">
        <v>0.15</v>
      </c>
      <c r="AJ57" s="38">
        <f t="shared" ref="AJ57:AJ58" si="61">AI57*AF57</f>
        <v>35587.618153919997</v>
      </c>
      <c r="AK57" s="39"/>
      <c r="AL57" s="35"/>
      <c r="AM57" s="36">
        <f t="shared" ref="AM57:AM60" si="62">AL57*$F57</f>
        <v>0</v>
      </c>
      <c r="AN57" s="37"/>
      <c r="AO57" s="38">
        <f t="shared" ref="AO57:AO60" si="63">AN57*AM57</f>
        <v>0</v>
      </c>
      <c r="AP57" s="37"/>
      <c r="AQ57" s="38">
        <f t="shared" ref="AQ57:AQ60" si="64">AP57*AM57</f>
        <v>0</v>
      </c>
      <c r="AR57" s="39"/>
      <c r="AS57" s="35"/>
      <c r="AT57" s="36">
        <f t="shared" ref="AT57:AT60" si="65">AS57*$F57</f>
        <v>0</v>
      </c>
      <c r="AU57" s="37"/>
      <c r="AV57" s="38">
        <f t="shared" ref="AV57:AV60" si="66">AU57*AT57</f>
        <v>0</v>
      </c>
      <c r="AW57" s="37"/>
      <c r="AX57" s="38">
        <f t="shared" ref="AX57:AX60" si="67">AW57*AT57</f>
        <v>0</v>
      </c>
      <c r="AY57" s="39"/>
      <c r="AZ57" s="35"/>
      <c r="BA57" s="36">
        <f t="shared" ref="BA57:BA60" si="68">AZ57*$F57</f>
        <v>0</v>
      </c>
      <c r="BB57" s="37"/>
      <c r="BC57" s="38">
        <f t="shared" ref="BC57:BC60" si="69">BB57*BA57</f>
        <v>0</v>
      </c>
      <c r="BD57" s="37"/>
      <c r="BE57" s="38">
        <f t="shared" ref="BE57:BE60" si="70">BD57*BA57</f>
        <v>0</v>
      </c>
      <c r="BF57" s="39"/>
      <c r="BG57" s="35"/>
      <c r="BH57" s="36">
        <f t="shared" ref="BH57:BH60" si="71">BG57*$F57</f>
        <v>0</v>
      </c>
      <c r="BI57" s="37"/>
      <c r="BJ57" s="38">
        <f t="shared" ref="BJ57:BJ60" si="72">BI57*BH57</f>
        <v>0</v>
      </c>
      <c r="BK57" s="37"/>
      <c r="BL57" s="38">
        <f t="shared" ref="BL57:BL60" si="73">BK57*BH57</f>
        <v>0</v>
      </c>
      <c r="BM57" s="40">
        <f t="shared" si="30"/>
        <v>237250.78769279999</v>
      </c>
      <c r="BN57" s="40">
        <f t="shared" si="31"/>
        <v>237250.78769279999</v>
      </c>
      <c r="BO57" s="40">
        <f t="shared" si="27"/>
        <v>237250.78769279999</v>
      </c>
      <c r="BP57" s="15">
        <f t="shared" si="28"/>
        <v>0</v>
      </c>
      <c r="BQ57" s="2"/>
      <c r="BR57" s="2"/>
      <c r="BT57" s="2"/>
      <c r="BV57" s="2"/>
      <c r="BW57" s="2"/>
      <c r="BX57" s="2"/>
      <c r="BY57" s="2"/>
      <c r="BZ57" s="2"/>
      <c r="CA57" s="2"/>
      <c r="CC57" s="2"/>
      <c r="CD57" s="2"/>
      <c r="CE57" s="2"/>
      <c r="CG57" s="2"/>
      <c r="CI57" s="2"/>
      <c r="CJ57" s="2"/>
      <c r="CK57" s="2"/>
      <c r="CL57" s="2"/>
      <c r="CM57" s="2"/>
      <c r="CN57" s="2"/>
      <c r="CP57" s="2"/>
      <c r="CQ57" s="2"/>
      <c r="CR57" s="2"/>
      <c r="CT57" s="2"/>
      <c r="CV57" s="2"/>
      <c r="CW57" s="2"/>
      <c r="CX57" s="2"/>
      <c r="CY57" s="2"/>
      <c r="CZ57" s="2"/>
      <c r="DA57" s="2"/>
      <c r="DC57" s="2"/>
      <c r="DD57" s="2"/>
      <c r="DE57" s="2"/>
      <c r="DG57" s="2"/>
      <c r="DI57" s="2"/>
      <c r="DJ57" s="2"/>
      <c r="DK57" s="2"/>
    </row>
    <row r="58" spans="2:115" x14ac:dyDescent="0.25">
      <c r="B58" s="49" t="s">
        <v>57</v>
      </c>
      <c r="C58" s="41" t="s">
        <v>36</v>
      </c>
      <c r="D58" s="42">
        <v>7111.1111111111113</v>
      </c>
      <c r="E58" s="195">
        <f>H58*$K$83</f>
        <v>66.325999999999993</v>
      </c>
      <c r="F58" s="43">
        <f>D58*E58</f>
        <v>471651.5555555555</v>
      </c>
      <c r="G58" s="39"/>
      <c r="H58" s="194">
        <v>65</v>
      </c>
      <c r="I58" s="39"/>
      <c r="J58" s="35"/>
      <c r="K58" s="36">
        <f t="shared" si="50"/>
        <v>0</v>
      </c>
      <c r="L58" s="37"/>
      <c r="M58" s="38">
        <f t="shared" si="51"/>
        <v>0</v>
      </c>
      <c r="N58" s="37"/>
      <c r="O58" s="38">
        <f t="shared" si="52"/>
        <v>0</v>
      </c>
      <c r="P58" s="39"/>
      <c r="Q58" s="35"/>
      <c r="R58" s="36">
        <f t="shared" si="53"/>
        <v>0</v>
      </c>
      <c r="S58" s="37"/>
      <c r="T58" s="38">
        <f t="shared" si="54"/>
        <v>0</v>
      </c>
      <c r="U58" s="37"/>
      <c r="V58" s="38">
        <f t="shared" si="55"/>
        <v>0</v>
      </c>
      <c r="W58" s="39"/>
      <c r="X58" s="35"/>
      <c r="Y58" s="36">
        <f t="shared" si="56"/>
        <v>0</v>
      </c>
      <c r="Z58" s="37"/>
      <c r="AA58" s="38">
        <f t="shared" si="57"/>
        <v>0</v>
      </c>
      <c r="AB58" s="37"/>
      <c r="AC58" s="38">
        <f t="shared" si="58"/>
        <v>0</v>
      </c>
      <c r="AD58" s="39"/>
      <c r="AE58" s="35">
        <v>1</v>
      </c>
      <c r="AF58" s="36">
        <f t="shared" si="59"/>
        <v>471651.5555555555</v>
      </c>
      <c r="AG58" s="37">
        <v>0.85</v>
      </c>
      <c r="AH58" s="38">
        <f t="shared" si="60"/>
        <v>400903.82222222217</v>
      </c>
      <c r="AI58" s="37">
        <v>0.15</v>
      </c>
      <c r="AJ58" s="38">
        <f t="shared" si="61"/>
        <v>70747.733333333323</v>
      </c>
      <c r="AK58" s="39"/>
      <c r="AL58" s="35"/>
      <c r="AM58" s="36">
        <f t="shared" si="62"/>
        <v>0</v>
      </c>
      <c r="AN58" s="37"/>
      <c r="AO58" s="38">
        <f t="shared" si="63"/>
        <v>0</v>
      </c>
      <c r="AP58" s="37"/>
      <c r="AQ58" s="38">
        <f t="shared" si="64"/>
        <v>0</v>
      </c>
      <c r="AR58" s="39"/>
      <c r="AS58" s="35"/>
      <c r="AT58" s="36">
        <f t="shared" si="65"/>
        <v>0</v>
      </c>
      <c r="AU58" s="37"/>
      <c r="AV58" s="38">
        <f t="shared" si="66"/>
        <v>0</v>
      </c>
      <c r="AW58" s="37"/>
      <c r="AX58" s="38">
        <f t="shared" si="67"/>
        <v>0</v>
      </c>
      <c r="AY58" s="39"/>
      <c r="AZ58" s="35"/>
      <c r="BA58" s="36">
        <f t="shared" si="68"/>
        <v>0</v>
      </c>
      <c r="BB58" s="37"/>
      <c r="BC58" s="38">
        <f t="shared" si="69"/>
        <v>0</v>
      </c>
      <c r="BD58" s="37"/>
      <c r="BE58" s="38">
        <f t="shared" si="70"/>
        <v>0</v>
      </c>
      <c r="BF58" s="39"/>
      <c r="BG58" s="35"/>
      <c r="BH58" s="36">
        <f t="shared" si="71"/>
        <v>0</v>
      </c>
      <c r="BI58" s="37"/>
      <c r="BJ58" s="38">
        <f t="shared" si="72"/>
        <v>0</v>
      </c>
      <c r="BK58" s="37"/>
      <c r="BL58" s="38">
        <f t="shared" si="73"/>
        <v>0</v>
      </c>
      <c r="BM58" s="40">
        <f t="shared" si="30"/>
        <v>471651.5555555555</v>
      </c>
      <c r="BN58" s="40">
        <f t="shared" si="31"/>
        <v>471651.5555555555</v>
      </c>
      <c r="BO58" s="40">
        <f t="shared" si="27"/>
        <v>471651.5555555555</v>
      </c>
      <c r="BP58" s="15">
        <f t="shared" si="28"/>
        <v>0</v>
      </c>
      <c r="BQ58" s="2"/>
      <c r="BR58" s="2"/>
      <c r="BT58" s="2"/>
      <c r="BV58" s="2"/>
      <c r="BW58" s="2"/>
      <c r="BX58" s="2"/>
      <c r="BY58" s="2"/>
      <c r="BZ58" s="2"/>
      <c r="CA58" s="2"/>
      <c r="CC58" s="2"/>
      <c r="CD58" s="2"/>
      <c r="CE58" s="2"/>
      <c r="CG58" s="2"/>
      <c r="CI58" s="2"/>
      <c r="CJ58" s="2"/>
      <c r="CK58" s="2"/>
      <c r="CL58" s="2"/>
      <c r="CM58" s="2"/>
      <c r="CN58" s="2"/>
      <c r="CP58" s="2"/>
      <c r="CQ58" s="2"/>
      <c r="CR58" s="2"/>
      <c r="CT58" s="2"/>
      <c r="CV58" s="2"/>
      <c r="CW58" s="2"/>
      <c r="CX58" s="2"/>
      <c r="CY58" s="2"/>
      <c r="CZ58" s="2"/>
      <c r="DA58" s="2"/>
      <c r="DC58" s="2"/>
      <c r="DD58" s="2"/>
      <c r="DE58" s="2"/>
      <c r="DG58" s="2"/>
      <c r="DI58" s="2"/>
      <c r="DJ58" s="2"/>
      <c r="DK58" s="2"/>
    </row>
    <row r="59" spans="2:115" x14ac:dyDescent="0.25">
      <c r="B59" s="44" t="s">
        <v>58</v>
      </c>
      <c r="C59" s="41" t="s">
        <v>23</v>
      </c>
      <c r="D59" s="75">
        <v>1</v>
      </c>
      <c r="E59" s="33">
        <v>7750254.3999999994</v>
      </c>
      <c r="F59" s="33">
        <f t="shared" ref="F59:F60" si="74">D59*E59</f>
        <v>7750254.3999999994</v>
      </c>
      <c r="G59" s="39"/>
      <c r="H59" s="191"/>
      <c r="I59" s="39"/>
      <c r="J59" s="35"/>
      <c r="K59" s="36">
        <f t="shared" si="50"/>
        <v>0</v>
      </c>
      <c r="L59" s="37"/>
      <c r="M59" s="38">
        <f t="shared" si="51"/>
        <v>0</v>
      </c>
      <c r="N59" s="37"/>
      <c r="O59" s="38">
        <f t="shared" si="52"/>
        <v>0</v>
      </c>
      <c r="P59" s="39"/>
      <c r="Q59" s="35"/>
      <c r="R59" s="36">
        <f t="shared" si="53"/>
        <v>0</v>
      </c>
      <c r="S59" s="37"/>
      <c r="T59" s="38">
        <f t="shared" si="54"/>
        <v>0</v>
      </c>
      <c r="U59" s="37"/>
      <c r="V59" s="38">
        <f t="shared" si="55"/>
        <v>0</v>
      </c>
      <c r="W59" s="39"/>
      <c r="X59" s="35">
        <v>0.6</v>
      </c>
      <c r="Y59" s="36">
        <f t="shared" si="56"/>
        <v>4650152.6399999997</v>
      </c>
      <c r="Z59" s="37">
        <v>1</v>
      </c>
      <c r="AA59" s="38">
        <f t="shared" si="57"/>
        <v>4650152.6399999997</v>
      </c>
      <c r="AB59" s="37"/>
      <c r="AC59" s="38">
        <f t="shared" si="58"/>
        <v>0</v>
      </c>
      <c r="AD59" s="39"/>
      <c r="AE59" s="35">
        <v>0.2</v>
      </c>
      <c r="AF59" s="36">
        <f t="shared" si="59"/>
        <v>1550050.88</v>
      </c>
      <c r="AG59" s="37">
        <v>1</v>
      </c>
      <c r="AH59" s="38">
        <f t="shared" si="60"/>
        <v>1550050.88</v>
      </c>
      <c r="AI59" s="37"/>
      <c r="AJ59" s="38"/>
      <c r="AK59" s="39"/>
      <c r="AL59" s="35">
        <v>0.15</v>
      </c>
      <c r="AM59" s="36">
        <f t="shared" si="62"/>
        <v>1162538.1599999999</v>
      </c>
      <c r="AN59" s="37">
        <v>1</v>
      </c>
      <c r="AO59" s="38">
        <f t="shared" si="63"/>
        <v>1162538.1599999999</v>
      </c>
      <c r="AP59" s="37"/>
      <c r="AQ59" s="38">
        <f t="shared" si="64"/>
        <v>0</v>
      </c>
      <c r="AR59" s="39"/>
      <c r="AS59" s="35">
        <v>0.05</v>
      </c>
      <c r="AT59" s="36">
        <f t="shared" si="65"/>
        <v>387512.72</v>
      </c>
      <c r="AU59" s="37">
        <v>1</v>
      </c>
      <c r="AV59" s="38">
        <f t="shared" si="66"/>
        <v>387512.72</v>
      </c>
      <c r="AW59" s="37"/>
      <c r="AX59" s="38">
        <f t="shared" si="67"/>
        <v>0</v>
      </c>
      <c r="AY59" s="39"/>
      <c r="AZ59" s="35"/>
      <c r="BA59" s="36">
        <f t="shared" si="68"/>
        <v>0</v>
      </c>
      <c r="BB59" s="37"/>
      <c r="BC59" s="38">
        <f t="shared" si="69"/>
        <v>0</v>
      </c>
      <c r="BD59" s="37"/>
      <c r="BE59" s="38">
        <f t="shared" si="70"/>
        <v>0</v>
      </c>
      <c r="BF59" s="39"/>
      <c r="BG59" s="35"/>
      <c r="BH59" s="36">
        <f t="shared" si="71"/>
        <v>0</v>
      </c>
      <c r="BI59" s="37"/>
      <c r="BJ59" s="38">
        <f t="shared" si="72"/>
        <v>0</v>
      </c>
      <c r="BK59" s="37"/>
      <c r="BL59" s="38">
        <f t="shared" si="73"/>
        <v>0</v>
      </c>
      <c r="BM59" s="40">
        <f t="shared" si="30"/>
        <v>7750254.3999999994</v>
      </c>
      <c r="BN59" s="40">
        <f t="shared" si="31"/>
        <v>7750254.3999999994</v>
      </c>
      <c r="BO59" s="40">
        <f t="shared" si="27"/>
        <v>7750254.3999999994</v>
      </c>
      <c r="BP59" s="15">
        <f t="shared" si="28"/>
        <v>0</v>
      </c>
      <c r="BQ59" s="2"/>
      <c r="BR59" s="2"/>
      <c r="BT59" s="2"/>
      <c r="BV59" s="2"/>
      <c r="BW59" s="2"/>
      <c r="BX59" s="2"/>
      <c r="BY59" s="2"/>
      <c r="BZ59" s="2"/>
      <c r="CA59" s="2"/>
      <c r="CC59" s="2"/>
      <c r="CD59" s="2"/>
      <c r="CE59" s="2"/>
      <c r="CG59" s="2"/>
      <c r="CI59" s="2"/>
      <c r="CJ59" s="2"/>
      <c r="CK59" s="2"/>
      <c r="CL59" s="2"/>
      <c r="CM59" s="2"/>
      <c r="CN59" s="2"/>
      <c r="CP59" s="2"/>
      <c r="CQ59" s="2"/>
      <c r="CR59" s="2"/>
      <c r="CT59" s="2"/>
      <c r="CV59" s="2"/>
      <c r="CW59" s="2"/>
      <c r="CX59" s="2"/>
      <c r="CY59" s="2"/>
      <c r="CZ59" s="2"/>
      <c r="DA59" s="2"/>
      <c r="DC59" s="2"/>
      <c r="DD59" s="2"/>
      <c r="DE59" s="2"/>
      <c r="DG59" s="2"/>
      <c r="DI59" s="2"/>
      <c r="DJ59" s="2"/>
      <c r="DK59" s="2"/>
    </row>
    <row r="60" spans="2:115" x14ac:dyDescent="0.25">
      <c r="B60" s="44" t="s">
        <v>59</v>
      </c>
      <c r="C60" s="41" t="s">
        <v>23</v>
      </c>
      <c r="D60" s="75">
        <v>1</v>
      </c>
      <c r="E60" s="33">
        <v>2296464.8000000003</v>
      </c>
      <c r="F60" s="33">
        <f t="shared" si="74"/>
        <v>2296464.8000000003</v>
      </c>
      <c r="G60" s="39"/>
      <c r="H60" s="191"/>
      <c r="I60" s="39"/>
      <c r="J60" s="35"/>
      <c r="K60" s="36">
        <f t="shared" si="50"/>
        <v>0</v>
      </c>
      <c r="L60" s="37"/>
      <c r="M60" s="38">
        <f t="shared" si="51"/>
        <v>0</v>
      </c>
      <c r="N60" s="37"/>
      <c r="O60" s="38">
        <f t="shared" si="52"/>
        <v>0</v>
      </c>
      <c r="P60" s="39"/>
      <c r="Q60" s="35"/>
      <c r="R60" s="36">
        <f t="shared" si="53"/>
        <v>0</v>
      </c>
      <c r="S60" s="37"/>
      <c r="T60" s="38">
        <f t="shared" si="54"/>
        <v>0</v>
      </c>
      <c r="U60" s="37"/>
      <c r="V60" s="38">
        <f t="shared" si="55"/>
        <v>0</v>
      </c>
      <c r="W60" s="39"/>
      <c r="X60" s="35">
        <v>0.8</v>
      </c>
      <c r="Y60" s="36">
        <f t="shared" si="56"/>
        <v>1837171.8400000003</v>
      </c>
      <c r="Z60" s="37">
        <v>1</v>
      </c>
      <c r="AA60" s="38">
        <f t="shared" si="57"/>
        <v>1837171.8400000003</v>
      </c>
      <c r="AB60" s="37"/>
      <c r="AC60" s="38">
        <f t="shared" si="58"/>
        <v>0</v>
      </c>
      <c r="AD60" s="39"/>
      <c r="AE60" s="35">
        <v>0.2</v>
      </c>
      <c r="AF60" s="36">
        <f t="shared" si="59"/>
        <v>459292.96000000008</v>
      </c>
      <c r="AG60" s="37">
        <v>1</v>
      </c>
      <c r="AH60" s="38">
        <f t="shared" si="60"/>
        <v>459292.96000000008</v>
      </c>
      <c r="AI60" s="37"/>
      <c r="AJ60" s="38">
        <f t="shared" ref="AJ60" si="75">AI60*AF60</f>
        <v>0</v>
      </c>
      <c r="AK60" s="39"/>
      <c r="AL60" s="35"/>
      <c r="AM60" s="36">
        <f t="shared" si="62"/>
        <v>0</v>
      </c>
      <c r="AN60" s="37"/>
      <c r="AO60" s="38">
        <f t="shared" si="63"/>
        <v>0</v>
      </c>
      <c r="AP60" s="37"/>
      <c r="AQ60" s="38">
        <f t="shared" si="64"/>
        <v>0</v>
      </c>
      <c r="AR60" s="39"/>
      <c r="AS60" s="35"/>
      <c r="AT60" s="36">
        <f t="shared" si="65"/>
        <v>0</v>
      </c>
      <c r="AU60" s="37"/>
      <c r="AV60" s="38">
        <f t="shared" si="66"/>
        <v>0</v>
      </c>
      <c r="AW60" s="37"/>
      <c r="AX60" s="38">
        <f t="shared" si="67"/>
        <v>0</v>
      </c>
      <c r="AY60" s="39"/>
      <c r="AZ60" s="35"/>
      <c r="BA60" s="36">
        <f t="shared" si="68"/>
        <v>0</v>
      </c>
      <c r="BB60" s="37"/>
      <c r="BC60" s="38">
        <f t="shared" si="69"/>
        <v>0</v>
      </c>
      <c r="BD60" s="37"/>
      <c r="BE60" s="38">
        <f t="shared" si="70"/>
        <v>0</v>
      </c>
      <c r="BF60" s="39"/>
      <c r="BG60" s="35"/>
      <c r="BH60" s="36">
        <f t="shared" si="71"/>
        <v>0</v>
      </c>
      <c r="BI60" s="37"/>
      <c r="BJ60" s="38">
        <f t="shared" si="72"/>
        <v>0</v>
      </c>
      <c r="BK60" s="37"/>
      <c r="BL60" s="38">
        <f t="shared" si="73"/>
        <v>0</v>
      </c>
      <c r="BM60" s="40">
        <f t="shared" si="30"/>
        <v>2296464.8000000003</v>
      </c>
      <c r="BN60" s="40">
        <f t="shared" si="31"/>
        <v>2296464.8000000003</v>
      </c>
      <c r="BO60" s="40">
        <f t="shared" si="27"/>
        <v>2296464.8000000003</v>
      </c>
      <c r="BP60" s="15">
        <f t="shared" si="28"/>
        <v>0</v>
      </c>
      <c r="BQ60" s="2"/>
      <c r="BR60" s="2"/>
      <c r="BT60" s="2"/>
      <c r="BV60" s="2"/>
      <c r="BW60" s="2"/>
      <c r="BX60" s="2"/>
      <c r="BY60" s="2"/>
      <c r="BZ60" s="2"/>
      <c r="CA60" s="2"/>
      <c r="CC60" s="2"/>
      <c r="CD60" s="2"/>
      <c r="CE60" s="2"/>
      <c r="CG60" s="2"/>
      <c r="CI60" s="2"/>
      <c r="CJ60" s="2"/>
      <c r="CK60" s="2"/>
      <c r="CL60" s="2"/>
      <c r="CM60" s="2"/>
      <c r="CN60" s="2"/>
      <c r="CP60" s="2"/>
      <c r="CQ60" s="2"/>
      <c r="CR60" s="2"/>
      <c r="CT60" s="2"/>
      <c r="CV60" s="2"/>
      <c r="CW60" s="2"/>
      <c r="CX60" s="2"/>
      <c r="CY60" s="2"/>
      <c r="CZ60" s="2"/>
      <c r="DA60" s="2"/>
      <c r="DC60" s="2"/>
      <c r="DD60" s="2"/>
      <c r="DE60" s="2"/>
      <c r="DG60" s="2"/>
      <c r="DI60" s="2"/>
      <c r="DJ60" s="2"/>
      <c r="DK60" s="2"/>
    </row>
    <row r="61" spans="2:115" x14ac:dyDescent="0.25">
      <c r="B61" s="47"/>
      <c r="C61" s="58"/>
      <c r="D61" s="76"/>
      <c r="E61" s="77"/>
      <c r="F61" s="77"/>
      <c r="G61" s="59"/>
      <c r="H61" s="192"/>
      <c r="I61" s="59"/>
      <c r="J61" s="60"/>
      <c r="K61" s="78"/>
      <c r="L61" s="61"/>
      <c r="M61" s="79"/>
      <c r="S61" s="61"/>
      <c r="T61" s="79"/>
      <c r="U61" s="61"/>
      <c r="V61" s="79"/>
      <c r="X61" s="60"/>
      <c r="Y61" s="78"/>
      <c r="Z61" s="61"/>
      <c r="AA61" s="79"/>
      <c r="AB61" s="61"/>
      <c r="AC61" s="79"/>
      <c r="AE61" s="60"/>
      <c r="AF61" s="78"/>
      <c r="AG61" s="61"/>
      <c r="AH61" s="79"/>
      <c r="AI61" s="61"/>
      <c r="AJ61" s="79"/>
      <c r="AL61" s="60"/>
      <c r="AM61" s="78"/>
      <c r="AN61" s="61"/>
      <c r="AO61" s="79"/>
      <c r="AP61" s="61"/>
      <c r="AQ61" s="79"/>
      <c r="AS61" s="60"/>
      <c r="AT61" s="78"/>
      <c r="AU61" s="61"/>
      <c r="AV61" s="79"/>
      <c r="AW61" s="61"/>
      <c r="AX61" s="79"/>
      <c r="AZ61" s="60"/>
      <c r="BA61" s="78"/>
      <c r="BB61" s="61"/>
      <c r="BC61" s="79"/>
      <c r="BD61" s="61"/>
      <c r="BE61" s="79"/>
      <c r="BG61" s="60"/>
      <c r="BH61" s="78"/>
      <c r="BI61" s="61"/>
      <c r="BJ61" s="79"/>
      <c r="BK61" s="61"/>
      <c r="BL61" s="79"/>
      <c r="BM61" s="40"/>
      <c r="BN61" s="40"/>
      <c r="BO61" s="40"/>
      <c r="BP61" s="15"/>
      <c r="BQ61" s="2"/>
      <c r="BR61" s="2"/>
      <c r="BT61" s="2"/>
      <c r="BV61" s="2"/>
      <c r="BW61" s="2"/>
      <c r="BX61" s="2"/>
      <c r="BY61" s="2"/>
      <c r="BZ61" s="2"/>
      <c r="CA61" s="2"/>
      <c r="CC61" s="2"/>
      <c r="CD61" s="2"/>
      <c r="CE61" s="2"/>
      <c r="CG61" s="2"/>
      <c r="CI61" s="2"/>
      <c r="CJ61" s="2"/>
      <c r="CK61" s="2"/>
      <c r="CL61" s="2"/>
      <c r="CM61" s="2"/>
      <c r="CN61" s="2"/>
      <c r="CP61" s="2"/>
      <c r="CQ61" s="2"/>
      <c r="CR61" s="2"/>
      <c r="CT61" s="2"/>
      <c r="CV61" s="2"/>
      <c r="CW61" s="2"/>
      <c r="CX61" s="2"/>
      <c r="CY61" s="2"/>
      <c r="CZ61" s="2"/>
      <c r="DA61" s="2"/>
      <c r="DC61" s="2"/>
      <c r="DD61" s="2"/>
      <c r="DE61" s="2"/>
      <c r="DG61" s="2"/>
      <c r="DI61" s="2"/>
      <c r="DJ61" s="2"/>
      <c r="DK61" s="2"/>
    </row>
    <row r="62" spans="2:115" x14ac:dyDescent="0.25">
      <c r="E62" s="79" t="s">
        <v>270</v>
      </c>
      <c r="F62" s="70">
        <f>SUM(F53:F58)</f>
        <v>10219915.093435163</v>
      </c>
      <c r="S62" s="73"/>
      <c r="V62" s="2"/>
      <c r="X62" s="72"/>
      <c r="Y62" s="6"/>
      <c r="Z62" s="73"/>
      <c r="AB62" s="6"/>
      <c r="AC62" s="2"/>
      <c r="AE62" s="72"/>
      <c r="AF62" s="6"/>
      <c r="AG62" s="73"/>
      <c r="AH62" s="6"/>
      <c r="AI62" s="6"/>
      <c r="AJ62" s="2"/>
      <c r="AL62" s="72"/>
      <c r="AN62" s="73"/>
      <c r="AO62" s="6"/>
      <c r="AQ62" s="2"/>
      <c r="AS62" s="72"/>
      <c r="AU62" s="73"/>
      <c r="AV62" s="6"/>
      <c r="AW62" s="6"/>
      <c r="AX62" s="2"/>
      <c r="AZ62" s="72"/>
      <c r="BB62" s="73"/>
      <c r="BE62" s="2"/>
      <c r="BG62" s="72"/>
      <c r="BH62" s="6"/>
      <c r="BI62" s="73"/>
      <c r="BJ62" s="6"/>
      <c r="BL62" s="2"/>
      <c r="BM62" s="5"/>
      <c r="BO62" s="6"/>
      <c r="BP62" s="2"/>
      <c r="BQ62" s="2"/>
      <c r="BR62" s="2"/>
      <c r="BT62" s="2"/>
      <c r="BV62" s="2"/>
      <c r="BW62" s="2"/>
      <c r="BX62" s="2"/>
      <c r="BY62" s="2"/>
      <c r="BZ62" s="2"/>
      <c r="CA62" s="2"/>
      <c r="CC62" s="2"/>
      <c r="CD62" s="2"/>
      <c r="CE62" s="2"/>
      <c r="CG62" s="2"/>
      <c r="CI62" s="2"/>
      <c r="CJ62" s="2"/>
      <c r="CK62" s="2"/>
      <c r="CL62" s="2"/>
      <c r="CM62" s="2"/>
      <c r="CN62" s="2"/>
      <c r="CP62" s="2"/>
      <c r="CQ62" s="2"/>
      <c r="CR62" s="2"/>
      <c r="CT62" s="2"/>
      <c r="CV62" s="2"/>
      <c r="CW62" s="2"/>
      <c r="CX62" s="2"/>
      <c r="CY62" s="2"/>
      <c r="CZ62" s="2"/>
      <c r="DA62" s="2"/>
      <c r="DC62" s="2"/>
      <c r="DD62" s="2"/>
      <c r="DE62" s="2"/>
      <c r="DG62" s="2"/>
      <c r="DI62" s="2"/>
      <c r="DJ62" s="2"/>
      <c r="DK62" s="2"/>
    </row>
    <row r="63" spans="2:115" x14ac:dyDescent="0.25">
      <c r="E63" s="79" t="s">
        <v>265</v>
      </c>
      <c r="F63" s="70">
        <v>8880922.2514869925</v>
      </c>
      <c r="S63" s="73"/>
      <c r="V63" s="2"/>
      <c r="X63" s="72"/>
      <c r="Y63" s="6"/>
      <c r="Z63" s="73"/>
      <c r="AB63" s="6"/>
      <c r="AC63" s="2"/>
      <c r="AE63" s="72"/>
      <c r="AF63" s="6"/>
      <c r="AG63" s="73"/>
      <c r="AH63" s="6"/>
      <c r="AI63" s="6"/>
      <c r="AJ63" s="2"/>
      <c r="AL63" s="72"/>
      <c r="AN63" s="73"/>
      <c r="AO63" s="6"/>
      <c r="AQ63" s="2"/>
      <c r="AS63" s="72"/>
      <c r="AU63" s="73"/>
      <c r="AV63" s="6"/>
      <c r="AW63" s="6"/>
      <c r="AX63" s="2"/>
      <c r="AZ63" s="72"/>
      <c r="BB63" s="73"/>
      <c r="BE63" s="2"/>
      <c r="BG63" s="72"/>
      <c r="BH63" s="6"/>
      <c r="BI63" s="73"/>
      <c r="BJ63" s="6"/>
      <c r="BL63" s="2"/>
      <c r="BM63" s="5"/>
      <c r="BO63" s="6"/>
      <c r="BP63" s="2"/>
      <c r="BQ63" s="2"/>
      <c r="BR63" s="2"/>
      <c r="BT63" s="2"/>
      <c r="BV63" s="2"/>
      <c r="BW63" s="2"/>
      <c r="BX63" s="2"/>
      <c r="BY63" s="2"/>
      <c r="BZ63" s="2"/>
      <c r="CA63" s="2"/>
      <c r="CC63" s="2"/>
      <c r="CD63" s="2"/>
      <c r="CE63" s="2"/>
      <c r="CG63" s="2"/>
      <c r="CI63" s="2"/>
      <c r="CJ63" s="2"/>
      <c r="CK63" s="2"/>
      <c r="CL63" s="2"/>
      <c r="CM63" s="2"/>
      <c r="CN63" s="2"/>
      <c r="CP63" s="2"/>
      <c r="CQ63" s="2"/>
      <c r="CR63" s="2"/>
      <c r="CT63" s="2"/>
      <c r="CV63" s="2"/>
      <c r="CW63" s="2"/>
      <c r="CX63" s="2"/>
      <c r="CY63" s="2"/>
      <c r="CZ63" s="2"/>
      <c r="DA63" s="2"/>
      <c r="DC63" s="2"/>
      <c r="DD63" s="2"/>
      <c r="DE63" s="2"/>
      <c r="DG63" s="2"/>
      <c r="DI63" s="2"/>
      <c r="DJ63" s="2"/>
      <c r="DK63" s="2"/>
    </row>
    <row r="64" spans="2:115" x14ac:dyDescent="0.25">
      <c r="E64" s="79" t="s">
        <v>266</v>
      </c>
      <c r="F64" s="70">
        <v>5905140</v>
      </c>
      <c r="S64" s="73"/>
      <c r="V64" s="2"/>
      <c r="X64" s="72"/>
      <c r="Y64" s="6"/>
      <c r="Z64" s="73"/>
      <c r="AB64" s="6"/>
      <c r="AC64" s="2"/>
      <c r="AE64" s="72"/>
      <c r="AF64" s="6"/>
      <c r="AG64" s="73"/>
      <c r="AH64" s="6"/>
      <c r="AI64" s="6"/>
      <c r="AJ64" s="2"/>
      <c r="AL64" s="72"/>
      <c r="AN64" s="73"/>
      <c r="AO64" s="6"/>
      <c r="AQ64" s="2"/>
      <c r="AS64" s="72"/>
      <c r="AU64" s="73"/>
      <c r="AV64" s="6"/>
      <c r="AW64" s="6"/>
      <c r="AX64" s="2"/>
      <c r="AZ64" s="72"/>
      <c r="BB64" s="73"/>
      <c r="BE64" s="2"/>
      <c r="BG64" s="72"/>
      <c r="BH64" s="6"/>
      <c r="BI64" s="73"/>
      <c r="BJ64" s="6"/>
      <c r="BL64" s="2"/>
      <c r="BM64" s="5"/>
      <c r="BO64" s="6"/>
      <c r="BP64" s="2"/>
      <c r="BQ64" s="2"/>
      <c r="BR64" s="2"/>
      <c r="BT64" s="2"/>
      <c r="BV64" s="2"/>
      <c r="BW64" s="2"/>
      <c r="BX64" s="2"/>
      <c r="BY64" s="2"/>
      <c r="BZ64" s="2"/>
      <c r="CA64" s="2"/>
      <c r="CC64" s="2"/>
      <c r="CD64" s="2"/>
      <c r="CE64" s="2"/>
      <c r="CG64" s="2"/>
      <c r="CI64" s="2"/>
      <c r="CJ64" s="2"/>
      <c r="CK64" s="2"/>
      <c r="CL64" s="2"/>
      <c r="CM64" s="2"/>
      <c r="CN64" s="2"/>
      <c r="CP64" s="2"/>
      <c r="CQ64" s="2"/>
      <c r="CR64" s="2"/>
      <c r="CT64" s="2"/>
      <c r="CV64" s="2"/>
      <c r="CW64" s="2"/>
      <c r="CX64" s="2"/>
      <c r="CY64" s="2"/>
      <c r="CZ64" s="2"/>
      <c r="DA64" s="2"/>
      <c r="DC64" s="2"/>
      <c r="DD64" s="2"/>
      <c r="DE64" s="2"/>
      <c r="DG64" s="2"/>
      <c r="DI64" s="2"/>
      <c r="DJ64" s="2"/>
      <c r="DK64" s="2"/>
    </row>
    <row r="65" spans="2:115" x14ac:dyDescent="0.25">
      <c r="F65" s="70">
        <f>F62-F64</f>
        <v>4314775.0934351627</v>
      </c>
      <c r="S65" s="73"/>
      <c r="V65" s="2"/>
      <c r="X65" s="72"/>
      <c r="Y65" s="6"/>
      <c r="Z65" s="73"/>
      <c r="AB65" s="6"/>
      <c r="AC65" s="2"/>
      <c r="AE65" s="72"/>
      <c r="AF65" s="6"/>
      <c r="AG65" s="73"/>
      <c r="AH65" s="6"/>
      <c r="AI65" s="6"/>
      <c r="AJ65" s="2"/>
      <c r="AL65" s="72"/>
      <c r="AN65" s="73"/>
      <c r="AO65" s="6"/>
      <c r="AQ65" s="2"/>
      <c r="AS65" s="72"/>
      <c r="AU65" s="73"/>
      <c r="AV65" s="6"/>
      <c r="AW65" s="6"/>
      <c r="AX65" s="2"/>
      <c r="AZ65" s="72"/>
      <c r="BB65" s="73"/>
      <c r="BE65" s="2"/>
      <c r="BG65" s="72"/>
      <c r="BH65" s="6"/>
      <c r="BI65" s="73"/>
      <c r="BJ65" s="6"/>
      <c r="BL65" s="2"/>
      <c r="BM65" s="5"/>
      <c r="BO65" s="6"/>
      <c r="BP65" s="2"/>
      <c r="BQ65" s="2"/>
      <c r="BR65" s="2"/>
      <c r="BT65" s="2"/>
      <c r="BV65" s="2"/>
      <c r="BW65" s="2"/>
      <c r="BX65" s="2"/>
      <c r="BY65" s="2"/>
      <c r="BZ65" s="2"/>
      <c r="CA65" s="2"/>
      <c r="CC65" s="2"/>
      <c r="CD65" s="2"/>
      <c r="CE65" s="2"/>
      <c r="CG65" s="2"/>
      <c r="CI65" s="2"/>
      <c r="CJ65" s="2"/>
      <c r="CK65" s="2"/>
      <c r="CL65" s="2"/>
      <c r="CM65" s="2"/>
      <c r="CN65" s="2"/>
      <c r="CP65" s="2"/>
      <c r="CQ65" s="2"/>
      <c r="CR65" s="2"/>
      <c r="CT65" s="2"/>
      <c r="CV65" s="2"/>
      <c r="CW65" s="2"/>
      <c r="CX65" s="2"/>
      <c r="CY65" s="2"/>
      <c r="CZ65" s="2"/>
      <c r="DA65" s="2"/>
      <c r="DC65" s="2"/>
      <c r="DD65" s="2"/>
      <c r="DE65" s="2"/>
      <c r="DG65" s="2"/>
      <c r="DI65" s="2"/>
      <c r="DJ65" s="2"/>
      <c r="DK65" s="2"/>
    </row>
    <row r="66" spans="2:115" x14ac:dyDescent="0.25">
      <c r="S66" s="73"/>
      <c r="V66" s="2"/>
      <c r="X66" s="72"/>
      <c r="Y66" s="6"/>
      <c r="Z66" s="73"/>
      <c r="AB66" s="6"/>
      <c r="AC66" s="2"/>
      <c r="AE66" s="72"/>
      <c r="AF66" s="6"/>
      <c r="AG66" s="73"/>
      <c r="AH66" s="6"/>
      <c r="AI66" s="6"/>
      <c r="AJ66" s="2"/>
      <c r="AL66" s="72"/>
      <c r="AN66" s="73"/>
      <c r="AO66" s="6"/>
      <c r="AQ66" s="2"/>
      <c r="AS66" s="72"/>
      <c r="AU66" s="73"/>
      <c r="AV66" s="6"/>
      <c r="AW66" s="6"/>
      <c r="AX66" s="2"/>
      <c r="AZ66" s="72"/>
      <c r="BB66" s="73"/>
      <c r="BE66" s="2"/>
      <c r="BG66" s="72"/>
      <c r="BH66" s="6"/>
      <c r="BI66" s="73"/>
      <c r="BJ66" s="6"/>
      <c r="BL66" s="2"/>
      <c r="BM66" s="5"/>
      <c r="BO66" s="6"/>
      <c r="BP66" s="2"/>
      <c r="BQ66" s="2"/>
      <c r="BR66" s="2"/>
      <c r="BT66" s="2"/>
      <c r="BV66" s="2"/>
      <c r="BW66" s="2"/>
      <c r="BX66" s="2"/>
      <c r="BY66" s="2"/>
      <c r="BZ66" s="2"/>
      <c r="CA66" s="2"/>
      <c r="CC66" s="2"/>
      <c r="CD66" s="2"/>
      <c r="CE66" s="2"/>
      <c r="CG66" s="2"/>
      <c r="CI66" s="2"/>
      <c r="CJ66" s="2"/>
      <c r="CK66" s="2"/>
      <c r="CL66" s="2"/>
      <c r="CM66" s="2"/>
      <c r="CN66" s="2"/>
      <c r="CP66" s="2"/>
      <c r="CQ66" s="2"/>
      <c r="CR66" s="2"/>
      <c r="CT66" s="2"/>
      <c r="CV66" s="2"/>
      <c r="CW66" s="2"/>
      <c r="CX66" s="2"/>
      <c r="CY66" s="2"/>
      <c r="CZ66" s="2"/>
      <c r="DA66" s="2"/>
      <c r="DC66" s="2"/>
      <c r="DD66" s="2"/>
      <c r="DE66" s="2"/>
      <c r="DG66" s="2"/>
      <c r="DI66" s="2"/>
      <c r="DJ66" s="2"/>
      <c r="DK66" s="2"/>
    </row>
    <row r="67" spans="2:115" x14ac:dyDescent="0.25">
      <c r="S67" s="73"/>
      <c r="V67" s="2"/>
      <c r="X67" s="72"/>
      <c r="Y67" s="6"/>
      <c r="Z67" s="73"/>
      <c r="AB67" s="6"/>
      <c r="AC67" s="2"/>
      <c r="AE67" s="72"/>
      <c r="AF67" s="6"/>
      <c r="AG67" s="73"/>
      <c r="AH67" s="6"/>
      <c r="AI67" s="6"/>
      <c r="AJ67" s="2"/>
      <c r="AL67" s="72"/>
      <c r="AN67" s="73"/>
      <c r="AO67" s="6"/>
      <c r="AQ67" s="2"/>
      <c r="AS67" s="72"/>
      <c r="AU67" s="73"/>
      <c r="AV67" s="6"/>
      <c r="AW67" s="6"/>
      <c r="AX67" s="2"/>
      <c r="AZ67" s="72"/>
      <c r="BB67" s="73"/>
      <c r="BE67" s="2"/>
      <c r="BG67" s="72"/>
      <c r="BH67" s="6"/>
      <c r="BI67" s="73"/>
      <c r="BJ67" s="6"/>
      <c r="BL67" s="2"/>
      <c r="BM67" s="5"/>
      <c r="BO67" s="6"/>
      <c r="BP67" s="2"/>
      <c r="BQ67" s="2"/>
      <c r="BR67" s="2"/>
      <c r="BT67" s="2"/>
      <c r="BV67" s="2"/>
      <c r="BW67" s="2"/>
      <c r="BX67" s="2"/>
      <c r="BY67" s="2"/>
      <c r="BZ67" s="2"/>
      <c r="CA67" s="2"/>
      <c r="CC67" s="2"/>
      <c r="CD67" s="2"/>
      <c r="CE67" s="2"/>
      <c r="CG67" s="2"/>
      <c r="CI67" s="2"/>
      <c r="CJ67" s="2"/>
      <c r="CK67" s="2"/>
      <c r="CL67" s="2"/>
      <c r="CM67" s="2"/>
      <c r="CN67" s="2"/>
      <c r="CP67" s="2"/>
      <c r="CQ67" s="2"/>
      <c r="CR67" s="2"/>
      <c r="CT67" s="2"/>
      <c r="CV67" s="2"/>
      <c r="CW67" s="2"/>
      <c r="CX67" s="2"/>
      <c r="CY67" s="2"/>
      <c r="CZ67" s="2"/>
      <c r="DA67" s="2"/>
      <c r="DC67" s="2"/>
      <c r="DD67" s="2"/>
      <c r="DE67" s="2"/>
      <c r="DG67" s="2"/>
      <c r="DI67" s="2"/>
      <c r="DJ67" s="2"/>
      <c r="DK67" s="2"/>
    </row>
    <row r="68" spans="2:115" ht="15.75" thickBot="1" x14ac:dyDescent="0.3">
      <c r="S68" s="73"/>
      <c r="V68" s="2"/>
      <c r="X68" s="72"/>
      <c r="Y68" s="6"/>
      <c r="Z68" s="73"/>
      <c r="AB68" s="6"/>
      <c r="AC68" s="2"/>
      <c r="AE68" s="72"/>
      <c r="AF68" s="6"/>
      <c r="AG68" s="73"/>
      <c r="AH68" s="6"/>
      <c r="AI68" s="6"/>
      <c r="AJ68" s="2"/>
      <c r="AL68" s="72"/>
      <c r="AN68" s="73"/>
      <c r="AO68" s="6"/>
      <c r="AQ68" s="2"/>
      <c r="AS68" s="72"/>
      <c r="AU68" s="73"/>
      <c r="AV68" s="6"/>
      <c r="AW68" s="6"/>
      <c r="AX68" s="2"/>
      <c r="AZ68" s="72"/>
      <c r="BB68" s="73"/>
      <c r="BE68" s="2"/>
      <c r="BG68" s="72"/>
      <c r="BH68" s="6"/>
      <c r="BI68" s="73"/>
      <c r="BJ68" s="6"/>
      <c r="BL68" s="2"/>
      <c r="BM68" s="5"/>
      <c r="BO68" s="6"/>
      <c r="BP68" s="2"/>
      <c r="BQ68" s="2"/>
      <c r="BR68" s="2"/>
      <c r="BT68" s="2"/>
      <c r="BV68" s="2"/>
      <c r="BW68" s="2"/>
      <c r="BX68" s="2"/>
      <c r="BY68" s="2"/>
      <c r="BZ68" s="2"/>
      <c r="CA68" s="2"/>
      <c r="CC68" s="2"/>
      <c r="CD68" s="2"/>
      <c r="CE68" s="2"/>
      <c r="CG68" s="2"/>
      <c r="CI68" s="2"/>
      <c r="CJ68" s="2"/>
      <c r="CK68" s="2"/>
      <c r="CL68" s="2"/>
      <c r="CM68" s="2"/>
      <c r="CN68" s="2"/>
      <c r="CP68" s="2"/>
      <c r="CQ68" s="2"/>
      <c r="CR68" s="2"/>
      <c r="CT68" s="2"/>
      <c r="CV68" s="2"/>
      <c r="CW68" s="2"/>
      <c r="CX68" s="2"/>
      <c r="CY68" s="2"/>
      <c r="CZ68" s="2"/>
      <c r="DA68" s="2"/>
      <c r="DC68" s="2"/>
      <c r="DD68" s="2"/>
      <c r="DE68" s="2"/>
      <c r="DG68" s="2"/>
      <c r="DI68" s="2"/>
      <c r="DJ68" s="2"/>
      <c r="DK68" s="2"/>
    </row>
    <row r="69" spans="2:115" ht="15.75" thickTop="1" x14ac:dyDescent="0.25">
      <c r="B69" s="222" t="s">
        <v>285</v>
      </c>
      <c r="C69" s="223"/>
      <c r="D69" s="224"/>
      <c r="E69" s="225"/>
      <c r="F69" s="197">
        <v>42735</v>
      </c>
      <c r="G69" s="226"/>
      <c r="H69" s="227"/>
      <c r="I69" s="226"/>
      <c r="J69" s="228"/>
      <c r="K69" s="199">
        <v>42735</v>
      </c>
      <c r="S69" s="73"/>
      <c r="V69" s="2"/>
      <c r="X69" s="72"/>
      <c r="Y69" s="6"/>
      <c r="Z69" s="73"/>
      <c r="AB69" s="6"/>
      <c r="AC69" s="2"/>
      <c r="AE69" s="72"/>
      <c r="AF69" s="6"/>
      <c r="AG69" s="73"/>
      <c r="AH69" s="6"/>
      <c r="AI69" s="6"/>
      <c r="AJ69" s="2"/>
      <c r="AL69" s="72"/>
      <c r="AN69" s="73"/>
      <c r="AO69" s="6"/>
      <c r="AQ69" s="2"/>
      <c r="AS69" s="72"/>
      <c r="AU69" s="73"/>
      <c r="AV69" s="6"/>
      <c r="AW69" s="6"/>
      <c r="AX69" s="2"/>
      <c r="AZ69" s="72"/>
      <c r="BB69" s="73"/>
      <c r="BE69" s="2"/>
      <c r="BG69" s="72"/>
      <c r="BH69" s="6"/>
      <c r="BI69" s="73"/>
      <c r="BJ69" s="6"/>
      <c r="BL69" s="2"/>
      <c r="BM69" s="5"/>
      <c r="BO69" s="6"/>
      <c r="BP69" s="2"/>
      <c r="BQ69" s="2"/>
      <c r="BR69" s="2"/>
      <c r="BT69" s="2"/>
      <c r="BV69" s="2"/>
      <c r="BW69" s="2"/>
      <c r="BX69" s="2"/>
      <c r="BY69" s="2"/>
      <c r="BZ69" s="2"/>
      <c r="CA69" s="2"/>
      <c r="CC69" s="2"/>
      <c r="CD69" s="2"/>
      <c r="CE69" s="2"/>
      <c r="CG69" s="2"/>
      <c r="CI69" s="2"/>
      <c r="CJ69" s="2"/>
      <c r="CK69" s="2"/>
      <c r="CL69" s="2"/>
      <c r="CM69" s="2"/>
      <c r="CN69" s="2"/>
      <c r="CP69" s="2"/>
      <c r="CQ69" s="2"/>
      <c r="CR69" s="2"/>
      <c r="CT69" s="2"/>
      <c r="CV69" s="2"/>
      <c r="CW69" s="2"/>
      <c r="CX69" s="2"/>
      <c r="CY69" s="2"/>
      <c r="CZ69" s="2"/>
      <c r="DA69" s="2"/>
      <c r="DC69" s="2"/>
      <c r="DD69" s="2"/>
      <c r="DE69" s="2"/>
      <c r="DG69" s="2"/>
      <c r="DI69" s="2"/>
      <c r="DJ69" s="2"/>
      <c r="DK69" s="2"/>
    </row>
    <row r="70" spans="2:115" x14ac:dyDescent="0.25">
      <c r="B70" s="229"/>
      <c r="C70" s="58"/>
      <c r="D70" s="76"/>
      <c r="E70" s="77"/>
      <c r="F70" s="143" t="s">
        <v>210</v>
      </c>
      <c r="G70" s="59"/>
      <c r="H70" s="192"/>
      <c r="I70" s="59"/>
      <c r="J70" s="208"/>
      <c r="K70" s="202" t="s">
        <v>245</v>
      </c>
      <c r="S70" s="73"/>
      <c r="V70" s="2"/>
      <c r="X70" s="72"/>
      <c r="Y70" s="6"/>
      <c r="Z70" s="73"/>
      <c r="AB70" s="6"/>
      <c r="AC70" s="2"/>
      <c r="AE70" s="72"/>
      <c r="AF70" s="6"/>
      <c r="AG70" s="73"/>
      <c r="AH70" s="6"/>
      <c r="AI70" s="6"/>
      <c r="AJ70" s="2"/>
      <c r="AL70" s="72"/>
      <c r="AN70" s="73"/>
      <c r="AO70" s="6"/>
      <c r="AQ70" s="2"/>
      <c r="AS70" s="72"/>
      <c r="AU70" s="73"/>
      <c r="AV70" s="6"/>
      <c r="AW70" s="6"/>
      <c r="AX70" s="2"/>
      <c r="AZ70" s="72"/>
      <c r="BB70" s="73"/>
      <c r="BE70" s="2"/>
      <c r="BG70" s="72"/>
      <c r="BH70" s="6"/>
      <c r="BI70" s="73"/>
      <c r="BJ70" s="6"/>
      <c r="BL70" s="2"/>
      <c r="BM70" s="5"/>
      <c r="BO70" s="6"/>
      <c r="BP70" s="2"/>
      <c r="BQ70" s="2"/>
      <c r="BR70" s="2"/>
      <c r="BT70" s="2"/>
      <c r="BV70" s="2"/>
      <c r="BW70" s="2"/>
      <c r="BX70" s="2"/>
      <c r="BY70" s="2"/>
      <c r="BZ70" s="2"/>
      <c r="CA70" s="2"/>
      <c r="CC70" s="2"/>
      <c r="CD70" s="2"/>
      <c r="CE70" s="2"/>
      <c r="CG70" s="2"/>
      <c r="CI70" s="2"/>
      <c r="CJ70" s="2"/>
      <c r="CK70" s="2"/>
      <c r="CL70" s="2"/>
      <c r="CM70" s="2"/>
      <c r="CN70" s="2"/>
      <c r="CP70" s="2"/>
      <c r="CQ70" s="2"/>
      <c r="CR70" s="2"/>
      <c r="CT70" s="2"/>
      <c r="CV70" s="2"/>
      <c r="CW70" s="2"/>
      <c r="CX70" s="2"/>
      <c r="CY70" s="2"/>
      <c r="CZ70" s="2"/>
      <c r="DA70" s="2"/>
      <c r="DC70" s="2"/>
      <c r="DD70" s="2"/>
      <c r="DE70" s="2"/>
      <c r="DG70" s="2"/>
      <c r="DI70" s="2"/>
      <c r="DJ70" s="2"/>
      <c r="DK70" s="2"/>
    </row>
    <row r="71" spans="2:115" x14ac:dyDescent="0.25">
      <c r="B71" s="230"/>
      <c r="C71" s="152"/>
      <c r="D71" s="76"/>
      <c r="E71" s="231"/>
      <c r="F71" s="185" t="s">
        <v>211</v>
      </c>
      <c r="G71" s="59"/>
      <c r="H71" s="192"/>
      <c r="I71" s="59"/>
      <c r="J71" s="208"/>
      <c r="K71" s="202" t="s">
        <v>211</v>
      </c>
      <c r="S71" s="73"/>
      <c r="V71" s="2"/>
      <c r="X71" s="72"/>
      <c r="Y71" s="6"/>
      <c r="Z71" s="73"/>
      <c r="AB71" s="6"/>
      <c r="AC71" s="2"/>
      <c r="AE71" s="72"/>
      <c r="AF71" s="6"/>
      <c r="AG71" s="73"/>
      <c r="AH71" s="6"/>
      <c r="AI71" s="6"/>
      <c r="AJ71" s="2"/>
      <c r="AL71" s="72"/>
      <c r="AN71" s="73"/>
      <c r="AO71" s="6"/>
      <c r="AQ71" s="2"/>
      <c r="AS71" s="72"/>
      <c r="AU71" s="73"/>
      <c r="AV71" s="6"/>
      <c r="AW71" s="6"/>
      <c r="AX71" s="2"/>
      <c r="AZ71" s="72"/>
      <c r="BB71" s="73"/>
      <c r="BE71" s="2"/>
      <c r="BG71" s="72"/>
      <c r="BH71" s="6"/>
      <c r="BI71" s="73"/>
      <c r="BJ71" s="6"/>
      <c r="BL71" s="2"/>
      <c r="BM71" s="5"/>
      <c r="BO71" s="6"/>
      <c r="BP71" s="2"/>
      <c r="BQ71" s="2"/>
      <c r="BR71" s="2"/>
      <c r="BT71" s="2"/>
      <c r="BV71" s="2"/>
      <c r="BW71" s="2"/>
      <c r="BX71" s="2"/>
      <c r="BY71" s="2"/>
      <c r="BZ71" s="2"/>
      <c r="CA71" s="2"/>
      <c r="CC71" s="2"/>
      <c r="CD71" s="2"/>
      <c r="CE71" s="2"/>
      <c r="CG71" s="2"/>
      <c r="CI71" s="2"/>
      <c r="CJ71" s="2"/>
      <c r="CK71" s="2"/>
      <c r="CL71" s="2"/>
      <c r="CM71" s="2"/>
      <c r="CN71" s="2"/>
      <c r="CP71" s="2"/>
      <c r="CQ71" s="2"/>
      <c r="CR71" s="2"/>
      <c r="CT71" s="2"/>
      <c r="CV71" s="2"/>
      <c r="CW71" s="2"/>
      <c r="CX71" s="2"/>
      <c r="CY71" s="2"/>
      <c r="CZ71" s="2"/>
      <c r="DA71" s="2"/>
      <c r="DC71" s="2"/>
      <c r="DD71" s="2"/>
      <c r="DE71" s="2"/>
      <c r="DG71" s="2"/>
      <c r="DI71" s="2"/>
      <c r="DJ71" s="2"/>
      <c r="DK71" s="2"/>
    </row>
    <row r="72" spans="2:115" x14ac:dyDescent="0.25">
      <c r="B72" s="206" t="s">
        <v>286</v>
      </c>
      <c r="C72" s="152"/>
      <c r="D72" s="76"/>
      <c r="E72" s="231"/>
      <c r="F72" s="232">
        <v>147.0723668</v>
      </c>
      <c r="G72" s="59"/>
      <c r="H72" s="192"/>
      <c r="I72" s="59"/>
      <c r="J72" s="208"/>
      <c r="K72" s="233">
        <v>-108.3695731319762</v>
      </c>
      <c r="S72" s="73"/>
      <c r="V72" s="2"/>
      <c r="X72" s="72"/>
      <c r="Y72" s="6"/>
      <c r="Z72" s="73"/>
      <c r="AB72" s="6"/>
      <c r="AC72" s="2"/>
      <c r="AE72" s="72"/>
      <c r="AF72" s="6"/>
      <c r="AG72" s="73"/>
      <c r="AH72" s="6"/>
      <c r="AI72" s="6"/>
      <c r="AJ72" s="2"/>
      <c r="AL72" s="72"/>
      <c r="AN72" s="73"/>
      <c r="AO72" s="6"/>
      <c r="AQ72" s="2"/>
      <c r="AS72" s="72"/>
      <c r="AU72" s="73"/>
      <c r="AV72" s="6"/>
      <c r="AW72" s="6"/>
      <c r="AX72" s="2"/>
      <c r="AZ72" s="72"/>
      <c r="BB72" s="73"/>
      <c r="BE72" s="2"/>
      <c r="BG72" s="72"/>
      <c r="BH72" s="6"/>
      <c r="BI72" s="73"/>
      <c r="BJ72" s="6"/>
      <c r="BL72" s="2"/>
      <c r="BM72" s="5"/>
      <c r="BO72" s="6"/>
      <c r="BP72" s="2"/>
      <c r="BQ72" s="2"/>
      <c r="BR72" s="2"/>
      <c r="BT72" s="2"/>
      <c r="BV72" s="2"/>
      <c r="BW72" s="2"/>
      <c r="BX72" s="2"/>
      <c r="BY72" s="2"/>
      <c r="BZ72" s="2"/>
      <c r="CA72" s="2"/>
      <c r="CC72" s="2"/>
      <c r="CD72" s="2"/>
      <c r="CE72" s="2"/>
      <c r="CG72" s="2"/>
      <c r="CI72" s="2"/>
      <c r="CJ72" s="2"/>
      <c r="CK72" s="2"/>
      <c r="CL72" s="2"/>
      <c r="CM72" s="2"/>
      <c r="CN72" s="2"/>
      <c r="CP72" s="2"/>
      <c r="CQ72" s="2"/>
      <c r="CR72" s="2"/>
      <c r="CT72" s="2"/>
      <c r="CV72" s="2"/>
      <c r="CW72" s="2"/>
      <c r="CX72" s="2"/>
      <c r="CY72" s="2"/>
      <c r="CZ72" s="2"/>
      <c r="DA72" s="2"/>
      <c r="DC72" s="2"/>
      <c r="DD72" s="2"/>
      <c r="DE72" s="2"/>
      <c r="DG72" s="2"/>
      <c r="DI72" s="2"/>
      <c r="DJ72" s="2"/>
      <c r="DK72" s="2"/>
    </row>
    <row r="73" spans="2:115" x14ac:dyDescent="0.25">
      <c r="B73" s="206" t="s">
        <v>287</v>
      </c>
      <c r="C73" s="152"/>
      <c r="D73" s="76"/>
      <c r="E73" s="231"/>
      <c r="F73" s="232">
        <v>0.68398715399999999</v>
      </c>
      <c r="G73" s="59"/>
      <c r="H73" s="192"/>
      <c r="I73" s="59"/>
      <c r="J73" s="208"/>
      <c r="K73" s="234">
        <v>-0.38793301271641789</v>
      </c>
      <c r="S73" s="73"/>
      <c r="V73" s="2"/>
      <c r="X73" s="72"/>
      <c r="Y73" s="6"/>
      <c r="Z73" s="73"/>
      <c r="AB73" s="6"/>
      <c r="AC73" s="2"/>
      <c r="AE73" s="72"/>
      <c r="AF73" s="6"/>
      <c r="AG73" s="73"/>
      <c r="AH73" s="6"/>
      <c r="AI73" s="6"/>
      <c r="AJ73" s="2"/>
      <c r="AL73" s="72"/>
      <c r="AN73" s="73"/>
      <c r="AO73" s="6"/>
      <c r="AQ73" s="2"/>
      <c r="AS73" s="72"/>
      <c r="AU73" s="73"/>
      <c r="AV73" s="6"/>
      <c r="AW73" s="6"/>
      <c r="AX73" s="2"/>
      <c r="AZ73" s="72"/>
      <c r="BB73" s="73"/>
      <c r="BE73" s="2"/>
      <c r="BG73" s="72"/>
      <c r="BH73" s="6"/>
      <c r="BI73" s="73"/>
      <c r="BJ73" s="6"/>
      <c r="BL73" s="2"/>
      <c r="BM73" s="5"/>
      <c r="BO73" s="6"/>
      <c r="BP73" s="2"/>
      <c r="BQ73" s="2"/>
      <c r="BR73" s="2"/>
      <c r="BT73" s="2"/>
      <c r="BV73" s="2"/>
      <c r="BW73" s="2"/>
      <c r="BX73" s="2"/>
      <c r="BY73" s="2"/>
      <c r="BZ73" s="2"/>
      <c r="CA73" s="2"/>
      <c r="CC73" s="2"/>
      <c r="CD73" s="2"/>
      <c r="CE73" s="2"/>
      <c r="CG73" s="2"/>
      <c r="CI73" s="2"/>
      <c r="CJ73" s="2"/>
      <c r="CK73" s="2"/>
      <c r="CL73" s="2"/>
      <c r="CM73" s="2"/>
      <c r="CN73" s="2"/>
      <c r="CP73" s="2"/>
      <c r="CQ73" s="2"/>
      <c r="CR73" s="2"/>
      <c r="CT73" s="2"/>
      <c r="CV73" s="2"/>
      <c r="CW73" s="2"/>
      <c r="CX73" s="2"/>
      <c r="CY73" s="2"/>
      <c r="CZ73" s="2"/>
      <c r="DA73" s="2"/>
      <c r="DC73" s="2"/>
      <c r="DD73" s="2"/>
      <c r="DE73" s="2"/>
      <c r="DG73" s="2"/>
      <c r="DI73" s="2"/>
      <c r="DJ73" s="2"/>
      <c r="DK73" s="2"/>
    </row>
    <row r="74" spans="2:115" x14ac:dyDescent="0.25">
      <c r="B74" s="206" t="s">
        <v>288</v>
      </c>
      <c r="C74" s="152"/>
      <c r="D74" s="76"/>
      <c r="E74" s="231"/>
      <c r="F74" s="232">
        <v>1.9442985659999998</v>
      </c>
      <c r="G74" s="59"/>
      <c r="H74" s="192"/>
      <c r="I74" s="59"/>
      <c r="J74" s="208"/>
      <c r="K74" s="234">
        <v>-0.31414430979039298</v>
      </c>
      <c r="S74" s="73"/>
      <c r="V74" s="2"/>
      <c r="X74" s="72"/>
      <c r="Y74" s="6"/>
      <c r="Z74" s="73"/>
      <c r="AB74" s="6"/>
      <c r="AC74" s="2"/>
      <c r="AE74" s="72"/>
      <c r="AF74" s="6"/>
      <c r="AG74" s="73"/>
      <c r="AH74" s="6"/>
      <c r="AI74" s="6"/>
      <c r="AJ74" s="2"/>
      <c r="AL74" s="72"/>
      <c r="AN74" s="73"/>
      <c r="AO74" s="6"/>
      <c r="AQ74" s="2"/>
      <c r="AS74" s="72"/>
      <c r="AU74" s="73"/>
      <c r="AV74" s="6"/>
      <c r="AW74" s="6"/>
      <c r="AX74" s="2"/>
      <c r="AZ74" s="72"/>
      <c r="BB74" s="73"/>
      <c r="BE74" s="2"/>
      <c r="BG74" s="72"/>
      <c r="BH74" s="6"/>
      <c r="BI74" s="73"/>
      <c r="BJ74" s="6"/>
      <c r="BL74" s="2"/>
      <c r="BM74" s="5"/>
      <c r="BO74" s="6"/>
      <c r="BP74" s="2"/>
      <c r="BQ74" s="2"/>
      <c r="BR74" s="2"/>
      <c r="BT74" s="2"/>
      <c r="BV74" s="2"/>
      <c r="BW74" s="2"/>
      <c r="BX74" s="2"/>
      <c r="BY74" s="2"/>
      <c r="BZ74" s="2"/>
      <c r="CA74" s="2"/>
      <c r="CC74" s="2"/>
      <c r="CD74" s="2"/>
      <c r="CE74" s="2"/>
      <c r="CG74" s="2"/>
      <c r="CI74" s="2"/>
      <c r="CJ74" s="2"/>
      <c r="CK74" s="2"/>
      <c r="CL74" s="2"/>
      <c r="CM74" s="2"/>
      <c r="CN74" s="2"/>
      <c r="CP74" s="2"/>
      <c r="CQ74" s="2"/>
      <c r="CR74" s="2"/>
      <c r="CT74" s="2"/>
      <c r="CV74" s="2"/>
      <c r="CW74" s="2"/>
      <c r="CX74" s="2"/>
      <c r="CY74" s="2"/>
      <c r="CZ74" s="2"/>
      <c r="DA74" s="2"/>
      <c r="DC74" s="2"/>
      <c r="DD74" s="2"/>
      <c r="DE74" s="2"/>
      <c r="DG74" s="2"/>
      <c r="DI74" s="2"/>
      <c r="DJ74" s="2"/>
      <c r="DK74" s="2"/>
    </row>
    <row r="75" spans="2:115" x14ac:dyDescent="0.25">
      <c r="B75" s="210" t="s">
        <v>289</v>
      </c>
      <c r="C75" s="152"/>
      <c r="D75" s="76"/>
      <c r="E75" s="231"/>
      <c r="F75" s="232">
        <v>0.37674735999999998</v>
      </c>
      <c r="G75" s="59"/>
      <c r="H75" s="192"/>
      <c r="I75" s="59"/>
      <c r="J75" s="208"/>
      <c r="K75" s="234">
        <v>-0.13699903999999999</v>
      </c>
      <c r="S75" s="73"/>
      <c r="V75" s="2"/>
      <c r="X75" s="72"/>
      <c r="Y75" s="6"/>
      <c r="Z75" s="73"/>
      <c r="AB75" s="6"/>
      <c r="AC75" s="2"/>
      <c r="AE75" s="72"/>
      <c r="AF75" s="6"/>
      <c r="AG75" s="73"/>
      <c r="AH75" s="6"/>
      <c r="AI75" s="6"/>
      <c r="AJ75" s="2"/>
      <c r="AL75" s="72"/>
      <c r="AN75" s="73"/>
      <c r="AO75" s="6"/>
      <c r="AQ75" s="2"/>
      <c r="AS75" s="72"/>
      <c r="AU75" s="73"/>
      <c r="AV75" s="6"/>
      <c r="AW75" s="6"/>
      <c r="AX75" s="2"/>
      <c r="AZ75" s="72"/>
      <c r="BB75" s="73"/>
      <c r="BE75" s="2"/>
      <c r="BG75" s="72"/>
      <c r="BH75" s="6"/>
      <c r="BI75" s="73"/>
      <c r="BJ75" s="6"/>
      <c r="BL75" s="2"/>
      <c r="BM75" s="5"/>
      <c r="BO75" s="6"/>
      <c r="BP75" s="2"/>
      <c r="BQ75" s="2"/>
      <c r="BR75" s="2"/>
      <c r="BT75" s="2"/>
      <c r="BV75" s="2"/>
      <c r="BW75" s="2"/>
      <c r="BX75" s="2"/>
      <c r="BY75" s="2"/>
      <c r="BZ75" s="2"/>
      <c r="CA75" s="2"/>
      <c r="CC75" s="2"/>
      <c r="CD75" s="2"/>
      <c r="CE75" s="2"/>
      <c r="CG75" s="2"/>
      <c r="CI75" s="2"/>
      <c r="CJ75" s="2"/>
      <c r="CK75" s="2"/>
      <c r="CL75" s="2"/>
      <c r="CM75" s="2"/>
      <c r="CN75" s="2"/>
      <c r="CP75" s="2"/>
      <c r="CQ75" s="2"/>
      <c r="CR75" s="2"/>
      <c r="CT75" s="2"/>
      <c r="CV75" s="2"/>
      <c r="CW75" s="2"/>
      <c r="CX75" s="2"/>
      <c r="CY75" s="2"/>
      <c r="CZ75" s="2"/>
      <c r="DA75" s="2"/>
      <c r="DC75" s="2"/>
      <c r="DD75" s="2"/>
      <c r="DE75" s="2"/>
      <c r="DG75" s="2"/>
      <c r="DI75" s="2"/>
      <c r="DJ75" s="2"/>
      <c r="DK75" s="2"/>
    </row>
    <row r="76" spans="2:115" x14ac:dyDescent="0.25">
      <c r="B76" s="210" t="s">
        <v>290</v>
      </c>
      <c r="C76" s="152"/>
      <c r="D76" s="76"/>
      <c r="E76" s="231"/>
      <c r="F76" s="232">
        <v>0.37674735999999998</v>
      </c>
      <c r="G76" s="59"/>
      <c r="H76" s="192"/>
      <c r="I76" s="59"/>
      <c r="J76" s="208"/>
      <c r="K76" s="235">
        <v>-0.17124880000000001</v>
      </c>
      <c r="S76" s="73"/>
      <c r="V76" s="2"/>
      <c r="X76" s="72"/>
      <c r="Y76" s="6"/>
      <c r="Z76" s="73"/>
      <c r="AB76" s="6"/>
      <c r="AC76" s="2"/>
      <c r="AE76" s="72"/>
      <c r="AF76" s="6"/>
      <c r="AG76" s="73"/>
      <c r="AH76" s="6"/>
      <c r="AI76" s="6"/>
      <c r="AJ76" s="2"/>
      <c r="AL76" s="72"/>
      <c r="AN76" s="73"/>
      <c r="AO76" s="6"/>
      <c r="AQ76" s="2"/>
      <c r="AS76" s="72"/>
      <c r="AU76" s="73"/>
      <c r="AV76" s="6"/>
      <c r="AW76" s="6"/>
      <c r="AX76" s="2"/>
      <c r="AZ76" s="72"/>
      <c r="BB76" s="73"/>
      <c r="BE76" s="2"/>
      <c r="BG76" s="72"/>
      <c r="BH76" s="6"/>
      <c r="BI76" s="73"/>
      <c r="BJ76" s="6"/>
      <c r="BL76" s="2"/>
      <c r="BM76" s="5"/>
      <c r="BO76" s="6"/>
      <c r="BP76" s="2"/>
      <c r="BQ76" s="2"/>
      <c r="BR76" s="2"/>
      <c r="BT76" s="2"/>
      <c r="BV76" s="2"/>
      <c r="BW76" s="2"/>
      <c r="BX76" s="2"/>
      <c r="BY76" s="2"/>
      <c r="BZ76" s="2"/>
      <c r="CA76" s="2"/>
      <c r="CC76" s="2"/>
      <c r="CD76" s="2"/>
      <c r="CE76" s="2"/>
      <c r="CG76" s="2"/>
      <c r="CI76" s="2"/>
      <c r="CJ76" s="2"/>
      <c r="CK76" s="2"/>
      <c r="CL76" s="2"/>
      <c r="CM76" s="2"/>
      <c r="CN76" s="2"/>
      <c r="CP76" s="2"/>
      <c r="CQ76" s="2"/>
      <c r="CR76" s="2"/>
      <c r="CT76" s="2"/>
      <c r="CV76" s="2"/>
      <c r="CW76" s="2"/>
      <c r="CX76" s="2"/>
      <c r="CY76" s="2"/>
      <c r="CZ76" s="2"/>
      <c r="DA76" s="2"/>
      <c r="DC76" s="2"/>
      <c r="DD76" s="2"/>
      <c r="DE76" s="2"/>
      <c r="DG76" s="2"/>
      <c r="DI76" s="2"/>
      <c r="DJ76" s="2"/>
      <c r="DK76" s="2"/>
    </row>
    <row r="77" spans="2:115" x14ac:dyDescent="0.25">
      <c r="B77" s="210" t="s">
        <v>291</v>
      </c>
      <c r="C77" s="152"/>
      <c r="D77" s="76"/>
      <c r="E77" s="231"/>
      <c r="F77" s="232"/>
      <c r="G77" s="59"/>
      <c r="H77" s="192"/>
      <c r="I77" s="59"/>
      <c r="J77" s="208"/>
      <c r="K77" s="236"/>
      <c r="S77" s="73"/>
      <c r="V77" s="2"/>
      <c r="X77" s="72"/>
      <c r="Y77" s="6"/>
      <c r="Z77" s="73"/>
      <c r="AB77" s="6"/>
      <c r="AC77" s="2"/>
      <c r="AE77" s="72"/>
      <c r="AF77" s="6"/>
      <c r="AG77" s="73"/>
      <c r="AH77" s="6"/>
      <c r="AI77" s="6"/>
      <c r="AJ77" s="2"/>
      <c r="AL77" s="72"/>
      <c r="AN77" s="73"/>
      <c r="AO77" s="6"/>
      <c r="AQ77" s="2"/>
      <c r="AS77" s="72"/>
      <c r="AU77" s="73"/>
      <c r="AV77" s="6"/>
      <c r="AW77" s="6"/>
      <c r="AX77" s="2"/>
      <c r="AZ77" s="72"/>
      <c r="BB77" s="73"/>
      <c r="BE77" s="2"/>
      <c r="BG77" s="72"/>
      <c r="BH77" s="6"/>
      <c r="BI77" s="73"/>
      <c r="BJ77" s="6"/>
      <c r="BL77" s="2"/>
      <c r="BM77" s="5"/>
      <c r="BO77" s="6"/>
      <c r="BP77" s="2"/>
      <c r="BQ77" s="2"/>
      <c r="BR77" s="2"/>
      <c r="BT77" s="2"/>
      <c r="BV77" s="2"/>
      <c r="BW77" s="2"/>
      <c r="BX77" s="2"/>
      <c r="BY77" s="2"/>
      <c r="BZ77" s="2"/>
      <c r="CA77" s="2"/>
      <c r="CC77" s="2"/>
      <c r="CD77" s="2"/>
      <c r="CE77" s="2"/>
      <c r="CG77" s="2"/>
      <c r="CI77" s="2"/>
      <c r="CJ77" s="2"/>
      <c r="CK77" s="2"/>
      <c r="CL77" s="2"/>
      <c r="CM77" s="2"/>
      <c r="CN77" s="2"/>
      <c r="CP77" s="2"/>
      <c r="CQ77" s="2"/>
      <c r="CR77" s="2"/>
      <c r="CT77" s="2"/>
      <c r="CV77" s="2"/>
      <c r="CW77" s="2"/>
      <c r="CX77" s="2"/>
      <c r="CY77" s="2"/>
      <c r="CZ77" s="2"/>
      <c r="DA77" s="2"/>
      <c r="DC77" s="2"/>
      <c r="DD77" s="2"/>
      <c r="DE77" s="2"/>
      <c r="DG77" s="2"/>
      <c r="DI77" s="2"/>
      <c r="DJ77" s="2"/>
      <c r="DK77" s="2"/>
    </row>
    <row r="78" spans="2:115" x14ac:dyDescent="0.25">
      <c r="B78" s="210" t="s">
        <v>292</v>
      </c>
      <c r="C78" s="152"/>
      <c r="D78" s="76"/>
      <c r="E78" s="231"/>
      <c r="F78" s="232">
        <v>0.24658749999999999</v>
      </c>
      <c r="G78" s="59"/>
      <c r="H78" s="192"/>
      <c r="I78" s="59"/>
      <c r="J78" s="208"/>
      <c r="K78" s="235">
        <v>-0.16439166666666666</v>
      </c>
      <c r="S78" s="73"/>
      <c r="V78" s="2"/>
      <c r="X78" s="72"/>
      <c r="Y78" s="6"/>
      <c r="Z78" s="73"/>
      <c r="AB78" s="6"/>
      <c r="AC78" s="2"/>
      <c r="AE78" s="72"/>
      <c r="AF78" s="6"/>
      <c r="AG78" s="73"/>
      <c r="AH78" s="6"/>
      <c r="AI78" s="6"/>
      <c r="AJ78" s="2"/>
      <c r="AL78" s="72"/>
      <c r="AN78" s="73"/>
      <c r="AO78" s="6"/>
      <c r="AQ78" s="2"/>
      <c r="AS78" s="72"/>
      <c r="AU78" s="73"/>
      <c r="AV78" s="6"/>
      <c r="AW78" s="6"/>
      <c r="AX78" s="2"/>
      <c r="AZ78" s="72"/>
      <c r="BB78" s="73"/>
      <c r="BE78" s="2"/>
      <c r="BG78" s="72"/>
      <c r="BH78" s="6"/>
      <c r="BI78" s="73"/>
      <c r="BJ78" s="6"/>
      <c r="BL78" s="2"/>
    </row>
    <row r="79" spans="2:115" x14ac:dyDescent="0.25">
      <c r="B79" s="210" t="s">
        <v>293</v>
      </c>
      <c r="C79" s="152"/>
      <c r="D79" s="76"/>
      <c r="E79" s="231"/>
      <c r="F79" s="232">
        <v>1.3714462999999999</v>
      </c>
      <c r="G79" s="59"/>
      <c r="H79" s="192"/>
      <c r="I79" s="59"/>
      <c r="J79" s="208"/>
      <c r="K79" s="235">
        <v>-1.4481109999999999</v>
      </c>
      <c r="S79" s="73"/>
      <c r="V79" s="2"/>
      <c r="X79" s="72"/>
      <c r="Y79" s="6"/>
      <c r="Z79" s="73"/>
      <c r="AB79" s="6"/>
      <c r="AC79" s="2"/>
      <c r="AE79" s="72"/>
      <c r="AF79" s="6"/>
      <c r="AG79" s="73"/>
      <c r="AH79" s="6"/>
      <c r="AI79" s="6"/>
      <c r="AJ79" s="2"/>
      <c r="AL79" s="72"/>
      <c r="AN79" s="73"/>
      <c r="AO79" s="6"/>
      <c r="AQ79" s="2"/>
      <c r="AS79" s="72"/>
      <c r="AU79" s="73"/>
      <c r="AV79" s="6"/>
      <c r="AW79" s="6"/>
      <c r="AX79" s="2"/>
      <c r="AZ79" s="72"/>
      <c r="BB79" s="73"/>
      <c r="BE79" s="2"/>
      <c r="BG79" s="72"/>
      <c r="BH79" s="6"/>
      <c r="BI79" s="73"/>
      <c r="BJ79" s="6"/>
      <c r="BL79" s="2"/>
    </row>
    <row r="80" spans="2:115" x14ac:dyDescent="0.25">
      <c r="B80" s="210" t="s">
        <v>294</v>
      </c>
      <c r="C80" s="152"/>
      <c r="D80" s="76"/>
      <c r="E80" s="231"/>
      <c r="F80" s="232">
        <v>1.99079425</v>
      </c>
      <c r="G80" s="59"/>
      <c r="H80" s="192"/>
      <c r="I80" s="59"/>
      <c r="J80" s="208"/>
      <c r="K80" s="234">
        <v>-1.5206066633165829</v>
      </c>
      <c r="S80" s="73"/>
      <c r="V80" s="2"/>
      <c r="X80" s="72"/>
      <c r="Y80" s="6"/>
      <c r="Z80" s="73"/>
      <c r="AB80" s="6"/>
      <c r="AC80" s="2"/>
      <c r="AE80" s="72"/>
      <c r="AF80" s="6"/>
      <c r="AG80" s="73"/>
      <c r="AH80" s="6"/>
      <c r="AI80" s="6"/>
      <c r="AJ80" s="2"/>
      <c r="AL80" s="72"/>
      <c r="AN80" s="73"/>
      <c r="AO80" s="6"/>
      <c r="AQ80" s="2"/>
      <c r="AS80" s="72"/>
      <c r="AU80" s="73"/>
      <c r="AV80" s="6"/>
      <c r="AW80" s="6"/>
      <c r="AX80" s="2"/>
      <c r="AZ80" s="72"/>
      <c r="BB80" s="73"/>
      <c r="BE80" s="2"/>
      <c r="BG80" s="72"/>
      <c r="BH80" s="6"/>
      <c r="BI80" s="73"/>
      <c r="BJ80" s="6"/>
      <c r="BL80" s="2"/>
    </row>
    <row r="81" spans="2:64" x14ac:dyDescent="0.25">
      <c r="B81" s="210" t="s">
        <v>295</v>
      </c>
      <c r="C81" s="152"/>
      <c r="D81" s="76"/>
      <c r="E81" s="231"/>
      <c r="F81" s="232">
        <v>0.37674735999999998</v>
      </c>
      <c r="G81" s="59"/>
      <c r="H81" s="192"/>
      <c r="I81" s="59"/>
      <c r="J81" s="208"/>
      <c r="K81" s="235">
        <v>-0.20549855999999997</v>
      </c>
      <c r="S81" s="73"/>
      <c r="V81" s="2"/>
      <c r="X81" s="72"/>
      <c r="Y81" s="6"/>
      <c r="Z81" s="73"/>
      <c r="AB81" s="6"/>
      <c r="AC81" s="2"/>
      <c r="AE81" s="72"/>
      <c r="AF81" s="6"/>
      <c r="AG81" s="73"/>
      <c r="AH81" s="6"/>
      <c r="AI81" s="6"/>
      <c r="AJ81" s="2"/>
      <c r="AL81" s="72"/>
      <c r="AN81" s="73"/>
      <c r="AO81" s="6"/>
      <c r="AQ81" s="2"/>
      <c r="AS81" s="72"/>
      <c r="AU81" s="73"/>
      <c r="AV81" s="6"/>
      <c r="AW81" s="6"/>
      <c r="AX81" s="2"/>
      <c r="AZ81" s="72"/>
      <c r="BB81" s="73"/>
      <c r="BE81" s="2"/>
      <c r="BG81" s="72"/>
      <c r="BH81" s="6"/>
      <c r="BI81" s="73"/>
      <c r="BJ81" s="6"/>
      <c r="BL81" s="2"/>
    </row>
    <row r="82" spans="2:64" x14ac:dyDescent="0.25">
      <c r="B82" s="230"/>
      <c r="C82" s="152"/>
      <c r="D82" s="76"/>
      <c r="E82" s="231"/>
      <c r="F82" s="77"/>
      <c r="G82" s="208"/>
      <c r="H82" s="208"/>
      <c r="I82" s="208"/>
      <c r="J82" s="208"/>
      <c r="K82" s="237"/>
      <c r="S82" s="73"/>
      <c r="V82" s="2"/>
      <c r="X82" s="72"/>
      <c r="Y82" s="6"/>
      <c r="Z82" s="73"/>
      <c r="AB82" s="6"/>
      <c r="AC82" s="2"/>
      <c r="AE82" s="72"/>
      <c r="AF82" s="6"/>
      <c r="AG82" s="73"/>
      <c r="AH82" s="6"/>
      <c r="AI82" s="6"/>
      <c r="AJ82" s="2"/>
      <c r="AL82" s="72"/>
      <c r="AN82" s="73"/>
      <c r="AO82" s="6"/>
      <c r="AQ82" s="2"/>
      <c r="AS82" s="72"/>
      <c r="AU82" s="73"/>
      <c r="AV82" s="6"/>
      <c r="AW82" s="6"/>
      <c r="AX82" s="2"/>
      <c r="AZ82" s="72"/>
      <c r="BB82" s="73"/>
      <c r="BE82" s="2"/>
      <c r="BG82" s="72"/>
      <c r="BH82" s="6"/>
      <c r="BI82" s="73"/>
      <c r="BJ82" s="6"/>
      <c r="BL82" s="2"/>
    </row>
    <row r="83" spans="2:64" ht="15.75" thickBot="1" x14ac:dyDescent="0.3">
      <c r="B83" s="238" t="s">
        <v>272</v>
      </c>
      <c r="C83" s="239"/>
      <c r="D83" s="240"/>
      <c r="E83" s="241"/>
      <c r="F83" s="240">
        <v>2.0400000000000001E-2</v>
      </c>
      <c r="G83" s="242"/>
      <c r="H83" s="243"/>
      <c r="I83" s="242"/>
      <c r="J83" s="244"/>
      <c r="K83" s="245">
        <v>1.0204</v>
      </c>
      <c r="S83" s="73"/>
      <c r="V83" s="2"/>
      <c r="X83" s="72"/>
      <c r="Y83" s="6"/>
      <c r="Z83" s="73"/>
      <c r="AB83" s="6"/>
      <c r="AC83" s="2"/>
      <c r="AE83" s="72"/>
      <c r="AF83" s="6"/>
      <c r="AG83" s="73"/>
      <c r="AH83" s="6"/>
      <c r="AI83" s="6"/>
      <c r="AJ83" s="2"/>
      <c r="AL83" s="72"/>
      <c r="AN83" s="73"/>
      <c r="AO83" s="6"/>
      <c r="AQ83" s="2"/>
      <c r="AS83" s="72"/>
      <c r="AU83" s="73"/>
      <c r="AV83" s="6"/>
      <c r="AW83" s="6"/>
      <c r="AX83" s="2"/>
      <c r="AZ83" s="72"/>
      <c r="BB83" s="73"/>
      <c r="BE83" s="2"/>
      <c r="BG83" s="72"/>
      <c r="BH83" s="6"/>
      <c r="BI83" s="73"/>
      <c r="BJ83" s="6"/>
      <c r="BL83" s="2"/>
    </row>
    <row r="84" spans="2:64" ht="15.75" thickTop="1" x14ac:dyDescent="0.25">
      <c r="G84" s="72"/>
      <c r="H84" s="72"/>
      <c r="I84" s="72"/>
      <c r="S84" s="73"/>
      <c r="V84" s="2"/>
      <c r="X84" s="72"/>
      <c r="Y84" s="6"/>
      <c r="Z84" s="73"/>
      <c r="AB84" s="6"/>
      <c r="AC84" s="2"/>
      <c r="AE84" s="72"/>
      <c r="AF84" s="6"/>
      <c r="AG84" s="73"/>
      <c r="AH84" s="6"/>
      <c r="AI84" s="6"/>
      <c r="AJ84" s="2"/>
      <c r="AL84" s="72"/>
      <c r="AN84" s="73"/>
      <c r="AO84" s="6"/>
      <c r="AQ84" s="2"/>
      <c r="AS84" s="72"/>
      <c r="AU84" s="73"/>
      <c r="AV84" s="6"/>
      <c r="AW84" s="6"/>
      <c r="AX84" s="2"/>
      <c r="AZ84" s="72"/>
      <c r="BB84" s="73"/>
      <c r="BE84" s="2"/>
      <c r="BG84" s="72"/>
      <c r="BH84" s="6"/>
      <c r="BI84" s="73"/>
      <c r="BJ84" s="6"/>
      <c r="BL84" s="2"/>
    </row>
    <row r="85" spans="2:64" x14ac:dyDescent="0.25">
      <c r="G85" s="72"/>
      <c r="H85" s="72"/>
      <c r="I85" s="72"/>
      <c r="S85" s="73"/>
      <c r="V85" s="2"/>
      <c r="X85" s="72"/>
      <c r="Y85" s="6"/>
      <c r="Z85" s="73"/>
      <c r="AB85" s="6"/>
      <c r="AC85" s="2"/>
      <c r="AE85" s="72"/>
      <c r="AF85" s="6"/>
      <c r="AG85" s="73"/>
      <c r="AH85" s="6"/>
      <c r="AI85" s="6"/>
      <c r="AJ85" s="2"/>
      <c r="AL85" s="72"/>
      <c r="AN85" s="73"/>
      <c r="AO85" s="6"/>
      <c r="AQ85" s="2"/>
      <c r="AS85" s="72"/>
      <c r="AU85" s="73"/>
      <c r="AV85" s="6"/>
      <c r="AW85" s="6"/>
      <c r="AX85" s="2"/>
      <c r="AZ85" s="72"/>
      <c r="BB85" s="73"/>
      <c r="BE85" s="2"/>
      <c r="BG85" s="72"/>
      <c r="BH85" s="6"/>
      <c r="BI85" s="73"/>
      <c r="BJ85" s="6"/>
      <c r="BL85" s="2"/>
    </row>
    <row r="86" spans="2:64" x14ac:dyDescent="0.25">
      <c r="G86" s="72"/>
      <c r="H86" s="72"/>
      <c r="I86" s="72"/>
      <c r="S86" s="73"/>
      <c r="V86" s="2"/>
      <c r="X86" s="72"/>
      <c r="Y86" s="6"/>
      <c r="Z86" s="73"/>
      <c r="AB86" s="6"/>
      <c r="AC86" s="2"/>
      <c r="AE86" s="72"/>
      <c r="AF86" s="6"/>
      <c r="AG86" s="73"/>
      <c r="AH86" s="6"/>
      <c r="AI86" s="6"/>
      <c r="AJ86" s="2"/>
      <c r="AL86" s="72"/>
      <c r="AN86" s="73"/>
      <c r="AO86" s="6"/>
      <c r="AQ86" s="2"/>
      <c r="AS86" s="72"/>
      <c r="AU86" s="73"/>
      <c r="AV86" s="6"/>
      <c r="AW86" s="6"/>
      <c r="AX86" s="2"/>
      <c r="AZ86" s="72"/>
      <c r="BB86" s="73"/>
      <c r="BE86" s="2"/>
      <c r="BG86" s="72"/>
      <c r="BH86" s="6"/>
      <c r="BI86" s="73"/>
      <c r="BJ86" s="6"/>
      <c r="BL86" s="2"/>
    </row>
    <row r="87" spans="2:64" x14ac:dyDescent="0.25">
      <c r="G87" s="72"/>
      <c r="H87" s="72"/>
      <c r="I87" s="72"/>
      <c r="S87" s="73"/>
      <c r="V87" s="2"/>
      <c r="X87" s="72"/>
      <c r="Y87" s="6"/>
      <c r="Z87" s="73"/>
      <c r="AB87" s="6"/>
      <c r="AC87" s="2"/>
      <c r="AE87" s="72"/>
      <c r="AF87" s="6"/>
      <c r="AG87" s="73"/>
      <c r="AH87" s="6"/>
      <c r="AI87" s="6"/>
      <c r="AJ87" s="2"/>
      <c r="AL87" s="72"/>
      <c r="AN87" s="73"/>
      <c r="AO87" s="6"/>
      <c r="AQ87" s="2"/>
      <c r="AS87" s="72"/>
      <c r="AU87" s="73"/>
      <c r="AV87" s="6"/>
      <c r="AW87" s="6"/>
      <c r="AX87" s="2"/>
      <c r="AZ87" s="72"/>
      <c r="BB87" s="73"/>
      <c r="BE87" s="2"/>
      <c r="BG87" s="72"/>
      <c r="BH87" s="6"/>
      <c r="BI87" s="73"/>
      <c r="BJ87" s="6"/>
      <c r="BL87" s="2"/>
    </row>
    <row r="88" spans="2:64" x14ac:dyDescent="0.25">
      <c r="G88" s="72"/>
      <c r="H88" s="72"/>
      <c r="I88" s="72"/>
      <c r="S88" s="73"/>
      <c r="V88" s="2"/>
      <c r="X88" s="72"/>
      <c r="Y88" s="6"/>
      <c r="Z88" s="73"/>
      <c r="AB88" s="6"/>
      <c r="AC88" s="2"/>
      <c r="AE88" s="72"/>
      <c r="AF88" s="6"/>
      <c r="AG88" s="73"/>
      <c r="AH88" s="6"/>
      <c r="AI88" s="6"/>
      <c r="AJ88" s="2"/>
      <c r="AL88" s="72"/>
      <c r="AN88" s="73"/>
      <c r="AO88" s="6"/>
      <c r="AQ88" s="2"/>
      <c r="AS88" s="72"/>
      <c r="AU88" s="73"/>
      <c r="AV88" s="6"/>
      <c r="AW88" s="6"/>
      <c r="AX88" s="2"/>
      <c r="AZ88" s="72"/>
      <c r="BB88" s="73"/>
      <c r="BE88" s="2"/>
      <c r="BG88" s="72"/>
      <c r="BH88" s="6"/>
      <c r="BI88" s="73"/>
      <c r="BJ88" s="6"/>
      <c r="BL88" s="2"/>
    </row>
    <row r="89" spans="2:64" x14ac:dyDescent="0.25">
      <c r="G89" s="72"/>
      <c r="H89" s="72"/>
      <c r="I89" s="72"/>
      <c r="S89" s="73"/>
      <c r="V89" s="2"/>
      <c r="X89" s="72"/>
      <c r="Y89" s="6"/>
      <c r="Z89" s="73"/>
      <c r="AB89" s="6"/>
      <c r="AC89" s="2"/>
      <c r="AE89" s="72"/>
      <c r="AF89" s="6"/>
      <c r="AG89" s="73"/>
      <c r="AH89" s="6"/>
      <c r="AI89" s="6"/>
      <c r="AJ89" s="2"/>
      <c r="AL89" s="72"/>
      <c r="AN89" s="73"/>
      <c r="AO89" s="6"/>
      <c r="AQ89" s="2"/>
      <c r="AS89" s="72"/>
      <c r="AU89" s="73"/>
      <c r="AV89" s="6"/>
      <c r="AW89" s="6"/>
      <c r="AX89" s="2"/>
      <c r="AZ89" s="72"/>
      <c r="BB89" s="73"/>
      <c r="BE89" s="2"/>
      <c r="BG89" s="72"/>
      <c r="BH89" s="6"/>
      <c r="BI89" s="73"/>
      <c r="BJ89" s="6"/>
      <c r="BL89" s="2"/>
    </row>
    <row r="90" spans="2:64" x14ac:dyDescent="0.25">
      <c r="G90" s="72"/>
      <c r="H90" s="72"/>
      <c r="I90" s="72"/>
      <c r="S90" s="73"/>
      <c r="V90" s="2"/>
      <c r="X90" s="72"/>
      <c r="Y90" s="6"/>
      <c r="Z90" s="73"/>
      <c r="AB90" s="6"/>
      <c r="AC90" s="2"/>
      <c r="AE90" s="72"/>
      <c r="AF90" s="6"/>
      <c r="AG90" s="73"/>
      <c r="AH90" s="6"/>
      <c r="AI90" s="6"/>
      <c r="AJ90" s="2"/>
      <c r="AL90" s="72"/>
      <c r="AN90" s="73"/>
      <c r="AO90" s="6"/>
      <c r="AQ90" s="2"/>
      <c r="AS90" s="72"/>
      <c r="AU90" s="73"/>
      <c r="AV90" s="6"/>
      <c r="AW90" s="6"/>
      <c r="AX90" s="2"/>
      <c r="AZ90" s="72"/>
      <c r="BB90" s="73"/>
      <c r="BE90" s="2"/>
      <c r="BG90" s="72"/>
      <c r="BH90" s="6"/>
      <c r="BI90" s="73"/>
      <c r="BJ90" s="6"/>
      <c r="BL90" s="2"/>
    </row>
    <row r="91" spans="2:64" x14ac:dyDescent="0.25">
      <c r="G91" s="72"/>
      <c r="H91" s="72"/>
      <c r="I91" s="72"/>
      <c r="S91" s="73"/>
      <c r="V91" s="2"/>
      <c r="X91" s="72"/>
      <c r="Y91" s="6"/>
      <c r="Z91" s="73"/>
      <c r="AB91" s="6"/>
      <c r="AC91" s="2"/>
      <c r="AE91" s="72"/>
      <c r="AF91" s="6"/>
      <c r="AG91" s="73"/>
      <c r="AH91" s="6"/>
      <c r="AI91" s="6"/>
      <c r="AJ91" s="2"/>
      <c r="AL91" s="72"/>
      <c r="AN91" s="73"/>
      <c r="AO91" s="6"/>
      <c r="AQ91" s="2"/>
      <c r="AS91" s="72"/>
      <c r="AU91" s="73"/>
      <c r="AV91" s="6"/>
      <c r="AW91" s="6"/>
      <c r="AX91" s="2"/>
      <c r="AZ91" s="72"/>
      <c r="BB91" s="73"/>
      <c r="BE91" s="2"/>
      <c r="BG91" s="72"/>
      <c r="BH91" s="6"/>
      <c r="BI91" s="73"/>
      <c r="BJ91" s="6"/>
      <c r="BL91" s="2"/>
    </row>
    <row r="92" spans="2:64" x14ac:dyDescent="0.25">
      <c r="G92" s="72"/>
      <c r="H92" s="72"/>
      <c r="I92" s="72"/>
      <c r="S92" s="73"/>
      <c r="V92" s="2"/>
      <c r="X92" s="72"/>
      <c r="Y92" s="6"/>
      <c r="Z92" s="73"/>
      <c r="AB92" s="6"/>
      <c r="AC92" s="2"/>
      <c r="AE92" s="72"/>
      <c r="AF92" s="6"/>
      <c r="AG92" s="73"/>
      <c r="AH92" s="6"/>
      <c r="AI92" s="6"/>
      <c r="AJ92" s="2"/>
      <c r="AL92" s="72"/>
      <c r="AN92" s="73"/>
      <c r="AO92" s="6"/>
      <c r="AQ92" s="2"/>
      <c r="AS92" s="72"/>
      <c r="AU92" s="73"/>
      <c r="AV92" s="6"/>
      <c r="AW92" s="6"/>
      <c r="AX92" s="2"/>
      <c r="AZ92" s="72"/>
      <c r="BB92" s="73"/>
      <c r="BE92" s="2"/>
      <c r="BG92" s="72"/>
      <c r="BH92" s="6"/>
      <c r="BI92" s="73"/>
      <c r="BJ92" s="6"/>
      <c r="BL92" s="2"/>
    </row>
    <row r="93" spans="2:64" x14ac:dyDescent="0.25">
      <c r="G93" s="72"/>
      <c r="H93" s="72"/>
      <c r="I93" s="72"/>
      <c r="S93" s="73"/>
      <c r="V93" s="2"/>
      <c r="X93" s="72"/>
      <c r="Y93" s="6"/>
      <c r="Z93" s="73"/>
      <c r="AB93" s="6"/>
      <c r="AC93" s="2"/>
      <c r="AE93" s="72"/>
      <c r="AF93" s="6"/>
      <c r="AG93" s="73"/>
      <c r="AH93" s="6"/>
      <c r="AI93" s="6"/>
      <c r="AJ93" s="2"/>
      <c r="AL93" s="72"/>
      <c r="AN93" s="73"/>
      <c r="AO93" s="6"/>
      <c r="AQ93" s="2"/>
      <c r="AS93" s="72"/>
      <c r="AU93" s="73"/>
      <c r="AV93" s="6"/>
      <c r="AW93" s="6"/>
      <c r="AX93" s="2"/>
      <c r="AZ93" s="72"/>
      <c r="BB93" s="73"/>
      <c r="BE93" s="2"/>
      <c r="BG93" s="72"/>
      <c r="BH93" s="6"/>
      <c r="BI93" s="73"/>
      <c r="BJ93" s="6"/>
      <c r="BL93" s="2"/>
    </row>
    <row r="94" spans="2:64" x14ac:dyDescent="0.25">
      <c r="G94" s="72"/>
      <c r="H94" s="72"/>
      <c r="I94" s="72"/>
      <c r="S94" s="73"/>
      <c r="V94" s="2"/>
      <c r="X94" s="72"/>
      <c r="Y94" s="6"/>
      <c r="Z94" s="73"/>
      <c r="AB94" s="6"/>
      <c r="AC94" s="2"/>
      <c r="AE94" s="72"/>
      <c r="AF94" s="6"/>
      <c r="AG94" s="73"/>
      <c r="AH94" s="6"/>
      <c r="AI94" s="6"/>
      <c r="AJ94" s="2"/>
      <c r="AL94" s="72"/>
      <c r="AN94" s="73"/>
      <c r="AO94" s="6"/>
      <c r="AQ94" s="2"/>
      <c r="AS94" s="72"/>
      <c r="AU94" s="73"/>
      <c r="AV94" s="6"/>
      <c r="AW94" s="6"/>
      <c r="AX94" s="2"/>
      <c r="AZ94" s="72"/>
      <c r="BB94" s="73"/>
      <c r="BE94" s="2"/>
      <c r="BG94" s="72"/>
      <c r="BH94" s="6"/>
      <c r="BI94" s="73"/>
      <c r="BJ94" s="6"/>
      <c r="BL94" s="2"/>
    </row>
    <row r="95" spans="2:64" x14ac:dyDescent="0.25">
      <c r="G95" s="72"/>
      <c r="H95" s="72"/>
      <c r="I95" s="72"/>
      <c r="S95" s="73"/>
      <c r="V95" s="2"/>
      <c r="X95" s="72"/>
      <c r="Y95" s="6"/>
      <c r="Z95" s="73"/>
      <c r="AB95" s="6"/>
      <c r="AC95" s="2"/>
      <c r="AE95" s="72"/>
      <c r="AF95" s="6"/>
      <c r="AG95" s="73"/>
      <c r="AH95" s="6"/>
      <c r="AI95" s="6"/>
      <c r="AJ95" s="2"/>
      <c r="AL95" s="72"/>
      <c r="AN95" s="73"/>
      <c r="AO95" s="6"/>
      <c r="AQ95" s="2"/>
      <c r="AS95" s="72"/>
      <c r="AU95" s="73"/>
      <c r="AV95" s="6"/>
      <c r="AW95" s="6"/>
      <c r="AX95" s="2"/>
      <c r="AZ95" s="72"/>
      <c r="BB95" s="73"/>
      <c r="BE95" s="2"/>
      <c r="BG95" s="72"/>
      <c r="BH95" s="6"/>
      <c r="BI95" s="73"/>
      <c r="BJ95" s="6"/>
      <c r="BL95" s="2"/>
    </row>
    <row r="96" spans="2:64" x14ac:dyDescent="0.25">
      <c r="G96" s="72"/>
      <c r="H96" s="72"/>
      <c r="I96" s="72"/>
      <c r="S96" s="73"/>
      <c r="V96" s="2"/>
      <c r="X96" s="72"/>
      <c r="Y96" s="6"/>
      <c r="Z96" s="73"/>
      <c r="AB96" s="6"/>
      <c r="AC96" s="2"/>
      <c r="AE96" s="72"/>
      <c r="AF96" s="6"/>
      <c r="AG96" s="73"/>
      <c r="AH96" s="6"/>
      <c r="AI96" s="6"/>
      <c r="AJ96" s="2"/>
      <c r="AL96" s="72"/>
      <c r="AN96" s="73"/>
      <c r="AO96" s="6"/>
      <c r="AQ96" s="2"/>
      <c r="AS96" s="72"/>
      <c r="AU96" s="73"/>
      <c r="AV96" s="6"/>
      <c r="AW96" s="6"/>
      <c r="AX96" s="2"/>
      <c r="AZ96" s="72"/>
      <c r="BB96" s="73"/>
      <c r="BE96" s="2"/>
      <c r="BG96" s="72"/>
      <c r="BH96" s="6"/>
      <c r="BI96" s="73"/>
      <c r="BJ96" s="6"/>
      <c r="BL96" s="2"/>
    </row>
    <row r="97" spans="7:64" x14ac:dyDescent="0.25">
      <c r="G97" s="72"/>
      <c r="H97" s="72"/>
      <c r="I97" s="72"/>
      <c r="S97" s="73"/>
      <c r="V97" s="2"/>
      <c r="X97" s="72"/>
      <c r="Y97" s="6"/>
      <c r="Z97" s="73"/>
      <c r="AB97" s="6"/>
      <c r="AC97" s="2"/>
      <c r="AE97" s="72"/>
      <c r="AF97" s="6"/>
      <c r="AG97" s="73"/>
      <c r="AH97" s="6"/>
      <c r="AI97" s="6"/>
      <c r="AJ97" s="2"/>
      <c r="AL97" s="72"/>
      <c r="AN97" s="73"/>
      <c r="AO97" s="6"/>
      <c r="AQ97" s="2"/>
      <c r="AS97" s="72"/>
      <c r="AU97" s="73"/>
      <c r="AV97" s="6"/>
      <c r="AW97" s="6"/>
      <c r="AX97" s="2"/>
      <c r="AZ97" s="72"/>
      <c r="BB97" s="73"/>
      <c r="BE97" s="2"/>
      <c r="BG97" s="72"/>
      <c r="BH97" s="6"/>
      <c r="BI97" s="73"/>
      <c r="BJ97" s="6"/>
      <c r="BL97" s="2"/>
    </row>
    <row r="98" spans="7:64" x14ac:dyDescent="0.25">
      <c r="G98" s="72"/>
      <c r="H98" s="72"/>
      <c r="I98" s="72"/>
      <c r="S98" s="73"/>
      <c r="V98" s="2"/>
      <c r="X98" s="72"/>
      <c r="Y98" s="6"/>
      <c r="Z98" s="73"/>
      <c r="AB98" s="6"/>
      <c r="AC98" s="2"/>
      <c r="AE98" s="72"/>
      <c r="AF98" s="6"/>
      <c r="AG98" s="73"/>
      <c r="AH98" s="6"/>
      <c r="AI98" s="6"/>
      <c r="AJ98" s="2"/>
      <c r="AL98" s="72"/>
      <c r="AN98" s="73"/>
      <c r="AO98" s="6"/>
      <c r="AQ98" s="2"/>
      <c r="AS98" s="72"/>
      <c r="AU98" s="73"/>
      <c r="AV98" s="6"/>
      <c r="AW98" s="6"/>
      <c r="AX98" s="2"/>
      <c r="AZ98" s="72"/>
      <c r="BB98" s="73"/>
      <c r="BE98" s="2"/>
      <c r="BG98" s="72"/>
      <c r="BH98" s="6"/>
      <c r="BI98" s="73"/>
      <c r="BJ98" s="6"/>
      <c r="BL98" s="2"/>
    </row>
    <row r="99" spans="7:64" x14ac:dyDescent="0.25">
      <c r="G99" s="72"/>
      <c r="H99" s="72"/>
      <c r="I99" s="72"/>
      <c r="S99" s="73"/>
      <c r="V99" s="2"/>
      <c r="X99" s="72"/>
      <c r="Y99" s="6"/>
      <c r="Z99" s="73"/>
      <c r="AB99" s="6"/>
      <c r="AC99" s="2"/>
      <c r="AE99" s="72"/>
      <c r="AF99" s="6"/>
      <c r="AG99" s="73"/>
      <c r="AH99" s="6"/>
      <c r="AI99" s="6"/>
      <c r="AJ99" s="2"/>
      <c r="AL99" s="72"/>
      <c r="AN99" s="73"/>
      <c r="AO99" s="6"/>
      <c r="AQ99" s="2"/>
      <c r="AS99" s="72"/>
      <c r="AU99" s="73"/>
      <c r="AV99" s="6"/>
      <c r="AW99" s="6"/>
      <c r="AX99" s="2"/>
      <c r="AZ99" s="72"/>
      <c r="BB99" s="73"/>
      <c r="BE99" s="2"/>
      <c r="BG99" s="72"/>
      <c r="BH99" s="6"/>
      <c r="BI99" s="73"/>
      <c r="BJ99" s="6"/>
      <c r="BL99" s="2"/>
    </row>
    <row r="100" spans="7:64" x14ac:dyDescent="0.25">
      <c r="G100" s="72"/>
      <c r="H100" s="72"/>
      <c r="I100" s="72"/>
      <c r="S100" s="73"/>
      <c r="V100" s="2"/>
      <c r="X100" s="72"/>
      <c r="Y100" s="6"/>
      <c r="Z100" s="73"/>
      <c r="AB100" s="6"/>
      <c r="AC100" s="2"/>
      <c r="AE100" s="72"/>
      <c r="AF100" s="6"/>
      <c r="AG100" s="73"/>
      <c r="AH100" s="6"/>
      <c r="AI100" s="6"/>
      <c r="AJ100" s="2"/>
      <c r="AL100" s="72"/>
      <c r="AN100" s="73"/>
      <c r="AO100" s="6"/>
      <c r="AQ100" s="2"/>
      <c r="AS100" s="72"/>
      <c r="AU100" s="73"/>
      <c r="AV100" s="6"/>
      <c r="AW100" s="6"/>
      <c r="AX100" s="2"/>
      <c r="AZ100" s="72"/>
      <c r="BB100" s="73"/>
      <c r="BE100" s="2"/>
      <c r="BG100" s="72"/>
      <c r="BH100" s="6"/>
      <c r="BI100" s="73"/>
      <c r="BJ100" s="6"/>
      <c r="BL100" s="2"/>
    </row>
    <row r="101" spans="7:64" x14ac:dyDescent="0.25">
      <c r="G101" s="72"/>
      <c r="H101" s="72"/>
      <c r="I101" s="72"/>
      <c r="S101" s="73"/>
      <c r="V101" s="2"/>
      <c r="X101" s="72"/>
      <c r="Y101" s="6"/>
      <c r="Z101" s="73"/>
      <c r="AB101" s="6"/>
      <c r="AC101" s="2"/>
      <c r="AE101" s="72"/>
      <c r="AF101" s="6"/>
      <c r="AG101" s="73"/>
      <c r="AH101" s="6"/>
      <c r="AI101" s="6"/>
      <c r="AJ101" s="2"/>
      <c r="AL101" s="72"/>
      <c r="AN101" s="73"/>
      <c r="AO101" s="6"/>
      <c r="AQ101" s="2"/>
      <c r="AS101" s="72"/>
      <c r="AU101" s="73"/>
      <c r="AV101" s="6"/>
      <c r="AW101" s="6"/>
      <c r="AX101" s="2"/>
      <c r="AZ101" s="72"/>
      <c r="BB101" s="73"/>
      <c r="BE101" s="2"/>
      <c r="BG101" s="72"/>
      <c r="BH101" s="6"/>
      <c r="BI101" s="73"/>
      <c r="BJ101" s="6"/>
      <c r="BL101" s="2"/>
    </row>
    <row r="102" spans="7:64" x14ac:dyDescent="0.25">
      <c r="G102" s="72"/>
      <c r="H102" s="72"/>
      <c r="I102" s="72"/>
      <c r="S102" s="73"/>
      <c r="V102" s="2"/>
      <c r="X102" s="72"/>
      <c r="Y102" s="6"/>
      <c r="Z102" s="73"/>
      <c r="AB102" s="6"/>
      <c r="AC102" s="2"/>
      <c r="AE102" s="72"/>
      <c r="AF102" s="6"/>
      <c r="AG102" s="73"/>
      <c r="AH102" s="6"/>
      <c r="AI102" s="6"/>
      <c r="AJ102" s="2"/>
      <c r="AL102" s="72"/>
      <c r="AN102" s="73"/>
      <c r="AO102" s="6"/>
      <c r="AQ102" s="2"/>
      <c r="AS102" s="72"/>
      <c r="AU102" s="73"/>
      <c r="AV102" s="6"/>
      <c r="AW102" s="6"/>
      <c r="AX102" s="2"/>
      <c r="AZ102" s="72"/>
      <c r="BB102" s="73"/>
      <c r="BE102" s="2"/>
      <c r="BG102" s="72"/>
      <c r="BH102" s="6"/>
      <c r="BI102" s="73"/>
      <c r="BJ102" s="6"/>
      <c r="BL102" s="2"/>
    </row>
    <row r="103" spans="7:64" x14ac:dyDescent="0.25">
      <c r="G103" s="72"/>
      <c r="H103" s="72"/>
      <c r="I103" s="72"/>
      <c r="S103" s="73"/>
      <c r="V103" s="2"/>
      <c r="X103" s="72"/>
      <c r="Y103" s="6"/>
      <c r="Z103" s="73"/>
      <c r="AB103" s="6"/>
      <c r="AC103" s="2"/>
      <c r="AE103" s="72"/>
      <c r="AF103" s="6"/>
      <c r="AG103" s="73"/>
      <c r="AH103" s="6"/>
      <c r="AI103" s="6"/>
      <c r="AJ103" s="2"/>
      <c r="AL103" s="72"/>
      <c r="AN103" s="73"/>
      <c r="AO103" s="6"/>
      <c r="AQ103" s="2"/>
      <c r="AS103" s="72"/>
      <c r="AU103" s="73"/>
      <c r="AV103" s="6"/>
      <c r="AW103" s="6"/>
      <c r="AX103" s="2"/>
      <c r="AZ103" s="72"/>
      <c r="BB103" s="73"/>
      <c r="BE103" s="2"/>
      <c r="BG103" s="72"/>
      <c r="BH103" s="6"/>
      <c r="BI103" s="73"/>
      <c r="BJ103" s="6"/>
      <c r="BL103" s="2"/>
    </row>
    <row r="104" spans="7:64" x14ac:dyDescent="0.25">
      <c r="G104" s="72"/>
      <c r="H104" s="72"/>
      <c r="I104" s="72"/>
      <c r="S104" s="73"/>
      <c r="V104" s="2"/>
      <c r="X104" s="72"/>
      <c r="Y104" s="6"/>
      <c r="Z104" s="73"/>
      <c r="AB104" s="6"/>
      <c r="AC104" s="2"/>
      <c r="AE104" s="72"/>
      <c r="AF104" s="6"/>
      <c r="AG104" s="73"/>
      <c r="AH104" s="6"/>
      <c r="AI104" s="6"/>
      <c r="AJ104" s="2"/>
      <c r="AL104" s="72"/>
      <c r="AN104" s="73"/>
      <c r="AO104" s="6"/>
      <c r="AQ104" s="2"/>
      <c r="AS104" s="72"/>
      <c r="AU104" s="73"/>
      <c r="AV104" s="6"/>
      <c r="AW104" s="6"/>
      <c r="AX104" s="2"/>
      <c r="AZ104" s="72"/>
      <c r="BB104" s="73"/>
      <c r="BE104" s="2"/>
      <c r="BG104" s="72"/>
      <c r="BH104" s="6"/>
      <c r="BI104" s="73"/>
      <c r="BJ104" s="6"/>
      <c r="BL104" s="2"/>
    </row>
    <row r="105" spans="7:64" x14ac:dyDescent="0.25">
      <c r="G105" s="72"/>
      <c r="H105" s="72"/>
      <c r="I105" s="72"/>
      <c r="S105" s="73"/>
      <c r="V105" s="2"/>
      <c r="X105" s="72"/>
      <c r="Y105" s="6"/>
      <c r="Z105" s="73"/>
      <c r="AB105" s="6"/>
      <c r="AC105" s="2"/>
      <c r="AE105" s="72"/>
      <c r="AF105" s="6"/>
      <c r="AG105" s="73"/>
      <c r="AH105" s="6"/>
      <c r="AI105" s="6"/>
      <c r="AJ105" s="2"/>
      <c r="AL105" s="72"/>
      <c r="AN105" s="73"/>
      <c r="AO105" s="6"/>
      <c r="AQ105" s="2"/>
      <c r="AS105" s="72"/>
      <c r="AU105" s="73"/>
      <c r="AV105" s="6"/>
      <c r="AW105" s="6"/>
      <c r="AX105" s="2"/>
      <c r="AZ105" s="72"/>
      <c r="BB105" s="73"/>
      <c r="BE105" s="2"/>
      <c r="BG105" s="72"/>
      <c r="BH105" s="6"/>
      <c r="BI105" s="73"/>
      <c r="BJ105" s="6"/>
      <c r="BL105" s="2"/>
    </row>
    <row r="106" spans="7:64" x14ac:dyDescent="0.25">
      <c r="G106" s="72"/>
      <c r="H106" s="72"/>
      <c r="I106" s="72"/>
      <c r="S106" s="73"/>
      <c r="V106" s="2"/>
      <c r="X106" s="72"/>
      <c r="Y106" s="6"/>
      <c r="Z106" s="73"/>
      <c r="AB106" s="6"/>
      <c r="AC106" s="2"/>
      <c r="AE106" s="72"/>
      <c r="AF106" s="6"/>
      <c r="AG106" s="73"/>
      <c r="AH106" s="6"/>
      <c r="AI106" s="6"/>
      <c r="AJ106" s="2"/>
      <c r="AL106" s="72"/>
      <c r="AN106" s="73"/>
      <c r="AO106" s="6"/>
      <c r="AQ106" s="2"/>
      <c r="AS106" s="72"/>
      <c r="AU106" s="73"/>
      <c r="AV106" s="6"/>
      <c r="AW106" s="6"/>
      <c r="AX106" s="2"/>
      <c r="AZ106" s="72"/>
      <c r="BB106" s="73"/>
      <c r="BE106" s="2"/>
      <c r="BG106" s="72"/>
      <c r="BH106" s="6"/>
      <c r="BI106" s="73"/>
      <c r="BJ106" s="6"/>
      <c r="BL106" s="2"/>
    </row>
    <row r="107" spans="7:64" x14ac:dyDescent="0.25">
      <c r="G107" s="72"/>
      <c r="H107" s="72"/>
      <c r="I107" s="72"/>
      <c r="S107" s="73"/>
      <c r="V107" s="2"/>
      <c r="X107" s="72"/>
      <c r="Y107" s="6"/>
      <c r="Z107" s="73"/>
      <c r="AB107" s="6"/>
      <c r="AC107" s="2"/>
      <c r="AE107" s="72"/>
      <c r="AF107" s="6"/>
      <c r="AG107" s="73"/>
      <c r="AH107" s="6"/>
      <c r="AI107" s="6"/>
      <c r="AJ107" s="2"/>
      <c r="AL107" s="72"/>
      <c r="AN107" s="73"/>
      <c r="AO107" s="6"/>
      <c r="AQ107" s="2"/>
      <c r="AS107" s="72"/>
      <c r="AU107" s="73"/>
      <c r="AV107" s="6"/>
      <c r="AW107" s="6"/>
      <c r="AX107" s="2"/>
      <c r="AZ107" s="72"/>
      <c r="BB107" s="73"/>
      <c r="BE107" s="2"/>
      <c r="BG107" s="72"/>
      <c r="BH107" s="6"/>
      <c r="BI107" s="73"/>
      <c r="BJ107" s="6"/>
      <c r="BL107" s="2"/>
    </row>
    <row r="108" spans="7:64" x14ac:dyDescent="0.25">
      <c r="G108" s="72"/>
      <c r="H108" s="72"/>
      <c r="I108" s="72"/>
      <c r="S108" s="73"/>
      <c r="V108" s="2"/>
      <c r="X108" s="72"/>
      <c r="Y108" s="6"/>
      <c r="Z108" s="73"/>
      <c r="AB108" s="6"/>
      <c r="AC108" s="2"/>
      <c r="AE108" s="72"/>
      <c r="AF108" s="6"/>
      <c r="AG108" s="73"/>
      <c r="AH108" s="6"/>
      <c r="AI108" s="6"/>
      <c r="AJ108" s="2"/>
      <c r="AL108" s="72"/>
      <c r="AN108" s="73"/>
      <c r="AO108" s="6"/>
      <c r="AQ108" s="2"/>
      <c r="AS108" s="72"/>
      <c r="AU108" s="73"/>
      <c r="AV108" s="6"/>
      <c r="AW108" s="6"/>
      <c r="AX108" s="2"/>
      <c r="AZ108" s="72"/>
      <c r="BB108" s="73"/>
      <c r="BE108" s="2"/>
      <c r="BG108" s="72"/>
      <c r="BH108" s="6"/>
      <c r="BI108" s="73"/>
      <c r="BJ108" s="6"/>
      <c r="BL108" s="2"/>
    </row>
    <row r="109" spans="7:64" x14ac:dyDescent="0.25">
      <c r="G109" s="72"/>
      <c r="H109" s="72"/>
      <c r="I109" s="72"/>
      <c r="S109" s="73"/>
      <c r="V109" s="2"/>
      <c r="X109" s="72"/>
      <c r="Y109" s="6"/>
      <c r="Z109" s="73"/>
      <c r="AB109" s="6"/>
      <c r="AC109" s="2"/>
      <c r="AE109" s="72"/>
      <c r="AF109" s="6"/>
      <c r="AG109" s="73"/>
      <c r="AH109" s="6"/>
      <c r="AI109" s="6"/>
      <c r="AJ109" s="2"/>
      <c r="AL109" s="72"/>
      <c r="AN109" s="73"/>
      <c r="AO109" s="6"/>
      <c r="AQ109" s="2"/>
      <c r="AS109" s="72"/>
      <c r="AU109" s="73"/>
      <c r="AV109" s="6"/>
      <c r="AW109" s="6"/>
      <c r="AX109" s="2"/>
      <c r="AZ109" s="72"/>
      <c r="BB109" s="73"/>
      <c r="BE109" s="2"/>
      <c r="BG109" s="72"/>
      <c r="BH109" s="6"/>
      <c r="BI109" s="73"/>
      <c r="BJ109" s="6"/>
      <c r="BL109" s="2"/>
    </row>
    <row r="110" spans="7:64" x14ac:dyDescent="0.25">
      <c r="G110" s="72"/>
      <c r="H110" s="72"/>
      <c r="I110" s="72"/>
      <c r="S110" s="73"/>
      <c r="V110" s="2"/>
      <c r="X110" s="72"/>
      <c r="Y110" s="6"/>
      <c r="Z110" s="73"/>
      <c r="AB110" s="6"/>
      <c r="AC110" s="2"/>
      <c r="AE110" s="72"/>
      <c r="AF110" s="6"/>
      <c r="AG110" s="73"/>
      <c r="AH110" s="6"/>
      <c r="AI110" s="6"/>
      <c r="AJ110" s="2"/>
      <c r="AL110" s="72"/>
      <c r="AN110" s="73"/>
      <c r="AO110" s="6"/>
      <c r="AQ110" s="2"/>
      <c r="AS110" s="72"/>
      <c r="AU110" s="73"/>
      <c r="AV110" s="6"/>
      <c r="AW110" s="6"/>
      <c r="AX110" s="2"/>
      <c r="AZ110" s="72"/>
      <c r="BB110" s="73"/>
      <c r="BE110" s="2"/>
      <c r="BG110" s="72"/>
      <c r="BH110" s="6"/>
      <c r="BI110" s="73"/>
      <c r="BJ110" s="6"/>
      <c r="BL110" s="2"/>
    </row>
    <row r="111" spans="7:64" x14ac:dyDescent="0.25">
      <c r="G111" s="72"/>
      <c r="H111" s="72"/>
      <c r="I111" s="72"/>
      <c r="S111" s="73"/>
      <c r="V111" s="2"/>
      <c r="X111" s="72"/>
      <c r="Y111" s="6"/>
      <c r="Z111" s="73"/>
      <c r="AB111" s="6"/>
      <c r="AC111" s="2"/>
      <c r="AE111" s="72"/>
      <c r="AF111" s="6"/>
      <c r="AG111" s="73"/>
      <c r="AH111" s="6"/>
      <c r="AI111" s="6"/>
      <c r="AJ111" s="2"/>
      <c r="AL111" s="72"/>
      <c r="AN111" s="73"/>
      <c r="AO111" s="6"/>
      <c r="AQ111" s="2"/>
      <c r="AS111" s="72"/>
      <c r="AU111" s="73"/>
      <c r="AV111" s="6"/>
      <c r="AW111" s="6"/>
      <c r="AX111" s="2"/>
      <c r="AZ111" s="72"/>
      <c r="BB111" s="73"/>
      <c r="BE111" s="2"/>
      <c r="BG111" s="72"/>
      <c r="BH111" s="6"/>
      <c r="BI111" s="73"/>
      <c r="BJ111" s="6"/>
      <c r="BL111" s="2"/>
    </row>
    <row r="112" spans="7:64" x14ac:dyDescent="0.25">
      <c r="G112" s="72"/>
      <c r="H112" s="72"/>
      <c r="I112" s="72"/>
      <c r="S112" s="73"/>
      <c r="V112" s="2"/>
      <c r="X112" s="72"/>
      <c r="Y112" s="6"/>
      <c r="Z112" s="73"/>
      <c r="AB112" s="6"/>
      <c r="AC112" s="2"/>
      <c r="AE112" s="72"/>
      <c r="AF112" s="6"/>
      <c r="AG112" s="73"/>
      <c r="AH112" s="6"/>
      <c r="AI112" s="6"/>
      <c r="AJ112" s="2"/>
      <c r="AL112" s="72"/>
      <c r="AN112" s="73"/>
      <c r="AO112" s="6"/>
      <c r="AQ112" s="2"/>
      <c r="AS112" s="72"/>
      <c r="AU112" s="73"/>
      <c r="AV112" s="6"/>
      <c r="AW112" s="6"/>
      <c r="AX112" s="2"/>
      <c r="AZ112" s="72"/>
      <c r="BB112" s="73"/>
      <c r="BE112" s="2"/>
      <c r="BG112" s="72"/>
      <c r="BH112" s="6"/>
      <c r="BI112" s="73"/>
      <c r="BJ112" s="6"/>
      <c r="BL112" s="2"/>
    </row>
    <row r="113" spans="7:64" x14ac:dyDescent="0.25">
      <c r="G113" s="72"/>
      <c r="H113" s="72"/>
      <c r="I113" s="72"/>
      <c r="S113" s="73"/>
      <c r="V113" s="2"/>
      <c r="X113" s="72"/>
      <c r="Y113" s="6"/>
      <c r="Z113" s="73"/>
      <c r="AB113" s="6"/>
      <c r="AC113" s="2"/>
      <c r="AE113" s="72"/>
      <c r="AF113" s="6"/>
      <c r="AG113" s="73"/>
      <c r="AH113" s="6"/>
      <c r="AI113" s="6"/>
      <c r="AJ113" s="2"/>
      <c r="AL113" s="72"/>
      <c r="AN113" s="73"/>
      <c r="AO113" s="6"/>
      <c r="AQ113" s="2"/>
      <c r="AS113" s="72"/>
      <c r="AU113" s="73"/>
      <c r="AV113" s="6"/>
      <c r="AW113" s="6"/>
      <c r="AX113" s="2"/>
      <c r="AZ113" s="72"/>
      <c r="BB113" s="73"/>
      <c r="BE113" s="2"/>
      <c r="BG113" s="72"/>
      <c r="BH113" s="6"/>
      <c r="BI113" s="73"/>
      <c r="BJ113" s="6"/>
      <c r="BL113" s="2"/>
    </row>
    <row r="114" spans="7:64" x14ac:dyDescent="0.25">
      <c r="G114" s="72"/>
      <c r="H114" s="72"/>
      <c r="I114" s="72"/>
      <c r="S114" s="73"/>
      <c r="V114" s="2"/>
      <c r="X114" s="72"/>
      <c r="Y114" s="6"/>
      <c r="Z114" s="73"/>
      <c r="AB114" s="6"/>
      <c r="AC114" s="2"/>
      <c r="AE114" s="72"/>
      <c r="AF114" s="6"/>
      <c r="AG114" s="73"/>
      <c r="AH114" s="6"/>
      <c r="AI114" s="6"/>
      <c r="AJ114" s="2"/>
      <c r="AL114" s="72"/>
      <c r="AN114" s="73"/>
      <c r="AO114" s="6"/>
      <c r="AQ114" s="2"/>
      <c r="AS114" s="72"/>
      <c r="AU114" s="73"/>
      <c r="AV114" s="6"/>
      <c r="AW114" s="6"/>
      <c r="AX114" s="2"/>
      <c r="AZ114" s="72"/>
      <c r="BB114" s="73"/>
      <c r="BE114" s="2"/>
      <c r="BG114" s="72"/>
      <c r="BH114" s="6"/>
      <c r="BI114" s="73"/>
      <c r="BJ114" s="6"/>
      <c r="BL114" s="2"/>
    </row>
    <row r="115" spans="7:64" x14ac:dyDescent="0.25">
      <c r="G115" s="72"/>
      <c r="H115" s="72"/>
      <c r="I115" s="72"/>
      <c r="S115" s="73"/>
      <c r="V115" s="2"/>
      <c r="X115" s="72"/>
      <c r="Y115" s="6"/>
      <c r="Z115" s="73"/>
      <c r="AB115" s="6"/>
      <c r="AC115" s="2"/>
      <c r="AE115" s="72"/>
      <c r="AF115" s="6"/>
      <c r="AG115" s="73"/>
      <c r="AH115" s="6"/>
      <c r="AI115" s="6"/>
      <c r="AJ115" s="2"/>
      <c r="AL115" s="72"/>
      <c r="AN115" s="73"/>
      <c r="AO115" s="6"/>
      <c r="AQ115" s="2"/>
      <c r="AS115" s="72"/>
      <c r="AU115" s="73"/>
      <c r="AV115" s="6"/>
      <c r="AW115" s="6"/>
      <c r="AX115" s="2"/>
      <c r="AZ115" s="72"/>
      <c r="BB115" s="73"/>
      <c r="BE115" s="2"/>
      <c r="BG115" s="72"/>
      <c r="BH115" s="6"/>
      <c r="BI115" s="73"/>
      <c r="BJ115" s="6"/>
      <c r="BL115" s="2"/>
    </row>
    <row r="116" spans="7:64" x14ac:dyDescent="0.25">
      <c r="G116" s="72"/>
      <c r="H116" s="72"/>
      <c r="I116" s="72"/>
      <c r="S116" s="73"/>
      <c r="V116" s="2"/>
      <c r="X116" s="72"/>
      <c r="Y116" s="6"/>
      <c r="Z116" s="73"/>
      <c r="AB116" s="6"/>
      <c r="AC116" s="2"/>
      <c r="AE116" s="72"/>
      <c r="AF116" s="6"/>
      <c r="AG116" s="73"/>
      <c r="AH116" s="6"/>
      <c r="AI116" s="6"/>
      <c r="AJ116" s="2"/>
      <c r="AL116" s="72"/>
      <c r="AN116" s="73"/>
      <c r="AO116" s="6"/>
      <c r="AQ116" s="2"/>
      <c r="AS116" s="72"/>
      <c r="AU116" s="73"/>
      <c r="AV116" s="6"/>
      <c r="AW116" s="6"/>
      <c r="AX116" s="2"/>
      <c r="AZ116" s="72"/>
      <c r="BB116" s="73"/>
      <c r="BE116" s="2"/>
      <c r="BG116" s="72"/>
      <c r="BH116" s="6"/>
      <c r="BI116" s="73"/>
      <c r="BJ116" s="6"/>
      <c r="BL116" s="2"/>
    </row>
    <row r="117" spans="7:64" x14ac:dyDescent="0.25">
      <c r="G117" s="72"/>
      <c r="H117" s="72"/>
      <c r="I117" s="72"/>
      <c r="S117" s="73"/>
      <c r="V117" s="2"/>
      <c r="X117" s="72"/>
      <c r="Y117" s="6"/>
      <c r="Z117" s="73"/>
      <c r="AB117" s="6"/>
      <c r="AC117" s="2"/>
      <c r="AE117" s="72"/>
      <c r="AF117" s="6"/>
      <c r="AG117" s="73"/>
      <c r="AH117" s="6"/>
      <c r="AI117" s="6"/>
      <c r="AJ117" s="2"/>
      <c r="AL117" s="72"/>
      <c r="AN117" s="73"/>
      <c r="AO117" s="6"/>
      <c r="AQ117" s="2"/>
      <c r="AS117" s="72"/>
      <c r="AU117" s="73"/>
      <c r="AV117" s="6"/>
      <c r="AW117" s="6"/>
      <c r="AX117" s="2"/>
      <c r="AZ117" s="72"/>
      <c r="BB117" s="73"/>
      <c r="BE117" s="2"/>
      <c r="BG117" s="72"/>
      <c r="BH117" s="6"/>
      <c r="BI117" s="73"/>
      <c r="BJ117" s="6"/>
      <c r="BL117" s="2"/>
    </row>
    <row r="118" spans="7:64" x14ac:dyDescent="0.25">
      <c r="G118" s="72"/>
      <c r="H118" s="72"/>
      <c r="I118" s="72"/>
      <c r="S118" s="73"/>
      <c r="V118" s="2"/>
      <c r="X118" s="72"/>
      <c r="Y118" s="6"/>
      <c r="Z118" s="73"/>
      <c r="AB118" s="6"/>
      <c r="AC118" s="2"/>
      <c r="AE118" s="72"/>
      <c r="AF118" s="6"/>
      <c r="AG118" s="73"/>
      <c r="AH118" s="6"/>
      <c r="AI118" s="6"/>
      <c r="AJ118" s="2"/>
      <c r="AL118" s="72"/>
      <c r="AN118" s="73"/>
      <c r="AO118" s="6"/>
      <c r="AQ118" s="2"/>
      <c r="AS118" s="72"/>
      <c r="AU118" s="73"/>
      <c r="AV118" s="6"/>
      <c r="AW118" s="6"/>
      <c r="AX118" s="2"/>
      <c r="AZ118" s="72"/>
      <c r="BB118" s="73"/>
      <c r="BE118" s="2"/>
      <c r="BG118" s="72"/>
      <c r="BH118" s="6"/>
      <c r="BI118" s="73"/>
      <c r="BJ118" s="6"/>
      <c r="BL118" s="2"/>
    </row>
    <row r="119" spans="7:64" x14ac:dyDescent="0.25">
      <c r="G119" s="72"/>
      <c r="H119" s="72"/>
      <c r="I119" s="72"/>
      <c r="S119" s="73"/>
      <c r="V119" s="2"/>
      <c r="X119" s="72"/>
      <c r="Y119" s="6"/>
      <c r="Z119" s="73"/>
      <c r="AB119" s="6"/>
      <c r="AC119" s="2"/>
      <c r="AE119" s="72"/>
      <c r="AF119" s="6"/>
      <c r="AG119" s="73"/>
      <c r="AH119" s="6"/>
      <c r="AI119" s="6"/>
      <c r="AJ119" s="2"/>
      <c r="AL119" s="72"/>
      <c r="AN119" s="73"/>
      <c r="AO119" s="6"/>
      <c r="AQ119" s="2"/>
      <c r="AS119" s="72"/>
      <c r="AU119" s="73"/>
      <c r="AV119" s="6"/>
      <c r="AW119" s="6"/>
      <c r="AX119" s="2"/>
      <c r="AZ119" s="72"/>
      <c r="BB119" s="73"/>
      <c r="BE119" s="2"/>
      <c r="BG119" s="72"/>
      <c r="BH119" s="6"/>
      <c r="BI119" s="73"/>
      <c r="BJ119" s="6"/>
      <c r="BL119" s="2"/>
    </row>
    <row r="120" spans="7:64" x14ac:dyDescent="0.25">
      <c r="G120" s="72"/>
      <c r="H120" s="72"/>
      <c r="I120" s="72"/>
      <c r="S120" s="73"/>
      <c r="V120" s="2"/>
      <c r="X120" s="72"/>
      <c r="Y120" s="6"/>
      <c r="Z120" s="73"/>
      <c r="AB120" s="6"/>
      <c r="AC120" s="2"/>
      <c r="AE120" s="72"/>
      <c r="AF120" s="6"/>
      <c r="AG120" s="73"/>
      <c r="AH120" s="6"/>
      <c r="AI120" s="6"/>
      <c r="AJ120" s="2"/>
      <c r="AL120" s="72"/>
      <c r="AN120" s="73"/>
      <c r="AO120" s="6"/>
      <c r="AQ120" s="2"/>
      <c r="AS120" s="72"/>
      <c r="AU120" s="73"/>
      <c r="AV120" s="6"/>
      <c r="AW120" s="6"/>
      <c r="AX120" s="2"/>
      <c r="AZ120" s="72"/>
      <c r="BB120" s="73"/>
      <c r="BE120" s="2"/>
      <c r="BG120" s="72"/>
      <c r="BH120" s="6"/>
      <c r="BI120" s="73"/>
      <c r="BJ120" s="6"/>
      <c r="BL120" s="2"/>
    </row>
    <row r="121" spans="7:64" x14ac:dyDescent="0.25">
      <c r="G121" s="72"/>
      <c r="H121" s="72"/>
      <c r="I121" s="72"/>
      <c r="S121" s="73"/>
      <c r="V121" s="2"/>
      <c r="X121" s="72"/>
      <c r="Y121" s="6"/>
      <c r="Z121" s="73"/>
      <c r="AB121" s="6"/>
      <c r="AC121" s="2"/>
      <c r="AE121" s="72"/>
      <c r="AF121" s="6"/>
      <c r="AG121" s="73"/>
      <c r="AH121" s="6"/>
      <c r="AI121" s="6"/>
      <c r="AJ121" s="2"/>
      <c r="AL121" s="72"/>
      <c r="AN121" s="73"/>
      <c r="AO121" s="6"/>
      <c r="AQ121" s="2"/>
      <c r="AS121" s="72"/>
      <c r="AU121" s="73"/>
      <c r="AV121" s="6"/>
      <c r="AW121" s="6"/>
      <c r="AX121" s="2"/>
      <c r="AZ121" s="72"/>
      <c r="BB121" s="73"/>
      <c r="BE121" s="2"/>
      <c r="BG121" s="72"/>
      <c r="BH121" s="6"/>
      <c r="BI121" s="73"/>
      <c r="BJ121" s="6"/>
      <c r="BL121" s="2"/>
    </row>
    <row r="122" spans="7:64" x14ac:dyDescent="0.25">
      <c r="G122" s="72"/>
      <c r="H122" s="72"/>
      <c r="I122" s="72"/>
      <c r="S122" s="73"/>
      <c r="V122" s="2"/>
      <c r="X122" s="72"/>
      <c r="Y122" s="6"/>
      <c r="Z122" s="73"/>
      <c r="AB122" s="6"/>
      <c r="AC122" s="2"/>
      <c r="AE122" s="72"/>
      <c r="AF122" s="6"/>
      <c r="AG122" s="73"/>
      <c r="AH122" s="6"/>
      <c r="AI122" s="6"/>
      <c r="AJ122" s="2"/>
      <c r="AL122" s="72"/>
      <c r="AN122" s="73"/>
      <c r="AO122" s="6"/>
      <c r="AQ122" s="2"/>
      <c r="AS122" s="72"/>
      <c r="AU122" s="73"/>
      <c r="AV122" s="6"/>
      <c r="AW122" s="6"/>
      <c r="AX122" s="2"/>
      <c r="AZ122" s="72"/>
      <c r="BB122" s="73"/>
      <c r="BE122" s="2"/>
      <c r="BG122" s="72"/>
      <c r="BH122" s="6"/>
      <c r="BI122" s="73"/>
      <c r="BJ122" s="6"/>
      <c r="BL122" s="2"/>
    </row>
    <row r="123" spans="7:64" x14ac:dyDescent="0.25">
      <c r="G123" s="72"/>
      <c r="H123" s="72"/>
      <c r="I123" s="72"/>
      <c r="S123" s="73"/>
      <c r="V123" s="2"/>
      <c r="X123" s="72"/>
      <c r="Y123" s="6"/>
      <c r="Z123" s="73"/>
      <c r="AB123" s="6"/>
      <c r="AC123" s="2"/>
      <c r="AE123" s="72"/>
      <c r="AF123" s="6"/>
      <c r="AG123" s="73"/>
      <c r="AH123" s="6"/>
      <c r="AI123" s="6"/>
      <c r="AJ123" s="2"/>
      <c r="AL123" s="72"/>
      <c r="AN123" s="73"/>
      <c r="AO123" s="6"/>
      <c r="AQ123" s="2"/>
      <c r="AS123" s="72"/>
      <c r="AU123" s="73"/>
      <c r="AV123" s="6"/>
      <c r="AW123" s="6"/>
      <c r="AX123" s="2"/>
      <c r="AZ123" s="72"/>
      <c r="BB123" s="73"/>
      <c r="BE123" s="2"/>
      <c r="BG123" s="72"/>
      <c r="BH123" s="6"/>
      <c r="BI123" s="73"/>
      <c r="BJ123" s="6"/>
      <c r="BL123" s="2"/>
    </row>
    <row r="124" spans="7:64" x14ac:dyDescent="0.25">
      <c r="G124" s="72"/>
      <c r="H124" s="72"/>
      <c r="I124" s="72"/>
      <c r="S124" s="73"/>
      <c r="V124" s="2"/>
      <c r="X124" s="72"/>
      <c r="Y124" s="6"/>
      <c r="Z124" s="73"/>
      <c r="AB124" s="6"/>
      <c r="AC124" s="2"/>
      <c r="AE124" s="72"/>
      <c r="AF124" s="6"/>
      <c r="AG124" s="73"/>
      <c r="AH124" s="6"/>
      <c r="AI124" s="6"/>
      <c r="AJ124" s="2"/>
      <c r="AL124" s="72"/>
      <c r="AN124" s="73"/>
      <c r="AO124" s="6"/>
      <c r="AQ124" s="2"/>
      <c r="AS124" s="72"/>
      <c r="AU124" s="73"/>
      <c r="AV124" s="6"/>
      <c r="AW124" s="6"/>
      <c r="AX124" s="2"/>
      <c r="AZ124" s="72"/>
      <c r="BB124" s="73"/>
      <c r="BE124" s="2"/>
      <c r="BG124" s="72"/>
      <c r="BH124" s="6"/>
      <c r="BI124" s="73"/>
      <c r="BJ124" s="6"/>
      <c r="BL124" s="2"/>
    </row>
    <row r="125" spans="7:64" x14ac:dyDescent="0.25">
      <c r="G125" s="72"/>
      <c r="H125" s="72"/>
      <c r="I125" s="72"/>
      <c r="S125" s="73"/>
      <c r="V125" s="2"/>
      <c r="X125" s="72"/>
      <c r="Y125" s="6"/>
      <c r="Z125" s="73"/>
      <c r="AB125" s="6"/>
      <c r="AC125" s="2"/>
      <c r="AE125" s="72"/>
      <c r="AF125" s="6"/>
      <c r="AG125" s="73"/>
      <c r="AH125" s="6"/>
      <c r="AI125" s="6"/>
      <c r="AJ125" s="2"/>
      <c r="AL125" s="72"/>
      <c r="AN125" s="73"/>
      <c r="AO125" s="6"/>
      <c r="AQ125" s="2"/>
      <c r="AS125" s="72"/>
      <c r="AU125" s="73"/>
      <c r="AV125" s="6"/>
      <c r="AW125" s="6"/>
      <c r="AX125" s="2"/>
      <c r="AZ125" s="72"/>
      <c r="BB125" s="73"/>
      <c r="BE125" s="2"/>
      <c r="BG125" s="72"/>
      <c r="BH125" s="6"/>
      <c r="BI125" s="73"/>
      <c r="BJ125" s="6"/>
      <c r="BL125" s="2"/>
    </row>
    <row r="126" spans="7:64" x14ac:dyDescent="0.25">
      <c r="G126" s="72"/>
      <c r="H126" s="72"/>
      <c r="I126" s="72"/>
      <c r="S126" s="73"/>
      <c r="V126" s="2"/>
      <c r="X126" s="72"/>
      <c r="Y126" s="6"/>
      <c r="Z126" s="73"/>
      <c r="AB126" s="6"/>
      <c r="AC126" s="2"/>
      <c r="AE126" s="72"/>
      <c r="AF126" s="6"/>
      <c r="AG126" s="73"/>
      <c r="AH126" s="6"/>
      <c r="AI126" s="6"/>
      <c r="AJ126" s="2"/>
      <c r="AL126" s="72"/>
      <c r="AN126" s="73"/>
      <c r="AO126" s="6"/>
      <c r="AQ126" s="2"/>
      <c r="AS126" s="72"/>
      <c r="AU126" s="73"/>
      <c r="AV126" s="6"/>
      <c r="AW126" s="6"/>
      <c r="AX126" s="2"/>
      <c r="AZ126" s="72"/>
      <c r="BB126" s="73"/>
      <c r="BE126" s="2"/>
      <c r="BG126" s="72"/>
      <c r="BH126" s="6"/>
      <c r="BI126" s="73"/>
      <c r="BJ126" s="6"/>
      <c r="BL126" s="2"/>
    </row>
    <row r="127" spans="7:64" x14ac:dyDescent="0.25">
      <c r="G127" s="72"/>
      <c r="H127" s="72"/>
      <c r="I127" s="72"/>
      <c r="S127" s="73"/>
      <c r="V127" s="2"/>
      <c r="X127" s="72"/>
      <c r="Y127" s="6"/>
      <c r="Z127" s="73"/>
      <c r="AB127" s="6"/>
      <c r="AC127" s="2"/>
      <c r="AE127" s="72"/>
      <c r="AF127" s="6"/>
      <c r="AG127" s="73"/>
      <c r="AH127" s="6"/>
      <c r="AI127" s="6"/>
      <c r="AJ127" s="2"/>
      <c r="AL127" s="72"/>
      <c r="AN127" s="73"/>
      <c r="AO127" s="6"/>
      <c r="AQ127" s="2"/>
      <c r="AS127" s="72"/>
      <c r="AU127" s="73"/>
      <c r="AV127" s="6"/>
      <c r="AW127" s="6"/>
      <c r="AX127" s="2"/>
      <c r="AZ127" s="72"/>
      <c r="BB127" s="73"/>
      <c r="BE127" s="2"/>
      <c r="BG127" s="72"/>
      <c r="BH127" s="6"/>
      <c r="BI127" s="73"/>
      <c r="BJ127" s="6"/>
      <c r="BL127" s="2"/>
    </row>
    <row r="128" spans="7:64" x14ac:dyDescent="0.25">
      <c r="G128" s="72"/>
      <c r="H128" s="72"/>
      <c r="I128" s="72"/>
      <c r="S128" s="73"/>
      <c r="V128" s="2"/>
      <c r="X128" s="72"/>
      <c r="Y128" s="6"/>
      <c r="Z128" s="73"/>
      <c r="AB128" s="6"/>
      <c r="AC128" s="2"/>
      <c r="AE128" s="72"/>
      <c r="AF128" s="6"/>
      <c r="AG128" s="73"/>
      <c r="AH128" s="6"/>
      <c r="AI128" s="6"/>
      <c r="AJ128" s="2"/>
      <c r="AL128" s="72"/>
      <c r="AN128" s="73"/>
      <c r="AO128" s="6"/>
      <c r="AQ128" s="2"/>
      <c r="AS128" s="72"/>
      <c r="AU128" s="73"/>
      <c r="AV128" s="6"/>
      <c r="AW128" s="6"/>
      <c r="AX128" s="2"/>
      <c r="AZ128" s="72"/>
      <c r="BB128" s="73"/>
      <c r="BE128" s="2"/>
      <c r="BG128" s="72"/>
      <c r="BH128" s="6"/>
      <c r="BI128" s="73"/>
      <c r="BJ128" s="6"/>
      <c r="BL128" s="2"/>
    </row>
    <row r="129" spans="7:64" x14ac:dyDescent="0.25">
      <c r="G129" s="72"/>
      <c r="H129" s="72"/>
      <c r="I129" s="72"/>
      <c r="S129" s="73"/>
      <c r="V129" s="2"/>
      <c r="X129" s="72"/>
      <c r="Y129" s="6"/>
      <c r="Z129" s="73"/>
      <c r="AB129" s="6"/>
      <c r="AC129" s="2"/>
      <c r="AE129" s="72"/>
      <c r="AF129" s="6"/>
      <c r="AG129" s="73"/>
      <c r="AH129" s="6"/>
      <c r="AI129" s="6"/>
      <c r="AJ129" s="2"/>
      <c r="AL129" s="72"/>
      <c r="AN129" s="73"/>
      <c r="AO129" s="6"/>
      <c r="AQ129" s="2"/>
      <c r="AS129" s="72"/>
      <c r="AU129" s="73"/>
      <c r="AV129" s="6"/>
      <c r="AW129" s="6"/>
      <c r="AX129" s="2"/>
      <c r="AZ129" s="72"/>
      <c r="BB129" s="73"/>
      <c r="BE129" s="2"/>
      <c r="BG129" s="72"/>
      <c r="BH129" s="6"/>
      <c r="BI129" s="73"/>
      <c r="BJ129" s="6"/>
      <c r="BL129" s="2"/>
    </row>
    <row r="130" spans="7:64" x14ac:dyDescent="0.25">
      <c r="G130" s="72"/>
      <c r="H130" s="72"/>
      <c r="I130" s="72"/>
      <c r="S130" s="73"/>
      <c r="V130" s="2"/>
      <c r="X130" s="72"/>
      <c r="Y130" s="6"/>
      <c r="Z130" s="73"/>
      <c r="AB130" s="6"/>
      <c r="AC130" s="2"/>
      <c r="AE130" s="72"/>
      <c r="AF130" s="6"/>
      <c r="AG130" s="73"/>
      <c r="AH130" s="6"/>
      <c r="AI130" s="6"/>
      <c r="AJ130" s="2"/>
      <c r="AL130" s="72"/>
      <c r="AN130" s="73"/>
      <c r="AO130" s="6"/>
      <c r="AQ130" s="2"/>
      <c r="AS130" s="72"/>
      <c r="AU130" s="73"/>
      <c r="AV130" s="6"/>
      <c r="AW130" s="6"/>
      <c r="AX130" s="2"/>
      <c r="AZ130" s="72"/>
      <c r="BB130" s="73"/>
      <c r="BE130" s="2"/>
      <c r="BG130" s="72"/>
      <c r="BH130" s="6"/>
      <c r="BI130" s="73"/>
      <c r="BJ130" s="6"/>
      <c r="BL130" s="2"/>
    </row>
    <row r="131" spans="7:64" x14ac:dyDescent="0.25">
      <c r="G131" s="72"/>
      <c r="H131" s="72"/>
      <c r="I131" s="72"/>
      <c r="S131" s="73"/>
      <c r="V131" s="2"/>
      <c r="X131" s="72"/>
      <c r="Y131" s="6"/>
      <c r="Z131" s="73"/>
      <c r="AB131" s="6"/>
      <c r="AC131" s="2"/>
      <c r="AE131" s="72"/>
      <c r="AF131" s="6"/>
      <c r="AG131" s="73"/>
      <c r="AH131" s="6"/>
      <c r="AI131" s="6"/>
      <c r="AJ131" s="2"/>
      <c r="AL131" s="72"/>
      <c r="AN131" s="73"/>
      <c r="AO131" s="6"/>
      <c r="AQ131" s="2"/>
      <c r="AS131" s="72"/>
      <c r="AU131" s="73"/>
      <c r="AV131" s="6"/>
      <c r="AW131" s="6"/>
      <c r="AX131" s="2"/>
      <c r="AZ131" s="72"/>
      <c r="BB131" s="73"/>
      <c r="BE131" s="2"/>
      <c r="BG131" s="72"/>
      <c r="BH131" s="6"/>
      <c r="BI131" s="73"/>
      <c r="BJ131" s="6"/>
      <c r="BL131" s="2"/>
    </row>
    <row r="132" spans="7:64" x14ac:dyDescent="0.25">
      <c r="G132" s="72"/>
      <c r="H132" s="72"/>
      <c r="I132" s="72"/>
      <c r="S132" s="73"/>
      <c r="V132" s="2"/>
      <c r="X132" s="72"/>
      <c r="Y132" s="6"/>
      <c r="Z132" s="73"/>
      <c r="AB132" s="6"/>
      <c r="AC132" s="2"/>
      <c r="AE132" s="72"/>
      <c r="AF132" s="6"/>
      <c r="AG132" s="73"/>
      <c r="AH132" s="6"/>
      <c r="AI132" s="6"/>
      <c r="AJ132" s="2"/>
      <c r="AL132" s="72"/>
      <c r="AN132" s="73"/>
      <c r="AO132" s="6"/>
      <c r="AQ132" s="2"/>
      <c r="AS132" s="72"/>
      <c r="AU132" s="73"/>
      <c r="AV132" s="6"/>
      <c r="AW132" s="6"/>
      <c r="AX132" s="2"/>
      <c r="AZ132" s="72"/>
      <c r="BB132" s="73"/>
      <c r="BE132" s="2"/>
      <c r="BG132" s="72"/>
      <c r="BH132" s="6"/>
      <c r="BI132" s="73"/>
      <c r="BJ132" s="6"/>
      <c r="BL132" s="2"/>
    </row>
    <row r="133" spans="7:64" x14ac:dyDescent="0.25">
      <c r="G133" s="72"/>
      <c r="H133" s="72"/>
      <c r="I133" s="72"/>
      <c r="S133" s="73"/>
      <c r="V133" s="2"/>
      <c r="X133" s="72"/>
      <c r="Y133" s="6"/>
      <c r="Z133" s="73"/>
      <c r="AB133" s="6"/>
      <c r="AC133" s="2"/>
      <c r="AE133" s="72"/>
      <c r="AF133" s="6"/>
      <c r="AG133" s="73"/>
      <c r="AH133" s="6"/>
      <c r="AI133" s="6"/>
      <c r="AJ133" s="2"/>
      <c r="AL133" s="72"/>
      <c r="AN133" s="73"/>
      <c r="AO133" s="6"/>
      <c r="AQ133" s="2"/>
      <c r="AS133" s="72"/>
      <c r="AU133" s="73"/>
      <c r="AV133" s="6"/>
      <c r="AW133" s="6"/>
      <c r="AX133" s="2"/>
      <c r="AZ133" s="72"/>
      <c r="BB133" s="73"/>
      <c r="BE133" s="2"/>
      <c r="BG133" s="72"/>
      <c r="BH133" s="6"/>
      <c r="BI133" s="73"/>
      <c r="BJ133" s="6"/>
      <c r="BL133" s="2"/>
    </row>
    <row r="134" spans="7:64" x14ac:dyDescent="0.25">
      <c r="G134" s="72"/>
      <c r="H134" s="72"/>
      <c r="I134" s="72"/>
      <c r="S134" s="73"/>
      <c r="V134" s="2"/>
      <c r="X134" s="72"/>
      <c r="Y134" s="6"/>
      <c r="Z134" s="73"/>
      <c r="AB134" s="6"/>
      <c r="AC134" s="2"/>
      <c r="AE134" s="72"/>
      <c r="AF134" s="6"/>
      <c r="AG134" s="73"/>
      <c r="AH134" s="6"/>
      <c r="AI134" s="6"/>
      <c r="AJ134" s="2"/>
      <c r="AL134" s="72"/>
      <c r="AN134" s="73"/>
      <c r="AO134" s="6"/>
      <c r="AQ134" s="2"/>
      <c r="AS134" s="72"/>
      <c r="AU134" s="73"/>
      <c r="AV134" s="6"/>
      <c r="AW134" s="6"/>
      <c r="AX134" s="2"/>
      <c r="AZ134" s="72"/>
      <c r="BB134" s="73"/>
      <c r="BE134" s="2"/>
      <c r="BG134" s="72"/>
      <c r="BH134" s="6"/>
      <c r="BI134" s="73"/>
      <c r="BJ134" s="6"/>
      <c r="BL134" s="2"/>
    </row>
    <row r="135" spans="7:64" x14ac:dyDescent="0.25">
      <c r="G135" s="72"/>
      <c r="H135" s="72"/>
      <c r="I135" s="72"/>
      <c r="S135" s="73"/>
      <c r="V135" s="2"/>
      <c r="X135" s="72"/>
      <c r="Y135" s="6"/>
      <c r="Z135" s="73"/>
      <c r="AB135" s="6"/>
      <c r="AC135" s="2"/>
      <c r="AE135" s="72"/>
      <c r="AF135" s="6"/>
      <c r="AG135" s="73"/>
      <c r="AH135" s="6"/>
      <c r="AI135" s="6"/>
      <c r="AJ135" s="2"/>
      <c r="AL135" s="72"/>
      <c r="AN135" s="73"/>
      <c r="AO135" s="6"/>
      <c r="AQ135" s="2"/>
      <c r="AS135" s="72"/>
      <c r="AU135" s="73"/>
      <c r="AV135" s="6"/>
      <c r="AW135" s="6"/>
      <c r="AX135" s="2"/>
      <c r="AZ135" s="72"/>
      <c r="BB135" s="73"/>
      <c r="BE135" s="2"/>
      <c r="BG135" s="72"/>
      <c r="BH135" s="6"/>
      <c r="BI135" s="73"/>
      <c r="BJ135" s="6"/>
      <c r="BL135" s="2"/>
    </row>
    <row r="136" spans="7:64" x14ac:dyDescent="0.25">
      <c r="G136" s="72"/>
      <c r="H136" s="72"/>
      <c r="I136" s="72"/>
      <c r="S136" s="73"/>
      <c r="V136" s="2"/>
      <c r="X136" s="72"/>
      <c r="Y136" s="6"/>
      <c r="Z136" s="73"/>
      <c r="AB136" s="6"/>
      <c r="AC136" s="2"/>
      <c r="AE136" s="72"/>
      <c r="AF136" s="6"/>
      <c r="AG136" s="73"/>
      <c r="AH136" s="6"/>
      <c r="AI136" s="6"/>
      <c r="AJ136" s="2"/>
      <c r="AL136" s="72"/>
      <c r="AN136" s="73"/>
      <c r="AO136" s="6"/>
      <c r="AQ136" s="2"/>
      <c r="AS136" s="72"/>
      <c r="AU136" s="73"/>
      <c r="AV136" s="6"/>
      <c r="AW136" s="6"/>
      <c r="AX136" s="2"/>
      <c r="AZ136" s="72"/>
      <c r="BB136" s="73"/>
      <c r="BE136" s="2"/>
      <c r="BG136" s="72"/>
      <c r="BH136" s="6"/>
      <c r="BI136" s="73"/>
      <c r="BJ136" s="6"/>
      <c r="BL136" s="2"/>
    </row>
    <row r="137" spans="7:64" x14ac:dyDescent="0.25">
      <c r="G137" s="72"/>
      <c r="H137" s="72"/>
      <c r="I137" s="72"/>
      <c r="S137" s="73"/>
      <c r="V137" s="2"/>
      <c r="X137" s="72"/>
      <c r="Y137" s="6"/>
      <c r="Z137" s="73"/>
      <c r="AB137" s="6"/>
      <c r="AC137" s="2"/>
      <c r="AE137" s="72"/>
      <c r="AF137" s="6"/>
      <c r="AG137" s="73"/>
      <c r="AH137" s="6"/>
      <c r="AI137" s="6"/>
      <c r="AJ137" s="2"/>
      <c r="AL137" s="72"/>
      <c r="AN137" s="73"/>
      <c r="AO137" s="6"/>
      <c r="AQ137" s="2"/>
      <c r="AS137" s="72"/>
      <c r="AU137" s="73"/>
      <c r="AV137" s="6"/>
      <c r="AW137" s="6"/>
      <c r="AX137" s="2"/>
      <c r="AZ137" s="72"/>
      <c r="BB137" s="73"/>
      <c r="BE137" s="2"/>
      <c r="BG137" s="72"/>
      <c r="BH137" s="6"/>
      <c r="BI137" s="73"/>
      <c r="BJ137" s="6"/>
      <c r="BL137" s="2"/>
    </row>
    <row r="138" spans="7:64" x14ac:dyDescent="0.25">
      <c r="G138" s="72"/>
      <c r="H138" s="72"/>
      <c r="I138" s="72"/>
      <c r="S138" s="73"/>
      <c r="V138" s="2"/>
      <c r="X138" s="72"/>
      <c r="Y138" s="6"/>
      <c r="Z138" s="73"/>
      <c r="AB138" s="6"/>
      <c r="AC138" s="2"/>
      <c r="AE138" s="72"/>
      <c r="AF138" s="6"/>
      <c r="AG138" s="73"/>
      <c r="AH138" s="6"/>
      <c r="AI138" s="6"/>
      <c r="AJ138" s="2"/>
      <c r="AL138" s="72"/>
      <c r="AN138" s="73"/>
      <c r="AO138" s="6"/>
      <c r="AQ138" s="2"/>
      <c r="AS138" s="72"/>
      <c r="AU138" s="73"/>
      <c r="AV138" s="6"/>
      <c r="AW138" s="6"/>
      <c r="AX138" s="2"/>
      <c r="AZ138" s="72"/>
      <c r="BB138" s="73"/>
      <c r="BE138" s="2"/>
      <c r="BG138" s="72"/>
      <c r="BH138" s="6"/>
      <c r="BI138" s="73"/>
      <c r="BJ138" s="6"/>
      <c r="BL138" s="2"/>
    </row>
    <row r="139" spans="7:64" x14ac:dyDescent="0.25">
      <c r="G139" s="72"/>
      <c r="H139" s="72"/>
      <c r="I139" s="72"/>
      <c r="S139" s="73"/>
      <c r="V139" s="2"/>
      <c r="X139" s="72"/>
      <c r="Y139" s="6"/>
      <c r="Z139" s="73"/>
      <c r="AB139" s="6"/>
      <c r="AC139" s="2"/>
      <c r="AE139" s="72"/>
      <c r="AF139" s="6"/>
      <c r="AG139" s="73"/>
      <c r="AH139" s="6"/>
      <c r="AI139" s="6"/>
      <c r="AJ139" s="2"/>
      <c r="AL139" s="72"/>
      <c r="AN139" s="73"/>
      <c r="AO139" s="6"/>
      <c r="AQ139" s="2"/>
      <c r="AS139" s="72"/>
      <c r="AU139" s="73"/>
      <c r="AV139" s="6"/>
      <c r="AW139" s="6"/>
      <c r="AX139" s="2"/>
      <c r="AZ139" s="72"/>
      <c r="BB139" s="73"/>
      <c r="BE139" s="2"/>
      <c r="BG139" s="72"/>
      <c r="BH139" s="6"/>
      <c r="BI139" s="73"/>
      <c r="BJ139" s="6"/>
      <c r="BL139" s="2"/>
    </row>
    <row r="140" spans="7:64" x14ac:dyDescent="0.25">
      <c r="G140" s="72"/>
      <c r="H140" s="72"/>
      <c r="I140" s="72"/>
      <c r="S140" s="73"/>
      <c r="V140" s="2"/>
      <c r="X140" s="72"/>
      <c r="Y140" s="6"/>
      <c r="Z140" s="73"/>
      <c r="AB140" s="6"/>
      <c r="AC140" s="2"/>
      <c r="AE140" s="72"/>
      <c r="AF140" s="6"/>
      <c r="AG140" s="73"/>
      <c r="AH140" s="6"/>
      <c r="AI140" s="6"/>
      <c r="AJ140" s="2"/>
      <c r="AL140" s="72"/>
      <c r="AN140" s="73"/>
      <c r="AO140" s="6"/>
      <c r="AQ140" s="2"/>
      <c r="AS140" s="72"/>
      <c r="AU140" s="73"/>
      <c r="AV140" s="6"/>
      <c r="AW140" s="6"/>
      <c r="AX140" s="2"/>
      <c r="AZ140" s="72"/>
      <c r="BB140" s="73"/>
      <c r="BE140" s="2"/>
      <c r="BG140" s="72"/>
      <c r="BH140" s="6"/>
      <c r="BI140" s="73"/>
      <c r="BJ140" s="6"/>
      <c r="BL140" s="2"/>
    </row>
    <row r="141" spans="7:64" x14ac:dyDescent="0.25">
      <c r="G141" s="72"/>
      <c r="H141" s="72"/>
      <c r="I141" s="72"/>
      <c r="S141" s="73"/>
      <c r="V141" s="2"/>
      <c r="X141" s="72"/>
      <c r="Y141" s="6"/>
      <c r="Z141" s="73"/>
      <c r="AB141" s="6"/>
      <c r="AC141" s="2"/>
      <c r="AE141" s="72"/>
      <c r="AF141" s="6"/>
      <c r="AG141" s="73"/>
      <c r="AH141" s="6"/>
      <c r="AI141" s="6"/>
      <c r="AJ141" s="2"/>
      <c r="AL141" s="72"/>
      <c r="AN141" s="73"/>
      <c r="AO141" s="6"/>
      <c r="AQ141" s="2"/>
      <c r="AS141" s="72"/>
      <c r="AU141" s="73"/>
      <c r="AV141" s="6"/>
      <c r="AW141" s="6"/>
      <c r="AX141" s="2"/>
      <c r="AZ141" s="72"/>
      <c r="BB141" s="73"/>
      <c r="BE141" s="2"/>
      <c r="BG141" s="72"/>
      <c r="BH141" s="6"/>
      <c r="BI141" s="73"/>
      <c r="BJ141" s="6"/>
      <c r="BL141" s="2"/>
    </row>
    <row r="142" spans="7:64" x14ac:dyDescent="0.25">
      <c r="G142" s="72"/>
      <c r="H142" s="72"/>
      <c r="I142" s="72"/>
      <c r="S142" s="73"/>
      <c r="V142" s="2"/>
      <c r="X142" s="72"/>
      <c r="Y142" s="6"/>
      <c r="Z142" s="73"/>
      <c r="AB142" s="6"/>
      <c r="AC142" s="2"/>
      <c r="AE142" s="72"/>
      <c r="AF142" s="6"/>
      <c r="AG142" s="73"/>
      <c r="AH142" s="6"/>
      <c r="AI142" s="6"/>
      <c r="AJ142" s="2"/>
      <c r="AL142" s="72"/>
      <c r="AN142" s="73"/>
      <c r="AO142" s="6"/>
      <c r="AQ142" s="2"/>
      <c r="AS142" s="72"/>
      <c r="AU142" s="73"/>
      <c r="AV142" s="6"/>
      <c r="AW142" s="6"/>
      <c r="AX142" s="2"/>
      <c r="AZ142" s="72"/>
      <c r="BB142" s="73"/>
      <c r="BE142" s="2"/>
      <c r="BG142" s="72"/>
      <c r="BH142" s="6"/>
      <c r="BI142" s="73"/>
      <c r="BJ142" s="6"/>
      <c r="BL142" s="2"/>
    </row>
    <row r="143" spans="7:64" x14ac:dyDescent="0.25">
      <c r="G143" s="72"/>
      <c r="H143" s="72"/>
      <c r="I143" s="72"/>
      <c r="S143" s="73"/>
      <c r="V143" s="2"/>
      <c r="X143" s="72"/>
      <c r="Y143" s="6"/>
      <c r="Z143" s="73"/>
      <c r="AB143" s="6"/>
      <c r="AC143" s="2"/>
      <c r="AE143" s="72"/>
      <c r="AF143" s="6"/>
      <c r="AG143" s="73"/>
      <c r="AH143" s="6"/>
      <c r="AI143" s="6"/>
      <c r="AJ143" s="2"/>
      <c r="AL143" s="72"/>
      <c r="AN143" s="73"/>
      <c r="AO143" s="6"/>
      <c r="AQ143" s="2"/>
      <c r="AS143" s="72"/>
      <c r="AU143" s="73"/>
      <c r="AV143" s="6"/>
      <c r="AW143" s="6"/>
      <c r="AX143" s="2"/>
      <c r="AZ143" s="72"/>
      <c r="BB143" s="73"/>
      <c r="BE143" s="2"/>
      <c r="BG143" s="72"/>
      <c r="BH143" s="6"/>
      <c r="BI143" s="73"/>
      <c r="BJ143" s="6"/>
      <c r="BL143" s="2"/>
    </row>
    <row r="144" spans="7:64" x14ac:dyDescent="0.25">
      <c r="G144" s="72"/>
      <c r="H144" s="72"/>
      <c r="I144" s="72"/>
      <c r="S144" s="73"/>
      <c r="V144" s="2"/>
      <c r="X144" s="72"/>
      <c r="Y144" s="6"/>
      <c r="Z144" s="73"/>
      <c r="AB144" s="6"/>
      <c r="AC144" s="2"/>
      <c r="AE144" s="72"/>
      <c r="AF144" s="6"/>
      <c r="AG144" s="73"/>
      <c r="AH144" s="6"/>
      <c r="AI144" s="6"/>
      <c r="AJ144" s="2"/>
      <c r="AL144" s="72"/>
      <c r="AN144" s="73"/>
      <c r="AO144" s="6"/>
      <c r="AQ144" s="2"/>
      <c r="AS144" s="72"/>
      <c r="AU144" s="73"/>
      <c r="AV144" s="6"/>
      <c r="AW144" s="6"/>
      <c r="AX144" s="2"/>
      <c r="AZ144" s="72"/>
      <c r="BB144" s="73"/>
      <c r="BE144" s="2"/>
      <c r="BG144" s="72"/>
      <c r="BH144" s="6"/>
      <c r="BI144" s="73"/>
      <c r="BJ144" s="6"/>
      <c r="BL144" s="2"/>
    </row>
    <row r="145" spans="7:64" x14ac:dyDescent="0.25">
      <c r="G145" s="72"/>
      <c r="H145" s="72"/>
      <c r="I145" s="72"/>
      <c r="S145" s="73"/>
      <c r="V145" s="2"/>
      <c r="X145" s="72"/>
      <c r="Y145" s="6"/>
      <c r="Z145" s="73"/>
      <c r="AB145" s="6"/>
      <c r="AC145" s="2"/>
      <c r="AE145" s="72"/>
      <c r="AF145" s="6"/>
      <c r="AG145" s="73"/>
      <c r="AH145" s="6"/>
      <c r="AI145" s="6"/>
      <c r="AJ145" s="2"/>
      <c r="AL145" s="72"/>
      <c r="AN145" s="73"/>
      <c r="AO145" s="6"/>
      <c r="AQ145" s="2"/>
      <c r="AS145" s="72"/>
      <c r="AU145" s="73"/>
      <c r="AV145" s="6"/>
      <c r="AW145" s="6"/>
      <c r="AX145" s="2"/>
      <c r="AZ145" s="72"/>
      <c r="BB145" s="73"/>
      <c r="BE145" s="2"/>
      <c r="BG145" s="72"/>
      <c r="BH145" s="6"/>
      <c r="BI145" s="73"/>
      <c r="BJ145" s="6"/>
      <c r="BL145" s="2"/>
    </row>
    <row r="146" spans="7:64" x14ac:dyDescent="0.25">
      <c r="G146" s="72"/>
      <c r="H146" s="72"/>
      <c r="I146" s="72"/>
      <c r="S146" s="73"/>
      <c r="V146" s="2"/>
      <c r="X146" s="72"/>
      <c r="Y146" s="6"/>
      <c r="Z146" s="73"/>
      <c r="AB146" s="6"/>
      <c r="AC146" s="2"/>
      <c r="AE146" s="72"/>
      <c r="AF146" s="6"/>
      <c r="AG146" s="73"/>
      <c r="AH146" s="6"/>
      <c r="AI146" s="6"/>
      <c r="AJ146" s="2"/>
      <c r="AL146" s="72"/>
      <c r="AN146" s="73"/>
      <c r="AO146" s="6"/>
      <c r="AQ146" s="2"/>
      <c r="AS146" s="72"/>
      <c r="AU146" s="73"/>
      <c r="AV146" s="6"/>
      <c r="AW146" s="6"/>
      <c r="AX146" s="2"/>
      <c r="AZ146" s="72"/>
      <c r="BB146" s="73"/>
      <c r="BE146" s="2"/>
      <c r="BG146" s="72"/>
      <c r="BH146" s="6"/>
      <c r="BI146" s="73"/>
      <c r="BJ146" s="6"/>
      <c r="BL146" s="2"/>
    </row>
    <row r="147" spans="7:64" x14ac:dyDescent="0.25">
      <c r="G147" s="72"/>
      <c r="H147" s="72"/>
      <c r="I147" s="72"/>
      <c r="S147" s="73"/>
      <c r="V147" s="2"/>
      <c r="X147" s="72"/>
      <c r="Y147" s="6"/>
      <c r="Z147" s="73"/>
      <c r="AB147" s="6"/>
      <c r="AC147" s="2"/>
      <c r="AE147" s="72"/>
      <c r="AF147" s="6"/>
      <c r="AG147" s="73"/>
      <c r="AH147" s="6"/>
      <c r="AI147" s="6"/>
      <c r="AJ147" s="2"/>
      <c r="AL147" s="72"/>
      <c r="AN147" s="73"/>
      <c r="AO147" s="6"/>
      <c r="AQ147" s="2"/>
      <c r="AS147" s="72"/>
      <c r="AU147" s="73"/>
      <c r="AV147" s="6"/>
      <c r="AW147" s="6"/>
      <c r="AX147" s="2"/>
      <c r="AZ147" s="72"/>
      <c r="BB147" s="73"/>
      <c r="BE147" s="2"/>
      <c r="BG147" s="72"/>
      <c r="BH147" s="6"/>
      <c r="BI147" s="73"/>
      <c r="BJ147" s="6"/>
      <c r="BL147" s="2"/>
    </row>
    <row r="148" spans="7:64" x14ac:dyDescent="0.25">
      <c r="G148" s="72"/>
      <c r="H148" s="72"/>
      <c r="I148" s="72"/>
      <c r="S148" s="73"/>
      <c r="V148" s="2"/>
      <c r="X148" s="72"/>
      <c r="Y148" s="6"/>
      <c r="Z148" s="73"/>
      <c r="AB148" s="6"/>
      <c r="AC148" s="2"/>
      <c r="AE148" s="72"/>
      <c r="AF148" s="6"/>
      <c r="AG148" s="73"/>
      <c r="AH148" s="6"/>
      <c r="AI148" s="6"/>
      <c r="AJ148" s="2"/>
      <c r="AL148" s="72"/>
      <c r="AN148" s="73"/>
      <c r="AO148" s="6"/>
      <c r="AQ148" s="2"/>
      <c r="AS148" s="72"/>
      <c r="AU148" s="73"/>
      <c r="AV148" s="6"/>
      <c r="AW148" s="6"/>
      <c r="AX148" s="2"/>
      <c r="AZ148" s="72"/>
      <c r="BB148" s="73"/>
      <c r="BE148" s="2"/>
      <c r="BG148" s="72"/>
      <c r="BH148" s="6"/>
      <c r="BI148" s="73"/>
      <c r="BJ148" s="6"/>
      <c r="BL148" s="2"/>
    </row>
    <row r="149" spans="7:64" x14ac:dyDescent="0.25">
      <c r="G149" s="72"/>
      <c r="H149" s="72"/>
      <c r="I149" s="72"/>
      <c r="S149" s="73"/>
      <c r="V149" s="2"/>
      <c r="X149" s="72"/>
      <c r="Y149" s="6"/>
      <c r="Z149" s="73"/>
      <c r="AB149" s="6"/>
      <c r="AC149" s="2"/>
      <c r="AE149" s="72"/>
      <c r="AF149" s="6"/>
      <c r="AG149" s="73"/>
      <c r="AH149" s="6"/>
      <c r="AI149" s="6"/>
      <c r="AJ149" s="2"/>
      <c r="AL149" s="72"/>
      <c r="AN149" s="73"/>
      <c r="AO149" s="6"/>
      <c r="AQ149" s="2"/>
      <c r="AS149" s="72"/>
      <c r="AU149" s="73"/>
      <c r="AV149" s="6"/>
      <c r="AW149" s="6"/>
      <c r="AX149" s="2"/>
      <c r="AZ149" s="72"/>
      <c r="BB149" s="73"/>
      <c r="BE149" s="2"/>
      <c r="BG149" s="72"/>
      <c r="BH149" s="6"/>
      <c r="BI149" s="73"/>
      <c r="BJ149" s="6"/>
      <c r="BL149" s="2"/>
    </row>
    <row r="150" spans="7:64" x14ac:dyDescent="0.25">
      <c r="G150" s="72"/>
      <c r="H150" s="72"/>
      <c r="I150" s="72"/>
      <c r="S150" s="73"/>
      <c r="V150" s="2"/>
      <c r="X150" s="72"/>
      <c r="Y150" s="6"/>
      <c r="Z150" s="73"/>
      <c r="AB150" s="6"/>
      <c r="AC150" s="2"/>
      <c r="AE150" s="72"/>
      <c r="AF150" s="6"/>
      <c r="AG150" s="73"/>
      <c r="AH150" s="6"/>
      <c r="AI150" s="6"/>
      <c r="AJ150" s="2"/>
      <c r="AL150" s="72"/>
      <c r="AN150" s="73"/>
      <c r="AO150" s="6"/>
      <c r="AQ150" s="2"/>
      <c r="AS150" s="72"/>
      <c r="AU150" s="73"/>
      <c r="AV150" s="6"/>
      <c r="AW150" s="6"/>
      <c r="AX150" s="2"/>
      <c r="AZ150" s="72"/>
      <c r="BB150" s="73"/>
      <c r="BE150" s="2"/>
      <c r="BG150" s="72"/>
      <c r="BH150" s="6"/>
      <c r="BI150" s="73"/>
      <c r="BJ150" s="6"/>
      <c r="BL150" s="2"/>
    </row>
    <row r="151" spans="7:64" x14ac:dyDescent="0.25">
      <c r="G151" s="72"/>
      <c r="H151" s="72"/>
      <c r="I151" s="72"/>
      <c r="S151" s="73"/>
      <c r="V151" s="2"/>
      <c r="X151" s="72"/>
      <c r="Y151" s="6"/>
      <c r="Z151" s="73"/>
      <c r="AB151" s="6"/>
      <c r="AC151" s="2"/>
      <c r="AE151" s="72"/>
      <c r="AF151" s="6"/>
      <c r="AG151" s="73"/>
      <c r="AH151" s="6"/>
      <c r="AI151" s="6"/>
      <c r="AJ151" s="2"/>
      <c r="AL151" s="72"/>
      <c r="AN151" s="73"/>
      <c r="AO151" s="6"/>
      <c r="AQ151" s="2"/>
      <c r="AS151" s="72"/>
      <c r="AU151" s="73"/>
      <c r="AV151" s="6"/>
      <c r="AW151" s="6"/>
      <c r="AX151" s="2"/>
      <c r="AZ151" s="72"/>
      <c r="BB151" s="73"/>
      <c r="BE151" s="2"/>
      <c r="BG151" s="72"/>
      <c r="BH151" s="6"/>
      <c r="BI151" s="73"/>
      <c r="BJ151" s="6"/>
      <c r="BL151" s="2"/>
    </row>
    <row r="152" spans="7:64" x14ac:dyDescent="0.25">
      <c r="G152" s="72"/>
      <c r="H152" s="72"/>
      <c r="I152" s="72"/>
      <c r="S152" s="73"/>
      <c r="V152" s="2"/>
      <c r="X152" s="72"/>
      <c r="Y152" s="6"/>
      <c r="Z152" s="73"/>
      <c r="AB152" s="6"/>
      <c r="AC152" s="2"/>
      <c r="AE152" s="72"/>
      <c r="AF152" s="6"/>
      <c r="AG152" s="73"/>
      <c r="AH152" s="6"/>
      <c r="AI152" s="6"/>
      <c r="AJ152" s="2"/>
      <c r="AL152" s="72"/>
      <c r="AN152" s="73"/>
      <c r="AO152" s="6"/>
      <c r="AQ152" s="2"/>
      <c r="AS152" s="72"/>
      <c r="AU152" s="73"/>
      <c r="AV152" s="6"/>
      <c r="AW152" s="6"/>
      <c r="AX152" s="2"/>
      <c r="AZ152" s="72"/>
      <c r="BB152" s="73"/>
      <c r="BE152" s="2"/>
      <c r="BG152" s="72"/>
      <c r="BH152" s="6"/>
      <c r="BI152" s="73"/>
      <c r="BJ152" s="6"/>
      <c r="BL152" s="2"/>
    </row>
    <row r="153" spans="7:64" x14ac:dyDescent="0.25">
      <c r="G153" s="72"/>
      <c r="H153" s="72"/>
      <c r="I153" s="72"/>
      <c r="S153" s="73"/>
      <c r="V153" s="2"/>
      <c r="X153" s="72"/>
      <c r="Y153" s="6"/>
      <c r="Z153" s="73"/>
      <c r="AB153" s="6"/>
      <c r="AC153" s="2"/>
      <c r="AE153" s="72"/>
      <c r="AF153" s="6"/>
      <c r="AG153" s="73"/>
      <c r="AH153" s="6"/>
      <c r="AI153" s="6"/>
      <c r="AJ153" s="2"/>
      <c r="AL153" s="72"/>
      <c r="AN153" s="73"/>
      <c r="AO153" s="6"/>
      <c r="AQ153" s="2"/>
      <c r="AS153" s="72"/>
      <c r="AU153" s="73"/>
      <c r="AV153" s="6"/>
      <c r="AW153" s="6"/>
      <c r="AX153" s="2"/>
      <c r="AZ153" s="72"/>
      <c r="BB153" s="73"/>
      <c r="BE153" s="2"/>
      <c r="BG153" s="72"/>
      <c r="BH153" s="6"/>
      <c r="BI153" s="73"/>
      <c r="BJ153" s="6"/>
      <c r="BL153" s="2"/>
    </row>
    <row r="154" spans="7:64" x14ac:dyDescent="0.25">
      <c r="G154" s="72"/>
      <c r="H154" s="72"/>
      <c r="I154" s="72"/>
      <c r="S154" s="73"/>
      <c r="V154" s="2"/>
      <c r="X154" s="72"/>
      <c r="Y154" s="6"/>
      <c r="Z154" s="73"/>
      <c r="AB154" s="6"/>
      <c r="AC154" s="2"/>
      <c r="AE154" s="72"/>
      <c r="AF154" s="6"/>
      <c r="AG154" s="73"/>
      <c r="AH154" s="6"/>
      <c r="AI154" s="6"/>
      <c r="AJ154" s="2"/>
      <c r="AL154" s="72"/>
      <c r="AN154" s="73"/>
      <c r="AO154" s="6"/>
      <c r="AQ154" s="2"/>
      <c r="AS154" s="72"/>
      <c r="AU154" s="73"/>
      <c r="AV154" s="6"/>
      <c r="AW154" s="6"/>
      <c r="AX154" s="2"/>
      <c r="AZ154" s="72"/>
      <c r="BB154" s="73"/>
      <c r="BE154" s="2"/>
      <c r="BG154" s="72"/>
      <c r="BH154" s="6"/>
      <c r="BI154" s="73"/>
      <c r="BJ154" s="6"/>
      <c r="BL154" s="2"/>
    </row>
    <row r="155" spans="7:64" x14ac:dyDescent="0.25">
      <c r="G155" s="72"/>
      <c r="H155" s="72"/>
      <c r="I155" s="72"/>
      <c r="S155" s="73"/>
      <c r="V155" s="2"/>
      <c r="X155" s="72"/>
      <c r="Y155" s="6"/>
      <c r="Z155" s="73"/>
      <c r="AB155" s="6"/>
      <c r="AC155" s="2"/>
      <c r="AE155" s="72"/>
      <c r="AF155" s="6"/>
      <c r="AG155" s="73"/>
      <c r="AH155" s="6"/>
      <c r="AI155" s="6"/>
      <c r="AJ155" s="2"/>
      <c r="AL155" s="72"/>
      <c r="AN155" s="73"/>
      <c r="AO155" s="6"/>
      <c r="AQ155" s="2"/>
      <c r="AS155" s="72"/>
      <c r="AU155" s="73"/>
      <c r="AV155" s="6"/>
      <c r="AW155" s="6"/>
      <c r="AX155" s="2"/>
      <c r="AZ155" s="72"/>
      <c r="BB155" s="73"/>
      <c r="BE155" s="2"/>
      <c r="BG155" s="72"/>
      <c r="BH155" s="6"/>
      <c r="BI155" s="73"/>
      <c r="BJ155" s="6"/>
      <c r="BL155" s="2"/>
    </row>
    <row r="156" spans="7:64" x14ac:dyDescent="0.25">
      <c r="G156" s="72"/>
      <c r="H156" s="72"/>
      <c r="I156" s="72"/>
      <c r="S156" s="73"/>
      <c r="V156" s="2"/>
      <c r="X156" s="72"/>
      <c r="Y156" s="6"/>
      <c r="Z156" s="73"/>
      <c r="AB156" s="6"/>
      <c r="AC156" s="2"/>
      <c r="AE156" s="72"/>
      <c r="AF156" s="6"/>
      <c r="AG156" s="73"/>
      <c r="AH156" s="6"/>
      <c r="AI156" s="6"/>
      <c r="AJ156" s="2"/>
      <c r="AL156" s="72"/>
      <c r="AN156" s="73"/>
      <c r="AO156" s="6"/>
      <c r="AQ156" s="2"/>
      <c r="AS156" s="72"/>
      <c r="AU156" s="73"/>
      <c r="AV156" s="6"/>
      <c r="AW156" s="6"/>
      <c r="AX156" s="2"/>
      <c r="AZ156" s="72"/>
      <c r="BB156" s="73"/>
      <c r="BE156" s="2"/>
      <c r="BG156" s="72"/>
      <c r="BH156" s="6"/>
      <c r="BI156" s="73"/>
      <c r="BJ156" s="6"/>
      <c r="BL156" s="2"/>
    </row>
    <row r="157" spans="7:64" x14ac:dyDescent="0.25">
      <c r="G157" s="72"/>
      <c r="H157" s="72"/>
      <c r="I157" s="72"/>
      <c r="S157" s="73"/>
      <c r="V157" s="2"/>
      <c r="X157" s="72"/>
      <c r="Y157" s="6"/>
      <c r="Z157" s="73"/>
      <c r="AB157" s="6"/>
      <c r="AC157" s="2"/>
      <c r="AE157" s="72"/>
      <c r="AF157" s="6"/>
      <c r="AG157" s="73"/>
      <c r="AH157" s="6"/>
      <c r="AI157" s="6"/>
      <c r="AJ157" s="2"/>
      <c r="AL157" s="72"/>
      <c r="AN157" s="73"/>
      <c r="AO157" s="6"/>
      <c r="AQ157" s="2"/>
      <c r="AS157" s="72"/>
      <c r="AU157" s="73"/>
      <c r="AV157" s="6"/>
      <c r="AW157" s="6"/>
      <c r="AX157" s="2"/>
      <c r="AZ157" s="72"/>
      <c r="BB157" s="73"/>
      <c r="BE157" s="2"/>
      <c r="BG157" s="72"/>
      <c r="BH157" s="6"/>
      <c r="BI157" s="73"/>
      <c r="BJ157" s="6"/>
      <c r="BL157" s="2"/>
    </row>
    <row r="158" spans="7:64" x14ac:dyDescent="0.25">
      <c r="G158" s="72"/>
      <c r="H158" s="72"/>
      <c r="I158" s="72"/>
      <c r="S158" s="73"/>
      <c r="V158" s="2"/>
      <c r="X158" s="72"/>
      <c r="Y158" s="6"/>
      <c r="Z158" s="73"/>
      <c r="AB158" s="6"/>
      <c r="AC158" s="2"/>
      <c r="AE158" s="72"/>
      <c r="AF158" s="6"/>
      <c r="AG158" s="73"/>
      <c r="AH158" s="6"/>
      <c r="AI158" s="6"/>
      <c r="AJ158" s="2"/>
      <c r="AL158" s="72"/>
      <c r="AN158" s="73"/>
      <c r="AO158" s="6"/>
      <c r="AQ158" s="2"/>
      <c r="AS158" s="72"/>
      <c r="AU158" s="73"/>
      <c r="AV158" s="6"/>
      <c r="AW158" s="6"/>
      <c r="AX158" s="2"/>
      <c r="AZ158" s="72"/>
      <c r="BB158" s="73"/>
      <c r="BE158" s="2"/>
      <c r="BG158" s="72"/>
      <c r="BH158" s="6"/>
      <c r="BI158" s="73"/>
      <c r="BJ158" s="6"/>
      <c r="BL158" s="2"/>
    </row>
    <row r="159" spans="7:64" x14ac:dyDescent="0.25">
      <c r="G159" s="72"/>
      <c r="H159" s="72"/>
      <c r="I159" s="72"/>
      <c r="S159" s="73"/>
      <c r="V159" s="2"/>
      <c r="X159" s="72"/>
      <c r="Y159" s="6"/>
      <c r="Z159" s="73"/>
      <c r="AB159" s="6"/>
      <c r="AC159" s="2"/>
      <c r="AE159" s="72"/>
      <c r="AF159" s="6"/>
      <c r="AG159" s="73"/>
      <c r="AH159" s="6"/>
      <c r="AI159" s="6"/>
      <c r="AJ159" s="2"/>
      <c r="AL159" s="72"/>
      <c r="AN159" s="73"/>
      <c r="AO159" s="6"/>
      <c r="AQ159" s="2"/>
      <c r="AS159" s="72"/>
      <c r="AU159" s="73"/>
      <c r="AV159" s="6"/>
      <c r="AW159" s="6"/>
      <c r="AX159" s="2"/>
      <c r="AZ159" s="72"/>
      <c r="BB159" s="73"/>
      <c r="BE159" s="2"/>
      <c r="BG159" s="72"/>
      <c r="BH159" s="6"/>
      <c r="BI159" s="73"/>
      <c r="BJ159" s="6"/>
      <c r="BL159" s="2"/>
    </row>
    <row r="160" spans="7:64" x14ac:dyDescent="0.25">
      <c r="G160" s="72"/>
      <c r="H160" s="72"/>
      <c r="I160" s="72"/>
      <c r="S160" s="73"/>
      <c r="V160" s="2"/>
      <c r="X160" s="72"/>
      <c r="Y160" s="6"/>
      <c r="Z160" s="73"/>
      <c r="AB160" s="6"/>
      <c r="AC160" s="2"/>
      <c r="AE160" s="72"/>
      <c r="AF160" s="6"/>
      <c r="AG160" s="73"/>
      <c r="AH160" s="6"/>
      <c r="AI160" s="6"/>
      <c r="AJ160" s="2"/>
      <c r="AL160" s="72"/>
      <c r="AN160" s="73"/>
      <c r="AO160" s="6"/>
      <c r="AQ160" s="2"/>
      <c r="AS160" s="72"/>
      <c r="AU160" s="73"/>
      <c r="AV160" s="6"/>
      <c r="AW160" s="6"/>
      <c r="AX160" s="2"/>
      <c r="AZ160" s="72"/>
      <c r="BB160" s="73"/>
      <c r="BE160" s="2"/>
      <c r="BG160" s="72"/>
      <c r="BH160" s="6"/>
      <c r="BI160" s="73"/>
      <c r="BJ160" s="6"/>
      <c r="BL160" s="2"/>
    </row>
    <row r="161" spans="7:64" x14ac:dyDescent="0.25">
      <c r="G161" s="72"/>
      <c r="H161" s="72"/>
      <c r="I161" s="72"/>
      <c r="S161" s="73"/>
      <c r="V161" s="2"/>
      <c r="X161" s="72"/>
      <c r="Y161" s="6"/>
      <c r="Z161" s="73"/>
      <c r="AB161" s="6"/>
      <c r="AC161" s="2"/>
      <c r="AE161" s="72"/>
      <c r="AF161" s="6"/>
      <c r="AG161" s="73"/>
      <c r="AH161" s="6"/>
      <c r="AI161" s="6"/>
      <c r="AJ161" s="2"/>
      <c r="AL161" s="72"/>
      <c r="AN161" s="73"/>
      <c r="AO161" s="6"/>
      <c r="AQ161" s="2"/>
      <c r="AS161" s="72"/>
      <c r="AU161" s="73"/>
      <c r="AV161" s="6"/>
      <c r="AW161" s="6"/>
      <c r="AX161" s="2"/>
      <c r="AZ161" s="72"/>
      <c r="BB161" s="73"/>
      <c r="BE161" s="2"/>
      <c r="BG161" s="72"/>
      <c r="BH161" s="6"/>
      <c r="BI161" s="73"/>
      <c r="BJ161" s="6"/>
      <c r="BL161" s="2"/>
    </row>
    <row r="162" spans="7:64" x14ac:dyDescent="0.25">
      <c r="G162" s="72"/>
      <c r="H162" s="72"/>
      <c r="I162" s="72"/>
      <c r="S162" s="73"/>
      <c r="V162" s="2"/>
      <c r="X162" s="72"/>
      <c r="Y162" s="6"/>
      <c r="Z162" s="73"/>
      <c r="AB162" s="6"/>
      <c r="AC162" s="2"/>
      <c r="AE162" s="72"/>
      <c r="AF162" s="6"/>
      <c r="AG162" s="73"/>
      <c r="AH162" s="6"/>
      <c r="AI162" s="6"/>
      <c r="AJ162" s="2"/>
      <c r="AL162" s="72"/>
      <c r="AN162" s="73"/>
      <c r="AO162" s="6"/>
      <c r="AQ162" s="2"/>
      <c r="AS162" s="72"/>
      <c r="AU162" s="73"/>
      <c r="AV162" s="6"/>
      <c r="AW162" s="6"/>
      <c r="AX162" s="2"/>
      <c r="AZ162" s="72"/>
      <c r="BB162" s="73"/>
      <c r="BE162" s="2"/>
      <c r="BG162" s="72"/>
      <c r="BH162" s="6"/>
      <c r="BI162" s="73"/>
      <c r="BJ162" s="6"/>
      <c r="BL162" s="2"/>
    </row>
    <row r="163" spans="7:64" x14ac:dyDescent="0.25">
      <c r="G163" s="72"/>
      <c r="H163" s="72"/>
      <c r="I163" s="72"/>
      <c r="S163" s="73"/>
      <c r="V163" s="2"/>
      <c r="X163" s="72"/>
      <c r="Y163" s="6"/>
      <c r="Z163" s="73"/>
      <c r="AB163" s="6"/>
      <c r="AC163" s="2"/>
      <c r="AE163" s="72"/>
      <c r="AF163" s="6"/>
      <c r="AG163" s="73"/>
      <c r="AH163" s="6"/>
      <c r="AI163" s="6"/>
      <c r="AJ163" s="2"/>
      <c r="AL163" s="72"/>
      <c r="AN163" s="73"/>
      <c r="AO163" s="6"/>
      <c r="AQ163" s="2"/>
      <c r="AS163" s="72"/>
      <c r="AU163" s="73"/>
      <c r="AV163" s="6"/>
      <c r="AW163" s="6"/>
      <c r="AX163" s="2"/>
      <c r="AZ163" s="72"/>
      <c r="BB163" s="73"/>
      <c r="BE163" s="2"/>
      <c r="BG163" s="72"/>
      <c r="BH163" s="6"/>
      <c r="BI163" s="73"/>
      <c r="BJ163" s="6"/>
      <c r="BL163" s="2"/>
    </row>
    <row r="164" spans="7:64" x14ac:dyDescent="0.25">
      <c r="G164" s="72"/>
      <c r="H164" s="72"/>
      <c r="I164" s="72"/>
      <c r="S164" s="73"/>
      <c r="V164" s="2"/>
      <c r="X164" s="72"/>
      <c r="Y164" s="6"/>
      <c r="Z164" s="73"/>
      <c r="AB164" s="6"/>
      <c r="AC164" s="2"/>
      <c r="AE164" s="72"/>
      <c r="AF164" s="6"/>
      <c r="AG164" s="73"/>
      <c r="AH164" s="6"/>
      <c r="AI164" s="6"/>
      <c r="AJ164" s="2"/>
      <c r="AL164" s="72"/>
      <c r="AN164" s="73"/>
      <c r="AO164" s="6"/>
      <c r="AQ164" s="2"/>
      <c r="AS164" s="72"/>
      <c r="AU164" s="73"/>
      <c r="AV164" s="6"/>
      <c r="AW164" s="6"/>
      <c r="AX164" s="2"/>
      <c r="AZ164" s="72"/>
      <c r="BB164" s="73"/>
      <c r="BE164" s="2"/>
      <c r="BG164" s="72"/>
      <c r="BH164" s="6"/>
      <c r="BI164" s="73"/>
      <c r="BJ164" s="6"/>
      <c r="BL164" s="2"/>
    </row>
    <row r="165" spans="7:64" x14ac:dyDescent="0.25">
      <c r="G165" s="72"/>
      <c r="H165" s="72"/>
      <c r="I165" s="72"/>
      <c r="S165" s="73"/>
      <c r="V165" s="2"/>
      <c r="X165" s="72"/>
      <c r="Y165" s="6"/>
      <c r="Z165" s="73"/>
      <c r="AB165" s="6"/>
      <c r="AC165" s="2"/>
      <c r="AE165" s="72"/>
      <c r="AF165" s="6"/>
      <c r="AG165" s="73"/>
      <c r="AH165" s="6"/>
      <c r="AI165" s="6"/>
      <c r="AJ165" s="2"/>
      <c r="AL165" s="72"/>
      <c r="AN165" s="73"/>
      <c r="AO165" s="6"/>
      <c r="AQ165" s="2"/>
      <c r="AS165" s="72"/>
      <c r="AU165" s="73"/>
      <c r="AV165" s="6"/>
      <c r="AW165" s="6"/>
      <c r="AX165" s="2"/>
      <c r="AZ165" s="72"/>
      <c r="BB165" s="73"/>
      <c r="BE165" s="2"/>
      <c r="BG165" s="72"/>
      <c r="BH165" s="6"/>
      <c r="BI165" s="73"/>
      <c r="BJ165" s="6"/>
      <c r="BL165" s="2"/>
    </row>
    <row r="166" spans="7:64" x14ac:dyDescent="0.25">
      <c r="G166" s="72"/>
      <c r="H166" s="72"/>
      <c r="I166" s="72"/>
      <c r="S166" s="73"/>
      <c r="V166" s="2"/>
      <c r="X166" s="72"/>
      <c r="Y166" s="6"/>
      <c r="Z166" s="73"/>
      <c r="AB166" s="6"/>
      <c r="AC166" s="2"/>
      <c r="AE166" s="72"/>
      <c r="AF166" s="6"/>
      <c r="AG166" s="73"/>
      <c r="AH166" s="6"/>
      <c r="AI166" s="6"/>
      <c r="AJ166" s="2"/>
      <c r="AL166" s="72"/>
      <c r="AN166" s="73"/>
      <c r="AO166" s="6"/>
      <c r="AQ166" s="2"/>
      <c r="AS166" s="72"/>
      <c r="AU166" s="73"/>
      <c r="AV166" s="6"/>
      <c r="AW166" s="6"/>
      <c r="AX166" s="2"/>
      <c r="AZ166" s="72"/>
      <c r="BB166" s="73"/>
      <c r="BE166" s="2"/>
      <c r="BG166" s="72"/>
      <c r="BH166" s="6"/>
      <c r="BI166" s="73"/>
      <c r="BJ166" s="6"/>
      <c r="BL166" s="2"/>
    </row>
    <row r="167" spans="7:64" x14ac:dyDescent="0.25">
      <c r="G167" s="72"/>
      <c r="H167" s="72"/>
      <c r="I167" s="72"/>
      <c r="S167" s="73"/>
      <c r="V167" s="2"/>
      <c r="X167" s="72"/>
      <c r="Y167" s="6"/>
      <c r="Z167" s="73"/>
      <c r="AB167" s="6"/>
      <c r="AC167" s="2"/>
      <c r="AE167" s="72"/>
      <c r="AF167" s="6"/>
      <c r="AG167" s="73"/>
      <c r="AH167" s="6"/>
      <c r="AI167" s="6"/>
      <c r="AJ167" s="2"/>
      <c r="AL167" s="72"/>
      <c r="AN167" s="73"/>
      <c r="AO167" s="6"/>
      <c r="AQ167" s="2"/>
      <c r="AS167" s="72"/>
      <c r="AU167" s="73"/>
      <c r="AV167" s="6"/>
      <c r="AW167" s="6"/>
      <c r="AX167" s="2"/>
      <c r="AZ167" s="72"/>
      <c r="BB167" s="73"/>
      <c r="BE167" s="2"/>
      <c r="BG167" s="72"/>
      <c r="BH167" s="6"/>
      <c r="BI167" s="73"/>
      <c r="BJ167" s="6"/>
      <c r="BL167" s="2"/>
    </row>
    <row r="168" spans="7:64" x14ac:dyDescent="0.25">
      <c r="G168" s="72"/>
      <c r="H168" s="72"/>
      <c r="I168" s="72"/>
      <c r="S168" s="73"/>
      <c r="V168" s="2"/>
      <c r="X168" s="72"/>
      <c r="Y168" s="6"/>
      <c r="Z168" s="73"/>
      <c r="AB168" s="6"/>
      <c r="AC168" s="2"/>
      <c r="AE168" s="72"/>
      <c r="AF168" s="6"/>
      <c r="AG168" s="73"/>
      <c r="AH168" s="6"/>
      <c r="AI168" s="6"/>
      <c r="AJ168" s="2"/>
      <c r="AL168" s="72"/>
      <c r="AN168" s="73"/>
      <c r="AO168" s="6"/>
      <c r="AQ168" s="2"/>
      <c r="AS168" s="72"/>
      <c r="AU168" s="73"/>
      <c r="AV168" s="6"/>
      <c r="AW168" s="6"/>
      <c r="AX168" s="2"/>
      <c r="AZ168" s="72"/>
      <c r="BB168" s="73"/>
      <c r="BE168" s="2"/>
      <c r="BG168" s="72"/>
      <c r="BH168" s="6"/>
      <c r="BI168" s="73"/>
      <c r="BJ168" s="6"/>
      <c r="BL168" s="2"/>
    </row>
    <row r="169" spans="7:64" x14ac:dyDescent="0.25">
      <c r="G169" s="72"/>
      <c r="H169" s="72"/>
      <c r="I169" s="72"/>
      <c r="S169" s="73"/>
      <c r="V169" s="2"/>
      <c r="X169" s="72"/>
      <c r="Y169" s="6"/>
      <c r="Z169" s="73"/>
      <c r="AB169" s="6"/>
      <c r="AC169" s="2"/>
      <c r="AE169" s="72"/>
      <c r="AF169" s="6"/>
      <c r="AG169" s="73"/>
      <c r="AH169" s="6"/>
      <c r="AI169" s="6"/>
      <c r="AJ169" s="2"/>
      <c r="AL169" s="72"/>
      <c r="AN169" s="73"/>
      <c r="AO169" s="6"/>
      <c r="AQ169" s="2"/>
      <c r="AS169" s="72"/>
      <c r="AU169" s="73"/>
      <c r="AV169" s="6"/>
      <c r="AW169" s="6"/>
      <c r="AX169" s="2"/>
      <c r="AZ169" s="72"/>
      <c r="BB169" s="73"/>
      <c r="BE169" s="2"/>
      <c r="BG169" s="72"/>
      <c r="BH169" s="6"/>
      <c r="BI169" s="73"/>
      <c r="BJ169" s="6"/>
      <c r="BL169" s="2"/>
    </row>
    <row r="170" spans="7:64" x14ac:dyDescent="0.25">
      <c r="G170" s="72"/>
      <c r="H170" s="72"/>
      <c r="I170" s="72"/>
      <c r="S170" s="73"/>
      <c r="V170" s="2"/>
      <c r="X170" s="72"/>
      <c r="Y170" s="6"/>
      <c r="Z170" s="73"/>
      <c r="AB170" s="6"/>
      <c r="AC170" s="2"/>
      <c r="AE170" s="72"/>
      <c r="AF170" s="6"/>
      <c r="AG170" s="73"/>
      <c r="AH170" s="6"/>
      <c r="AI170" s="6"/>
      <c r="AJ170" s="2"/>
      <c r="AL170" s="72"/>
      <c r="AN170" s="73"/>
      <c r="AO170" s="6"/>
      <c r="AQ170" s="2"/>
      <c r="AS170" s="72"/>
      <c r="AU170" s="73"/>
      <c r="AV170" s="6"/>
      <c r="AW170" s="6"/>
      <c r="AX170" s="2"/>
      <c r="AZ170" s="72"/>
      <c r="BB170" s="73"/>
      <c r="BE170" s="2"/>
      <c r="BG170" s="72"/>
      <c r="BH170" s="6"/>
      <c r="BI170" s="73"/>
      <c r="BJ170" s="6"/>
      <c r="BL170" s="2"/>
    </row>
    <row r="171" spans="7:64" x14ac:dyDescent="0.25">
      <c r="G171" s="72"/>
      <c r="H171" s="72"/>
      <c r="I171" s="72"/>
      <c r="S171" s="73"/>
      <c r="V171" s="2"/>
      <c r="X171" s="72"/>
      <c r="Y171" s="6"/>
      <c r="Z171" s="73"/>
      <c r="AB171" s="6"/>
      <c r="AC171" s="2"/>
      <c r="AE171" s="72"/>
      <c r="AF171" s="6"/>
      <c r="AG171" s="73"/>
      <c r="AH171" s="6"/>
      <c r="AI171" s="6"/>
      <c r="AJ171" s="2"/>
      <c r="AL171" s="72"/>
      <c r="AN171" s="73"/>
      <c r="AO171" s="6"/>
      <c r="AQ171" s="2"/>
      <c r="AS171" s="72"/>
      <c r="AU171" s="73"/>
      <c r="AV171" s="6"/>
      <c r="AW171" s="6"/>
      <c r="AX171" s="2"/>
      <c r="AZ171" s="72"/>
      <c r="BB171" s="73"/>
      <c r="BE171" s="2"/>
      <c r="BG171" s="72"/>
      <c r="BH171" s="6"/>
      <c r="BI171" s="73"/>
      <c r="BJ171" s="6"/>
      <c r="BL171" s="2"/>
    </row>
    <row r="172" spans="7:64" x14ac:dyDescent="0.25">
      <c r="G172" s="72"/>
      <c r="H172" s="72"/>
      <c r="I172" s="72"/>
      <c r="S172" s="73"/>
      <c r="V172" s="2"/>
      <c r="X172" s="72"/>
      <c r="Y172" s="6"/>
      <c r="Z172" s="73"/>
      <c r="AB172" s="6"/>
      <c r="AC172" s="2"/>
      <c r="AE172" s="72"/>
      <c r="AF172" s="6"/>
      <c r="AG172" s="73"/>
      <c r="AH172" s="6"/>
      <c r="AI172" s="6"/>
      <c r="AJ172" s="2"/>
      <c r="AL172" s="72"/>
      <c r="AN172" s="73"/>
      <c r="AO172" s="6"/>
      <c r="AQ172" s="2"/>
      <c r="AS172" s="72"/>
      <c r="AU172" s="73"/>
      <c r="AV172" s="6"/>
      <c r="AW172" s="6"/>
      <c r="AX172" s="2"/>
      <c r="AZ172" s="72"/>
      <c r="BB172" s="73"/>
      <c r="BE172" s="2"/>
      <c r="BG172" s="72"/>
      <c r="BH172" s="6"/>
      <c r="BI172" s="73"/>
      <c r="BJ172" s="6"/>
      <c r="BL172" s="2"/>
    </row>
    <row r="173" spans="7:64" x14ac:dyDescent="0.25">
      <c r="G173" s="72"/>
      <c r="H173" s="72"/>
      <c r="I173" s="72"/>
      <c r="S173" s="73"/>
      <c r="V173" s="2"/>
      <c r="X173" s="72"/>
      <c r="Y173" s="6"/>
      <c r="Z173" s="73"/>
      <c r="AB173" s="6"/>
      <c r="AC173" s="2"/>
      <c r="AE173" s="72"/>
      <c r="AF173" s="6"/>
      <c r="AG173" s="73"/>
      <c r="AH173" s="6"/>
      <c r="AI173" s="6"/>
      <c r="AJ173" s="2"/>
      <c r="AL173" s="72"/>
      <c r="AN173" s="73"/>
      <c r="AO173" s="6"/>
      <c r="AQ173" s="2"/>
      <c r="AS173" s="72"/>
      <c r="AU173" s="73"/>
      <c r="AV173" s="6"/>
      <c r="AW173" s="6"/>
      <c r="AX173" s="2"/>
      <c r="AZ173" s="72"/>
      <c r="BB173" s="73"/>
      <c r="BE173" s="2"/>
      <c r="BG173" s="72"/>
      <c r="BH173" s="6"/>
      <c r="BI173" s="73"/>
      <c r="BJ173" s="6"/>
      <c r="BL173" s="2"/>
    </row>
    <row r="174" spans="7:64" x14ac:dyDescent="0.25">
      <c r="G174" s="72"/>
      <c r="H174" s="72"/>
      <c r="I174" s="72"/>
      <c r="S174" s="73"/>
      <c r="V174" s="2"/>
      <c r="X174" s="72"/>
      <c r="Y174" s="6"/>
      <c r="Z174" s="73"/>
      <c r="AB174" s="6"/>
      <c r="AC174" s="2"/>
      <c r="AE174" s="72"/>
      <c r="AF174" s="6"/>
      <c r="AG174" s="73"/>
      <c r="AH174" s="6"/>
      <c r="AI174" s="6"/>
      <c r="AJ174" s="2"/>
      <c r="AL174" s="72"/>
      <c r="AN174" s="73"/>
      <c r="AO174" s="6"/>
      <c r="AQ174" s="2"/>
      <c r="AS174" s="72"/>
      <c r="AU174" s="73"/>
      <c r="AV174" s="6"/>
      <c r="AW174" s="6"/>
      <c r="AX174" s="2"/>
      <c r="AZ174" s="72"/>
      <c r="BB174" s="73"/>
      <c r="BE174" s="2"/>
      <c r="BG174" s="72"/>
      <c r="BH174" s="6"/>
      <c r="BI174" s="73"/>
      <c r="BJ174" s="6"/>
      <c r="BL174" s="2"/>
    </row>
    <row r="175" spans="7:64" x14ac:dyDescent="0.25">
      <c r="G175" s="72"/>
      <c r="H175" s="72"/>
      <c r="I175" s="72"/>
      <c r="S175" s="73"/>
      <c r="V175" s="2"/>
      <c r="X175" s="72"/>
      <c r="Y175" s="6"/>
      <c r="Z175" s="73"/>
      <c r="AB175" s="6"/>
      <c r="AC175" s="2"/>
      <c r="AE175" s="72"/>
      <c r="AF175" s="6"/>
      <c r="AG175" s="73"/>
      <c r="AH175" s="6"/>
      <c r="AI175" s="6"/>
      <c r="AJ175" s="2"/>
      <c r="AL175" s="72"/>
      <c r="AN175" s="73"/>
      <c r="AO175" s="6"/>
      <c r="AQ175" s="2"/>
      <c r="AS175" s="72"/>
      <c r="AU175" s="73"/>
      <c r="AV175" s="6"/>
      <c r="AW175" s="6"/>
      <c r="AX175" s="2"/>
      <c r="AZ175" s="72"/>
      <c r="BB175" s="73"/>
      <c r="BE175" s="2"/>
      <c r="BG175" s="72"/>
      <c r="BH175" s="6"/>
      <c r="BI175" s="73"/>
      <c r="BJ175" s="6"/>
      <c r="BL175" s="2"/>
    </row>
    <row r="176" spans="7:64" x14ac:dyDescent="0.25">
      <c r="G176" s="72"/>
      <c r="H176" s="72"/>
      <c r="I176" s="72"/>
      <c r="S176" s="73"/>
      <c r="V176" s="2"/>
      <c r="X176" s="72"/>
      <c r="Y176" s="6"/>
      <c r="Z176" s="73"/>
      <c r="AB176" s="6"/>
      <c r="AC176" s="2"/>
      <c r="AE176" s="72"/>
      <c r="AF176" s="6"/>
      <c r="AG176" s="73"/>
      <c r="AH176" s="6"/>
      <c r="AI176" s="6"/>
      <c r="AJ176" s="2"/>
      <c r="AL176" s="72"/>
      <c r="AN176" s="73"/>
      <c r="AO176" s="6"/>
      <c r="AQ176" s="2"/>
      <c r="AS176" s="72"/>
      <c r="AU176" s="73"/>
      <c r="AV176" s="6"/>
      <c r="AW176" s="6"/>
      <c r="AX176" s="2"/>
      <c r="AZ176" s="72"/>
      <c r="BB176" s="73"/>
      <c r="BE176" s="2"/>
      <c r="BG176" s="72"/>
      <c r="BH176" s="6"/>
      <c r="BI176" s="73"/>
      <c r="BJ176" s="6"/>
      <c r="BL176" s="2"/>
    </row>
    <row r="177" spans="7:64" x14ac:dyDescent="0.25">
      <c r="G177" s="72"/>
      <c r="H177" s="72"/>
      <c r="I177" s="72"/>
      <c r="S177" s="73"/>
      <c r="V177" s="2"/>
      <c r="X177" s="72"/>
      <c r="Y177" s="6"/>
      <c r="Z177" s="73"/>
      <c r="AB177" s="6"/>
      <c r="AC177" s="2"/>
      <c r="AE177" s="72"/>
      <c r="AF177" s="6"/>
      <c r="AG177" s="73"/>
      <c r="AH177" s="6"/>
      <c r="AI177" s="6"/>
      <c r="AJ177" s="2"/>
      <c r="AL177" s="72"/>
      <c r="AN177" s="73"/>
      <c r="AO177" s="6"/>
      <c r="AQ177" s="2"/>
      <c r="AS177" s="72"/>
      <c r="AU177" s="73"/>
      <c r="AV177" s="6"/>
      <c r="AW177" s="6"/>
      <c r="AX177" s="2"/>
      <c r="AZ177" s="72"/>
      <c r="BB177" s="73"/>
      <c r="BE177" s="2"/>
      <c r="BG177" s="72"/>
      <c r="BH177" s="6"/>
      <c r="BI177" s="73"/>
      <c r="BJ177" s="6"/>
      <c r="BL177" s="2"/>
    </row>
    <row r="178" spans="7:64" x14ac:dyDescent="0.25">
      <c r="G178" s="72"/>
      <c r="H178" s="72"/>
      <c r="I178" s="72"/>
      <c r="S178" s="73"/>
      <c r="V178" s="2"/>
      <c r="X178" s="72"/>
      <c r="Y178" s="6"/>
      <c r="Z178" s="73"/>
      <c r="AB178" s="6"/>
      <c r="AC178" s="2"/>
      <c r="AE178" s="72"/>
      <c r="AF178" s="6"/>
      <c r="AG178" s="73"/>
      <c r="AH178" s="6"/>
      <c r="AI178" s="6"/>
      <c r="AJ178" s="2"/>
      <c r="AL178" s="72"/>
      <c r="AN178" s="73"/>
      <c r="AO178" s="6"/>
      <c r="AQ178" s="2"/>
      <c r="AS178" s="72"/>
      <c r="AU178" s="73"/>
      <c r="AV178" s="6"/>
      <c r="AW178" s="6"/>
      <c r="AX178" s="2"/>
      <c r="AZ178" s="72"/>
      <c r="BB178" s="73"/>
      <c r="BE178" s="2"/>
      <c r="BG178" s="72"/>
      <c r="BH178" s="6"/>
      <c r="BI178" s="73"/>
      <c r="BJ178" s="6"/>
      <c r="BL178" s="2"/>
    </row>
    <row r="179" spans="7:64" x14ac:dyDescent="0.25">
      <c r="G179" s="72"/>
      <c r="H179" s="72"/>
      <c r="I179" s="72"/>
      <c r="S179" s="73"/>
      <c r="V179" s="2"/>
      <c r="X179" s="72"/>
      <c r="Y179" s="6"/>
      <c r="Z179" s="73"/>
      <c r="AB179" s="6"/>
      <c r="AC179" s="2"/>
      <c r="AE179" s="72"/>
      <c r="AF179" s="6"/>
      <c r="AG179" s="73"/>
      <c r="AH179" s="6"/>
      <c r="AI179" s="6"/>
      <c r="AJ179" s="2"/>
      <c r="AL179" s="72"/>
      <c r="AN179" s="73"/>
      <c r="AO179" s="6"/>
      <c r="AQ179" s="2"/>
      <c r="AS179" s="72"/>
      <c r="AU179" s="73"/>
      <c r="AV179" s="6"/>
      <c r="AW179" s="6"/>
      <c r="AX179" s="2"/>
      <c r="AZ179" s="72"/>
      <c r="BB179" s="73"/>
      <c r="BE179" s="2"/>
      <c r="BG179" s="72"/>
      <c r="BH179" s="6"/>
      <c r="BI179" s="73"/>
      <c r="BJ179" s="6"/>
      <c r="BL179" s="2"/>
    </row>
    <row r="180" spans="7:64" x14ac:dyDescent="0.25">
      <c r="G180" s="72"/>
      <c r="H180" s="72"/>
      <c r="I180" s="72"/>
      <c r="S180" s="73"/>
      <c r="V180" s="2"/>
      <c r="X180" s="72"/>
      <c r="Y180" s="6"/>
      <c r="Z180" s="73"/>
      <c r="AB180" s="6"/>
      <c r="AC180" s="2"/>
      <c r="AE180" s="72"/>
      <c r="AF180" s="6"/>
      <c r="AG180" s="73"/>
      <c r="AH180" s="6"/>
      <c r="AI180" s="6"/>
      <c r="AJ180" s="2"/>
      <c r="AL180" s="72"/>
      <c r="AN180" s="73"/>
      <c r="AO180" s="6"/>
      <c r="AQ180" s="2"/>
      <c r="AS180" s="72"/>
      <c r="AU180" s="73"/>
      <c r="AV180" s="6"/>
      <c r="AW180" s="6"/>
      <c r="AX180" s="2"/>
      <c r="AZ180" s="72"/>
      <c r="BB180" s="73"/>
      <c r="BE180" s="2"/>
      <c r="BG180" s="72"/>
      <c r="BH180" s="6"/>
      <c r="BI180" s="73"/>
      <c r="BJ180" s="6"/>
      <c r="BL180" s="2"/>
    </row>
    <row r="181" spans="7:64" x14ac:dyDescent="0.25">
      <c r="G181" s="72"/>
      <c r="H181" s="72"/>
      <c r="I181" s="72"/>
      <c r="S181" s="73"/>
      <c r="V181" s="2"/>
      <c r="X181" s="72"/>
      <c r="Y181" s="6"/>
      <c r="Z181" s="73"/>
      <c r="AB181" s="6"/>
      <c r="AC181" s="2"/>
      <c r="AE181" s="72"/>
      <c r="AF181" s="6"/>
      <c r="AG181" s="73"/>
      <c r="AH181" s="6"/>
      <c r="AI181" s="6"/>
      <c r="AJ181" s="2"/>
      <c r="AL181" s="72"/>
      <c r="AN181" s="73"/>
      <c r="AO181" s="6"/>
      <c r="AQ181" s="2"/>
      <c r="AS181" s="72"/>
      <c r="AU181" s="73"/>
      <c r="AV181" s="6"/>
      <c r="AW181" s="6"/>
      <c r="AX181" s="2"/>
      <c r="AZ181" s="72"/>
      <c r="BB181" s="73"/>
      <c r="BE181" s="2"/>
      <c r="BG181" s="72"/>
      <c r="BH181" s="6"/>
      <c r="BI181" s="73"/>
      <c r="BJ181" s="6"/>
      <c r="BL181" s="2"/>
    </row>
    <row r="182" spans="7:64" x14ac:dyDescent="0.25">
      <c r="G182" s="72"/>
      <c r="H182" s="72"/>
      <c r="I182" s="72"/>
      <c r="S182" s="73"/>
      <c r="V182" s="2"/>
      <c r="X182" s="72"/>
      <c r="Y182" s="6"/>
      <c r="Z182" s="73"/>
      <c r="AB182" s="6"/>
      <c r="AC182" s="2"/>
      <c r="AE182" s="72"/>
      <c r="AF182" s="6"/>
      <c r="AG182" s="73"/>
      <c r="AH182" s="6"/>
      <c r="AI182" s="6"/>
      <c r="AJ182" s="2"/>
      <c r="AL182" s="72"/>
      <c r="AN182" s="73"/>
      <c r="AO182" s="6"/>
      <c r="AQ182" s="2"/>
      <c r="AS182" s="72"/>
      <c r="AU182" s="73"/>
      <c r="AV182" s="6"/>
      <c r="AW182" s="6"/>
      <c r="AX182" s="2"/>
      <c r="AZ182" s="72"/>
      <c r="BB182" s="73"/>
      <c r="BE182" s="2"/>
      <c r="BG182" s="72"/>
      <c r="BH182" s="6"/>
      <c r="BI182" s="73"/>
      <c r="BJ182" s="6"/>
      <c r="BL182" s="2"/>
    </row>
    <row r="183" spans="7:64" x14ac:dyDescent="0.25">
      <c r="G183" s="72"/>
      <c r="H183" s="72"/>
      <c r="I183" s="72"/>
      <c r="S183" s="73"/>
      <c r="V183" s="2"/>
      <c r="X183" s="72"/>
      <c r="Y183" s="6"/>
      <c r="Z183" s="73"/>
      <c r="AB183" s="6"/>
      <c r="AC183" s="2"/>
      <c r="AE183" s="72"/>
      <c r="AF183" s="6"/>
      <c r="AG183" s="73"/>
      <c r="AH183" s="6"/>
      <c r="AI183" s="6"/>
      <c r="AJ183" s="2"/>
      <c r="AL183" s="72"/>
      <c r="AN183" s="73"/>
      <c r="AO183" s="6"/>
      <c r="AQ183" s="2"/>
      <c r="AS183" s="72"/>
      <c r="AU183" s="73"/>
      <c r="AV183" s="6"/>
      <c r="AW183" s="6"/>
      <c r="AX183" s="2"/>
      <c r="AZ183" s="72"/>
      <c r="BB183" s="73"/>
      <c r="BE183" s="2"/>
      <c r="BG183" s="72"/>
      <c r="BH183" s="6"/>
      <c r="BI183" s="73"/>
      <c r="BJ183" s="6"/>
      <c r="BL183" s="2"/>
    </row>
    <row r="184" spans="7:64" x14ac:dyDescent="0.25">
      <c r="G184" s="72"/>
      <c r="H184" s="72"/>
      <c r="I184" s="72"/>
      <c r="S184" s="73"/>
      <c r="V184" s="2"/>
      <c r="X184" s="72"/>
      <c r="Y184" s="6"/>
      <c r="Z184" s="73"/>
      <c r="AB184" s="6"/>
      <c r="AC184" s="2"/>
      <c r="AE184" s="72"/>
      <c r="AF184" s="6"/>
      <c r="AG184" s="73"/>
      <c r="AH184" s="6"/>
      <c r="AI184" s="6"/>
      <c r="AJ184" s="2"/>
      <c r="AL184" s="72"/>
      <c r="AN184" s="73"/>
      <c r="AO184" s="6"/>
      <c r="AQ184" s="2"/>
      <c r="AS184" s="72"/>
      <c r="AU184" s="73"/>
      <c r="AV184" s="6"/>
      <c r="AW184" s="6"/>
      <c r="AX184" s="2"/>
      <c r="AZ184" s="72"/>
      <c r="BB184" s="73"/>
      <c r="BE184" s="2"/>
      <c r="BG184" s="72"/>
      <c r="BH184" s="6"/>
      <c r="BI184" s="73"/>
      <c r="BJ184" s="6"/>
      <c r="BL184" s="2"/>
    </row>
    <row r="185" spans="7:64" x14ac:dyDescent="0.25">
      <c r="G185" s="72"/>
      <c r="H185" s="72"/>
      <c r="I185" s="72"/>
      <c r="S185" s="73"/>
      <c r="V185" s="2"/>
      <c r="X185" s="72"/>
      <c r="Y185" s="6"/>
      <c r="Z185" s="73"/>
      <c r="AB185" s="6"/>
      <c r="AC185" s="2"/>
      <c r="AE185" s="72"/>
      <c r="AF185" s="6"/>
      <c r="AG185" s="73"/>
      <c r="AH185" s="6"/>
      <c r="AI185" s="6"/>
      <c r="AJ185" s="2"/>
      <c r="AL185" s="72"/>
      <c r="AN185" s="73"/>
      <c r="AO185" s="6"/>
      <c r="AQ185" s="2"/>
      <c r="AS185" s="72"/>
      <c r="AU185" s="73"/>
      <c r="AV185" s="6"/>
      <c r="AW185" s="6"/>
      <c r="AX185" s="2"/>
      <c r="AZ185" s="72"/>
      <c r="BB185" s="73"/>
      <c r="BE185" s="2"/>
      <c r="BG185" s="72"/>
      <c r="BH185" s="6"/>
      <c r="BI185" s="73"/>
      <c r="BJ185" s="6"/>
      <c r="BL185" s="2"/>
    </row>
    <row r="186" spans="7:64" x14ac:dyDescent="0.25">
      <c r="G186" s="72"/>
      <c r="H186" s="72"/>
      <c r="I186" s="72"/>
      <c r="S186" s="73"/>
      <c r="V186" s="2"/>
      <c r="X186" s="72"/>
      <c r="Y186" s="6"/>
      <c r="Z186" s="73"/>
      <c r="AB186" s="6"/>
      <c r="AC186" s="2"/>
      <c r="AE186" s="72"/>
      <c r="AF186" s="6"/>
      <c r="AG186" s="73"/>
      <c r="AH186" s="6"/>
      <c r="AI186" s="6"/>
      <c r="AJ186" s="2"/>
      <c r="AL186" s="72"/>
      <c r="AN186" s="73"/>
      <c r="AO186" s="6"/>
      <c r="AQ186" s="2"/>
      <c r="AS186" s="72"/>
      <c r="AU186" s="73"/>
      <c r="AV186" s="6"/>
      <c r="AW186" s="6"/>
      <c r="AX186" s="2"/>
      <c r="AZ186" s="72"/>
      <c r="BB186" s="73"/>
      <c r="BE186" s="2"/>
      <c r="BG186" s="72"/>
      <c r="BH186" s="6"/>
      <c r="BI186" s="73"/>
      <c r="BJ186" s="6"/>
      <c r="BL186" s="2"/>
    </row>
    <row r="187" spans="7:64" x14ac:dyDescent="0.25">
      <c r="G187" s="72"/>
      <c r="H187" s="72"/>
      <c r="I187" s="72"/>
      <c r="S187" s="73"/>
      <c r="V187" s="2"/>
      <c r="X187" s="72"/>
      <c r="Y187" s="6"/>
      <c r="Z187" s="73"/>
      <c r="AB187" s="6"/>
      <c r="AC187" s="2"/>
      <c r="AE187" s="72"/>
      <c r="AF187" s="6"/>
      <c r="AG187" s="73"/>
      <c r="AH187" s="6"/>
      <c r="AI187" s="6"/>
      <c r="AJ187" s="2"/>
      <c r="AL187" s="72"/>
      <c r="AN187" s="73"/>
      <c r="AO187" s="6"/>
      <c r="AQ187" s="2"/>
      <c r="AS187" s="72"/>
      <c r="AU187" s="73"/>
      <c r="AV187" s="6"/>
      <c r="AW187" s="6"/>
      <c r="AX187" s="2"/>
      <c r="AZ187" s="72"/>
      <c r="BB187" s="73"/>
      <c r="BE187" s="2"/>
      <c r="BG187" s="72"/>
      <c r="BH187" s="6"/>
      <c r="BI187" s="73"/>
      <c r="BJ187" s="6"/>
      <c r="BL187" s="2"/>
    </row>
    <row r="188" spans="7:64" x14ac:dyDescent="0.25">
      <c r="G188" s="72"/>
      <c r="H188" s="72"/>
      <c r="I188" s="72"/>
      <c r="S188" s="73"/>
      <c r="V188" s="2"/>
      <c r="X188" s="72"/>
      <c r="Y188" s="6"/>
      <c r="Z188" s="73"/>
      <c r="AB188" s="6"/>
      <c r="AC188" s="2"/>
      <c r="AE188" s="72"/>
      <c r="AF188" s="6"/>
      <c r="AG188" s="73"/>
      <c r="AH188" s="6"/>
      <c r="AI188" s="6"/>
      <c r="AJ188" s="2"/>
      <c r="AL188" s="72"/>
      <c r="AN188" s="73"/>
      <c r="AO188" s="6"/>
      <c r="AQ188" s="2"/>
      <c r="AS188" s="72"/>
      <c r="AU188" s="73"/>
      <c r="AV188" s="6"/>
      <c r="AW188" s="6"/>
      <c r="AX188" s="2"/>
      <c r="AZ188" s="72"/>
      <c r="BB188" s="73"/>
      <c r="BE188" s="2"/>
      <c r="BG188" s="72"/>
      <c r="BH188" s="6"/>
      <c r="BI188" s="73"/>
      <c r="BJ188" s="6"/>
      <c r="BL188" s="2"/>
    </row>
    <row r="189" spans="7:64" x14ac:dyDescent="0.25">
      <c r="G189" s="72"/>
      <c r="H189" s="72"/>
      <c r="I189" s="72"/>
      <c r="S189" s="73"/>
      <c r="V189" s="2"/>
      <c r="X189" s="72"/>
      <c r="Y189" s="6"/>
      <c r="Z189" s="73"/>
      <c r="AB189" s="6"/>
      <c r="AC189" s="2"/>
      <c r="AE189" s="72"/>
      <c r="AF189" s="6"/>
      <c r="AG189" s="73"/>
      <c r="AH189" s="6"/>
      <c r="AI189" s="6"/>
      <c r="AJ189" s="2"/>
      <c r="AL189" s="72"/>
      <c r="AN189" s="73"/>
      <c r="AO189" s="6"/>
      <c r="AQ189" s="2"/>
      <c r="AS189" s="72"/>
      <c r="AU189" s="73"/>
      <c r="AV189" s="6"/>
      <c r="AW189" s="6"/>
      <c r="AX189" s="2"/>
      <c r="AZ189" s="72"/>
      <c r="BB189" s="73"/>
      <c r="BE189" s="2"/>
      <c r="BG189" s="72"/>
      <c r="BH189" s="6"/>
      <c r="BI189" s="73"/>
      <c r="BJ189" s="6"/>
      <c r="BL189" s="2"/>
    </row>
    <row r="190" spans="7:64" x14ac:dyDescent="0.25">
      <c r="G190" s="72"/>
      <c r="H190" s="72"/>
      <c r="I190" s="72"/>
      <c r="S190" s="73"/>
      <c r="V190" s="2"/>
      <c r="X190" s="72"/>
      <c r="Y190" s="6"/>
      <c r="Z190" s="73"/>
      <c r="AB190" s="6"/>
      <c r="AC190" s="2"/>
      <c r="AE190" s="72"/>
      <c r="AF190" s="6"/>
      <c r="AG190" s="73"/>
      <c r="AH190" s="6"/>
      <c r="AI190" s="6"/>
      <c r="AJ190" s="2"/>
      <c r="AL190" s="72"/>
      <c r="AN190" s="73"/>
      <c r="AO190" s="6"/>
      <c r="AQ190" s="2"/>
      <c r="AS190" s="72"/>
      <c r="AU190" s="73"/>
      <c r="AV190" s="6"/>
      <c r="AW190" s="6"/>
      <c r="AX190" s="2"/>
      <c r="AZ190" s="72"/>
      <c r="BB190" s="73"/>
      <c r="BE190" s="2"/>
      <c r="BG190" s="72"/>
      <c r="BH190" s="6"/>
      <c r="BI190" s="73"/>
      <c r="BJ190" s="6"/>
      <c r="BL190" s="2"/>
    </row>
    <row r="191" spans="7:64" x14ac:dyDescent="0.25">
      <c r="G191" s="72"/>
      <c r="H191" s="72"/>
      <c r="I191" s="72"/>
      <c r="S191" s="73"/>
      <c r="V191" s="2"/>
      <c r="X191" s="72"/>
      <c r="Y191" s="6"/>
      <c r="Z191" s="73"/>
      <c r="AB191" s="6"/>
      <c r="AC191" s="2"/>
      <c r="AE191" s="72"/>
      <c r="AF191" s="6"/>
      <c r="AG191" s="73"/>
      <c r="AH191" s="6"/>
      <c r="AI191" s="6"/>
      <c r="AJ191" s="2"/>
      <c r="AL191" s="72"/>
      <c r="AN191" s="73"/>
      <c r="AO191" s="6"/>
      <c r="AQ191" s="2"/>
      <c r="AS191" s="72"/>
      <c r="AU191" s="73"/>
      <c r="AV191" s="6"/>
      <c r="AW191" s="6"/>
      <c r="AX191" s="2"/>
      <c r="AZ191" s="72"/>
      <c r="BB191" s="73"/>
      <c r="BE191" s="2"/>
      <c r="BG191" s="72"/>
      <c r="BH191" s="6"/>
      <c r="BI191" s="73"/>
      <c r="BJ191" s="6"/>
      <c r="BL191" s="2"/>
    </row>
    <row r="192" spans="7:64" x14ac:dyDescent="0.25">
      <c r="G192" s="72"/>
      <c r="H192" s="72"/>
      <c r="I192" s="72"/>
      <c r="S192" s="73"/>
      <c r="V192" s="2"/>
      <c r="X192" s="72"/>
      <c r="Y192" s="6"/>
      <c r="Z192" s="73"/>
      <c r="AB192" s="6"/>
      <c r="AC192" s="2"/>
      <c r="AE192" s="72"/>
      <c r="AF192" s="6"/>
      <c r="AG192" s="73"/>
      <c r="AH192" s="6"/>
      <c r="AI192" s="6"/>
      <c r="AJ192" s="2"/>
      <c r="AL192" s="72"/>
      <c r="AN192" s="73"/>
      <c r="AO192" s="6"/>
      <c r="AQ192" s="2"/>
      <c r="AS192" s="72"/>
      <c r="AU192" s="73"/>
      <c r="AV192" s="6"/>
      <c r="AW192" s="6"/>
      <c r="AX192" s="2"/>
      <c r="AZ192" s="72"/>
      <c r="BB192" s="73"/>
      <c r="BE192" s="2"/>
      <c r="BG192" s="72"/>
      <c r="BH192" s="6"/>
      <c r="BI192" s="73"/>
      <c r="BJ192" s="6"/>
      <c r="BL192" s="2"/>
    </row>
    <row r="193" spans="7:64" x14ac:dyDescent="0.25">
      <c r="G193" s="72"/>
      <c r="H193" s="72"/>
      <c r="I193" s="72"/>
      <c r="S193" s="73"/>
      <c r="V193" s="2"/>
      <c r="X193" s="72"/>
      <c r="Y193" s="6"/>
      <c r="Z193" s="73"/>
      <c r="AB193" s="6"/>
      <c r="AC193" s="2"/>
      <c r="AE193" s="72"/>
      <c r="AF193" s="6"/>
      <c r="AG193" s="73"/>
      <c r="AH193" s="6"/>
      <c r="AI193" s="6"/>
      <c r="AJ193" s="2"/>
      <c r="AL193" s="72"/>
      <c r="AN193" s="73"/>
      <c r="AO193" s="6"/>
      <c r="AQ193" s="2"/>
      <c r="AS193" s="72"/>
      <c r="AU193" s="73"/>
      <c r="AV193" s="6"/>
      <c r="AW193" s="6"/>
      <c r="AX193" s="2"/>
      <c r="AZ193" s="72"/>
      <c r="BB193" s="73"/>
      <c r="BE193" s="2"/>
      <c r="BG193" s="72"/>
      <c r="BH193" s="6"/>
      <c r="BI193" s="73"/>
      <c r="BJ193" s="6"/>
      <c r="BL193" s="2"/>
    </row>
    <row r="194" spans="7:64" x14ac:dyDescent="0.25">
      <c r="G194" s="72"/>
      <c r="H194" s="72"/>
      <c r="I194" s="72"/>
      <c r="S194" s="73"/>
      <c r="V194" s="2"/>
      <c r="X194" s="72"/>
      <c r="Y194" s="6"/>
      <c r="Z194" s="73"/>
      <c r="AB194" s="6"/>
      <c r="AC194" s="2"/>
      <c r="AE194" s="72"/>
      <c r="AF194" s="6"/>
      <c r="AG194" s="73"/>
      <c r="AH194" s="6"/>
      <c r="AI194" s="6"/>
      <c r="AJ194" s="2"/>
      <c r="AL194" s="72"/>
      <c r="AN194" s="73"/>
      <c r="AO194" s="6"/>
      <c r="AQ194" s="2"/>
      <c r="AS194" s="72"/>
      <c r="AU194" s="73"/>
      <c r="AV194" s="6"/>
      <c r="AW194" s="6"/>
      <c r="AX194" s="2"/>
      <c r="AZ194" s="72"/>
      <c r="BB194" s="73"/>
      <c r="BE194" s="2"/>
      <c r="BG194" s="72"/>
      <c r="BH194" s="6"/>
      <c r="BI194" s="73"/>
      <c r="BJ194" s="6"/>
      <c r="BL194" s="2"/>
    </row>
    <row r="195" spans="7:64" x14ac:dyDescent="0.25">
      <c r="G195" s="72"/>
      <c r="H195" s="72"/>
      <c r="I195" s="72"/>
      <c r="S195" s="73"/>
      <c r="V195" s="2"/>
      <c r="X195" s="72"/>
      <c r="Y195" s="6"/>
      <c r="Z195" s="73"/>
      <c r="AB195" s="6"/>
      <c r="AC195" s="2"/>
      <c r="AE195" s="72"/>
      <c r="AF195" s="6"/>
      <c r="AG195" s="73"/>
      <c r="AH195" s="6"/>
      <c r="AI195" s="6"/>
      <c r="AJ195" s="2"/>
      <c r="AL195" s="72"/>
      <c r="AN195" s="73"/>
      <c r="AO195" s="6"/>
      <c r="AQ195" s="2"/>
      <c r="AS195" s="72"/>
      <c r="AU195" s="73"/>
      <c r="AV195" s="6"/>
      <c r="AW195" s="6"/>
      <c r="AX195" s="2"/>
      <c r="AZ195" s="72"/>
      <c r="BB195" s="73"/>
      <c r="BE195" s="2"/>
      <c r="BG195" s="72"/>
      <c r="BH195" s="6"/>
      <c r="BI195" s="73"/>
      <c r="BJ195" s="6"/>
      <c r="BL195" s="2"/>
    </row>
    <row r="196" spans="7:64" x14ac:dyDescent="0.25">
      <c r="G196" s="72"/>
      <c r="H196" s="72"/>
      <c r="I196" s="72"/>
      <c r="S196" s="73"/>
      <c r="V196" s="2"/>
      <c r="X196" s="72"/>
      <c r="Y196" s="6"/>
      <c r="Z196" s="73"/>
      <c r="AB196" s="6"/>
      <c r="AC196" s="2"/>
      <c r="AE196" s="72"/>
      <c r="AF196" s="6"/>
      <c r="AG196" s="73"/>
      <c r="AH196" s="6"/>
      <c r="AI196" s="6"/>
      <c r="AJ196" s="2"/>
      <c r="AL196" s="72"/>
      <c r="AN196" s="73"/>
      <c r="AO196" s="6"/>
      <c r="AQ196" s="2"/>
      <c r="AS196" s="72"/>
      <c r="AU196" s="73"/>
      <c r="AV196" s="6"/>
      <c r="AW196" s="6"/>
      <c r="AX196" s="2"/>
      <c r="AZ196" s="72"/>
      <c r="BB196" s="73"/>
      <c r="BE196" s="2"/>
      <c r="BG196" s="72"/>
      <c r="BH196" s="6"/>
      <c r="BI196" s="73"/>
      <c r="BJ196" s="6"/>
      <c r="BL196" s="2"/>
    </row>
    <row r="197" spans="7:64" x14ac:dyDescent="0.25">
      <c r="G197" s="72"/>
      <c r="H197" s="72"/>
      <c r="I197" s="72"/>
      <c r="S197" s="73"/>
      <c r="V197" s="2"/>
      <c r="X197" s="72"/>
      <c r="Y197" s="6"/>
      <c r="Z197" s="73"/>
      <c r="AB197" s="6"/>
      <c r="AC197" s="2"/>
      <c r="AE197" s="72"/>
      <c r="AF197" s="6"/>
      <c r="AG197" s="73"/>
      <c r="AH197" s="6"/>
      <c r="AI197" s="6"/>
      <c r="AJ197" s="2"/>
      <c r="AL197" s="72"/>
      <c r="AN197" s="73"/>
      <c r="AO197" s="6"/>
      <c r="AQ197" s="2"/>
      <c r="AS197" s="72"/>
      <c r="AU197" s="73"/>
      <c r="AV197" s="6"/>
      <c r="AW197" s="6"/>
      <c r="AX197" s="2"/>
      <c r="AZ197" s="72"/>
      <c r="BB197" s="73"/>
      <c r="BE197" s="2"/>
      <c r="BG197" s="72"/>
      <c r="BH197" s="6"/>
      <c r="BI197" s="73"/>
      <c r="BJ197" s="6"/>
      <c r="BL197" s="2"/>
    </row>
    <row r="198" spans="7:64" x14ac:dyDescent="0.25">
      <c r="G198" s="72"/>
      <c r="H198" s="72"/>
      <c r="I198" s="72"/>
      <c r="S198" s="73"/>
      <c r="V198" s="2"/>
      <c r="X198" s="72"/>
      <c r="Y198" s="6"/>
      <c r="Z198" s="73"/>
      <c r="AB198" s="6"/>
      <c r="AC198" s="2"/>
      <c r="AE198" s="72"/>
      <c r="AF198" s="6"/>
      <c r="AG198" s="73"/>
      <c r="AH198" s="6"/>
      <c r="AI198" s="6"/>
      <c r="AJ198" s="2"/>
      <c r="AL198" s="72"/>
      <c r="AN198" s="73"/>
      <c r="AO198" s="6"/>
      <c r="AQ198" s="2"/>
      <c r="AS198" s="72"/>
      <c r="AU198" s="73"/>
      <c r="AV198" s="6"/>
      <c r="AW198" s="6"/>
      <c r="AX198" s="2"/>
      <c r="AZ198" s="72"/>
      <c r="BB198" s="73"/>
      <c r="BE198" s="2"/>
      <c r="BG198" s="72"/>
      <c r="BH198" s="6"/>
      <c r="BI198" s="73"/>
      <c r="BJ198" s="6"/>
      <c r="BL198" s="2"/>
    </row>
    <row r="199" spans="7:64" x14ac:dyDescent="0.25">
      <c r="G199" s="72"/>
      <c r="H199" s="72"/>
      <c r="I199" s="72"/>
      <c r="S199" s="73"/>
      <c r="V199" s="2"/>
      <c r="X199" s="72"/>
      <c r="Y199" s="6"/>
      <c r="Z199" s="73"/>
      <c r="AB199" s="6"/>
      <c r="AC199" s="2"/>
      <c r="AE199" s="72"/>
      <c r="AF199" s="6"/>
      <c r="AG199" s="73"/>
      <c r="AH199" s="6"/>
      <c r="AI199" s="6"/>
      <c r="AJ199" s="2"/>
      <c r="AL199" s="72"/>
      <c r="AN199" s="73"/>
      <c r="AO199" s="6"/>
      <c r="AQ199" s="2"/>
      <c r="AS199" s="72"/>
      <c r="AU199" s="73"/>
      <c r="AV199" s="6"/>
      <c r="AW199" s="6"/>
      <c r="AX199" s="2"/>
      <c r="AZ199" s="72"/>
      <c r="BB199" s="73"/>
      <c r="BE199" s="2"/>
      <c r="BG199" s="72"/>
      <c r="BH199" s="6"/>
      <c r="BI199" s="73"/>
      <c r="BJ199" s="6"/>
      <c r="BL199" s="2"/>
    </row>
    <row r="200" spans="7:64" x14ac:dyDescent="0.25">
      <c r="G200" s="72"/>
      <c r="H200" s="72"/>
      <c r="I200" s="72"/>
      <c r="S200" s="73"/>
      <c r="V200" s="2"/>
      <c r="X200" s="72"/>
      <c r="Y200" s="6"/>
      <c r="Z200" s="73"/>
      <c r="AB200" s="6"/>
      <c r="AC200" s="2"/>
      <c r="AE200" s="72"/>
      <c r="AF200" s="6"/>
      <c r="AG200" s="73"/>
      <c r="AH200" s="6"/>
      <c r="AI200" s="6"/>
      <c r="AJ200" s="2"/>
      <c r="AL200" s="72"/>
      <c r="AN200" s="73"/>
      <c r="AO200" s="6"/>
      <c r="AQ200" s="2"/>
      <c r="AS200" s="72"/>
      <c r="AU200" s="73"/>
      <c r="AV200" s="6"/>
      <c r="AW200" s="6"/>
      <c r="AX200" s="2"/>
      <c r="AZ200" s="72"/>
      <c r="BB200" s="73"/>
      <c r="BE200" s="2"/>
      <c r="BG200" s="72"/>
      <c r="BH200" s="6"/>
      <c r="BI200" s="73"/>
      <c r="BJ200" s="6"/>
      <c r="BL200" s="2"/>
    </row>
    <row r="201" spans="7:64" x14ac:dyDescent="0.25">
      <c r="G201" s="72"/>
      <c r="H201" s="72"/>
      <c r="I201" s="72"/>
      <c r="S201" s="73"/>
      <c r="V201" s="2"/>
      <c r="X201" s="72"/>
      <c r="Y201" s="6"/>
      <c r="Z201" s="73"/>
      <c r="AB201" s="6"/>
      <c r="AC201" s="2"/>
      <c r="AE201" s="72"/>
      <c r="AF201" s="6"/>
      <c r="AG201" s="73"/>
      <c r="AH201" s="6"/>
      <c r="AI201" s="6"/>
      <c r="AJ201" s="2"/>
      <c r="AL201" s="72"/>
      <c r="AN201" s="73"/>
      <c r="AO201" s="6"/>
      <c r="AQ201" s="2"/>
      <c r="AS201" s="72"/>
      <c r="AU201" s="73"/>
      <c r="AV201" s="6"/>
      <c r="AW201" s="6"/>
      <c r="AX201" s="2"/>
      <c r="AZ201" s="72"/>
      <c r="BB201" s="73"/>
      <c r="BE201" s="2"/>
      <c r="BG201" s="72"/>
      <c r="BH201" s="6"/>
      <c r="BI201" s="73"/>
      <c r="BJ201" s="6"/>
      <c r="BL201" s="2"/>
    </row>
    <row r="202" spans="7:64" x14ac:dyDescent="0.25">
      <c r="G202" s="72"/>
      <c r="H202" s="72"/>
      <c r="I202" s="72"/>
      <c r="S202" s="73"/>
      <c r="V202" s="2"/>
      <c r="X202" s="72"/>
      <c r="Y202" s="6"/>
      <c r="Z202" s="73"/>
      <c r="AB202" s="6"/>
      <c r="AC202" s="2"/>
      <c r="AE202" s="72"/>
      <c r="AF202" s="6"/>
      <c r="AG202" s="73"/>
      <c r="AH202" s="6"/>
      <c r="AI202" s="6"/>
      <c r="AJ202" s="2"/>
      <c r="AL202" s="72"/>
      <c r="AN202" s="73"/>
      <c r="AO202" s="6"/>
      <c r="AQ202" s="2"/>
      <c r="AS202" s="72"/>
      <c r="AU202" s="73"/>
      <c r="AV202" s="6"/>
      <c r="AW202" s="6"/>
      <c r="AX202" s="2"/>
      <c r="AZ202" s="72"/>
      <c r="BB202" s="73"/>
      <c r="BE202" s="2"/>
      <c r="BG202" s="72"/>
      <c r="BH202" s="6"/>
      <c r="BI202" s="73"/>
      <c r="BJ202" s="6"/>
      <c r="BL202" s="2"/>
    </row>
    <row r="203" spans="7:64" x14ac:dyDescent="0.25">
      <c r="G203" s="72"/>
      <c r="H203" s="72"/>
      <c r="I203" s="72"/>
      <c r="S203" s="73"/>
      <c r="V203" s="2"/>
      <c r="X203" s="72"/>
      <c r="Y203" s="6"/>
      <c r="Z203" s="73"/>
      <c r="AB203" s="6"/>
      <c r="AC203" s="2"/>
      <c r="AE203" s="72"/>
      <c r="AF203" s="6"/>
      <c r="AG203" s="73"/>
      <c r="AH203" s="6"/>
      <c r="AI203" s="6"/>
      <c r="AJ203" s="2"/>
      <c r="AL203" s="72"/>
      <c r="AN203" s="73"/>
      <c r="AO203" s="6"/>
      <c r="AQ203" s="2"/>
      <c r="AS203" s="72"/>
      <c r="AU203" s="73"/>
      <c r="AV203" s="6"/>
      <c r="AW203" s="6"/>
      <c r="AX203" s="2"/>
      <c r="AZ203" s="72"/>
      <c r="BB203" s="73"/>
      <c r="BE203" s="2"/>
      <c r="BG203" s="72"/>
      <c r="BH203" s="6"/>
      <c r="BI203" s="73"/>
      <c r="BJ203" s="6"/>
      <c r="BL203" s="2"/>
    </row>
    <row r="204" spans="7:64" x14ac:dyDescent="0.25">
      <c r="G204" s="72"/>
      <c r="H204" s="72"/>
      <c r="I204" s="72"/>
      <c r="S204" s="73"/>
      <c r="V204" s="2"/>
      <c r="X204" s="72"/>
      <c r="Y204" s="6"/>
      <c r="Z204" s="73"/>
      <c r="AB204" s="6"/>
      <c r="AC204" s="2"/>
      <c r="AE204" s="72"/>
      <c r="AF204" s="6"/>
      <c r="AG204" s="73"/>
      <c r="AH204" s="6"/>
      <c r="AI204" s="6"/>
      <c r="AJ204" s="2"/>
      <c r="AL204" s="72"/>
      <c r="AN204" s="73"/>
      <c r="AO204" s="6"/>
      <c r="AQ204" s="2"/>
      <c r="AS204" s="72"/>
      <c r="AU204" s="73"/>
      <c r="AV204" s="6"/>
      <c r="AW204" s="6"/>
      <c r="AX204" s="2"/>
      <c r="AZ204" s="72"/>
      <c r="BB204" s="73"/>
      <c r="BE204" s="2"/>
      <c r="BG204" s="72"/>
      <c r="BH204" s="6"/>
      <c r="BI204" s="73"/>
      <c r="BJ204" s="6"/>
      <c r="BL204" s="2"/>
    </row>
    <row r="205" spans="7:64" x14ac:dyDescent="0.25">
      <c r="G205" s="72"/>
      <c r="H205" s="72"/>
      <c r="I205" s="72"/>
      <c r="S205" s="73"/>
      <c r="V205" s="2"/>
      <c r="X205" s="72"/>
      <c r="Y205" s="6"/>
      <c r="Z205" s="73"/>
      <c r="AB205" s="6"/>
      <c r="AC205" s="2"/>
      <c r="AE205" s="72"/>
      <c r="AF205" s="6"/>
      <c r="AG205" s="73"/>
      <c r="AH205" s="6"/>
      <c r="AI205" s="6"/>
      <c r="AJ205" s="2"/>
      <c r="AL205" s="72"/>
      <c r="AN205" s="73"/>
      <c r="AO205" s="6"/>
      <c r="AQ205" s="2"/>
      <c r="AS205" s="72"/>
      <c r="AU205" s="73"/>
      <c r="AV205" s="6"/>
      <c r="AW205" s="6"/>
      <c r="AX205" s="2"/>
      <c r="AZ205" s="72"/>
      <c r="BB205" s="73"/>
      <c r="BE205" s="2"/>
      <c r="BG205" s="72"/>
      <c r="BH205" s="6"/>
      <c r="BI205" s="73"/>
      <c r="BJ205" s="6"/>
      <c r="BL205" s="2"/>
    </row>
    <row r="206" spans="7:64" x14ac:dyDescent="0.25">
      <c r="G206" s="72"/>
      <c r="H206" s="72"/>
      <c r="I206" s="72"/>
      <c r="S206" s="73"/>
      <c r="V206" s="2"/>
      <c r="X206" s="72"/>
      <c r="Y206" s="6"/>
      <c r="Z206" s="73"/>
      <c r="AB206" s="6"/>
      <c r="AC206" s="2"/>
      <c r="AE206" s="72"/>
      <c r="AF206" s="6"/>
      <c r="AG206" s="73"/>
      <c r="AH206" s="6"/>
      <c r="AI206" s="6"/>
      <c r="AJ206" s="2"/>
      <c r="AL206" s="72"/>
      <c r="AN206" s="73"/>
      <c r="AO206" s="6"/>
      <c r="AQ206" s="2"/>
      <c r="AS206" s="72"/>
      <c r="AU206" s="73"/>
      <c r="AV206" s="6"/>
      <c r="AW206" s="6"/>
      <c r="AX206" s="2"/>
      <c r="AZ206" s="72"/>
      <c r="BB206" s="73"/>
      <c r="BE206" s="2"/>
      <c r="BG206" s="72"/>
      <c r="BH206" s="6"/>
      <c r="BI206" s="73"/>
      <c r="BJ206" s="6"/>
      <c r="BL206" s="2"/>
    </row>
    <row r="207" spans="7:64" x14ac:dyDescent="0.25">
      <c r="G207" s="72"/>
      <c r="H207" s="72"/>
      <c r="I207" s="72"/>
      <c r="S207" s="73"/>
      <c r="V207" s="2"/>
      <c r="X207" s="72"/>
      <c r="Y207" s="6"/>
      <c r="Z207" s="73"/>
      <c r="AB207" s="6"/>
      <c r="AC207" s="2"/>
      <c r="AE207" s="72"/>
      <c r="AF207" s="6"/>
      <c r="AG207" s="73"/>
      <c r="AH207" s="6"/>
      <c r="AI207" s="6"/>
      <c r="AJ207" s="2"/>
      <c r="AL207" s="72"/>
      <c r="AN207" s="73"/>
      <c r="AO207" s="6"/>
      <c r="AQ207" s="2"/>
      <c r="AS207" s="72"/>
      <c r="AU207" s="73"/>
      <c r="AV207" s="6"/>
      <c r="AW207" s="6"/>
      <c r="AX207" s="2"/>
      <c r="AZ207" s="72"/>
      <c r="BB207" s="73"/>
      <c r="BE207" s="2"/>
      <c r="BG207" s="72"/>
      <c r="BH207" s="6"/>
      <c r="BI207" s="73"/>
      <c r="BJ207" s="6"/>
      <c r="BL207" s="2"/>
    </row>
    <row r="208" spans="7:64" x14ac:dyDescent="0.25">
      <c r="G208" s="72"/>
      <c r="H208" s="72"/>
      <c r="I208" s="72"/>
      <c r="S208" s="73"/>
      <c r="V208" s="2"/>
      <c r="X208" s="72"/>
      <c r="Y208" s="6"/>
      <c r="Z208" s="73"/>
      <c r="AB208" s="6"/>
      <c r="AC208" s="2"/>
      <c r="AE208" s="72"/>
      <c r="AF208" s="6"/>
      <c r="AG208" s="73"/>
      <c r="AH208" s="6"/>
      <c r="AI208" s="6"/>
      <c r="AJ208" s="2"/>
      <c r="AL208" s="72"/>
      <c r="AN208" s="73"/>
      <c r="AO208" s="6"/>
      <c r="AQ208" s="2"/>
      <c r="AS208" s="72"/>
      <c r="AU208" s="73"/>
      <c r="AV208" s="6"/>
      <c r="AW208" s="6"/>
      <c r="AX208" s="2"/>
      <c r="AZ208" s="72"/>
      <c r="BB208" s="73"/>
      <c r="BE208" s="2"/>
      <c r="BG208" s="72"/>
      <c r="BH208" s="6"/>
      <c r="BI208" s="73"/>
      <c r="BJ208" s="6"/>
      <c r="BL208" s="2"/>
    </row>
    <row r="209" spans="7:64" x14ac:dyDescent="0.25">
      <c r="G209" s="72"/>
      <c r="H209" s="72"/>
      <c r="I209" s="72"/>
      <c r="S209" s="73"/>
      <c r="V209" s="2"/>
      <c r="X209" s="72"/>
      <c r="Y209" s="6"/>
      <c r="Z209" s="73"/>
      <c r="AB209" s="6"/>
      <c r="AC209" s="2"/>
      <c r="AE209" s="72"/>
      <c r="AF209" s="6"/>
      <c r="AG209" s="73"/>
      <c r="AH209" s="6"/>
      <c r="AI209" s="6"/>
      <c r="AJ209" s="2"/>
      <c r="AL209" s="72"/>
      <c r="AN209" s="73"/>
      <c r="AO209" s="6"/>
      <c r="AQ209" s="2"/>
      <c r="AS209" s="72"/>
      <c r="AU209" s="73"/>
      <c r="AV209" s="6"/>
      <c r="AW209" s="6"/>
      <c r="AX209" s="2"/>
      <c r="AZ209" s="72"/>
      <c r="BB209" s="73"/>
      <c r="BE209" s="2"/>
      <c r="BG209" s="72"/>
      <c r="BH209" s="6"/>
      <c r="BI209" s="73"/>
      <c r="BJ209" s="6"/>
      <c r="BL209" s="2"/>
    </row>
    <row r="210" spans="7:64" x14ac:dyDescent="0.25">
      <c r="G210" s="72"/>
      <c r="H210" s="72"/>
      <c r="I210" s="72"/>
      <c r="S210" s="73"/>
      <c r="V210" s="2"/>
      <c r="X210" s="72"/>
      <c r="Y210" s="6"/>
      <c r="Z210" s="73"/>
      <c r="AB210" s="6"/>
      <c r="AC210" s="2"/>
      <c r="AE210" s="72"/>
      <c r="AF210" s="6"/>
      <c r="AG210" s="73"/>
      <c r="AH210" s="6"/>
      <c r="AI210" s="6"/>
      <c r="AJ210" s="2"/>
      <c r="AL210" s="72"/>
      <c r="AN210" s="73"/>
      <c r="AO210" s="6"/>
      <c r="AQ210" s="2"/>
      <c r="AS210" s="72"/>
      <c r="AU210" s="73"/>
      <c r="AV210" s="6"/>
      <c r="AW210" s="6"/>
      <c r="AX210" s="2"/>
      <c r="AZ210" s="72"/>
      <c r="BB210" s="73"/>
      <c r="BE210" s="2"/>
      <c r="BG210" s="72"/>
      <c r="BH210" s="6"/>
      <c r="BI210" s="73"/>
      <c r="BJ210" s="6"/>
      <c r="BL210" s="2"/>
    </row>
    <row r="211" spans="7:64" x14ac:dyDescent="0.25">
      <c r="G211" s="72"/>
      <c r="H211" s="72"/>
      <c r="I211" s="72"/>
      <c r="S211" s="73"/>
      <c r="V211" s="2"/>
      <c r="X211" s="72"/>
      <c r="Y211" s="6"/>
      <c r="Z211" s="73"/>
      <c r="AB211" s="6"/>
      <c r="AC211" s="2"/>
      <c r="AE211" s="72"/>
      <c r="AF211" s="6"/>
      <c r="AG211" s="73"/>
      <c r="AH211" s="6"/>
      <c r="AI211" s="6"/>
      <c r="AJ211" s="2"/>
      <c r="AL211" s="72"/>
      <c r="AN211" s="73"/>
      <c r="AO211" s="6"/>
      <c r="AQ211" s="2"/>
      <c r="AS211" s="72"/>
      <c r="AU211" s="73"/>
      <c r="AV211" s="6"/>
      <c r="AW211" s="6"/>
      <c r="AX211" s="2"/>
      <c r="AZ211" s="72"/>
      <c r="BB211" s="73"/>
      <c r="BE211" s="2"/>
      <c r="BG211" s="72"/>
      <c r="BH211" s="6"/>
      <c r="BI211" s="73"/>
      <c r="BJ211" s="6"/>
      <c r="BL211" s="2"/>
    </row>
    <row r="212" spans="7:64" x14ac:dyDescent="0.25">
      <c r="G212" s="72"/>
      <c r="H212" s="72"/>
      <c r="I212" s="72"/>
      <c r="S212" s="73"/>
      <c r="V212" s="2"/>
      <c r="X212" s="72"/>
      <c r="Y212" s="6"/>
      <c r="Z212" s="73"/>
      <c r="AB212" s="6"/>
      <c r="AC212" s="2"/>
      <c r="AE212" s="72"/>
      <c r="AF212" s="6"/>
      <c r="AG212" s="73"/>
      <c r="AH212" s="6"/>
      <c r="AI212" s="6"/>
      <c r="AJ212" s="2"/>
      <c r="AL212" s="72"/>
      <c r="AN212" s="73"/>
      <c r="AO212" s="6"/>
      <c r="AQ212" s="2"/>
      <c r="AS212" s="72"/>
      <c r="AU212" s="73"/>
      <c r="AV212" s="6"/>
      <c r="AW212" s="6"/>
      <c r="AX212" s="2"/>
      <c r="AZ212" s="72"/>
      <c r="BB212" s="73"/>
      <c r="BE212" s="2"/>
      <c r="BG212" s="72"/>
      <c r="BH212" s="6"/>
      <c r="BI212" s="73"/>
      <c r="BJ212" s="6"/>
      <c r="BL212" s="2"/>
    </row>
    <row r="213" spans="7:64" x14ac:dyDescent="0.25">
      <c r="G213" s="72"/>
      <c r="H213" s="72"/>
      <c r="I213" s="72"/>
      <c r="S213" s="73"/>
      <c r="V213" s="2"/>
      <c r="X213" s="72"/>
      <c r="Y213" s="6"/>
      <c r="Z213" s="73"/>
      <c r="AB213" s="6"/>
      <c r="AC213" s="2"/>
      <c r="AE213" s="72"/>
      <c r="AF213" s="6"/>
      <c r="AG213" s="73"/>
      <c r="AH213" s="6"/>
      <c r="AI213" s="6"/>
      <c r="AJ213" s="2"/>
      <c r="AL213" s="72"/>
      <c r="AN213" s="73"/>
      <c r="AO213" s="6"/>
      <c r="AQ213" s="2"/>
      <c r="AS213" s="72"/>
      <c r="AU213" s="73"/>
      <c r="AV213" s="6"/>
      <c r="AW213" s="6"/>
      <c r="AX213" s="2"/>
      <c r="AZ213" s="72"/>
      <c r="BB213" s="73"/>
      <c r="BE213" s="2"/>
      <c r="BG213" s="72"/>
      <c r="BH213" s="6"/>
      <c r="BI213" s="73"/>
      <c r="BJ213" s="6"/>
      <c r="BL213" s="2"/>
    </row>
    <row r="214" spans="7:64" x14ac:dyDescent="0.25">
      <c r="G214" s="72"/>
      <c r="H214" s="72"/>
      <c r="I214" s="72"/>
      <c r="S214" s="73"/>
      <c r="V214" s="2"/>
      <c r="X214" s="72"/>
      <c r="Y214" s="6"/>
      <c r="Z214" s="73"/>
      <c r="AB214" s="6"/>
      <c r="AC214" s="2"/>
      <c r="AE214" s="72"/>
      <c r="AF214" s="6"/>
      <c r="AG214" s="73"/>
      <c r="AH214" s="6"/>
      <c r="AI214" s="6"/>
      <c r="AJ214" s="2"/>
      <c r="AL214" s="72"/>
      <c r="AN214" s="73"/>
      <c r="AO214" s="6"/>
      <c r="AQ214" s="2"/>
      <c r="AS214" s="72"/>
      <c r="AU214" s="73"/>
      <c r="AV214" s="6"/>
      <c r="AW214" s="6"/>
      <c r="AX214" s="2"/>
      <c r="AZ214" s="72"/>
      <c r="BB214" s="73"/>
      <c r="BE214" s="2"/>
      <c r="BG214" s="72"/>
      <c r="BH214" s="6"/>
      <c r="BI214" s="73"/>
      <c r="BJ214" s="6"/>
      <c r="BL214" s="2"/>
    </row>
    <row r="215" spans="7:64" x14ac:dyDescent="0.25">
      <c r="G215" s="72"/>
      <c r="H215" s="72"/>
      <c r="I215" s="72"/>
      <c r="S215" s="73"/>
      <c r="V215" s="2"/>
      <c r="X215" s="72"/>
      <c r="Y215" s="6"/>
      <c r="Z215" s="73"/>
      <c r="AB215" s="6"/>
      <c r="AC215" s="2"/>
      <c r="AE215" s="72"/>
      <c r="AF215" s="6"/>
      <c r="AG215" s="73"/>
      <c r="AH215" s="6"/>
      <c r="AI215" s="6"/>
      <c r="AJ215" s="2"/>
      <c r="AL215" s="72"/>
      <c r="AN215" s="73"/>
      <c r="AO215" s="6"/>
      <c r="AQ215" s="2"/>
      <c r="AS215" s="72"/>
      <c r="AU215" s="73"/>
      <c r="AV215" s="6"/>
      <c r="AW215" s="6"/>
      <c r="AX215" s="2"/>
      <c r="AZ215" s="72"/>
      <c r="BB215" s="73"/>
      <c r="BE215" s="2"/>
      <c r="BG215" s="72"/>
      <c r="BH215" s="6"/>
      <c r="BI215" s="73"/>
      <c r="BJ215" s="6"/>
      <c r="BL215" s="2"/>
    </row>
    <row r="216" spans="7:64" x14ac:dyDescent="0.25">
      <c r="G216" s="72"/>
      <c r="H216" s="72"/>
      <c r="I216" s="72"/>
      <c r="S216" s="73"/>
      <c r="V216" s="2"/>
      <c r="X216" s="72"/>
      <c r="Y216" s="6"/>
      <c r="Z216" s="73"/>
      <c r="AB216" s="6"/>
      <c r="AC216" s="2"/>
      <c r="AE216" s="72"/>
      <c r="AF216" s="6"/>
      <c r="AG216" s="73"/>
      <c r="AH216" s="6"/>
      <c r="AI216" s="6"/>
      <c r="AJ216" s="2"/>
      <c r="AL216" s="72"/>
      <c r="AN216" s="73"/>
      <c r="AO216" s="6"/>
      <c r="AQ216" s="2"/>
      <c r="AS216" s="72"/>
      <c r="AU216" s="73"/>
      <c r="AV216" s="6"/>
      <c r="AW216" s="6"/>
      <c r="AX216" s="2"/>
      <c r="AZ216" s="72"/>
      <c r="BB216" s="73"/>
      <c r="BE216" s="2"/>
      <c r="BG216" s="72"/>
      <c r="BH216" s="6"/>
      <c r="BI216" s="73"/>
      <c r="BJ216" s="6"/>
      <c r="BL216" s="2"/>
    </row>
    <row r="217" spans="7:64" x14ac:dyDescent="0.25">
      <c r="G217" s="72"/>
      <c r="H217" s="72"/>
      <c r="I217" s="72"/>
      <c r="S217" s="73"/>
      <c r="V217" s="2"/>
      <c r="X217" s="72"/>
      <c r="Y217" s="6"/>
      <c r="Z217" s="73"/>
      <c r="AB217" s="6"/>
      <c r="AC217" s="2"/>
      <c r="AE217" s="72"/>
      <c r="AF217" s="6"/>
      <c r="AG217" s="73"/>
      <c r="AH217" s="6"/>
      <c r="AI217" s="6"/>
      <c r="AJ217" s="2"/>
      <c r="AL217" s="72"/>
      <c r="AN217" s="73"/>
      <c r="AO217" s="6"/>
      <c r="AQ217" s="2"/>
      <c r="AS217" s="72"/>
      <c r="AU217" s="73"/>
      <c r="AV217" s="6"/>
      <c r="AW217" s="6"/>
      <c r="AX217" s="2"/>
      <c r="AZ217" s="72"/>
      <c r="BB217" s="73"/>
      <c r="BE217" s="2"/>
      <c r="BG217" s="72"/>
      <c r="BH217" s="6"/>
      <c r="BI217" s="73"/>
      <c r="BJ217" s="6"/>
      <c r="BL217" s="2"/>
    </row>
    <row r="218" spans="7:64" x14ac:dyDescent="0.25">
      <c r="G218" s="72"/>
      <c r="H218" s="72"/>
      <c r="I218" s="72"/>
      <c r="S218" s="73"/>
      <c r="V218" s="2"/>
      <c r="X218" s="72"/>
      <c r="Y218" s="6"/>
      <c r="Z218" s="73"/>
      <c r="AB218" s="6"/>
      <c r="AC218" s="2"/>
      <c r="AE218" s="72"/>
      <c r="AF218" s="6"/>
      <c r="AG218" s="73"/>
      <c r="AH218" s="6"/>
      <c r="AI218" s="6"/>
      <c r="AJ218" s="2"/>
      <c r="AL218" s="72"/>
      <c r="AN218" s="73"/>
      <c r="AO218" s="6"/>
      <c r="AQ218" s="2"/>
      <c r="AS218" s="72"/>
      <c r="AU218" s="73"/>
      <c r="AV218" s="6"/>
      <c r="AW218" s="6"/>
      <c r="AX218" s="2"/>
      <c r="AZ218" s="72"/>
      <c r="BB218" s="73"/>
      <c r="BE218" s="2"/>
      <c r="BG218" s="72"/>
      <c r="BH218" s="6"/>
      <c r="BI218" s="73"/>
      <c r="BJ218" s="6"/>
      <c r="BL218" s="2"/>
    </row>
    <row r="219" spans="7:64" x14ac:dyDescent="0.25">
      <c r="G219" s="72"/>
      <c r="H219" s="72"/>
      <c r="I219" s="72"/>
      <c r="S219" s="73"/>
      <c r="V219" s="2"/>
      <c r="X219" s="72"/>
      <c r="Y219" s="6"/>
      <c r="Z219" s="73"/>
      <c r="AB219" s="6"/>
      <c r="AC219" s="2"/>
      <c r="AE219" s="72"/>
      <c r="AF219" s="6"/>
      <c r="AG219" s="73"/>
      <c r="AH219" s="6"/>
      <c r="AI219" s="6"/>
      <c r="AJ219" s="2"/>
      <c r="AL219" s="72"/>
      <c r="AN219" s="73"/>
      <c r="AO219" s="6"/>
      <c r="AQ219" s="2"/>
      <c r="AS219" s="72"/>
      <c r="AU219" s="73"/>
      <c r="AV219" s="6"/>
      <c r="AW219" s="6"/>
      <c r="AX219" s="2"/>
      <c r="AZ219" s="72"/>
      <c r="BB219" s="73"/>
      <c r="BE219" s="2"/>
      <c r="BG219" s="72"/>
      <c r="BH219" s="6"/>
      <c r="BI219" s="73"/>
      <c r="BJ219" s="6"/>
      <c r="BL219" s="2"/>
    </row>
    <row r="220" spans="7:64" x14ac:dyDescent="0.25">
      <c r="G220" s="72"/>
      <c r="H220" s="72"/>
      <c r="I220" s="72"/>
      <c r="S220" s="73"/>
      <c r="V220" s="2"/>
      <c r="X220" s="72"/>
      <c r="Y220" s="6"/>
      <c r="Z220" s="73"/>
      <c r="AB220" s="6"/>
      <c r="AC220" s="2"/>
      <c r="AE220" s="72"/>
      <c r="AF220" s="6"/>
      <c r="AG220" s="73"/>
      <c r="AH220" s="6"/>
      <c r="AI220" s="6"/>
      <c r="AJ220" s="2"/>
      <c r="AL220" s="72"/>
      <c r="AN220" s="73"/>
      <c r="AO220" s="6"/>
      <c r="AQ220" s="2"/>
      <c r="AS220" s="72"/>
      <c r="AU220" s="73"/>
      <c r="AV220" s="6"/>
      <c r="AW220" s="6"/>
      <c r="AX220" s="2"/>
      <c r="AZ220" s="72"/>
      <c r="BB220" s="73"/>
      <c r="BE220" s="2"/>
      <c r="BG220" s="72"/>
      <c r="BH220" s="6"/>
      <c r="BI220" s="73"/>
      <c r="BJ220" s="6"/>
      <c r="BL220" s="2"/>
    </row>
    <row r="221" spans="7:64" x14ac:dyDescent="0.25">
      <c r="G221" s="72"/>
      <c r="H221" s="72"/>
      <c r="I221" s="72"/>
      <c r="S221" s="73"/>
      <c r="V221" s="2"/>
      <c r="X221" s="72"/>
      <c r="Y221" s="6"/>
      <c r="Z221" s="73"/>
      <c r="AB221" s="6"/>
      <c r="AC221" s="2"/>
      <c r="AE221" s="72"/>
      <c r="AF221" s="6"/>
      <c r="AG221" s="73"/>
      <c r="AH221" s="6"/>
      <c r="AI221" s="6"/>
      <c r="AJ221" s="2"/>
      <c r="AL221" s="72"/>
      <c r="AN221" s="73"/>
      <c r="AO221" s="6"/>
      <c r="AQ221" s="2"/>
      <c r="AS221" s="72"/>
      <c r="AU221" s="73"/>
      <c r="AV221" s="6"/>
      <c r="AW221" s="6"/>
      <c r="AX221" s="2"/>
      <c r="AZ221" s="72"/>
      <c r="BB221" s="73"/>
      <c r="BE221" s="2"/>
      <c r="BG221" s="72"/>
      <c r="BH221" s="6"/>
      <c r="BI221" s="73"/>
      <c r="BJ221" s="6"/>
      <c r="BL221" s="2"/>
    </row>
    <row r="222" spans="7:64" x14ac:dyDescent="0.25">
      <c r="G222" s="72"/>
      <c r="H222" s="72"/>
      <c r="I222" s="72"/>
      <c r="S222" s="73"/>
      <c r="V222" s="2"/>
      <c r="X222" s="72"/>
      <c r="Y222" s="6"/>
      <c r="Z222" s="73"/>
      <c r="AB222" s="6"/>
      <c r="AC222" s="2"/>
      <c r="AE222" s="72"/>
      <c r="AF222" s="6"/>
      <c r="AG222" s="73"/>
      <c r="AH222" s="6"/>
      <c r="AI222" s="6"/>
      <c r="AJ222" s="2"/>
      <c r="AL222" s="72"/>
      <c r="AN222" s="73"/>
      <c r="AO222" s="6"/>
      <c r="AQ222" s="2"/>
      <c r="AS222" s="72"/>
      <c r="AU222" s="73"/>
      <c r="AV222" s="6"/>
      <c r="AW222" s="6"/>
      <c r="AX222" s="2"/>
      <c r="AZ222" s="72"/>
      <c r="BB222" s="73"/>
      <c r="BE222" s="2"/>
      <c r="BG222" s="72"/>
      <c r="BH222" s="6"/>
      <c r="BI222" s="73"/>
      <c r="BJ222" s="6"/>
      <c r="BL222" s="2"/>
    </row>
    <row r="223" spans="7:64" x14ac:dyDescent="0.25">
      <c r="G223" s="72"/>
      <c r="H223" s="72"/>
      <c r="I223" s="72"/>
      <c r="S223" s="73"/>
      <c r="V223" s="2"/>
      <c r="X223" s="72"/>
      <c r="Y223" s="6"/>
      <c r="Z223" s="73"/>
      <c r="AB223" s="6"/>
      <c r="AC223" s="2"/>
      <c r="AE223" s="72"/>
      <c r="AF223" s="6"/>
      <c r="AG223" s="73"/>
      <c r="AH223" s="6"/>
      <c r="AI223" s="6"/>
      <c r="AJ223" s="2"/>
      <c r="AL223" s="72"/>
      <c r="AN223" s="73"/>
      <c r="AO223" s="6"/>
      <c r="AQ223" s="2"/>
      <c r="AS223" s="72"/>
      <c r="AU223" s="73"/>
      <c r="AV223" s="6"/>
      <c r="AW223" s="6"/>
      <c r="AX223" s="2"/>
      <c r="AZ223" s="72"/>
      <c r="BB223" s="73"/>
      <c r="BE223" s="2"/>
      <c r="BG223" s="72"/>
      <c r="BH223" s="6"/>
      <c r="BI223" s="73"/>
      <c r="BJ223" s="6"/>
      <c r="BL223" s="2"/>
    </row>
    <row r="224" spans="7:64" x14ac:dyDescent="0.25">
      <c r="G224" s="72"/>
      <c r="H224" s="72"/>
      <c r="I224" s="72"/>
      <c r="S224" s="73"/>
      <c r="V224" s="2"/>
      <c r="X224" s="72"/>
      <c r="Y224" s="6"/>
      <c r="Z224" s="73"/>
      <c r="AB224" s="6"/>
      <c r="AC224" s="2"/>
      <c r="AE224" s="72"/>
      <c r="AF224" s="6"/>
      <c r="AG224" s="73"/>
      <c r="AH224" s="6"/>
      <c r="AI224" s="6"/>
      <c r="AJ224" s="2"/>
      <c r="AL224" s="72"/>
      <c r="AN224" s="73"/>
      <c r="AO224" s="6"/>
      <c r="AQ224" s="2"/>
      <c r="AS224" s="72"/>
      <c r="AU224" s="73"/>
      <c r="AV224" s="6"/>
      <c r="AW224" s="6"/>
      <c r="AX224" s="2"/>
      <c r="AZ224" s="72"/>
      <c r="BB224" s="73"/>
      <c r="BE224" s="2"/>
      <c r="BG224" s="72"/>
      <c r="BH224" s="6"/>
      <c r="BI224" s="73"/>
      <c r="BJ224" s="6"/>
      <c r="BL224" s="2"/>
    </row>
    <row r="225" spans="7:64" x14ac:dyDescent="0.25">
      <c r="G225" s="72"/>
      <c r="H225" s="72"/>
      <c r="I225" s="72"/>
      <c r="S225" s="73"/>
      <c r="V225" s="2"/>
      <c r="X225" s="72"/>
      <c r="Y225" s="6"/>
      <c r="Z225" s="73"/>
      <c r="AB225" s="6"/>
      <c r="AC225" s="2"/>
      <c r="AE225" s="72"/>
      <c r="AF225" s="6"/>
      <c r="AG225" s="73"/>
      <c r="AH225" s="6"/>
      <c r="AI225" s="6"/>
      <c r="AJ225" s="2"/>
      <c r="AL225" s="72"/>
      <c r="AN225" s="73"/>
      <c r="AO225" s="6"/>
      <c r="AQ225" s="2"/>
      <c r="AS225" s="72"/>
      <c r="AU225" s="73"/>
      <c r="AV225" s="6"/>
      <c r="AW225" s="6"/>
      <c r="AX225" s="2"/>
      <c r="AZ225" s="72"/>
      <c r="BB225" s="73"/>
      <c r="BE225" s="2"/>
      <c r="BG225" s="72"/>
      <c r="BH225" s="6"/>
      <c r="BI225" s="73"/>
      <c r="BJ225" s="6"/>
      <c r="BL225" s="2"/>
    </row>
    <row r="226" spans="7:64" x14ac:dyDescent="0.25">
      <c r="G226" s="72"/>
      <c r="H226" s="72"/>
      <c r="I226" s="72"/>
      <c r="S226" s="73"/>
      <c r="V226" s="2"/>
      <c r="X226" s="72"/>
      <c r="Y226" s="6"/>
      <c r="Z226" s="73"/>
      <c r="AB226" s="6"/>
      <c r="AC226" s="2"/>
      <c r="AE226" s="72"/>
      <c r="AF226" s="6"/>
      <c r="AG226" s="73"/>
      <c r="AH226" s="6"/>
      <c r="AI226" s="6"/>
      <c r="AJ226" s="2"/>
      <c r="AL226" s="72"/>
      <c r="AN226" s="73"/>
      <c r="AO226" s="6"/>
      <c r="AQ226" s="2"/>
      <c r="AS226" s="72"/>
      <c r="AU226" s="73"/>
      <c r="AV226" s="6"/>
      <c r="AW226" s="6"/>
      <c r="AX226" s="2"/>
      <c r="AZ226" s="72"/>
      <c r="BB226" s="73"/>
      <c r="BE226" s="2"/>
      <c r="BG226" s="72"/>
      <c r="BH226" s="6"/>
      <c r="BI226" s="73"/>
      <c r="BJ226" s="6"/>
      <c r="BL226" s="2"/>
    </row>
    <row r="227" spans="7:64" x14ac:dyDescent="0.25">
      <c r="G227" s="72"/>
      <c r="H227" s="72"/>
      <c r="I227" s="72"/>
      <c r="S227" s="73"/>
      <c r="V227" s="2"/>
      <c r="X227" s="72"/>
      <c r="Y227" s="6"/>
      <c r="Z227" s="73"/>
      <c r="AB227" s="6"/>
      <c r="AC227" s="2"/>
      <c r="AE227" s="72"/>
      <c r="AF227" s="6"/>
      <c r="AG227" s="73"/>
      <c r="AH227" s="6"/>
      <c r="AI227" s="6"/>
      <c r="AJ227" s="2"/>
      <c r="AL227" s="72"/>
      <c r="AN227" s="73"/>
      <c r="AO227" s="6"/>
      <c r="AQ227" s="2"/>
      <c r="AS227" s="72"/>
      <c r="AU227" s="73"/>
      <c r="AV227" s="6"/>
      <c r="AW227" s="6"/>
      <c r="AX227" s="2"/>
      <c r="AZ227" s="72"/>
      <c r="BB227" s="73"/>
      <c r="BE227" s="2"/>
      <c r="BG227" s="72"/>
      <c r="BH227" s="6"/>
      <c r="BI227" s="73"/>
      <c r="BJ227" s="6"/>
      <c r="BL227" s="2"/>
    </row>
    <row r="228" spans="7:64" x14ac:dyDescent="0.25">
      <c r="G228" s="72"/>
      <c r="H228" s="72"/>
      <c r="I228" s="72"/>
      <c r="S228" s="73"/>
      <c r="V228" s="2"/>
      <c r="X228" s="72"/>
      <c r="Y228" s="6"/>
      <c r="Z228" s="73"/>
      <c r="AB228" s="6"/>
      <c r="AC228" s="2"/>
      <c r="AE228" s="72"/>
      <c r="AF228" s="6"/>
      <c r="AG228" s="73"/>
      <c r="AH228" s="6"/>
      <c r="AI228" s="6"/>
      <c r="AJ228" s="2"/>
      <c r="AL228" s="72"/>
      <c r="AN228" s="73"/>
      <c r="AO228" s="6"/>
      <c r="AQ228" s="2"/>
      <c r="AS228" s="72"/>
      <c r="AU228" s="73"/>
      <c r="AV228" s="6"/>
      <c r="AW228" s="6"/>
      <c r="AX228" s="2"/>
      <c r="AZ228" s="72"/>
      <c r="BB228" s="73"/>
      <c r="BE228" s="2"/>
      <c r="BG228" s="72"/>
      <c r="BH228" s="6"/>
      <c r="BI228" s="73"/>
      <c r="BJ228" s="6"/>
      <c r="BL228" s="2"/>
    </row>
    <row r="229" spans="7:64" x14ac:dyDescent="0.25">
      <c r="G229" s="72"/>
      <c r="H229" s="72"/>
      <c r="I229" s="72"/>
      <c r="S229" s="73"/>
      <c r="V229" s="2"/>
      <c r="X229" s="72"/>
      <c r="Y229" s="6"/>
      <c r="Z229" s="73"/>
      <c r="AB229" s="6"/>
      <c r="AC229" s="2"/>
      <c r="AE229" s="72"/>
      <c r="AF229" s="6"/>
      <c r="AG229" s="73"/>
      <c r="AH229" s="6"/>
      <c r="AI229" s="6"/>
      <c r="AJ229" s="2"/>
      <c r="AL229" s="72"/>
      <c r="AN229" s="73"/>
      <c r="AO229" s="6"/>
      <c r="AQ229" s="2"/>
      <c r="AS229" s="72"/>
      <c r="AU229" s="73"/>
      <c r="AV229" s="6"/>
      <c r="AW229" s="6"/>
      <c r="AX229" s="2"/>
      <c r="AZ229" s="72"/>
      <c r="BB229" s="73"/>
      <c r="BE229" s="2"/>
      <c r="BG229" s="72"/>
      <c r="BH229" s="6"/>
      <c r="BI229" s="73"/>
      <c r="BJ229" s="6"/>
      <c r="BL229" s="2"/>
    </row>
    <row r="230" spans="7:64" x14ac:dyDescent="0.25">
      <c r="G230" s="72"/>
      <c r="H230" s="72"/>
      <c r="I230" s="72"/>
      <c r="S230" s="73"/>
      <c r="V230" s="2"/>
      <c r="X230" s="72"/>
      <c r="Y230" s="6"/>
      <c r="Z230" s="73"/>
      <c r="AB230" s="6"/>
      <c r="AC230" s="2"/>
      <c r="AE230" s="72"/>
      <c r="AF230" s="6"/>
      <c r="AG230" s="73"/>
      <c r="AH230" s="6"/>
      <c r="AI230" s="6"/>
      <c r="AJ230" s="2"/>
      <c r="AL230" s="72"/>
      <c r="AN230" s="73"/>
      <c r="AO230" s="6"/>
      <c r="AQ230" s="2"/>
      <c r="AS230" s="72"/>
      <c r="AU230" s="73"/>
      <c r="AV230" s="6"/>
      <c r="AW230" s="6"/>
      <c r="AX230" s="2"/>
      <c r="AZ230" s="72"/>
      <c r="BB230" s="73"/>
      <c r="BE230" s="2"/>
      <c r="BG230" s="72"/>
      <c r="BH230" s="6"/>
      <c r="BI230" s="73"/>
      <c r="BJ230" s="6"/>
      <c r="BL230" s="2"/>
    </row>
    <row r="231" spans="7:64" x14ac:dyDescent="0.25">
      <c r="G231" s="72"/>
      <c r="H231" s="72"/>
      <c r="I231" s="72"/>
      <c r="S231" s="73"/>
      <c r="V231" s="2"/>
      <c r="X231" s="72"/>
      <c r="Y231" s="6"/>
      <c r="Z231" s="73"/>
      <c r="AB231" s="6"/>
      <c r="AC231" s="2"/>
      <c r="AE231" s="72"/>
      <c r="AF231" s="6"/>
      <c r="AG231" s="73"/>
      <c r="AH231" s="6"/>
      <c r="AI231" s="6"/>
      <c r="AJ231" s="2"/>
      <c r="AL231" s="72"/>
      <c r="AN231" s="73"/>
      <c r="AO231" s="6"/>
      <c r="AQ231" s="2"/>
      <c r="AS231" s="72"/>
      <c r="AU231" s="73"/>
      <c r="AV231" s="6"/>
      <c r="AW231" s="6"/>
      <c r="AX231" s="2"/>
      <c r="AZ231" s="72"/>
      <c r="BB231" s="73"/>
      <c r="BE231" s="2"/>
      <c r="BG231" s="72"/>
      <c r="BH231" s="6"/>
      <c r="BI231" s="73"/>
      <c r="BJ231" s="6"/>
      <c r="BL231" s="2"/>
    </row>
    <row r="232" spans="7:64" x14ac:dyDescent="0.25">
      <c r="G232" s="72"/>
      <c r="H232" s="72"/>
      <c r="I232" s="72"/>
      <c r="S232" s="73"/>
      <c r="V232" s="2"/>
      <c r="X232" s="72"/>
      <c r="Y232" s="6"/>
      <c r="Z232" s="73"/>
      <c r="AB232" s="6"/>
      <c r="AC232" s="2"/>
      <c r="AE232" s="72"/>
      <c r="AF232" s="6"/>
      <c r="AG232" s="73"/>
      <c r="AH232" s="6"/>
      <c r="AI232" s="6"/>
      <c r="AJ232" s="2"/>
      <c r="AL232" s="72"/>
      <c r="AN232" s="73"/>
      <c r="AO232" s="6"/>
      <c r="AQ232" s="2"/>
      <c r="AS232" s="72"/>
      <c r="AU232" s="73"/>
      <c r="AV232" s="6"/>
      <c r="AW232" s="6"/>
      <c r="AX232" s="2"/>
      <c r="AZ232" s="72"/>
      <c r="BB232" s="73"/>
      <c r="BE232" s="2"/>
      <c r="BG232" s="72"/>
      <c r="BH232" s="6"/>
      <c r="BI232" s="73"/>
      <c r="BJ232" s="6"/>
      <c r="BL232" s="2"/>
    </row>
    <row r="233" spans="7:64" x14ac:dyDescent="0.25">
      <c r="G233" s="72"/>
      <c r="H233" s="72"/>
      <c r="I233" s="72"/>
      <c r="S233" s="73"/>
      <c r="V233" s="2"/>
      <c r="X233" s="72"/>
      <c r="Y233" s="6"/>
      <c r="Z233" s="73"/>
      <c r="AB233" s="6"/>
      <c r="AC233" s="2"/>
      <c r="AE233" s="72"/>
      <c r="AF233" s="6"/>
      <c r="AG233" s="73"/>
      <c r="AH233" s="6"/>
      <c r="AI233" s="6"/>
      <c r="AJ233" s="2"/>
      <c r="AL233" s="72"/>
      <c r="AN233" s="73"/>
      <c r="AO233" s="6"/>
      <c r="AQ233" s="2"/>
      <c r="AS233" s="72"/>
      <c r="AU233" s="73"/>
      <c r="AV233" s="6"/>
      <c r="AW233" s="6"/>
      <c r="AX233" s="2"/>
      <c r="AZ233" s="72"/>
      <c r="BB233" s="73"/>
      <c r="BE233" s="2"/>
      <c r="BG233" s="72"/>
      <c r="BH233" s="6"/>
      <c r="BI233" s="73"/>
      <c r="BJ233" s="6"/>
      <c r="BL233" s="2"/>
    </row>
    <row r="234" spans="7:64" x14ac:dyDescent="0.25">
      <c r="G234" s="72"/>
      <c r="H234" s="72"/>
      <c r="I234" s="72"/>
      <c r="S234" s="73"/>
      <c r="V234" s="2"/>
      <c r="X234" s="72"/>
      <c r="Y234" s="6"/>
      <c r="Z234" s="73"/>
      <c r="AB234" s="6"/>
      <c r="AC234" s="2"/>
      <c r="AE234" s="72"/>
      <c r="AF234" s="6"/>
      <c r="AG234" s="73"/>
      <c r="AH234" s="6"/>
      <c r="AI234" s="6"/>
      <c r="AJ234" s="2"/>
      <c r="AL234" s="72"/>
      <c r="AN234" s="73"/>
      <c r="AO234" s="6"/>
      <c r="AQ234" s="2"/>
      <c r="AS234" s="72"/>
      <c r="AU234" s="73"/>
      <c r="AV234" s="6"/>
      <c r="AW234" s="6"/>
      <c r="AX234" s="2"/>
      <c r="AZ234" s="72"/>
      <c r="BB234" s="73"/>
      <c r="BE234" s="2"/>
      <c r="BG234" s="72"/>
      <c r="BH234" s="6"/>
      <c r="BI234" s="73"/>
      <c r="BJ234" s="6"/>
      <c r="BL234" s="2"/>
    </row>
    <row r="235" spans="7:64" x14ac:dyDescent="0.25">
      <c r="G235" s="72"/>
      <c r="H235" s="72"/>
      <c r="I235" s="72"/>
      <c r="S235" s="73"/>
      <c r="V235" s="2"/>
      <c r="X235" s="72"/>
      <c r="Y235" s="6"/>
      <c r="Z235" s="73"/>
      <c r="AB235" s="6"/>
      <c r="AC235" s="2"/>
      <c r="AE235" s="72"/>
      <c r="AF235" s="6"/>
      <c r="AG235" s="73"/>
      <c r="AH235" s="6"/>
      <c r="AI235" s="6"/>
      <c r="AJ235" s="2"/>
      <c r="AL235" s="72"/>
      <c r="AN235" s="73"/>
      <c r="AO235" s="6"/>
      <c r="AQ235" s="2"/>
      <c r="AS235" s="72"/>
      <c r="AU235" s="73"/>
      <c r="AV235" s="6"/>
      <c r="AW235" s="6"/>
      <c r="AX235" s="2"/>
      <c r="AZ235" s="72"/>
      <c r="BB235" s="73"/>
      <c r="BE235" s="2"/>
      <c r="BG235" s="72"/>
      <c r="BH235" s="6"/>
      <c r="BI235" s="73"/>
      <c r="BJ235" s="6"/>
      <c r="BL235" s="2"/>
    </row>
    <row r="236" spans="7:64" x14ac:dyDescent="0.25">
      <c r="G236" s="72"/>
      <c r="H236" s="72"/>
      <c r="I236" s="72"/>
      <c r="S236" s="73"/>
      <c r="V236" s="2"/>
      <c r="X236" s="72"/>
      <c r="Y236" s="6"/>
      <c r="Z236" s="73"/>
      <c r="AB236" s="6"/>
      <c r="AC236" s="2"/>
      <c r="AE236" s="72"/>
      <c r="AF236" s="6"/>
      <c r="AG236" s="73"/>
      <c r="AH236" s="6"/>
      <c r="AI236" s="6"/>
      <c r="AJ236" s="2"/>
      <c r="AL236" s="72"/>
      <c r="AN236" s="73"/>
      <c r="AO236" s="6"/>
      <c r="AQ236" s="2"/>
      <c r="AS236" s="72"/>
      <c r="AU236" s="73"/>
      <c r="AV236" s="6"/>
      <c r="AW236" s="6"/>
      <c r="AX236" s="2"/>
      <c r="AZ236" s="72"/>
      <c r="BB236" s="73"/>
      <c r="BE236" s="2"/>
      <c r="BG236" s="72"/>
      <c r="BH236" s="6"/>
      <c r="BI236" s="73"/>
      <c r="BJ236" s="6"/>
      <c r="BL236" s="2"/>
    </row>
    <row r="237" spans="7:64" x14ac:dyDescent="0.25">
      <c r="G237" s="72"/>
      <c r="H237" s="72"/>
      <c r="I237" s="72"/>
      <c r="S237" s="73"/>
      <c r="V237" s="2"/>
      <c r="X237" s="72"/>
      <c r="Y237" s="6"/>
      <c r="Z237" s="73"/>
      <c r="AB237" s="6"/>
      <c r="AC237" s="2"/>
      <c r="AE237" s="72"/>
      <c r="AF237" s="6"/>
      <c r="AG237" s="73"/>
      <c r="AH237" s="6"/>
      <c r="AI237" s="6"/>
      <c r="AJ237" s="2"/>
      <c r="AL237" s="72"/>
      <c r="AN237" s="73"/>
      <c r="AO237" s="6"/>
      <c r="AQ237" s="2"/>
      <c r="AS237" s="72"/>
      <c r="AU237" s="73"/>
      <c r="AV237" s="6"/>
      <c r="AW237" s="6"/>
      <c r="AX237" s="2"/>
      <c r="AZ237" s="72"/>
      <c r="BB237" s="73"/>
      <c r="BE237" s="2"/>
      <c r="BG237" s="72"/>
      <c r="BH237" s="6"/>
      <c r="BI237" s="73"/>
      <c r="BJ237" s="6"/>
      <c r="BL237" s="2"/>
    </row>
    <row r="238" spans="7:64" x14ac:dyDescent="0.25">
      <c r="G238" s="72"/>
      <c r="H238" s="72"/>
      <c r="I238" s="72"/>
      <c r="S238" s="73"/>
      <c r="V238" s="2"/>
      <c r="X238" s="72"/>
      <c r="Y238" s="6"/>
      <c r="Z238" s="73"/>
      <c r="AB238" s="6"/>
      <c r="AC238" s="2"/>
      <c r="AE238" s="72"/>
      <c r="AF238" s="6"/>
      <c r="AG238" s="73"/>
      <c r="AH238" s="6"/>
      <c r="AI238" s="6"/>
      <c r="AJ238" s="2"/>
      <c r="AL238" s="72"/>
      <c r="AN238" s="73"/>
      <c r="AO238" s="6"/>
      <c r="AQ238" s="2"/>
      <c r="AS238" s="72"/>
      <c r="AU238" s="73"/>
      <c r="AV238" s="6"/>
      <c r="AW238" s="6"/>
      <c r="AX238" s="2"/>
      <c r="AZ238" s="72"/>
      <c r="BB238" s="73"/>
      <c r="BE238" s="2"/>
      <c r="BG238" s="72"/>
      <c r="BH238" s="6"/>
      <c r="BI238" s="73"/>
      <c r="BJ238" s="6"/>
      <c r="BL238" s="2"/>
    </row>
    <row r="239" spans="7:64" x14ac:dyDescent="0.25">
      <c r="G239" s="72"/>
      <c r="H239" s="72"/>
      <c r="I239" s="72"/>
      <c r="S239" s="73"/>
      <c r="V239" s="2"/>
      <c r="X239" s="72"/>
      <c r="Y239" s="6"/>
      <c r="Z239" s="73"/>
      <c r="AB239" s="6"/>
      <c r="AC239" s="2"/>
      <c r="AE239" s="72"/>
      <c r="AF239" s="6"/>
      <c r="AG239" s="73"/>
      <c r="AH239" s="6"/>
      <c r="AI239" s="6"/>
      <c r="AJ239" s="2"/>
      <c r="AL239" s="72"/>
      <c r="AN239" s="73"/>
      <c r="AO239" s="6"/>
      <c r="AQ239" s="2"/>
      <c r="AS239" s="72"/>
      <c r="AU239" s="73"/>
      <c r="AV239" s="6"/>
      <c r="AW239" s="6"/>
      <c r="AX239" s="2"/>
      <c r="AZ239" s="72"/>
      <c r="BB239" s="73"/>
      <c r="BE239" s="2"/>
      <c r="BG239" s="72"/>
      <c r="BH239" s="6"/>
      <c r="BI239" s="73"/>
      <c r="BJ239" s="6"/>
      <c r="BL239" s="2"/>
    </row>
    <row r="240" spans="7:64" x14ac:dyDescent="0.25">
      <c r="G240" s="72"/>
      <c r="H240" s="72"/>
      <c r="I240" s="72"/>
      <c r="S240" s="73"/>
      <c r="V240" s="2"/>
      <c r="X240" s="72"/>
      <c r="Y240" s="6"/>
      <c r="Z240" s="73"/>
      <c r="AB240" s="6"/>
      <c r="AC240" s="2"/>
      <c r="AE240" s="72"/>
      <c r="AF240" s="6"/>
      <c r="AG240" s="73"/>
      <c r="AH240" s="6"/>
      <c r="AI240" s="6"/>
      <c r="AJ240" s="2"/>
      <c r="AL240" s="72"/>
      <c r="AN240" s="73"/>
      <c r="AO240" s="6"/>
      <c r="AQ240" s="2"/>
      <c r="AS240" s="72"/>
      <c r="AU240" s="73"/>
      <c r="AV240" s="6"/>
      <c r="AW240" s="6"/>
      <c r="AX240" s="2"/>
      <c r="AZ240" s="72"/>
      <c r="BB240" s="73"/>
      <c r="BE240" s="2"/>
      <c r="BG240" s="72"/>
      <c r="BH240" s="6"/>
      <c r="BI240" s="73"/>
      <c r="BJ240" s="6"/>
      <c r="BL240" s="2"/>
    </row>
    <row r="241" spans="7:64" x14ac:dyDescent="0.25">
      <c r="G241" s="72"/>
      <c r="H241" s="72"/>
      <c r="I241" s="72"/>
      <c r="S241" s="73"/>
      <c r="V241" s="2"/>
      <c r="X241" s="72"/>
      <c r="Y241" s="6"/>
      <c r="Z241" s="73"/>
      <c r="AB241" s="6"/>
      <c r="AC241" s="2"/>
      <c r="AE241" s="72"/>
      <c r="AF241" s="6"/>
      <c r="AG241" s="73"/>
      <c r="AH241" s="6"/>
      <c r="AI241" s="6"/>
      <c r="AJ241" s="2"/>
      <c r="AL241" s="72"/>
      <c r="AN241" s="73"/>
      <c r="AO241" s="6"/>
      <c r="AQ241" s="2"/>
      <c r="AS241" s="72"/>
      <c r="AU241" s="73"/>
      <c r="AV241" s="6"/>
      <c r="AW241" s="6"/>
      <c r="AX241" s="2"/>
      <c r="AZ241" s="72"/>
      <c r="BB241" s="73"/>
      <c r="BE241" s="2"/>
      <c r="BG241" s="72"/>
      <c r="BH241" s="6"/>
      <c r="BI241" s="73"/>
      <c r="BJ241" s="6"/>
      <c r="BL241" s="2"/>
    </row>
    <row r="242" spans="7:64" x14ac:dyDescent="0.25">
      <c r="G242" s="72"/>
      <c r="H242" s="72"/>
      <c r="I242" s="72"/>
      <c r="S242" s="73"/>
      <c r="V242" s="2"/>
      <c r="X242" s="72"/>
      <c r="Y242" s="6"/>
      <c r="Z242" s="73"/>
      <c r="AB242" s="6"/>
      <c r="AC242" s="2"/>
      <c r="AE242" s="72"/>
      <c r="AF242" s="6"/>
      <c r="AG242" s="73"/>
      <c r="AH242" s="6"/>
      <c r="AI242" s="6"/>
      <c r="AJ242" s="2"/>
      <c r="AL242" s="72"/>
      <c r="AN242" s="73"/>
      <c r="AO242" s="6"/>
      <c r="AQ242" s="2"/>
      <c r="AS242" s="72"/>
      <c r="AU242" s="73"/>
      <c r="AV242" s="6"/>
      <c r="AW242" s="6"/>
      <c r="AX242" s="2"/>
      <c r="AZ242" s="72"/>
      <c r="BB242" s="73"/>
      <c r="BE242" s="2"/>
      <c r="BG242" s="72"/>
      <c r="BH242" s="6"/>
      <c r="BI242" s="73"/>
      <c r="BJ242" s="6"/>
      <c r="BL242" s="2"/>
    </row>
    <row r="243" spans="7:64" x14ac:dyDescent="0.25">
      <c r="G243" s="72"/>
      <c r="H243" s="72"/>
      <c r="I243" s="72"/>
      <c r="S243" s="73"/>
      <c r="V243" s="2"/>
      <c r="X243" s="72"/>
      <c r="Y243" s="6"/>
      <c r="Z243" s="73"/>
      <c r="AB243" s="6"/>
      <c r="AC243" s="2"/>
      <c r="AE243" s="72"/>
      <c r="AF243" s="6"/>
      <c r="AG243" s="73"/>
      <c r="AH243" s="6"/>
      <c r="AI243" s="6"/>
      <c r="AJ243" s="2"/>
      <c r="AL243" s="72"/>
      <c r="AN243" s="73"/>
      <c r="AO243" s="6"/>
      <c r="AQ243" s="2"/>
      <c r="AS243" s="72"/>
      <c r="AU243" s="73"/>
      <c r="AV243" s="6"/>
      <c r="AW243" s="6"/>
      <c r="AX243" s="2"/>
      <c r="AZ243" s="72"/>
      <c r="BB243" s="73"/>
      <c r="BE243" s="2"/>
      <c r="BG243" s="72"/>
      <c r="BH243" s="6"/>
      <c r="BI243" s="73"/>
      <c r="BJ243" s="6"/>
      <c r="BL243" s="2"/>
    </row>
    <row r="244" spans="7:64" x14ac:dyDescent="0.25">
      <c r="G244" s="72"/>
      <c r="H244" s="72"/>
      <c r="I244" s="72"/>
      <c r="S244" s="73"/>
      <c r="V244" s="2"/>
      <c r="X244" s="72"/>
      <c r="Y244" s="6"/>
      <c r="Z244" s="73"/>
      <c r="AB244" s="6"/>
      <c r="AC244" s="2"/>
      <c r="AE244" s="72"/>
      <c r="AF244" s="6"/>
      <c r="AG244" s="73"/>
      <c r="AH244" s="6"/>
      <c r="AI244" s="6"/>
      <c r="AJ244" s="2"/>
      <c r="AL244" s="72"/>
      <c r="AN244" s="73"/>
      <c r="AO244" s="6"/>
      <c r="AQ244" s="2"/>
      <c r="AS244" s="72"/>
      <c r="AU244" s="73"/>
      <c r="AV244" s="6"/>
      <c r="AW244" s="6"/>
      <c r="AX244" s="2"/>
      <c r="AZ244" s="72"/>
      <c r="BB244" s="73"/>
      <c r="BE244" s="2"/>
      <c r="BG244" s="72"/>
      <c r="BH244" s="6"/>
      <c r="BI244" s="73"/>
      <c r="BJ244" s="6"/>
      <c r="BL244" s="2"/>
    </row>
    <row r="245" spans="7:64" x14ac:dyDescent="0.25">
      <c r="G245" s="72"/>
      <c r="H245" s="72"/>
      <c r="I245" s="72"/>
      <c r="S245" s="73"/>
      <c r="V245" s="2"/>
      <c r="X245" s="72"/>
      <c r="Y245" s="6"/>
      <c r="Z245" s="73"/>
      <c r="AB245" s="6"/>
      <c r="AC245" s="2"/>
      <c r="AE245" s="72"/>
      <c r="AF245" s="6"/>
      <c r="AG245" s="73"/>
      <c r="AH245" s="6"/>
      <c r="AI245" s="6"/>
      <c r="AJ245" s="2"/>
      <c r="AL245" s="72"/>
      <c r="AN245" s="73"/>
      <c r="AO245" s="6"/>
      <c r="AQ245" s="2"/>
      <c r="AS245" s="72"/>
      <c r="AU245" s="73"/>
      <c r="AV245" s="6"/>
      <c r="AW245" s="6"/>
      <c r="AX245" s="2"/>
      <c r="AZ245" s="72"/>
      <c r="BB245" s="73"/>
      <c r="BE245" s="2"/>
      <c r="BG245" s="72"/>
      <c r="BH245" s="6"/>
      <c r="BI245" s="73"/>
      <c r="BJ245" s="6"/>
      <c r="BL245" s="2"/>
    </row>
    <row r="246" spans="7:64" x14ac:dyDescent="0.25">
      <c r="G246" s="72"/>
      <c r="H246" s="72"/>
      <c r="I246" s="72"/>
      <c r="S246" s="73"/>
      <c r="V246" s="2"/>
      <c r="X246" s="72"/>
      <c r="Y246" s="6"/>
      <c r="Z246" s="73"/>
      <c r="AB246" s="6"/>
      <c r="AC246" s="2"/>
      <c r="AE246" s="72"/>
      <c r="AF246" s="6"/>
      <c r="AG246" s="73"/>
      <c r="AH246" s="6"/>
      <c r="AI246" s="6"/>
      <c r="AJ246" s="2"/>
      <c r="AL246" s="72"/>
      <c r="AN246" s="73"/>
      <c r="AO246" s="6"/>
      <c r="AQ246" s="2"/>
      <c r="AS246" s="72"/>
      <c r="AU246" s="73"/>
      <c r="AV246" s="6"/>
      <c r="AW246" s="6"/>
      <c r="AX246" s="2"/>
      <c r="AZ246" s="72"/>
      <c r="BB246" s="73"/>
      <c r="BE246" s="2"/>
      <c r="BG246" s="72"/>
      <c r="BH246" s="6"/>
      <c r="BI246" s="73"/>
      <c r="BJ246" s="6"/>
      <c r="BL246" s="2"/>
    </row>
    <row r="247" spans="7:64" x14ac:dyDescent="0.25">
      <c r="G247" s="72"/>
      <c r="H247" s="72"/>
      <c r="I247" s="72"/>
      <c r="S247" s="73"/>
      <c r="V247" s="2"/>
      <c r="X247" s="72"/>
      <c r="Y247" s="6"/>
      <c r="Z247" s="73"/>
      <c r="AB247" s="6"/>
      <c r="AC247" s="2"/>
      <c r="AE247" s="72"/>
      <c r="AF247" s="6"/>
      <c r="AG247" s="73"/>
      <c r="AH247" s="6"/>
      <c r="AI247" s="6"/>
      <c r="AJ247" s="2"/>
      <c r="AL247" s="72"/>
      <c r="AN247" s="73"/>
      <c r="AO247" s="6"/>
      <c r="AQ247" s="2"/>
      <c r="AS247" s="72"/>
      <c r="AU247" s="73"/>
      <c r="AV247" s="6"/>
      <c r="AW247" s="6"/>
      <c r="AX247" s="2"/>
      <c r="AZ247" s="72"/>
      <c r="BB247" s="73"/>
      <c r="BE247" s="2"/>
      <c r="BG247" s="72"/>
      <c r="BH247" s="6"/>
      <c r="BI247" s="73"/>
      <c r="BJ247" s="6"/>
      <c r="BL247" s="2"/>
    </row>
    <row r="248" spans="7:64" x14ac:dyDescent="0.25">
      <c r="G248" s="72"/>
      <c r="H248" s="72"/>
      <c r="I248" s="72"/>
      <c r="S248" s="73"/>
      <c r="V248" s="2"/>
      <c r="X248" s="72"/>
      <c r="Y248" s="6"/>
      <c r="Z248" s="73"/>
      <c r="AB248" s="6"/>
      <c r="AC248" s="2"/>
      <c r="AE248" s="72"/>
      <c r="AF248" s="6"/>
      <c r="AG248" s="73"/>
      <c r="AH248" s="6"/>
      <c r="AI248" s="6"/>
      <c r="AJ248" s="2"/>
      <c r="AL248" s="72"/>
      <c r="AN248" s="73"/>
      <c r="AO248" s="6"/>
      <c r="AQ248" s="2"/>
      <c r="AS248" s="72"/>
      <c r="AU248" s="73"/>
      <c r="AV248" s="6"/>
      <c r="AW248" s="6"/>
      <c r="AX248" s="2"/>
      <c r="AZ248" s="72"/>
      <c r="BB248" s="73"/>
      <c r="BE248" s="2"/>
      <c r="BG248" s="72"/>
      <c r="BH248" s="6"/>
      <c r="BI248" s="73"/>
      <c r="BJ248" s="6"/>
      <c r="BL248" s="2"/>
    </row>
    <row r="249" spans="7:64" x14ac:dyDescent="0.25">
      <c r="G249" s="72"/>
      <c r="H249" s="72"/>
      <c r="I249" s="72"/>
      <c r="S249" s="73"/>
      <c r="V249" s="2"/>
      <c r="X249" s="72"/>
      <c r="Y249" s="6"/>
      <c r="Z249" s="73"/>
      <c r="AB249" s="6"/>
      <c r="AC249" s="2"/>
      <c r="AE249" s="72"/>
      <c r="AF249" s="6"/>
      <c r="AG249" s="73"/>
      <c r="AH249" s="6"/>
      <c r="AI249" s="6"/>
      <c r="AJ249" s="2"/>
      <c r="AL249" s="72"/>
      <c r="AN249" s="73"/>
      <c r="AO249" s="6"/>
      <c r="AQ249" s="2"/>
      <c r="AS249" s="72"/>
      <c r="AU249" s="73"/>
      <c r="AV249" s="6"/>
      <c r="AW249" s="6"/>
      <c r="AX249" s="2"/>
      <c r="AZ249" s="72"/>
      <c r="BB249" s="73"/>
      <c r="BE249" s="2"/>
      <c r="BG249" s="72"/>
      <c r="BH249" s="6"/>
      <c r="BI249" s="73"/>
      <c r="BJ249" s="6"/>
      <c r="BL249" s="2"/>
    </row>
    <row r="250" spans="7:64" x14ac:dyDescent="0.25">
      <c r="G250" s="72"/>
      <c r="H250" s="72"/>
      <c r="I250" s="72"/>
      <c r="S250" s="73"/>
      <c r="V250" s="2"/>
      <c r="X250" s="72"/>
      <c r="Y250" s="6"/>
      <c r="Z250" s="73"/>
      <c r="AB250" s="6"/>
      <c r="AC250" s="2"/>
      <c r="AE250" s="72"/>
      <c r="AF250" s="6"/>
      <c r="AG250" s="73"/>
      <c r="AH250" s="6"/>
      <c r="AI250" s="6"/>
      <c r="AJ250" s="2"/>
      <c r="AL250" s="72"/>
      <c r="AN250" s="73"/>
      <c r="AO250" s="6"/>
      <c r="AQ250" s="2"/>
      <c r="AS250" s="72"/>
      <c r="AU250" s="73"/>
      <c r="AV250" s="6"/>
      <c r="AW250" s="6"/>
      <c r="AX250" s="2"/>
      <c r="AZ250" s="72"/>
      <c r="BB250" s="73"/>
      <c r="BE250" s="2"/>
      <c r="BG250" s="72"/>
      <c r="BH250" s="6"/>
      <c r="BI250" s="73"/>
      <c r="BJ250" s="6"/>
      <c r="BL250" s="2"/>
    </row>
    <row r="251" spans="7:64" x14ac:dyDescent="0.25">
      <c r="G251" s="72"/>
      <c r="H251" s="72"/>
      <c r="I251" s="72"/>
      <c r="S251" s="73"/>
      <c r="V251" s="2"/>
      <c r="X251" s="72"/>
      <c r="Y251" s="6"/>
      <c r="Z251" s="73"/>
      <c r="AB251" s="6"/>
      <c r="AC251" s="2"/>
      <c r="AE251" s="72"/>
      <c r="AF251" s="6"/>
      <c r="AG251" s="73"/>
      <c r="AH251" s="6"/>
      <c r="AI251" s="6"/>
      <c r="AJ251" s="2"/>
      <c r="AL251" s="72"/>
      <c r="AN251" s="73"/>
      <c r="AO251" s="6"/>
      <c r="AQ251" s="2"/>
      <c r="AS251" s="72"/>
      <c r="AU251" s="73"/>
      <c r="AV251" s="6"/>
      <c r="AW251" s="6"/>
      <c r="AX251" s="2"/>
      <c r="AZ251" s="72"/>
      <c r="BB251" s="73"/>
      <c r="BE251" s="2"/>
      <c r="BG251" s="72"/>
      <c r="BH251" s="6"/>
      <c r="BI251" s="73"/>
      <c r="BJ251" s="6"/>
      <c r="BL251" s="2"/>
    </row>
    <row r="252" spans="7:64" x14ac:dyDescent="0.25">
      <c r="G252" s="72"/>
      <c r="H252" s="72"/>
      <c r="I252" s="72"/>
      <c r="S252" s="73"/>
      <c r="V252" s="2"/>
      <c r="X252" s="72"/>
      <c r="Y252" s="6"/>
      <c r="Z252" s="73"/>
      <c r="AB252" s="6"/>
      <c r="AC252" s="2"/>
      <c r="AE252" s="72"/>
      <c r="AF252" s="6"/>
      <c r="AG252" s="73"/>
      <c r="AH252" s="6"/>
      <c r="AI252" s="6"/>
      <c r="AJ252" s="2"/>
      <c r="AL252" s="72"/>
      <c r="AN252" s="73"/>
      <c r="AO252" s="6"/>
      <c r="AQ252" s="2"/>
      <c r="AS252" s="72"/>
      <c r="AU252" s="73"/>
      <c r="AV252" s="6"/>
      <c r="AW252" s="6"/>
      <c r="AX252" s="2"/>
      <c r="AZ252" s="72"/>
      <c r="BB252" s="73"/>
      <c r="BE252" s="2"/>
      <c r="BG252" s="72"/>
      <c r="BH252" s="6"/>
      <c r="BI252" s="73"/>
      <c r="BJ252" s="6"/>
      <c r="BL252" s="2"/>
    </row>
    <row r="253" spans="7:64" x14ac:dyDescent="0.25">
      <c r="G253" s="72"/>
      <c r="H253" s="72"/>
      <c r="I253" s="72"/>
      <c r="S253" s="73"/>
      <c r="V253" s="2"/>
      <c r="X253" s="72"/>
      <c r="Y253" s="6"/>
      <c r="Z253" s="73"/>
      <c r="AB253" s="6"/>
      <c r="AC253" s="2"/>
      <c r="AE253" s="72"/>
      <c r="AF253" s="6"/>
      <c r="AG253" s="73"/>
      <c r="AH253" s="6"/>
      <c r="AI253" s="6"/>
      <c r="AJ253" s="2"/>
      <c r="AL253" s="72"/>
      <c r="AN253" s="73"/>
      <c r="AO253" s="6"/>
      <c r="AQ253" s="2"/>
      <c r="AS253" s="72"/>
      <c r="AU253" s="73"/>
      <c r="AV253" s="6"/>
      <c r="AW253" s="6"/>
      <c r="AX253" s="2"/>
      <c r="AZ253" s="72"/>
      <c r="BB253" s="73"/>
      <c r="BE253" s="2"/>
      <c r="BG253" s="72"/>
      <c r="BH253" s="6"/>
      <c r="BI253" s="73"/>
      <c r="BJ253" s="6"/>
      <c r="BL253" s="2"/>
    </row>
    <row r="254" spans="7:64" x14ac:dyDescent="0.25">
      <c r="G254" s="72"/>
      <c r="H254" s="72"/>
      <c r="I254" s="72"/>
      <c r="S254" s="73"/>
      <c r="V254" s="2"/>
      <c r="X254" s="72"/>
      <c r="Y254" s="6"/>
      <c r="Z254" s="73"/>
      <c r="AB254" s="6"/>
      <c r="AC254" s="2"/>
      <c r="AE254" s="72"/>
      <c r="AF254" s="6"/>
      <c r="AG254" s="73"/>
      <c r="AH254" s="6"/>
      <c r="AI254" s="6"/>
      <c r="AJ254" s="2"/>
      <c r="AL254" s="72"/>
      <c r="AN254" s="73"/>
      <c r="AO254" s="6"/>
      <c r="AQ254" s="2"/>
      <c r="AS254" s="72"/>
      <c r="AU254" s="73"/>
      <c r="AV254" s="6"/>
      <c r="AW254" s="6"/>
      <c r="AX254" s="2"/>
      <c r="AZ254" s="72"/>
      <c r="BB254" s="73"/>
      <c r="BE254" s="2"/>
      <c r="BG254" s="72"/>
      <c r="BH254" s="6"/>
      <c r="BI254" s="73"/>
      <c r="BJ254" s="6"/>
      <c r="BL254" s="2"/>
    </row>
    <row r="255" spans="7:64" x14ac:dyDescent="0.25">
      <c r="G255" s="72"/>
      <c r="H255" s="72"/>
      <c r="I255" s="72"/>
      <c r="S255" s="73"/>
      <c r="V255" s="2"/>
      <c r="X255" s="72"/>
      <c r="Y255" s="6"/>
      <c r="Z255" s="73"/>
      <c r="AB255" s="6"/>
      <c r="AC255" s="2"/>
      <c r="AE255" s="72"/>
      <c r="AF255" s="6"/>
      <c r="AG255" s="73"/>
      <c r="AH255" s="6"/>
      <c r="AI255" s="6"/>
      <c r="AJ255" s="2"/>
      <c r="AL255" s="72"/>
      <c r="AN255" s="73"/>
      <c r="AO255" s="6"/>
      <c r="AQ255" s="2"/>
      <c r="AS255" s="72"/>
      <c r="AU255" s="73"/>
      <c r="AV255" s="6"/>
      <c r="AW255" s="6"/>
      <c r="AX255" s="2"/>
      <c r="AZ255" s="72"/>
      <c r="BB255" s="73"/>
      <c r="BE255" s="2"/>
      <c r="BG255" s="72"/>
      <c r="BH255" s="6"/>
      <c r="BI255" s="73"/>
      <c r="BJ255" s="6"/>
      <c r="BL255" s="2"/>
    </row>
    <row r="256" spans="7:64" x14ac:dyDescent="0.25">
      <c r="G256" s="72"/>
      <c r="H256" s="72"/>
      <c r="I256" s="72"/>
      <c r="S256" s="73"/>
      <c r="V256" s="2"/>
      <c r="X256" s="72"/>
      <c r="Y256" s="6"/>
      <c r="Z256" s="73"/>
      <c r="AB256" s="6"/>
      <c r="AC256" s="2"/>
      <c r="AE256" s="72"/>
      <c r="AF256" s="6"/>
      <c r="AG256" s="73"/>
      <c r="AH256" s="6"/>
      <c r="AI256" s="6"/>
      <c r="AJ256" s="2"/>
      <c r="AL256" s="72"/>
      <c r="AN256" s="73"/>
      <c r="AO256" s="6"/>
      <c r="AQ256" s="2"/>
      <c r="AS256" s="72"/>
      <c r="AU256" s="73"/>
      <c r="AV256" s="6"/>
      <c r="AW256" s="6"/>
      <c r="AX256" s="2"/>
      <c r="AZ256" s="72"/>
      <c r="BB256" s="73"/>
      <c r="BE256" s="2"/>
      <c r="BG256" s="72"/>
      <c r="BH256" s="6"/>
      <c r="BI256" s="73"/>
      <c r="BJ256" s="6"/>
      <c r="BL256" s="2"/>
    </row>
    <row r="257" spans="7:64" x14ac:dyDescent="0.25">
      <c r="G257" s="72"/>
      <c r="H257" s="72"/>
      <c r="I257" s="72"/>
      <c r="S257" s="73"/>
      <c r="V257" s="2"/>
      <c r="X257" s="72"/>
      <c r="Y257" s="6"/>
      <c r="Z257" s="73"/>
      <c r="AB257" s="6"/>
      <c r="AC257" s="2"/>
      <c r="AE257" s="72"/>
      <c r="AF257" s="6"/>
      <c r="AG257" s="73"/>
      <c r="AH257" s="6"/>
      <c r="AI257" s="6"/>
      <c r="AJ257" s="2"/>
      <c r="AL257" s="72"/>
      <c r="AN257" s="73"/>
      <c r="AO257" s="6"/>
      <c r="AQ257" s="2"/>
      <c r="AS257" s="72"/>
      <c r="AU257" s="73"/>
      <c r="AV257" s="6"/>
      <c r="AW257" s="6"/>
      <c r="AX257" s="2"/>
      <c r="AZ257" s="72"/>
      <c r="BB257" s="73"/>
      <c r="BE257" s="2"/>
      <c r="BG257" s="72"/>
      <c r="BH257" s="6"/>
      <c r="BI257" s="73"/>
      <c r="BJ257" s="6"/>
      <c r="BL257" s="2"/>
    </row>
    <row r="258" spans="7:64" x14ac:dyDescent="0.25">
      <c r="G258" s="72"/>
      <c r="H258" s="72"/>
      <c r="I258" s="72"/>
      <c r="S258" s="73"/>
      <c r="V258" s="2"/>
      <c r="X258" s="72"/>
      <c r="Y258" s="6"/>
      <c r="Z258" s="73"/>
      <c r="AB258" s="6"/>
      <c r="AC258" s="2"/>
      <c r="AE258" s="72"/>
      <c r="AF258" s="6"/>
      <c r="AG258" s="73"/>
      <c r="AH258" s="6"/>
      <c r="AI258" s="6"/>
      <c r="AJ258" s="2"/>
      <c r="AL258" s="72"/>
      <c r="AN258" s="73"/>
      <c r="AO258" s="6"/>
      <c r="AQ258" s="2"/>
      <c r="AS258" s="72"/>
      <c r="AU258" s="73"/>
      <c r="AV258" s="6"/>
      <c r="AW258" s="6"/>
      <c r="AX258" s="2"/>
      <c r="AZ258" s="72"/>
      <c r="BB258" s="73"/>
      <c r="BE258" s="2"/>
      <c r="BG258" s="72"/>
      <c r="BH258" s="6"/>
      <c r="BI258" s="73"/>
      <c r="BJ258" s="6"/>
      <c r="BL258" s="2"/>
    </row>
    <row r="259" spans="7:64" x14ac:dyDescent="0.25">
      <c r="G259" s="72"/>
      <c r="H259" s="72"/>
      <c r="I259" s="72"/>
      <c r="S259" s="73"/>
      <c r="V259" s="2"/>
      <c r="X259" s="72"/>
      <c r="Y259" s="6"/>
      <c r="Z259" s="73"/>
      <c r="AB259" s="6"/>
      <c r="AC259" s="2"/>
      <c r="AE259" s="72"/>
      <c r="AF259" s="6"/>
      <c r="AG259" s="73"/>
      <c r="AH259" s="6"/>
      <c r="AI259" s="6"/>
      <c r="AJ259" s="2"/>
      <c r="AL259" s="72"/>
      <c r="AN259" s="73"/>
      <c r="AO259" s="6"/>
      <c r="AQ259" s="2"/>
      <c r="AS259" s="72"/>
      <c r="AU259" s="73"/>
      <c r="AV259" s="6"/>
      <c r="AW259" s="6"/>
      <c r="AX259" s="2"/>
      <c r="AZ259" s="72"/>
      <c r="BB259" s="73"/>
      <c r="BE259" s="2"/>
      <c r="BG259" s="72"/>
      <c r="BH259" s="6"/>
      <c r="BI259" s="73"/>
      <c r="BJ259" s="6"/>
      <c r="BL259" s="2"/>
    </row>
    <row r="260" spans="7:64" x14ac:dyDescent="0.25">
      <c r="G260" s="72"/>
      <c r="H260" s="72"/>
      <c r="I260" s="72"/>
      <c r="S260" s="73"/>
      <c r="V260" s="2"/>
      <c r="X260" s="72"/>
      <c r="Y260" s="6"/>
      <c r="Z260" s="73"/>
      <c r="AB260" s="6"/>
      <c r="AC260" s="2"/>
      <c r="AE260" s="72"/>
      <c r="AF260" s="6"/>
      <c r="AG260" s="73"/>
      <c r="AH260" s="6"/>
      <c r="AI260" s="6"/>
      <c r="AJ260" s="2"/>
      <c r="AL260" s="72"/>
      <c r="AN260" s="73"/>
      <c r="AO260" s="6"/>
      <c r="AQ260" s="2"/>
      <c r="AS260" s="72"/>
      <c r="AU260" s="73"/>
      <c r="AV260" s="6"/>
      <c r="AW260" s="6"/>
      <c r="AX260" s="2"/>
      <c r="AZ260" s="72"/>
      <c r="BB260" s="73"/>
      <c r="BE260" s="2"/>
      <c r="BG260" s="72"/>
      <c r="BH260" s="6"/>
      <c r="BI260" s="73"/>
      <c r="BJ260" s="6"/>
      <c r="BL260" s="2"/>
    </row>
    <row r="261" spans="7:64" x14ac:dyDescent="0.25">
      <c r="G261" s="72"/>
      <c r="H261" s="72"/>
      <c r="I261" s="72"/>
      <c r="S261" s="73"/>
      <c r="V261" s="2"/>
      <c r="X261" s="72"/>
      <c r="Y261" s="6"/>
      <c r="Z261" s="73"/>
      <c r="AB261" s="6"/>
      <c r="AC261" s="2"/>
      <c r="AE261" s="72"/>
      <c r="AF261" s="6"/>
      <c r="AG261" s="73"/>
      <c r="AH261" s="6"/>
      <c r="AI261" s="6"/>
      <c r="AJ261" s="2"/>
      <c r="AL261" s="72"/>
      <c r="AN261" s="73"/>
      <c r="AO261" s="6"/>
      <c r="AQ261" s="2"/>
      <c r="AS261" s="72"/>
      <c r="AU261" s="73"/>
      <c r="AV261" s="6"/>
      <c r="AW261" s="6"/>
      <c r="AX261" s="2"/>
      <c r="AZ261" s="72"/>
      <c r="BB261" s="73"/>
      <c r="BE261" s="2"/>
      <c r="BG261" s="72"/>
      <c r="BH261" s="6"/>
      <c r="BI261" s="73"/>
      <c r="BJ261" s="6"/>
      <c r="BL261" s="2"/>
    </row>
    <row r="262" spans="7:64" x14ac:dyDescent="0.25">
      <c r="G262" s="72"/>
      <c r="H262" s="72"/>
      <c r="I262" s="72"/>
      <c r="S262" s="73"/>
      <c r="V262" s="2"/>
      <c r="X262" s="72"/>
      <c r="Y262" s="6"/>
      <c r="Z262" s="73"/>
      <c r="AB262" s="6"/>
      <c r="AC262" s="2"/>
      <c r="AE262" s="72"/>
      <c r="AF262" s="6"/>
      <c r="AG262" s="73"/>
      <c r="AH262" s="6"/>
      <c r="AI262" s="6"/>
      <c r="AJ262" s="2"/>
      <c r="AL262" s="72"/>
      <c r="AN262" s="73"/>
      <c r="AO262" s="6"/>
      <c r="AQ262" s="2"/>
      <c r="AS262" s="72"/>
      <c r="AU262" s="73"/>
      <c r="AV262" s="6"/>
      <c r="AW262" s="6"/>
      <c r="AX262" s="2"/>
      <c r="AZ262" s="72"/>
      <c r="BB262" s="73"/>
      <c r="BE262" s="2"/>
      <c r="BG262" s="72"/>
      <c r="BH262" s="6"/>
      <c r="BI262" s="73"/>
      <c r="BJ262" s="6"/>
      <c r="BL262" s="2"/>
    </row>
    <row r="263" spans="7:64" x14ac:dyDescent="0.25">
      <c r="G263" s="72"/>
      <c r="H263" s="72"/>
      <c r="I263" s="72"/>
      <c r="S263" s="73"/>
      <c r="V263" s="2"/>
      <c r="X263" s="72"/>
      <c r="Y263" s="6"/>
      <c r="Z263" s="73"/>
      <c r="AB263" s="6"/>
      <c r="AC263" s="2"/>
      <c r="AE263" s="72"/>
      <c r="AF263" s="6"/>
      <c r="AG263" s="73"/>
      <c r="AH263" s="6"/>
      <c r="AI263" s="6"/>
      <c r="AJ263" s="2"/>
      <c r="AL263" s="72"/>
      <c r="AN263" s="73"/>
      <c r="AO263" s="6"/>
      <c r="AQ263" s="2"/>
      <c r="AS263" s="72"/>
      <c r="AU263" s="73"/>
      <c r="AV263" s="6"/>
      <c r="AW263" s="6"/>
      <c r="AX263" s="2"/>
      <c r="AZ263" s="72"/>
      <c r="BB263" s="73"/>
      <c r="BE263" s="2"/>
      <c r="BG263" s="72"/>
      <c r="BH263" s="6"/>
      <c r="BI263" s="73"/>
      <c r="BJ263" s="6"/>
      <c r="BL263" s="2"/>
    </row>
    <row r="264" spans="7:64" x14ac:dyDescent="0.25">
      <c r="G264" s="72"/>
      <c r="H264" s="72"/>
      <c r="I264" s="72"/>
      <c r="S264" s="73"/>
      <c r="V264" s="2"/>
      <c r="X264" s="72"/>
      <c r="Y264" s="6"/>
      <c r="Z264" s="73"/>
      <c r="AB264" s="6"/>
      <c r="AC264" s="2"/>
      <c r="AE264" s="72"/>
      <c r="AF264" s="6"/>
      <c r="AG264" s="73"/>
      <c r="AH264" s="6"/>
      <c r="AI264" s="6"/>
      <c r="AJ264" s="2"/>
      <c r="AL264" s="72"/>
      <c r="AN264" s="73"/>
      <c r="AO264" s="6"/>
      <c r="AQ264" s="2"/>
      <c r="AS264" s="72"/>
      <c r="AU264" s="73"/>
      <c r="AV264" s="6"/>
      <c r="AW264" s="6"/>
      <c r="AX264" s="2"/>
      <c r="AZ264" s="72"/>
      <c r="BB264" s="73"/>
      <c r="BE264" s="2"/>
      <c r="BG264" s="72"/>
      <c r="BH264" s="6"/>
      <c r="BI264" s="73"/>
      <c r="BJ264" s="6"/>
      <c r="BL264" s="2"/>
    </row>
    <row r="265" spans="7:64" x14ac:dyDescent="0.25">
      <c r="G265" s="72"/>
      <c r="H265" s="72"/>
      <c r="I265" s="72"/>
      <c r="S265" s="73"/>
      <c r="V265" s="2"/>
      <c r="X265" s="72"/>
      <c r="Y265" s="6"/>
      <c r="Z265" s="73"/>
      <c r="AB265" s="6"/>
      <c r="AC265" s="2"/>
      <c r="AE265" s="72"/>
      <c r="AF265" s="6"/>
      <c r="AG265" s="73"/>
      <c r="AH265" s="6"/>
      <c r="AI265" s="6"/>
      <c r="AJ265" s="2"/>
      <c r="AL265" s="72"/>
      <c r="AN265" s="73"/>
      <c r="AO265" s="6"/>
      <c r="AQ265" s="2"/>
      <c r="AS265" s="72"/>
      <c r="AU265" s="73"/>
      <c r="AV265" s="6"/>
      <c r="AW265" s="6"/>
      <c r="AX265" s="2"/>
      <c r="AZ265" s="72"/>
      <c r="BB265" s="73"/>
      <c r="BE265" s="2"/>
      <c r="BG265" s="72"/>
      <c r="BH265" s="6"/>
      <c r="BI265" s="73"/>
      <c r="BJ265" s="6"/>
      <c r="BL265" s="2"/>
    </row>
    <row r="266" spans="7:64" x14ac:dyDescent="0.25">
      <c r="G266" s="72"/>
      <c r="H266" s="72"/>
      <c r="I266" s="72"/>
      <c r="S266" s="73"/>
      <c r="V266" s="2"/>
      <c r="X266" s="72"/>
      <c r="Y266" s="6"/>
      <c r="Z266" s="73"/>
      <c r="AB266" s="6"/>
      <c r="AC266" s="2"/>
      <c r="AE266" s="72"/>
      <c r="AF266" s="6"/>
      <c r="AG266" s="73"/>
      <c r="AH266" s="6"/>
      <c r="AI266" s="6"/>
      <c r="AJ266" s="2"/>
      <c r="AL266" s="72"/>
      <c r="AN266" s="73"/>
      <c r="AO266" s="6"/>
      <c r="AQ266" s="2"/>
      <c r="AS266" s="72"/>
      <c r="AU266" s="73"/>
      <c r="AV266" s="6"/>
      <c r="AW266" s="6"/>
      <c r="AX266" s="2"/>
      <c r="AZ266" s="72"/>
      <c r="BB266" s="73"/>
      <c r="BE266" s="2"/>
      <c r="BG266" s="72"/>
      <c r="BH266" s="6"/>
      <c r="BI266" s="73"/>
      <c r="BJ266" s="6"/>
      <c r="BL266" s="2"/>
    </row>
    <row r="267" spans="7:64" x14ac:dyDescent="0.25">
      <c r="G267" s="72"/>
      <c r="H267" s="72"/>
      <c r="I267" s="72"/>
      <c r="S267" s="73"/>
      <c r="V267" s="2"/>
      <c r="X267" s="72"/>
      <c r="Y267" s="6"/>
      <c r="Z267" s="73"/>
      <c r="AB267" s="6"/>
      <c r="AC267" s="2"/>
      <c r="AE267" s="72"/>
      <c r="AF267" s="6"/>
      <c r="AG267" s="73"/>
      <c r="AH267" s="6"/>
      <c r="AI267" s="6"/>
      <c r="AJ267" s="2"/>
      <c r="AL267" s="72"/>
      <c r="AN267" s="73"/>
      <c r="AO267" s="6"/>
      <c r="AQ267" s="2"/>
      <c r="AS267" s="72"/>
      <c r="AU267" s="73"/>
      <c r="AV267" s="6"/>
      <c r="AW267" s="6"/>
      <c r="AX267" s="2"/>
      <c r="AZ267" s="72"/>
      <c r="BB267" s="73"/>
      <c r="BE267" s="2"/>
      <c r="BG267" s="72"/>
      <c r="BH267" s="6"/>
      <c r="BI267" s="73"/>
      <c r="BJ267" s="6"/>
      <c r="BL267" s="2"/>
    </row>
    <row r="268" spans="7:64" x14ac:dyDescent="0.25">
      <c r="G268" s="72"/>
      <c r="H268" s="72"/>
      <c r="I268" s="72"/>
      <c r="S268" s="73"/>
      <c r="V268" s="2"/>
      <c r="X268" s="72"/>
      <c r="Y268" s="6"/>
      <c r="Z268" s="73"/>
      <c r="AB268" s="6"/>
      <c r="AC268" s="2"/>
      <c r="AE268" s="72"/>
      <c r="AF268" s="6"/>
      <c r="AG268" s="73"/>
      <c r="AH268" s="6"/>
      <c r="AI268" s="6"/>
      <c r="AJ268" s="2"/>
      <c r="AL268" s="72"/>
      <c r="AN268" s="73"/>
      <c r="AO268" s="6"/>
      <c r="AQ268" s="2"/>
      <c r="AS268" s="72"/>
      <c r="AU268" s="73"/>
      <c r="AV268" s="6"/>
      <c r="AW268" s="6"/>
      <c r="AX268" s="2"/>
      <c r="AZ268" s="72"/>
      <c r="BB268" s="73"/>
      <c r="BE268" s="2"/>
      <c r="BG268" s="72"/>
      <c r="BH268" s="6"/>
      <c r="BI268" s="73"/>
      <c r="BJ268" s="6"/>
      <c r="BL268" s="2"/>
    </row>
    <row r="269" spans="7:64" x14ac:dyDescent="0.25">
      <c r="G269" s="72"/>
      <c r="H269" s="72"/>
      <c r="I269" s="72"/>
      <c r="S269" s="73"/>
      <c r="V269" s="2"/>
      <c r="X269" s="72"/>
      <c r="Y269" s="6"/>
      <c r="Z269" s="73"/>
      <c r="AB269" s="6"/>
      <c r="AC269" s="2"/>
      <c r="AE269" s="72"/>
      <c r="AF269" s="6"/>
      <c r="AG269" s="73"/>
      <c r="AH269" s="6"/>
      <c r="AI269" s="6"/>
      <c r="AJ269" s="2"/>
      <c r="AL269" s="72"/>
      <c r="AN269" s="73"/>
      <c r="AO269" s="6"/>
      <c r="AQ269" s="2"/>
      <c r="AS269" s="72"/>
      <c r="AU269" s="73"/>
      <c r="AV269" s="6"/>
      <c r="AW269" s="6"/>
      <c r="AX269" s="2"/>
      <c r="AZ269" s="72"/>
      <c r="BB269" s="73"/>
      <c r="BE269" s="2"/>
      <c r="BG269" s="72"/>
      <c r="BH269" s="6"/>
      <c r="BI269" s="73"/>
      <c r="BJ269" s="6"/>
      <c r="BL269" s="2"/>
    </row>
    <row r="270" spans="7:64" x14ac:dyDescent="0.25">
      <c r="G270" s="72"/>
      <c r="H270" s="72"/>
      <c r="I270" s="72"/>
      <c r="S270" s="73"/>
      <c r="V270" s="2"/>
      <c r="X270" s="72"/>
      <c r="Y270" s="6"/>
      <c r="Z270" s="73"/>
      <c r="AB270" s="6"/>
      <c r="AC270" s="2"/>
      <c r="AE270" s="72"/>
      <c r="AF270" s="6"/>
      <c r="AG270" s="73"/>
      <c r="AH270" s="6"/>
      <c r="AI270" s="6"/>
      <c r="AJ270" s="2"/>
      <c r="AL270" s="72"/>
      <c r="AN270" s="73"/>
      <c r="AO270" s="6"/>
      <c r="AQ270" s="2"/>
      <c r="AS270" s="72"/>
      <c r="AU270" s="73"/>
      <c r="AV270" s="6"/>
      <c r="AW270" s="6"/>
      <c r="AX270" s="2"/>
      <c r="AZ270" s="72"/>
      <c r="BB270" s="73"/>
      <c r="BE270" s="2"/>
      <c r="BG270" s="72"/>
      <c r="BH270" s="6"/>
      <c r="BI270" s="73"/>
      <c r="BJ270" s="6"/>
      <c r="BL270" s="2"/>
    </row>
    <row r="271" spans="7:64" x14ac:dyDescent="0.25">
      <c r="G271" s="72"/>
      <c r="H271" s="72"/>
      <c r="I271" s="72"/>
      <c r="S271" s="73"/>
      <c r="V271" s="2"/>
      <c r="X271" s="72"/>
      <c r="Y271" s="6"/>
      <c r="Z271" s="73"/>
      <c r="AB271" s="6"/>
      <c r="AC271" s="2"/>
      <c r="AE271" s="72"/>
      <c r="AF271" s="6"/>
      <c r="AG271" s="73"/>
      <c r="AH271" s="6"/>
      <c r="AI271" s="6"/>
      <c r="AJ271" s="2"/>
      <c r="AL271" s="72"/>
      <c r="AN271" s="73"/>
      <c r="AO271" s="6"/>
      <c r="AQ271" s="2"/>
      <c r="AS271" s="72"/>
      <c r="AU271" s="73"/>
      <c r="AV271" s="6"/>
      <c r="AW271" s="6"/>
      <c r="AX271" s="2"/>
      <c r="AZ271" s="72"/>
      <c r="BB271" s="73"/>
      <c r="BE271" s="2"/>
      <c r="BG271" s="72"/>
      <c r="BH271" s="6"/>
      <c r="BI271" s="73"/>
      <c r="BJ271" s="6"/>
      <c r="BL271" s="2"/>
    </row>
    <row r="272" spans="7:64" x14ac:dyDescent="0.25">
      <c r="G272" s="72"/>
      <c r="H272" s="72"/>
      <c r="I272" s="72"/>
      <c r="S272" s="73"/>
      <c r="V272" s="2"/>
      <c r="X272" s="72"/>
      <c r="Y272" s="6"/>
      <c r="Z272" s="73"/>
      <c r="AB272" s="6"/>
      <c r="AC272" s="2"/>
      <c r="AE272" s="72"/>
      <c r="AF272" s="6"/>
      <c r="AG272" s="73"/>
      <c r="AH272" s="6"/>
      <c r="AI272" s="6"/>
      <c r="AJ272" s="2"/>
      <c r="AL272" s="72"/>
      <c r="AN272" s="73"/>
      <c r="AO272" s="6"/>
      <c r="AQ272" s="2"/>
      <c r="AS272" s="72"/>
      <c r="AU272" s="73"/>
      <c r="AV272" s="6"/>
      <c r="AW272" s="6"/>
      <c r="AX272" s="2"/>
      <c r="AZ272" s="72"/>
      <c r="BB272" s="73"/>
      <c r="BE272" s="2"/>
      <c r="BG272" s="72"/>
      <c r="BH272" s="6"/>
      <c r="BI272" s="73"/>
      <c r="BJ272" s="6"/>
      <c r="BL272" s="2"/>
    </row>
    <row r="273" spans="7:64" x14ac:dyDescent="0.25">
      <c r="G273" s="72"/>
      <c r="H273" s="72"/>
      <c r="I273" s="72"/>
      <c r="S273" s="73"/>
      <c r="V273" s="2"/>
      <c r="X273" s="72"/>
      <c r="Y273" s="6"/>
      <c r="Z273" s="73"/>
      <c r="AB273" s="6"/>
      <c r="AC273" s="2"/>
      <c r="AE273" s="72"/>
      <c r="AF273" s="6"/>
      <c r="AG273" s="73"/>
      <c r="AH273" s="6"/>
      <c r="AI273" s="6"/>
      <c r="AJ273" s="2"/>
      <c r="AL273" s="72"/>
      <c r="AN273" s="73"/>
      <c r="AO273" s="6"/>
      <c r="AQ273" s="2"/>
      <c r="AS273" s="72"/>
      <c r="AU273" s="73"/>
      <c r="AV273" s="6"/>
      <c r="AW273" s="6"/>
      <c r="AX273" s="2"/>
      <c r="AZ273" s="72"/>
      <c r="BB273" s="73"/>
      <c r="BE273" s="2"/>
      <c r="BG273" s="72"/>
      <c r="BH273" s="6"/>
      <c r="BI273" s="73"/>
      <c r="BJ273" s="6"/>
      <c r="BL273" s="2"/>
    </row>
    <row r="274" spans="7:64" x14ac:dyDescent="0.25">
      <c r="G274" s="72"/>
      <c r="H274" s="72"/>
      <c r="I274" s="72"/>
      <c r="S274" s="73"/>
      <c r="V274" s="2"/>
      <c r="X274" s="72"/>
      <c r="Y274" s="6"/>
      <c r="Z274" s="73"/>
      <c r="AB274" s="6"/>
      <c r="AC274" s="2"/>
      <c r="AE274" s="72"/>
      <c r="AF274" s="6"/>
      <c r="AG274" s="73"/>
      <c r="AH274" s="6"/>
      <c r="AI274" s="6"/>
      <c r="AJ274" s="2"/>
      <c r="AL274" s="72"/>
      <c r="AN274" s="73"/>
      <c r="AO274" s="6"/>
      <c r="AQ274" s="2"/>
      <c r="AS274" s="72"/>
      <c r="AU274" s="73"/>
      <c r="AV274" s="6"/>
      <c r="AW274" s="6"/>
      <c r="AX274" s="2"/>
      <c r="AZ274" s="72"/>
      <c r="BB274" s="73"/>
      <c r="BE274" s="2"/>
      <c r="BG274" s="72"/>
      <c r="BH274" s="6"/>
      <c r="BI274" s="73"/>
      <c r="BJ274" s="6"/>
      <c r="BL274" s="2"/>
    </row>
    <row r="275" spans="7:64" x14ac:dyDescent="0.25">
      <c r="G275" s="72"/>
      <c r="H275" s="72"/>
      <c r="I275" s="72"/>
      <c r="S275" s="73"/>
      <c r="V275" s="2"/>
      <c r="X275" s="72"/>
      <c r="Y275" s="6"/>
      <c r="Z275" s="73"/>
      <c r="AB275" s="6"/>
      <c r="AC275" s="2"/>
      <c r="AE275" s="72"/>
      <c r="AF275" s="6"/>
      <c r="AG275" s="73"/>
      <c r="AH275" s="6"/>
      <c r="AI275" s="6"/>
      <c r="AJ275" s="2"/>
      <c r="AL275" s="72"/>
      <c r="AN275" s="73"/>
      <c r="AO275" s="6"/>
      <c r="AQ275" s="2"/>
      <c r="AS275" s="72"/>
      <c r="AU275" s="73"/>
      <c r="AV275" s="6"/>
      <c r="AW275" s="6"/>
      <c r="AX275" s="2"/>
      <c r="AZ275" s="72"/>
      <c r="BB275" s="73"/>
      <c r="BE275" s="2"/>
      <c r="BG275" s="72"/>
      <c r="BH275" s="6"/>
      <c r="BI275" s="73"/>
      <c r="BJ275" s="6"/>
      <c r="BL275" s="2"/>
    </row>
    <row r="276" spans="7:64" x14ac:dyDescent="0.25">
      <c r="G276" s="72"/>
      <c r="H276" s="72"/>
      <c r="I276" s="72"/>
      <c r="S276" s="73"/>
      <c r="V276" s="2"/>
      <c r="X276" s="72"/>
      <c r="Y276" s="6"/>
      <c r="Z276" s="73"/>
      <c r="AB276" s="6"/>
      <c r="AC276" s="2"/>
      <c r="AE276" s="72"/>
      <c r="AF276" s="6"/>
      <c r="AG276" s="73"/>
      <c r="AH276" s="6"/>
      <c r="AI276" s="6"/>
      <c r="AJ276" s="2"/>
      <c r="AL276" s="72"/>
      <c r="AN276" s="73"/>
      <c r="AO276" s="6"/>
      <c r="AQ276" s="2"/>
      <c r="AS276" s="72"/>
      <c r="AU276" s="73"/>
      <c r="AV276" s="6"/>
      <c r="AW276" s="6"/>
      <c r="AX276" s="2"/>
      <c r="AZ276" s="72"/>
      <c r="BB276" s="73"/>
      <c r="BE276" s="2"/>
      <c r="BG276" s="72"/>
      <c r="BH276" s="6"/>
      <c r="BI276" s="73"/>
      <c r="BJ276" s="6"/>
      <c r="BL276" s="2"/>
    </row>
    <row r="277" spans="7:64" x14ac:dyDescent="0.25">
      <c r="G277" s="72"/>
      <c r="H277" s="72"/>
      <c r="I277" s="72"/>
      <c r="S277" s="73"/>
      <c r="V277" s="2"/>
      <c r="X277" s="72"/>
      <c r="Y277" s="6"/>
      <c r="Z277" s="73"/>
      <c r="AB277" s="6"/>
      <c r="AC277" s="2"/>
      <c r="AE277" s="72"/>
      <c r="AF277" s="6"/>
      <c r="AG277" s="73"/>
      <c r="AH277" s="6"/>
      <c r="AI277" s="6"/>
      <c r="AJ277" s="2"/>
      <c r="AL277" s="72"/>
      <c r="AN277" s="73"/>
      <c r="AO277" s="6"/>
      <c r="AQ277" s="2"/>
      <c r="AS277" s="72"/>
      <c r="AU277" s="73"/>
      <c r="AV277" s="6"/>
      <c r="AW277" s="6"/>
      <c r="AX277" s="2"/>
      <c r="AZ277" s="72"/>
      <c r="BB277" s="73"/>
      <c r="BE277" s="2"/>
      <c r="BG277" s="72"/>
      <c r="BH277" s="6"/>
      <c r="BI277" s="73"/>
      <c r="BJ277" s="6"/>
      <c r="BL277" s="2"/>
    </row>
    <row r="278" spans="7:64" x14ac:dyDescent="0.25">
      <c r="G278" s="72"/>
      <c r="H278" s="72"/>
      <c r="I278" s="72"/>
      <c r="S278" s="73"/>
      <c r="V278" s="2"/>
      <c r="X278" s="72"/>
      <c r="Y278" s="6"/>
      <c r="Z278" s="73"/>
      <c r="AB278" s="6"/>
      <c r="AC278" s="2"/>
      <c r="AE278" s="72"/>
      <c r="AF278" s="6"/>
      <c r="AG278" s="73"/>
      <c r="AH278" s="6"/>
      <c r="AI278" s="6"/>
      <c r="AJ278" s="2"/>
      <c r="AL278" s="72"/>
      <c r="AN278" s="73"/>
      <c r="AO278" s="6"/>
      <c r="AQ278" s="2"/>
      <c r="AS278" s="72"/>
      <c r="AU278" s="73"/>
      <c r="AV278" s="6"/>
      <c r="AW278" s="6"/>
      <c r="AX278" s="2"/>
      <c r="AZ278" s="72"/>
      <c r="BB278" s="73"/>
      <c r="BE278" s="2"/>
      <c r="BG278" s="72"/>
      <c r="BH278" s="6"/>
      <c r="BI278" s="73"/>
      <c r="BJ278" s="6"/>
      <c r="BL278" s="2"/>
    </row>
    <row r="279" spans="7:64" x14ac:dyDescent="0.25">
      <c r="G279" s="72"/>
      <c r="H279" s="72"/>
      <c r="I279" s="72"/>
      <c r="S279" s="73"/>
      <c r="V279" s="2"/>
      <c r="X279" s="72"/>
      <c r="Y279" s="6"/>
      <c r="Z279" s="73"/>
      <c r="AB279" s="6"/>
      <c r="AC279" s="2"/>
      <c r="AE279" s="72"/>
      <c r="AF279" s="6"/>
      <c r="AG279" s="73"/>
      <c r="AH279" s="6"/>
      <c r="AI279" s="6"/>
      <c r="AJ279" s="2"/>
      <c r="AL279" s="72"/>
      <c r="AN279" s="73"/>
      <c r="AO279" s="6"/>
      <c r="AQ279" s="2"/>
      <c r="AS279" s="72"/>
      <c r="AU279" s="73"/>
      <c r="AV279" s="6"/>
      <c r="AW279" s="6"/>
      <c r="AX279" s="2"/>
      <c r="AZ279" s="72"/>
      <c r="BB279" s="73"/>
      <c r="BE279" s="2"/>
      <c r="BG279" s="72"/>
      <c r="BH279" s="6"/>
      <c r="BI279" s="73"/>
      <c r="BJ279" s="6"/>
      <c r="BL279" s="2"/>
    </row>
    <row r="280" spans="7:64" x14ac:dyDescent="0.25">
      <c r="G280" s="72"/>
      <c r="H280" s="72"/>
      <c r="I280" s="72"/>
      <c r="S280" s="73"/>
      <c r="V280" s="2"/>
      <c r="X280" s="72"/>
      <c r="Y280" s="6"/>
      <c r="Z280" s="73"/>
      <c r="AB280" s="6"/>
      <c r="AC280" s="2"/>
      <c r="AE280" s="72"/>
      <c r="AF280" s="6"/>
      <c r="AG280" s="73"/>
      <c r="AH280" s="6"/>
      <c r="AI280" s="6"/>
      <c r="AJ280" s="2"/>
      <c r="AL280" s="72"/>
      <c r="AN280" s="73"/>
      <c r="AO280" s="6"/>
      <c r="AQ280" s="2"/>
      <c r="AS280" s="72"/>
      <c r="AU280" s="73"/>
      <c r="AV280" s="6"/>
      <c r="AW280" s="6"/>
      <c r="AX280" s="2"/>
      <c r="AZ280" s="72"/>
      <c r="BB280" s="73"/>
      <c r="BE280" s="2"/>
      <c r="BG280" s="72"/>
      <c r="BH280" s="6"/>
      <c r="BI280" s="73"/>
      <c r="BJ280" s="6"/>
      <c r="BL280" s="2"/>
    </row>
    <row r="281" spans="7:64" x14ac:dyDescent="0.25">
      <c r="G281" s="72"/>
      <c r="H281" s="72"/>
      <c r="I281" s="72"/>
      <c r="S281" s="73"/>
      <c r="V281" s="2"/>
      <c r="X281" s="72"/>
      <c r="Y281" s="6"/>
      <c r="Z281" s="73"/>
      <c r="AB281" s="6"/>
      <c r="AC281" s="2"/>
      <c r="AE281" s="72"/>
      <c r="AF281" s="6"/>
      <c r="AG281" s="73"/>
      <c r="AH281" s="6"/>
      <c r="AI281" s="6"/>
      <c r="AJ281" s="2"/>
      <c r="AL281" s="72"/>
      <c r="AN281" s="73"/>
      <c r="AO281" s="6"/>
      <c r="AQ281" s="2"/>
      <c r="AS281" s="72"/>
      <c r="AU281" s="73"/>
      <c r="AV281" s="6"/>
      <c r="AW281" s="6"/>
      <c r="AX281" s="2"/>
      <c r="AZ281" s="72"/>
      <c r="BB281" s="73"/>
      <c r="BE281" s="2"/>
      <c r="BG281" s="72"/>
      <c r="BH281" s="6"/>
      <c r="BI281" s="73"/>
      <c r="BJ281" s="6"/>
      <c r="BL281" s="2"/>
    </row>
    <row r="282" spans="7:64" x14ac:dyDescent="0.25">
      <c r="G282" s="72"/>
      <c r="H282" s="72"/>
      <c r="I282" s="72"/>
      <c r="S282" s="73"/>
      <c r="V282" s="2"/>
      <c r="X282" s="72"/>
      <c r="Y282" s="6"/>
      <c r="Z282" s="73"/>
      <c r="AB282" s="6"/>
      <c r="AC282" s="2"/>
      <c r="AE282" s="72"/>
      <c r="AF282" s="6"/>
      <c r="AG282" s="73"/>
      <c r="AH282" s="6"/>
      <c r="AI282" s="6"/>
      <c r="AJ282" s="2"/>
      <c r="AL282" s="72"/>
      <c r="AN282" s="73"/>
      <c r="AO282" s="6"/>
      <c r="AQ282" s="2"/>
      <c r="AS282" s="72"/>
      <c r="AU282" s="73"/>
      <c r="AV282" s="6"/>
      <c r="AW282" s="6"/>
      <c r="AX282" s="2"/>
      <c r="AZ282" s="72"/>
      <c r="BB282" s="73"/>
      <c r="BE282" s="2"/>
      <c r="BG282" s="72"/>
      <c r="BH282" s="6"/>
      <c r="BI282" s="73"/>
      <c r="BJ282" s="6"/>
      <c r="BL282" s="2"/>
    </row>
    <row r="283" spans="7:64" x14ac:dyDescent="0.25">
      <c r="G283" s="72"/>
      <c r="H283" s="72"/>
      <c r="I283" s="72"/>
      <c r="S283" s="73"/>
      <c r="V283" s="2"/>
      <c r="X283" s="72"/>
      <c r="Y283" s="6"/>
      <c r="Z283" s="73"/>
      <c r="AB283" s="6"/>
      <c r="AC283" s="2"/>
      <c r="AE283" s="72"/>
      <c r="AF283" s="6"/>
      <c r="AG283" s="73"/>
      <c r="AH283" s="6"/>
      <c r="AI283" s="6"/>
      <c r="AJ283" s="2"/>
      <c r="AL283" s="72"/>
      <c r="AN283" s="73"/>
      <c r="AO283" s="6"/>
      <c r="AQ283" s="2"/>
      <c r="AS283" s="72"/>
      <c r="AU283" s="73"/>
      <c r="AV283" s="6"/>
      <c r="AW283" s="6"/>
      <c r="AX283" s="2"/>
      <c r="AZ283" s="72"/>
      <c r="BB283" s="73"/>
      <c r="BE283" s="2"/>
      <c r="BG283" s="72"/>
      <c r="BH283" s="6"/>
      <c r="BI283" s="73"/>
      <c r="BJ283" s="6"/>
      <c r="BL283" s="2"/>
    </row>
    <row r="284" spans="7:64" x14ac:dyDescent="0.25">
      <c r="G284" s="72"/>
      <c r="H284" s="72"/>
      <c r="I284" s="72"/>
      <c r="S284" s="73"/>
      <c r="V284" s="2"/>
      <c r="X284" s="72"/>
      <c r="Y284" s="6"/>
      <c r="Z284" s="73"/>
      <c r="AB284" s="6"/>
      <c r="AC284" s="2"/>
      <c r="AE284" s="72"/>
      <c r="AF284" s="6"/>
      <c r="AG284" s="73"/>
      <c r="AH284" s="6"/>
      <c r="AI284" s="6"/>
      <c r="AJ284" s="2"/>
      <c r="AL284" s="72"/>
      <c r="AN284" s="73"/>
      <c r="AO284" s="6"/>
      <c r="AQ284" s="2"/>
      <c r="AS284" s="72"/>
      <c r="AU284" s="73"/>
      <c r="AV284" s="6"/>
      <c r="AW284" s="6"/>
      <c r="AX284" s="2"/>
      <c r="AZ284" s="72"/>
      <c r="BB284" s="73"/>
      <c r="BE284" s="2"/>
      <c r="BG284" s="72"/>
      <c r="BH284" s="6"/>
      <c r="BI284" s="73"/>
      <c r="BJ284" s="6"/>
      <c r="BL284" s="2"/>
    </row>
    <row r="285" spans="7:64" x14ac:dyDescent="0.25">
      <c r="G285" s="72"/>
      <c r="H285" s="72"/>
      <c r="I285" s="72"/>
      <c r="S285" s="73"/>
      <c r="V285" s="2"/>
      <c r="X285" s="72"/>
      <c r="Y285" s="6"/>
      <c r="Z285" s="73"/>
      <c r="AB285" s="6"/>
      <c r="AC285" s="2"/>
      <c r="AE285" s="72"/>
      <c r="AF285" s="6"/>
      <c r="AG285" s="73"/>
      <c r="AH285" s="6"/>
      <c r="AI285" s="6"/>
      <c r="AJ285" s="2"/>
      <c r="AL285" s="72"/>
      <c r="AN285" s="73"/>
      <c r="AO285" s="6"/>
      <c r="AQ285" s="2"/>
      <c r="AS285" s="72"/>
      <c r="AU285" s="73"/>
      <c r="AV285" s="6"/>
      <c r="AW285" s="6"/>
      <c r="AX285" s="2"/>
      <c r="AZ285" s="72"/>
      <c r="BB285" s="73"/>
      <c r="BE285" s="2"/>
      <c r="BG285" s="72"/>
      <c r="BH285" s="6"/>
      <c r="BI285" s="73"/>
      <c r="BJ285" s="6"/>
      <c r="BL285" s="2"/>
    </row>
    <row r="286" spans="7:64" x14ac:dyDescent="0.25">
      <c r="G286" s="72"/>
      <c r="H286" s="72"/>
      <c r="I286" s="72"/>
      <c r="S286" s="73"/>
      <c r="V286" s="2"/>
      <c r="X286" s="72"/>
      <c r="Y286" s="6"/>
      <c r="Z286" s="73"/>
      <c r="AB286" s="6"/>
      <c r="AC286" s="2"/>
      <c r="AE286" s="72"/>
      <c r="AF286" s="6"/>
      <c r="AG286" s="73"/>
      <c r="AH286" s="6"/>
      <c r="AI286" s="6"/>
      <c r="AJ286" s="2"/>
      <c r="AL286" s="72"/>
      <c r="AN286" s="73"/>
      <c r="AO286" s="6"/>
      <c r="AQ286" s="2"/>
      <c r="AS286" s="72"/>
      <c r="AU286" s="73"/>
      <c r="AV286" s="6"/>
      <c r="AW286" s="6"/>
      <c r="AX286" s="2"/>
      <c r="AZ286" s="72"/>
      <c r="BB286" s="73"/>
      <c r="BE286" s="2"/>
      <c r="BG286" s="72"/>
      <c r="BH286" s="6"/>
      <c r="BI286" s="73"/>
      <c r="BJ286" s="6"/>
      <c r="BL286" s="2"/>
    </row>
    <row r="287" spans="7:64" x14ac:dyDescent="0.25">
      <c r="G287" s="72"/>
      <c r="H287" s="72"/>
      <c r="I287" s="72"/>
      <c r="S287" s="73"/>
      <c r="V287" s="2"/>
      <c r="X287" s="72"/>
      <c r="Y287" s="6"/>
      <c r="Z287" s="73"/>
      <c r="AB287" s="6"/>
      <c r="AC287" s="2"/>
      <c r="AE287" s="72"/>
      <c r="AF287" s="6"/>
      <c r="AG287" s="73"/>
      <c r="AH287" s="6"/>
      <c r="AI287" s="6"/>
      <c r="AJ287" s="2"/>
      <c r="AL287" s="72"/>
      <c r="AN287" s="73"/>
      <c r="AO287" s="6"/>
      <c r="AQ287" s="2"/>
      <c r="AS287" s="72"/>
      <c r="AU287" s="73"/>
      <c r="AV287" s="6"/>
      <c r="AW287" s="6"/>
      <c r="AX287" s="2"/>
      <c r="AZ287" s="72"/>
      <c r="BB287" s="73"/>
      <c r="BE287" s="2"/>
      <c r="BG287" s="72"/>
      <c r="BH287" s="6"/>
      <c r="BI287" s="73"/>
      <c r="BJ287" s="6"/>
      <c r="BL287" s="2"/>
    </row>
    <row r="288" spans="7:64" x14ac:dyDescent="0.25">
      <c r="G288" s="72"/>
      <c r="H288" s="72"/>
      <c r="I288" s="72"/>
      <c r="S288" s="73"/>
      <c r="V288" s="2"/>
      <c r="X288" s="72"/>
      <c r="Y288" s="6"/>
      <c r="Z288" s="73"/>
      <c r="AB288" s="6"/>
      <c r="AC288" s="2"/>
      <c r="AE288" s="72"/>
      <c r="AF288" s="6"/>
      <c r="AG288" s="73"/>
      <c r="AH288" s="6"/>
      <c r="AI288" s="6"/>
      <c r="AJ288" s="2"/>
      <c r="AL288" s="72"/>
      <c r="AN288" s="73"/>
      <c r="AO288" s="6"/>
      <c r="AQ288" s="2"/>
      <c r="AS288" s="72"/>
      <c r="AU288" s="73"/>
      <c r="AV288" s="6"/>
      <c r="AW288" s="6"/>
      <c r="AX288" s="2"/>
      <c r="AZ288" s="72"/>
      <c r="BB288" s="73"/>
      <c r="BE288" s="2"/>
      <c r="BG288" s="72"/>
      <c r="BH288" s="6"/>
      <c r="BI288" s="73"/>
      <c r="BJ288" s="6"/>
      <c r="BL288" s="2"/>
    </row>
    <row r="289" spans="7:64" x14ac:dyDescent="0.25">
      <c r="G289" s="72"/>
      <c r="H289" s="72"/>
      <c r="I289" s="72"/>
      <c r="S289" s="73"/>
      <c r="V289" s="2"/>
      <c r="X289" s="72"/>
      <c r="Y289" s="6"/>
      <c r="Z289" s="73"/>
      <c r="AB289" s="6"/>
      <c r="AC289" s="2"/>
      <c r="AE289" s="72"/>
      <c r="AF289" s="6"/>
      <c r="AG289" s="73"/>
      <c r="AH289" s="6"/>
      <c r="AI289" s="6"/>
      <c r="AJ289" s="2"/>
      <c r="AL289" s="72"/>
      <c r="AN289" s="73"/>
      <c r="AO289" s="6"/>
      <c r="AQ289" s="2"/>
      <c r="AS289" s="72"/>
      <c r="AU289" s="73"/>
      <c r="AV289" s="6"/>
      <c r="AW289" s="6"/>
      <c r="AX289" s="2"/>
      <c r="AZ289" s="72"/>
      <c r="BB289" s="73"/>
      <c r="BE289" s="2"/>
      <c r="BG289" s="72"/>
      <c r="BH289" s="6"/>
      <c r="BI289" s="73"/>
      <c r="BJ289" s="6"/>
      <c r="BL289" s="2"/>
    </row>
    <row r="290" spans="7:64" x14ac:dyDescent="0.25">
      <c r="G290" s="72"/>
      <c r="H290" s="72"/>
      <c r="I290" s="72"/>
      <c r="S290" s="73"/>
      <c r="V290" s="2"/>
      <c r="X290" s="72"/>
      <c r="Y290" s="6"/>
      <c r="Z290" s="73"/>
      <c r="AB290" s="6"/>
      <c r="AC290" s="2"/>
      <c r="AE290" s="72"/>
      <c r="AF290" s="6"/>
      <c r="AG290" s="73"/>
      <c r="AH290" s="6"/>
      <c r="AI290" s="6"/>
      <c r="AJ290" s="2"/>
      <c r="AL290" s="72"/>
      <c r="AN290" s="73"/>
      <c r="AO290" s="6"/>
      <c r="AQ290" s="2"/>
      <c r="AS290" s="72"/>
      <c r="AU290" s="73"/>
      <c r="AV290" s="6"/>
      <c r="AW290" s="6"/>
      <c r="AX290" s="2"/>
      <c r="AZ290" s="72"/>
      <c r="BB290" s="73"/>
      <c r="BE290" s="2"/>
      <c r="BG290" s="72"/>
      <c r="BH290" s="6"/>
      <c r="BI290" s="73"/>
      <c r="BJ290" s="6"/>
      <c r="BL290" s="2"/>
    </row>
    <row r="291" spans="7:64" x14ac:dyDescent="0.25">
      <c r="G291" s="72"/>
      <c r="H291" s="72"/>
      <c r="I291" s="72"/>
      <c r="S291" s="73"/>
      <c r="V291" s="2"/>
      <c r="X291" s="72"/>
      <c r="Y291" s="6"/>
      <c r="Z291" s="73"/>
      <c r="AB291" s="6"/>
      <c r="AC291" s="2"/>
      <c r="AE291" s="72"/>
      <c r="AF291" s="6"/>
      <c r="AG291" s="73"/>
      <c r="AH291" s="6"/>
      <c r="AI291" s="6"/>
      <c r="AJ291" s="2"/>
      <c r="AL291" s="72"/>
      <c r="AN291" s="73"/>
      <c r="AO291" s="6"/>
      <c r="AQ291" s="2"/>
      <c r="AS291" s="72"/>
      <c r="AU291" s="73"/>
      <c r="AV291" s="6"/>
      <c r="AW291" s="6"/>
      <c r="AX291" s="2"/>
      <c r="AZ291" s="72"/>
      <c r="BB291" s="73"/>
      <c r="BE291" s="2"/>
      <c r="BG291" s="72"/>
      <c r="BH291" s="6"/>
      <c r="BI291" s="73"/>
      <c r="BJ291" s="6"/>
      <c r="BL291" s="2"/>
    </row>
    <row r="292" spans="7:64" x14ac:dyDescent="0.25">
      <c r="G292" s="72"/>
      <c r="H292" s="72"/>
      <c r="I292" s="72"/>
      <c r="S292" s="73"/>
      <c r="V292" s="2"/>
      <c r="X292" s="72"/>
      <c r="Y292" s="6"/>
      <c r="Z292" s="73"/>
      <c r="AB292" s="6"/>
      <c r="AC292" s="2"/>
      <c r="AE292" s="72"/>
      <c r="AF292" s="6"/>
      <c r="AG292" s="73"/>
      <c r="AH292" s="6"/>
      <c r="AI292" s="6"/>
      <c r="AJ292" s="2"/>
      <c r="AL292" s="72"/>
      <c r="AN292" s="73"/>
      <c r="AO292" s="6"/>
      <c r="AQ292" s="2"/>
      <c r="AS292" s="72"/>
      <c r="AU292" s="73"/>
      <c r="AV292" s="6"/>
      <c r="AW292" s="6"/>
      <c r="AX292" s="2"/>
      <c r="AZ292" s="72"/>
      <c r="BB292" s="73"/>
      <c r="BE292" s="2"/>
      <c r="BG292" s="72"/>
      <c r="BH292" s="6"/>
      <c r="BI292" s="73"/>
      <c r="BJ292" s="6"/>
      <c r="BL292" s="2"/>
    </row>
    <row r="293" spans="7:64" x14ac:dyDescent="0.25">
      <c r="G293" s="72"/>
      <c r="H293" s="72"/>
      <c r="I293" s="72"/>
      <c r="S293" s="73"/>
      <c r="V293" s="2"/>
      <c r="X293" s="72"/>
      <c r="Y293" s="6"/>
      <c r="Z293" s="73"/>
      <c r="AB293" s="6"/>
      <c r="AC293" s="2"/>
      <c r="AE293" s="72"/>
      <c r="AF293" s="6"/>
      <c r="AG293" s="73"/>
      <c r="AH293" s="6"/>
      <c r="AI293" s="6"/>
      <c r="AJ293" s="2"/>
      <c r="AL293" s="72"/>
      <c r="AN293" s="73"/>
      <c r="AO293" s="6"/>
      <c r="AQ293" s="2"/>
      <c r="AS293" s="72"/>
      <c r="AU293" s="73"/>
      <c r="AV293" s="6"/>
      <c r="AW293" s="6"/>
      <c r="AX293" s="2"/>
      <c r="AZ293" s="72"/>
      <c r="BB293" s="73"/>
      <c r="BE293" s="2"/>
      <c r="BG293" s="72"/>
      <c r="BH293" s="6"/>
      <c r="BI293" s="73"/>
      <c r="BJ293" s="6"/>
      <c r="BL293" s="2"/>
    </row>
    <row r="294" spans="7:64" x14ac:dyDescent="0.25">
      <c r="G294" s="72"/>
      <c r="H294" s="72"/>
      <c r="I294" s="72"/>
      <c r="S294" s="73"/>
      <c r="V294" s="2"/>
      <c r="X294" s="72"/>
      <c r="Y294" s="6"/>
      <c r="Z294" s="73"/>
      <c r="AB294" s="6"/>
      <c r="AC294" s="2"/>
      <c r="AE294" s="72"/>
      <c r="AF294" s="6"/>
      <c r="AG294" s="73"/>
      <c r="AH294" s="6"/>
      <c r="AI294" s="6"/>
      <c r="AJ294" s="2"/>
      <c r="AL294" s="72"/>
      <c r="AN294" s="73"/>
      <c r="AO294" s="6"/>
      <c r="AQ294" s="2"/>
      <c r="AS294" s="72"/>
      <c r="AU294" s="73"/>
      <c r="AV294" s="6"/>
      <c r="AW294" s="6"/>
      <c r="AX294" s="2"/>
      <c r="AZ294" s="72"/>
      <c r="BB294" s="73"/>
      <c r="BE294" s="2"/>
      <c r="BG294" s="72"/>
      <c r="BH294" s="6"/>
      <c r="BI294" s="73"/>
      <c r="BJ294" s="6"/>
      <c r="BL294" s="2"/>
    </row>
    <row r="295" spans="7:64" x14ac:dyDescent="0.25">
      <c r="G295" s="72"/>
      <c r="H295" s="72"/>
      <c r="I295" s="72"/>
      <c r="S295" s="73"/>
      <c r="V295" s="2"/>
      <c r="X295" s="72"/>
      <c r="Y295" s="6"/>
      <c r="Z295" s="73"/>
      <c r="AB295" s="6"/>
      <c r="AC295" s="2"/>
      <c r="AE295" s="72"/>
      <c r="AF295" s="6"/>
      <c r="AG295" s="73"/>
      <c r="AH295" s="6"/>
      <c r="AI295" s="6"/>
      <c r="AJ295" s="2"/>
      <c r="AL295" s="72"/>
      <c r="AN295" s="73"/>
      <c r="AO295" s="6"/>
      <c r="AQ295" s="2"/>
      <c r="AS295" s="72"/>
      <c r="AU295" s="73"/>
      <c r="AV295" s="6"/>
      <c r="AW295" s="6"/>
      <c r="AX295" s="2"/>
      <c r="AZ295" s="72"/>
      <c r="BB295" s="73"/>
      <c r="BE295" s="2"/>
      <c r="BG295" s="72"/>
      <c r="BH295" s="6"/>
      <c r="BI295" s="73"/>
      <c r="BJ295" s="6"/>
      <c r="BL295" s="2"/>
    </row>
    <row r="296" spans="7:64" x14ac:dyDescent="0.25">
      <c r="G296" s="72"/>
      <c r="H296" s="72"/>
      <c r="I296" s="72"/>
      <c r="S296" s="73"/>
      <c r="V296" s="2"/>
      <c r="X296" s="72"/>
      <c r="Y296" s="6"/>
      <c r="Z296" s="73"/>
      <c r="AB296" s="6"/>
      <c r="AC296" s="2"/>
      <c r="AE296" s="72"/>
      <c r="AF296" s="6"/>
      <c r="AG296" s="73"/>
      <c r="AH296" s="6"/>
      <c r="AI296" s="6"/>
      <c r="AJ296" s="2"/>
      <c r="AL296" s="72"/>
      <c r="AN296" s="73"/>
      <c r="AO296" s="6"/>
      <c r="AQ296" s="2"/>
      <c r="AS296" s="72"/>
      <c r="AU296" s="73"/>
      <c r="AV296" s="6"/>
      <c r="AW296" s="6"/>
      <c r="AX296" s="2"/>
      <c r="AZ296" s="72"/>
      <c r="BB296" s="73"/>
      <c r="BE296" s="2"/>
      <c r="BG296" s="72"/>
      <c r="BH296" s="6"/>
      <c r="BI296" s="73"/>
      <c r="BJ296" s="6"/>
      <c r="BL296" s="2"/>
    </row>
    <row r="297" spans="7:64" x14ac:dyDescent="0.25">
      <c r="G297" s="72"/>
      <c r="H297" s="72"/>
      <c r="I297" s="72"/>
      <c r="S297" s="73"/>
      <c r="V297" s="2"/>
      <c r="X297" s="72"/>
      <c r="Y297" s="6"/>
      <c r="Z297" s="73"/>
      <c r="AB297" s="6"/>
      <c r="AC297" s="2"/>
      <c r="AE297" s="72"/>
      <c r="AF297" s="6"/>
      <c r="AG297" s="73"/>
      <c r="AH297" s="6"/>
      <c r="AI297" s="6"/>
      <c r="AJ297" s="2"/>
      <c r="AL297" s="72"/>
      <c r="AN297" s="73"/>
      <c r="AO297" s="6"/>
      <c r="AQ297" s="2"/>
      <c r="AS297" s="72"/>
      <c r="AU297" s="73"/>
      <c r="AV297" s="6"/>
      <c r="AW297" s="6"/>
      <c r="AX297" s="2"/>
      <c r="AZ297" s="72"/>
      <c r="BB297" s="73"/>
      <c r="BE297" s="2"/>
      <c r="BG297" s="72"/>
      <c r="BH297" s="6"/>
      <c r="BI297" s="73"/>
      <c r="BJ297" s="6"/>
      <c r="BL297" s="2"/>
    </row>
    <row r="298" spans="7:64" x14ac:dyDescent="0.25">
      <c r="G298" s="72"/>
      <c r="H298" s="72"/>
      <c r="I298" s="72"/>
      <c r="S298" s="73"/>
      <c r="V298" s="2"/>
      <c r="X298" s="72"/>
      <c r="Y298" s="6"/>
      <c r="Z298" s="73"/>
      <c r="AB298" s="6"/>
      <c r="AC298" s="2"/>
      <c r="AE298" s="72"/>
      <c r="AF298" s="6"/>
      <c r="AG298" s="73"/>
      <c r="AH298" s="6"/>
      <c r="AI298" s="6"/>
      <c r="AJ298" s="2"/>
      <c r="AL298" s="72"/>
      <c r="AN298" s="73"/>
      <c r="AO298" s="6"/>
      <c r="AQ298" s="2"/>
      <c r="AS298" s="72"/>
      <c r="AU298" s="73"/>
      <c r="AV298" s="6"/>
      <c r="AW298" s="6"/>
      <c r="AX298" s="2"/>
      <c r="AZ298" s="72"/>
      <c r="BB298" s="73"/>
      <c r="BE298" s="2"/>
      <c r="BG298" s="72"/>
      <c r="BH298" s="6"/>
      <c r="BI298" s="73"/>
      <c r="BJ298" s="6"/>
      <c r="BL298" s="2"/>
    </row>
    <row r="299" spans="7:64" x14ac:dyDescent="0.25">
      <c r="G299" s="72"/>
      <c r="H299" s="72"/>
      <c r="I299" s="72"/>
      <c r="S299" s="73"/>
      <c r="V299" s="2"/>
      <c r="X299" s="72"/>
      <c r="Y299" s="6"/>
      <c r="Z299" s="73"/>
      <c r="AB299" s="6"/>
      <c r="AC299" s="2"/>
      <c r="AE299" s="72"/>
      <c r="AF299" s="6"/>
      <c r="AG299" s="73"/>
      <c r="AH299" s="6"/>
      <c r="AI299" s="6"/>
      <c r="AJ299" s="2"/>
      <c r="AL299" s="72"/>
      <c r="AN299" s="73"/>
      <c r="AO299" s="6"/>
      <c r="AQ299" s="2"/>
      <c r="AS299" s="72"/>
      <c r="AU299" s="73"/>
      <c r="AV299" s="6"/>
      <c r="AW299" s="6"/>
      <c r="AX299" s="2"/>
      <c r="AZ299" s="72"/>
      <c r="BB299" s="73"/>
      <c r="BE299" s="2"/>
      <c r="BG299" s="72"/>
      <c r="BH299" s="6"/>
      <c r="BI299" s="73"/>
      <c r="BJ299" s="6"/>
      <c r="BL299" s="2"/>
    </row>
    <row r="300" spans="7:64" x14ac:dyDescent="0.25">
      <c r="G300" s="72"/>
      <c r="H300" s="72"/>
      <c r="I300" s="72"/>
      <c r="S300" s="73"/>
      <c r="V300" s="2"/>
      <c r="X300" s="72"/>
      <c r="Y300" s="6"/>
      <c r="Z300" s="73"/>
      <c r="AB300" s="6"/>
      <c r="AC300" s="2"/>
      <c r="AE300" s="72"/>
      <c r="AF300" s="6"/>
      <c r="AG300" s="73"/>
      <c r="AH300" s="6"/>
      <c r="AI300" s="6"/>
      <c r="AJ300" s="2"/>
      <c r="AL300" s="72"/>
      <c r="AN300" s="73"/>
      <c r="AO300" s="6"/>
      <c r="AQ300" s="2"/>
      <c r="AS300" s="72"/>
      <c r="AU300" s="73"/>
      <c r="AV300" s="6"/>
      <c r="AW300" s="6"/>
      <c r="AX300" s="2"/>
      <c r="AZ300" s="72"/>
      <c r="BB300" s="73"/>
      <c r="BE300" s="2"/>
      <c r="BG300" s="72"/>
      <c r="BH300" s="6"/>
      <c r="BI300" s="73"/>
      <c r="BJ300" s="6"/>
      <c r="BL300" s="2"/>
    </row>
    <row r="301" spans="7:64" x14ac:dyDescent="0.25">
      <c r="G301" s="72"/>
      <c r="H301" s="72"/>
      <c r="I301" s="72"/>
      <c r="S301" s="73"/>
      <c r="V301" s="2"/>
      <c r="X301" s="72"/>
      <c r="Y301" s="6"/>
      <c r="Z301" s="73"/>
      <c r="AB301" s="6"/>
      <c r="AC301" s="2"/>
      <c r="AE301" s="72"/>
      <c r="AF301" s="6"/>
      <c r="AG301" s="73"/>
      <c r="AH301" s="6"/>
      <c r="AI301" s="6"/>
      <c r="AJ301" s="2"/>
      <c r="AL301" s="72"/>
      <c r="AN301" s="73"/>
      <c r="AO301" s="6"/>
      <c r="AQ301" s="2"/>
      <c r="AS301" s="72"/>
      <c r="AU301" s="73"/>
      <c r="AV301" s="6"/>
      <c r="AW301" s="6"/>
      <c r="AX301" s="2"/>
      <c r="AZ301" s="72"/>
      <c r="BB301" s="73"/>
      <c r="BE301" s="2"/>
      <c r="BG301" s="72"/>
      <c r="BH301" s="6"/>
      <c r="BI301" s="73"/>
      <c r="BJ301" s="6"/>
      <c r="BL301" s="2"/>
    </row>
    <row r="302" spans="7:64" x14ac:dyDescent="0.25">
      <c r="G302" s="72"/>
      <c r="H302" s="72"/>
      <c r="I302" s="72"/>
      <c r="S302" s="73"/>
      <c r="V302" s="2"/>
      <c r="X302" s="72"/>
      <c r="Y302" s="6"/>
      <c r="Z302" s="73"/>
      <c r="AB302" s="6"/>
      <c r="AC302" s="2"/>
      <c r="AE302" s="72"/>
      <c r="AF302" s="6"/>
      <c r="AG302" s="73"/>
      <c r="AH302" s="6"/>
      <c r="AI302" s="6"/>
      <c r="AJ302" s="2"/>
      <c r="AL302" s="72"/>
      <c r="AN302" s="73"/>
      <c r="AO302" s="6"/>
      <c r="AQ302" s="2"/>
      <c r="AS302" s="72"/>
      <c r="AU302" s="73"/>
      <c r="AV302" s="6"/>
      <c r="AW302" s="6"/>
      <c r="AX302" s="2"/>
      <c r="AZ302" s="72"/>
      <c r="BB302" s="73"/>
      <c r="BE302" s="2"/>
      <c r="BG302" s="72"/>
      <c r="BH302" s="6"/>
      <c r="BI302" s="73"/>
      <c r="BJ302" s="6"/>
      <c r="BL302" s="2"/>
    </row>
    <row r="303" spans="7:64" x14ac:dyDescent="0.25">
      <c r="G303" s="72"/>
      <c r="H303" s="72"/>
      <c r="I303" s="72"/>
      <c r="S303" s="73"/>
      <c r="V303" s="2"/>
      <c r="X303" s="72"/>
      <c r="Y303" s="6"/>
      <c r="Z303" s="73"/>
      <c r="AB303" s="6"/>
      <c r="AC303" s="2"/>
      <c r="AE303" s="72"/>
      <c r="AF303" s="6"/>
      <c r="AG303" s="73"/>
      <c r="AH303" s="6"/>
      <c r="AI303" s="6"/>
      <c r="AJ303" s="2"/>
      <c r="AL303" s="72"/>
      <c r="AN303" s="73"/>
      <c r="AO303" s="6"/>
      <c r="AQ303" s="2"/>
      <c r="AS303" s="72"/>
      <c r="AU303" s="73"/>
      <c r="AV303" s="6"/>
      <c r="AW303" s="6"/>
      <c r="AX303" s="2"/>
      <c r="AZ303" s="72"/>
      <c r="BB303" s="73"/>
      <c r="BE303" s="2"/>
      <c r="BG303" s="72"/>
      <c r="BH303" s="6"/>
      <c r="BI303" s="73"/>
      <c r="BJ303" s="6"/>
      <c r="BL303" s="2"/>
    </row>
    <row r="304" spans="7:64" x14ac:dyDescent="0.25">
      <c r="G304" s="72"/>
      <c r="H304" s="72"/>
      <c r="I304" s="72"/>
      <c r="S304" s="73"/>
      <c r="V304" s="2"/>
      <c r="X304" s="72"/>
      <c r="Y304" s="6"/>
      <c r="Z304" s="73"/>
      <c r="AB304" s="6"/>
      <c r="AC304" s="2"/>
      <c r="AE304" s="72"/>
      <c r="AF304" s="6"/>
      <c r="AG304" s="73"/>
      <c r="AH304" s="6"/>
      <c r="AI304" s="6"/>
      <c r="AJ304" s="2"/>
      <c r="AL304" s="72"/>
      <c r="AN304" s="73"/>
      <c r="AO304" s="6"/>
      <c r="AQ304" s="2"/>
      <c r="AS304" s="72"/>
      <c r="AU304" s="73"/>
      <c r="AV304" s="6"/>
      <c r="AW304" s="6"/>
      <c r="AX304" s="2"/>
      <c r="AZ304" s="72"/>
      <c r="BB304" s="73"/>
      <c r="BE304" s="2"/>
      <c r="BG304" s="72"/>
      <c r="BH304" s="6"/>
      <c r="BI304" s="73"/>
      <c r="BJ304" s="6"/>
      <c r="BL304" s="2"/>
    </row>
    <row r="305" spans="7:64" x14ac:dyDescent="0.25">
      <c r="G305" s="72"/>
      <c r="H305" s="72"/>
      <c r="I305" s="72"/>
      <c r="S305" s="73"/>
      <c r="V305" s="2"/>
      <c r="X305" s="72"/>
      <c r="Y305" s="6"/>
      <c r="Z305" s="73"/>
      <c r="AB305" s="6"/>
      <c r="AC305" s="2"/>
      <c r="AE305" s="72"/>
      <c r="AF305" s="6"/>
      <c r="AG305" s="73"/>
      <c r="AH305" s="6"/>
      <c r="AI305" s="6"/>
      <c r="AJ305" s="2"/>
      <c r="AL305" s="72"/>
      <c r="AN305" s="73"/>
      <c r="AO305" s="6"/>
      <c r="AQ305" s="2"/>
      <c r="AS305" s="72"/>
      <c r="AU305" s="73"/>
      <c r="AV305" s="6"/>
      <c r="AW305" s="6"/>
      <c r="AX305" s="2"/>
      <c r="AZ305" s="72"/>
      <c r="BB305" s="73"/>
      <c r="BE305" s="2"/>
      <c r="BG305" s="72"/>
      <c r="BH305" s="6"/>
      <c r="BI305" s="73"/>
      <c r="BJ305" s="6"/>
      <c r="BL305" s="2"/>
    </row>
    <row r="306" spans="7:64" x14ac:dyDescent="0.25">
      <c r="G306" s="72"/>
      <c r="H306" s="72"/>
      <c r="I306" s="72"/>
      <c r="S306" s="73"/>
      <c r="V306" s="2"/>
      <c r="X306" s="72"/>
      <c r="Y306" s="6"/>
      <c r="Z306" s="73"/>
      <c r="AB306" s="6"/>
      <c r="AC306" s="2"/>
      <c r="AE306" s="72"/>
      <c r="AF306" s="6"/>
      <c r="AG306" s="73"/>
      <c r="AH306" s="6"/>
      <c r="AI306" s="6"/>
      <c r="AJ306" s="2"/>
      <c r="AL306" s="72"/>
      <c r="AN306" s="73"/>
      <c r="AO306" s="6"/>
      <c r="AQ306" s="2"/>
      <c r="AS306" s="72"/>
      <c r="AU306" s="73"/>
      <c r="AV306" s="6"/>
      <c r="AW306" s="6"/>
      <c r="AX306" s="2"/>
      <c r="AZ306" s="72"/>
      <c r="BB306" s="73"/>
      <c r="BE306" s="2"/>
      <c r="BG306" s="72"/>
      <c r="BH306" s="6"/>
      <c r="BI306" s="73"/>
      <c r="BJ306" s="6"/>
      <c r="BL306" s="2"/>
    </row>
    <row r="307" spans="7:64" x14ac:dyDescent="0.25">
      <c r="G307" s="72"/>
      <c r="H307" s="72"/>
      <c r="I307" s="72"/>
      <c r="S307" s="73"/>
      <c r="V307" s="2"/>
      <c r="X307" s="72"/>
      <c r="Y307" s="6"/>
      <c r="Z307" s="73"/>
      <c r="AB307" s="6"/>
      <c r="AC307" s="2"/>
      <c r="AE307" s="72"/>
      <c r="AF307" s="6"/>
      <c r="AG307" s="73"/>
      <c r="AH307" s="6"/>
      <c r="AI307" s="6"/>
      <c r="AJ307" s="2"/>
      <c r="AL307" s="72"/>
      <c r="AN307" s="73"/>
      <c r="AO307" s="6"/>
      <c r="AQ307" s="2"/>
      <c r="AS307" s="72"/>
      <c r="AU307" s="73"/>
      <c r="AV307" s="6"/>
      <c r="AW307" s="6"/>
      <c r="AX307" s="2"/>
      <c r="AZ307" s="72"/>
      <c r="BB307" s="73"/>
      <c r="BE307" s="2"/>
      <c r="BG307" s="72"/>
      <c r="BH307" s="6"/>
      <c r="BI307" s="73"/>
      <c r="BJ307" s="6"/>
      <c r="BL307" s="2"/>
    </row>
    <row r="308" spans="7:64" x14ac:dyDescent="0.25">
      <c r="G308" s="72"/>
      <c r="H308" s="72"/>
      <c r="I308" s="72"/>
      <c r="S308" s="73"/>
      <c r="V308" s="2"/>
      <c r="X308" s="72"/>
      <c r="Y308" s="6"/>
      <c r="Z308" s="73"/>
      <c r="AB308" s="6"/>
      <c r="AC308" s="2"/>
      <c r="AE308" s="72"/>
      <c r="AF308" s="6"/>
      <c r="AG308" s="73"/>
      <c r="AH308" s="6"/>
      <c r="AI308" s="6"/>
      <c r="AJ308" s="2"/>
      <c r="AL308" s="72"/>
      <c r="AN308" s="73"/>
      <c r="AO308" s="6"/>
      <c r="AQ308" s="2"/>
      <c r="AS308" s="72"/>
      <c r="AU308" s="73"/>
      <c r="AV308" s="6"/>
      <c r="AW308" s="6"/>
      <c r="AX308" s="2"/>
      <c r="AZ308" s="72"/>
      <c r="BB308" s="73"/>
      <c r="BE308" s="2"/>
      <c r="BG308" s="72"/>
      <c r="BH308" s="6"/>
      <c r="BI308" s="73"/>
      <c r="BJ308" s="6"/>
      <c r="BL308" s="2"/>
    </row>
    <row r="309" spans="7:64" x14ac:dyDescent="0.25">
      <c r="G309" s="72"/>
      <c r="H309" s="72"/>
      <c r="I309" s="72"/>
      <c r="S309" s="73"/>
      <c r="V309" s="2"/>
      <c r="X309" s="72"/>
      <c r="Y309" s="6"/>
      <c r="Z309" s="73"/>
      <c r="AB309" s="6"/>
      <c r="AC309" s="2"/>
      <c r="AE309" s="72"/>
      <c r="AF309" s="6"/>
      <c r="AG309" s="73"/>
      <c r="AH309" s="6"/>
      <c r="AI309" s="6"/>
      <c r="AJ309" s="2"/>
      <c r="AL309" s="72"/>
      <c r="AN309" s="73"/>
      <c r="AO309" s="6"/>
      <c r="AQ309" s="2"/>
      <c r="AS309" s="72"/>
      <c r="AU309" s="73"/>
      <c r="AV309" s="6"/>
      <c r="AW309" s="6"/>
      <c r="AX309" s="2"/>
      <c r="AZ309" s="72"/>
      <c r="BB309" s="73"/>
      <c r="BE309" s="2"/>
      <c r="BG309" s="72"/>
      <c r="BH309" s="6"/>
      <c r="BI309" s="73"/>
      <c r="BJ309" s="6"/>
      <c r="BL309" s="2"/>
    </row>
    <row r="310" spans="7:64" x14ac:dyDescent="0.25">
      <c r="G310" s="72"/>
      <c r="H310" s="72"/>
      <c r="I310" s="72"/>
      <c r="S310" s="73"/>
      <c r="V310" s="2"/>
      <c r="X310" s="72"/>
      <c r="Y310" s="6"/>
      <c r="Z310" s="73"/>
      <c r="AB310" s="6"/>
      <c r="AC310" s="2"/>
      <c r="AE310" s="72"/>
      <c r="AF310" s="6"/>
      <c r="AG310" s="73"/>
      <c r="AH310" s="6"/>
      <c r="AI310" s="6"/>
      <c r="AJ310" s="2"/>
      <c r="AL310" s="72"/>
      <c r="AN310" s="73"/>
      <c r="AO310" s="6"/>
      <c r="AQ310" s="2"/>
      <c r="AS310" s="72"/>
      <c r="AU310" s="73"/>
      <c r="AV310" s="6"/>
      <c r="AW310" s="6"/>
      <c r="AX310" s="2"/>
      <c r="AZ310" s="72"/>
      <c r="BB310" s="73"/>
      <c r="BE310" s="2"/>
      <c r="BG310" s="72"/>
      <c r="BH310" s="6"/>
      <c r="BI310" s="73"/>
      <c r="BJ310" s="6"/>
      <c r="BL310" s="2"/>
    </row>
    <row r="311" spans="7:64" x14ac:dyDescent="0.25">
      <c r="G311" s="72"/>
      <c r="H311" s="72"/>
      <c r="I311" s="72"/>
      <c r="S311" s="73"/>
      <c r="V311" s="2"/>
      <c r="X311" s="72"/>
      <c r="Y311" s="6"/>
      <c r="Z311" s="73"/>
      <c r="AB311" s="6"/>
      <c r="AC311" s="2"/>
      <c r="AE311" s="72"/>
      <c r="AF311" s="6"/>
      <c r="AG311" s="73"/>
      <c r="AH311" s="6"/>
      <c r="AI311" s="6"/>
      <c r="AJ311" s="2"/>
      <c r="AL311" s="72"/>
      <c r="AN311" s="73"/>
      <c r="AO311" s="6"/>
      <c r="AQ311" s="2"/>
      <c r="AS311" s="72"/>
      <c r="AU311" s="73"/>
      <c r="AV311" s="6"/>
      <c r="AW311" s="6"/>
      <c r="AX311" s="2"/>
      <c r="AZ311" s="72"/>
      <c r="BB311" s="73"/>
      <c r="BE311" s="2"/>
      <c r="BG311" s="72"/>
      <c r="BH311" s="6"/>
      <c r="BI311" s="73"/>
      <c r="BJ311" s="6"/>
      <c r="BL311" s="2"/>
    </row>
    <row r="312" spans="7:64" x14ac:dyDescent="0.25">
      <c r="G312" s="72"/>
      <c r="H312" s="72"/>
      <c r="I312" s="72"/>
      <c r="S312" s="73"/>
      <c r="V312" s="2"/>
      <c r="X312" s="72"/>
      <c r="Y312" s="6"/>
      <c r="Z312" s="73"/>
      <c r="AB312" s="6"/>
      <c r="AC312" s="2"/>
      <c r="AE312" s="72"/>
      <c r="AF312" s="6"/>
      <c r="AG312" s="73"/>
      <c r="AH312" s="6"/>
      <c r="AI312" s="6"/>
      <c r="AJ312" s="2"/>
      <c r="AL312" s="72"/>
      <c r="AN312" s="73"/>
      <c r="AO312" s="6"/>
      <c r="AQ312" s="2"/>
      <c r="AS312" s="72"/>
      <c r="AU312" s="73"/>
      <c r="AV312" s="6"/>
      <c r="AW312" s="6"/>
      <c r="AX312" s="2"/>
      <c r="AZ312" s="72"/>
      <c r="BB312" s="73"/>
      <c r="BE312" s="2"/>
      <c r="BG312" s="72"/>
      <c r="BH312" s="6"/>
      <c r="BI312" s="73"/>
      <c r="BJ312" s="6"/>
      <c r="BL312" s="2"/>
    </row>
    <row r="313" spans="7:64" x14ac:dyDescent="0.25">
      <c r="G313" s="72"/>
      <c r="H313" s="72"/>
      <c r="I313" s="72"/>
      <c r="S313" s="73"/>
      <c r="V313" s="2"/>
      <c r="X313" s="72"/>
      <c r="Y313" s="6"/>
      <c r="Z313" s="73"/>
      <c r="AB313" s="6"/>
      <c r="AC313" s="2"/>
      <c r="AE313" s="72"/>
      <c r="AF313" s="6"/>
      <c r="AG313" s="73"/>
      <c r="AH313" s="6"/>
      <c r="AI313" s="6"/>
      <c r="AJ313" s="2"/>
      <c r="AL313" s="72"/>
      <c r="AN313" s="73"/>
      <c r="AO313" s="6"/>
      <c r="AQ313" s="2"/>
      <c r="AS313" s="72"/>
      <c r="AU313" s="73"/>
      <c r="AV313" s="6"/>
      <c r="AW313" s="6"/>
      <c r="AX313" s="2"/>
      <c r="AZ313" s="72"/>
      <c r="BB313" s="73"/>
      <c r="BE313" s="2"/>
      <c r="BG313" s="72"/>
      <c r="BH313" s="6"/>
      <c r="BI313" s="73"/>
      <c r="BJ313" s="6"/>
      <c r="BL313" s="2"/>
    </row>
    <row r="314" spans="7:64" x14ac:dyDescent="0.25">
      <c r="G314" s="72"/>
      <c r="H314" s="72"/>
      <c r="I314" s="72"/>
      <c r="S314" s="73"/>
      <c r="V314" s="2"/>
      <c r="X314" s="72"/>
      <c r="Y314" s="6"/>
      <c r="Z314" s="73"/>
      <c r="AB314" s="6"/>
      <c r="AC314" s="2"/>
      <c r="AE314" s="72"/>
      <c r="AF314" s="6"/>
      <c r="AG314" s="73"/>
      <c r="AH314" s="6"/>
      <c r="AI314" s="6"/>
      <c r="AJ314" s="2"/>
      <c r="AL314" s="72"/>
      <c r="AN314" s="73"/>
      <c r="AO314" s="6"/>
      <c r="AQ314" s="2"/>
      <c r="AS314" s="72"/>
      <c r="AU314" s="73"/>
      <c r="AV314" s="6"/>
      <c r="AW314" s="6"/>
      <c r="AX314" s="2"/>
      <c r="AZ314" s="72"/>
      <c r="BB314" s="73"/>
      <c r="BE314" s="2"/>
      <c r="BG314" s="72"/>
      <c r="BH314" s="6"/>
      <c r="BI314" s="73"/>
      <c r="BJ314" s="6"/>
      <c r="BL314" s="2"/>
    </row>
    <row r="315" spans="7:64" x14ac:dyDescent="0.25">
      <c r="G315" s="72"/>
      <c r="H315" s="72"/>
      <c r="I315" s="72"/>
      <c r="S315" s="73"/>
      <c r="V315" s="2"/>
      <c r="X315" s="72"/>
      <c r="Y315" s="6"/>
      <c r="Z315" s="73"/>
      <c r="AB315" s="6"/>
      <c r="AC315" s="2"/>
      <c r="AE315" s="72"/>
      <c r="AF315" s="6"/>
      <c r="AG315" s="73"/>
      <c r="AH315" s="6"/>
      <c r="AI315" s="6"/>
      <c r="AJ315" s="2"/>
      <c r="AL315" s="72"/>
      <c r="AN315" s="73"/>
      <c r="AO315" s="6"/>
      <c r="AQ315" s="2"/>
      <c r="AS315" s="72"/>
      <c r="AU315" s="73"/>
      <c r="AV315" s="6"/>
      <c r="AW315" s="6"/>
      <c r="AX315" s="2"/>
      <c r="AZ315" s="72"/>
      <c r="BB315" s="73"/>
      <c r="BE315" s="2"/>
      <c r="BG315" s="72"/>
      <c r="BH315" s="6"/>
      <c r="BI315" s="73"/>
      <c r="BJ315" s="6"/>
      <c r="BL315" s="2"/>
    </row>
    <row r="316" spans="7:64" x14ac:dyDescent="0.25">
      <c r="G316" s="72"/>
      <c r="H316" s="72"/>
      <c r="I316" s="72"/>
      <c r="S316" s="73"/>
      <c r="V316" s="2"/>
      <c r="X316" s="72"/>
      <c r="Y316" s="6"/>
      <c r="Z316" s="73"/>
      <c r="AB316" s="6"/>
      <c r="AC316" s="2"/>
      <c r="AE316" s="72"/>
      <c r="AF316" s="6"/>
      <c r="AG316" s="73"/>
      <c r="AH316" s="6"/>
      <c r="AI316" s="6"/>
      <c r="AJ316" s="2"/>
      <c r="AL316" s="72"/>
      <c r="AN316" s="73"/>
      <c r="AO316" s="6"/>
      <c r="AQ316" s="2"/>
      <c r="AS316" s="72"/>
      <c r="AU316" s="73"/>
      <c r="AV316" s="6"/>
      <c r="AW316" s="6"/>
      <c r="AX316" s="2"/>
      <c r="AZ316" s="72"/>
      <c r="BB316" s="73"/>
      <c r="BE316" s="2"/>
      <c r="BG316" s="72"/>
      <c r="BH316" s="6"/>
      <c r="BI316" s="73"/>
      <c r="BJ316" s="6"/>
      <c r="BL316" s="2"/>
    </row>
    <row r="317" spans="7:64" x14ac:dyDescent="0.25">
      <c r="G317" s="72"/>
      <c r="H317" s="72"/>
      <c r="I317" s="72"/>
      <c r="S317" s="73"/>
      <c r="V317" s="2"/>
      <c r="X317" s="72"/>
      <c r="Y317" s="6"/>
      <c r="Z317" s="73"/>
      <c r="AB317" s="6"/>
      <c r="AC317" s="2"/>
      <c r="AE317" s="72"/>
      <c r="AF317" s="6"/>
      <c r="AG317" s="73"/>
      <c r="AH317" s="6"/>
      <c r="AI317" s="6"/>
      <c r="AJ317" s="2"/>
      <c r="AL317" s="72"/>
      <c r="AN317" s="73"/>
      <c r="AO317" s="6"/>
      <c r="AQ317" s="2"/>
      <c r="AS317" s="72"/>
      <c r="AU317" s="73"/>
      <c r="AV317" s="6"/>
      <c r="AW317" s="6"/>
      <c r="AX317" s="2"/>
      <c r="AZ317" s="72"/>
      <c r="BB317" s="73"/>
      <c r="BE317" s="2"/>
      <c r="BG317" s="72"/>
      <c r="BH317" s="6"/>
      <c r="BI317" s="73"/>
      <c r="BJ317" s="6"/>
      <c r="BL317" s="2"/>
    </row>
    <row r="318" spans="7:64" x14ac:dyDescent="0.25">
      <c r="G318" s="72"/>
      <c r="H318" s="72"/>
      <c r="I318" s="72"/>
      <c r="S318" s="73"/>
      <c r="V318" s="2"/>
      <c r="X318" s="72"/>
      <c r="Y318" s="6"/>
      <c r="Z318" s="73"/>
      <c r="AB318" s="6"/>
      <c r="AC318" s="2"/>
      <c r="AE318" s="72"/>
      <c r="AF318" s="6"/>
      <c r="AG318" s="73"/>
      <c r="AH318" s="6"/>
      <c r="AI318" s="6"/>
      <c r="AJ318" s="2"/>
      <c r="AL318" s="72"/>
      <c r="AN318" s="73"/>
      <c r="AO318" s="6"/>
      <c r="AQ318" s="2"/>
      <c r="AS318" s="72"/>
      <c r="AU318" s="73"/>
      <c r="AV318" s="6"/>
      <c r="AW318" s="6"/>
      <c r="AX318" s="2"/>
      <c r="AZ318" s="72"/>
      <c r="BB318" s="73"/>
      <c r="BE318" s="2"/>
      <c r="BG318" s="72"/>
      <c r="BH318" s="6"/>
      <c r="BI318" s="73"/>
      <c r="BJ318" s="6"/>
      <c r="BL318" s="2"/>
    </row>
    <row r="319" spans="7:64" x14ac:dyDescent="0.25">
      <c r="G319" s="72"/>
      <c r="H319" s="72"/>
      <c r="I319" s="72"/>
      <c r="S319" s="73"/>
      <c r="V319" s="2"/>
      <c r="X319" s="72"/>
      <c r="Y319" s="6"/>
      <c r="Z319" s="73"/>
      <c r="AB319" s="6"/>
      <c r="AC319" s="2"/>
      <c r="AE319" s="72"/>
      <c r="AF319" s="6"/>
      <c r="AG319" s="73"/>
      <c r="AH319" s="6"/>
      <c r="AI319" s="6"/>
      <c r="AJ319" s="2"/>
      <c r="AL319" s="72"/>
      <c r="AN319" s="73"/>
      <c r="AO319" s="6"/>
      <c r="AQ319" s="2"/>
      <c r="AS319" s="72"/>
      <c r="AU319" s="73"/>
      <c r="AV319" s="6"/>
      <c r="AW319" s="6"/>
      <c r="AX319" s="2"/>
      <c r="AZ319" s="72"/>
      <c r="BB319" s="73"/>
      <c r="BE319" s="2"/>
      <c r="BG319" s="72"/>
      <c r="BH319" s="6"/>
      <c r="BI319" s="73"/>
      <c r="BJ319" s="6"/>
      <c r="BL319" s="2"/>
    </row>
    <row r="320" spans="7:64" x14ac:dyDescent="0.25">
      <c r="G320" s="72"/>
      <c r="H320" s="72"/>
      <c r="I320" s="72"/>
      <c r="S320" s="73"/>
      <c r="V320" s="2"/>
      <c r="X320" s="72"/>
      <c r="Y320" s="6"/>
      <c r="Z320" s="73"/>
      <c r="AB320" s="6"/>
      <c r="AC320" s="2"/>
      <c r="AE320" s="72"/>
      <c r="AF320" s="6"/>
      <c r="AG320" s="73"/>
      <c r="AH320" s="6"/>
      <c r="AI320" s="6"/>
      <c r="AJ320" s="2"/>
      <c r="AL320" s="72"/>
      <c r="AN320" s="73"/>
      <c r="AO320" s="6"/>
      <c r="AQ320" s="2"/>
      <c r="AS320" s="72"/>
      <c r="AU320" s="73"/>
      <c r="AV320" s="6"/>
      <c r="AW320" s="6"/>
      <c r="AX320" s="2"/>
      <c r="AZ320" s="72"/>
      <c r="BB320" s="73"/>
      <c r="BE320" s="2"/>
      <c r="BG320" s="72"/>
      <c r="BH320" s="6"/>
      <c r="BI320" s="73"/>
      <c r="BJ320" s="6"/>
      <c r="BL320" s="2"/>
    </row>
    <row r="321" spans="7:64" x14ac:dyDescent="0.25">
      <c r="G321" s="72"/>
      <c r="H321" s="72"/>
      <c r="I321" s="72"/>
      <c r="S321" s="73"/>
      <c r="V321" s="2"/>
      <c r="X321" s="72"/>
      <c r="Y321" s="6"/>
      <c r="Z321" s="73"/>
      <c r="AB321" s="6"/>
      <c r="AC321" s="2"/>
      <c r="AE321" s="72"/>
      <c r="AF321" s="6"/>
      <c r="AG321" s="73"/>
      <c r="AH321" s="6"/>
      <c r="AI321" s="6"/>
      <c r="AJ321" s="2"/>
      <c r="AL321" s="72"/>
      <c r="AN321" s="73"/>
      <c r="AO321" s="6"/>
      <c r="AQ321" s="2"/>
      <c r="AS321" s="72"/>
      <c r="AU321" s="73"/>
      <c r="AV321" s="6"/>
      <c r="AW321" s="6"/>
      <c r="AX321" s="2"/>
      <c r="AZ321" s="72"/>
      <c r="BB321" s="73"/>
      <c r="BE321" s="2"/>
      <c r="BG321" s="72"/>
      <c r="BH321" s="6"/>
      <c r="BI321" s="73"/>
      <c r="BJ321" s="6"/>
      <c r="BL321" s="2"/>
    </row>
    <row r="322" spans="7:64" x14ac:dyDescent="0.25">
      <c r="G322" s="72"/>
      <c r="H322" s="72"/>
      <c r="I322" s="72"/>
      <c r="S322" s="73"/>
      <c r="V322" s="2"/>
      <c r="X322" s="72"/>
      <c r="Y322" s="6"/>
      <c r="Z322" s="73"/>
      <c r="AB322" s="6"/>
      <c r="AC322" s="2"/>
      <c r="AE322" s="72"/>
      <c r="AF322" s="6"/>
      <c r="AG322" s="73"/>
      <c r="AH322" s="6"/>
      <c r="AI322" s="6"/>
      <c r="AJ322" s="2"/>
      <c r="AL322" s="72"/>
      <c r="AN322" s="73"/>
      <c r="AO322" s="6"/>
      <c r="AQ322" s="2"/>
      <c r="AS322" s="72"/>
      <c r="AU322" s="73"/>
      <c r="AV322" s="6"/>
      <c r="AW322" s="6"/>
      <c r="AX322" s="2"/>
      <c r="AZ322" s="72"/>
      <c r="BB322" s="73"/>
      <c r="BE322" s="2"/>
      <c r="BG322" s="72"/>
      <c r="BH322" s="6"/>
      <c r="BI322" s="73"/>
      <c r="BJ322" s="6"/>
      <c r="BL322" s="2"/>
    </row>
    <row r="323" spans="7:64" x14ac:dyDescent="0.25">
      <c r="G323" s="72"/>
      <c r="H323" s="72"/>
      <c r="I323" s="72"/>
      <c r="S323" s="73"/>
      <c r="V323" s="2"/>
      <c r="X323" s="72"/>
      <c r="Y323" s="6"/>
      <c r="Z323" s="73"/>
      <c r="AB323" s="6"/>
      <c r="AC323" s="2"/>
      <c r="AE323" s="72"/>
      <c r="AF323" s="6"/>
      <c r="AG323" s="73"/>
      <c r="AH323" s="6"/>
      <c r="AI323" s="6"/>
      <c r="AJ323" s="2"/>
      <c r="AL323" s="72"/>
      <c r="AN323" s="73"/>
      <c r="AO323" s="6"/>
      <c r="AQ323" s="2"/>
      <c r="AS323" s="72"/>
      <c r="AU323" s="73"/>
      <c r="AV323" s="6"/>
      <c r="AW323" s="6"/>
      <c r="AX323" s="2"/>
      <c r="AZ323" s="72"/>
      <c r="BB323" s="73"/>
      <c r="BE323" s="2"/>
      <c r="BG323" s="72"/>
      <c r="BH323" s="6"/>
      <c r="BI323" s="73"/>
      <c r="BJ323" s="6"/>
      <c r="BL323" s="2"/>
    </row>
    <row r="324" spans="7:64" x14ac:dyDescent="0.25">
      <c r="G324" s="72"/>
      <c r="H324" s="72"/>
      <c r="I324" s="72"/>
      <c r="S324" s="73"/>
      <c r="V324" s="2"/>
      <c r="X324" s="72"/>
      <c r="Y324" s="6"/>
      <c r="Z324" s="73"/>
      <c r="AB324" s="6"/>
      <c r="AC324" s="2"/>
      <c r="AE324" s="72"/>
      <c r="AF324" s="6"/>
      <c r="AG324" s="73"/>
      <c r="AH324" s="6"/>
      <c r="AI324" s="6"/>
      <c r="AJ324" s="2"/>
      <c r="AL324" s="72"/>
      <c r="AN324" s="73"/>
      <c r="AO324" s="6"/>
      <c r="AQ324" s="2"/>
      <c r="AS324" s="72"/>
      <c r="AU324" s="73"/>
      <c r="AV324" s="6"/>
      <c r="AW324" s="6"/>
      <c r="AX324" s="2"/>
      <c r="AZ324" s="72"/>
      <c r="BB324" s="73"/>
      <c r="BE324" s="2"/>
      <c r="BG324" s="72"/>
      <c r="BH324" s="6"/>
      <c r="BI324" s="73"/>
      <c r="BJ324" s="6"/>
      <c r="BL324" s="2"/>
    </row>
    <row r="325" spans="7:64" x14ac:dyDescent="0.25">
      <c r="G325" s="72"/>
      <c r="H325" s="72"/>
      <c r="I325" s="72"/>
      <c r="S325" s="73"/>
      <c r="V325" s="2"/>
      <c r="X325" s="72"/>
      <c r="Y325" s="6"/>
      <c r="Z325" s="73"/>
      <c r="AB325" s="6"/>
      <c r="AC325" s="2"/>
      <c r="AE325" s="72"/>
      <c r="AF325" s="6"/>
      <c r="AG325" s="73"/>
      <c r="AH325" s="6"/>
      <c r="AI325" s="6"/>
      <c r="AJ325" s="2"/>
      <c r="AL325" s="72"/>
      <c r="AN325" s="73"/>
      <c r="AO325" s="6"/>
      <c r="AQ325" s="2"/>
      <c r="AS325" s="72"/>
      <c r="AU325" s="73"/>
      <c r="AV325" s="6"/>
      <c r="AW325" s="6"/>
      <c r="AX325" s="2"/>
      <c r="AZ325" s="72"/>
      <c r="BB325" s="73"/>
      <c r="BE325" s="2"/>
      <c r="BG325" s="72"/>
      <c r="BH325" s="6"/>
      <c r="BI325" s="73"/>
      <c r="BJ325" s="6"/>
      <c r="BL325" s="2"/>
    </row>
    <row r="326" spans="7:64" x14ac:dyDescent="0.25">
      <c r="G326" s="72"/>
      <c r="H326" s="72"/>
      <c r="I326" s="72"/>
      <c r="S326" s="73"/>
      <c r="V326" s="2"/>
      <c r="X326" s="72"/>
      <c r="Y326" s="6"/>
      <c r="Z326" s="73"/>
      <c r="AB326" s="6"/>
      <c r="AC326" s="2"/>
      <c r="AE326" s="72"/>
      <c r="AF326" s="6"/>
      <c r="AG326" s="73"/>
      <c r="AH326" s="6"/>
      <c r="AI326" s="6"/>
      <c r="AJ326" s="2"/>
      <c r="AL326" s="72"/>
      <c r="AN326" s="73"/>
      <c r="AO326" s="6"/>
      <c r="AQ326" s="2"/>
      <c r="AS326" s="72"/>
      <c r="AU326" s="73"/>
      <c r="AV326" s="6"/>
      <c r="AW326" s="6"/>
      <c r="AX326" s="2"/>
      <c r="AZ326" s="72"/>
      <c r="BB326" s="73"/>
      <c r="BE326" s="2"/>
      <c r="BG326" s="72"/>
      <c r="BH326" s="6"/>
      <c r="BI326" s="73"/>
      <c r="BJ326" s="6"/>
      <c r="BL326" s="2"/>
    </row>
    <row r="327" spans="7:64" x14ac:dyDescent="0.25">
      <c r="G327" s="72"/>
      <c r="H327" s="72"/>
      <c r="I327" s="72"/>
      <c r="S327" s="73"/>
      <c r="V327" s="2"/>
      <c r="X327" s="72"/>
      <c r="Y327" s="6"/>
      <c r="Z327" s="73"/>
      <c r="AB327" s="6"/>
      <c r="AC327" s="2"/>
      <c r="AE327" s="72"/>
      <c r="AF327" s="6"/>
      <c r="AG327" s="73"/>
      <c r="AH327" s="6"/>
      <c r="AI327" s="6"/>
      <c r="AJ327" s="2"/>
      <c r="AL327" s="72"/>
      <c r="AN327" s="73"/>
      <c r="AO327" s="6"/>
      <c r="AQ327" s="2"/>
      <c r="AS327" s="72"/>
      <c r="AU327" s="73"/>
      <c r="AV327" s="6"/>
      <c r="AW327" s="6"/>
      <c r="AX327" s="2"/>
      <c r="AZ327" s="72"/>
      <c r="BB327" s="73"/>
      <c r="BE327" s="2"/>
      <c r="BG327" s="72"/>
      <c r="BH327" s="6"/>
      <c r="BI327" s="73"/>
      <c r="BJ327" s="6"/>
      <c r="BL327" s="2"/>
    </row>
    <row r="328" spans="7:64" x14ac:dyDescent="0.25">
      <c r="G328" s="72"/>
      <c r="H328" s="72"/>
      <c r="I328" s="72"/>
      <c r="S328" s="73"/>
      <c r="V328" s="2"/>
      <c r="X328" s="72"/>
      <c r="Y328" s="6"/>
      <c r="Z328" s="73"/>
      <c r="AB328" s="6"/>
      <c r="AC328" s="2"/>
      <c r="AE328" s="72"/>
      <c r="AF328" s="6"/>
      <c r="AG328" s="73"/>
      <c r="AH328" s="6"/>
      <c r="AI328" s="6"/>
      <c r="AJ328" s="2"/>
      <c r="AL328" s="72"/>
      <c r="AN328" s="73"/>
      <c r="AO328" s="6"/>
      <c r="AQ328" s="2"/>
      <c r="AS328" s="72"/>
      <c r="AU328" s="73"/>
      <c r="AV328" s="6"/>
      <c r="AW328" s="6"/>
      <c r="AX328" s="2"/>
      <c r="AZ328" s="72"/>
      <c r="BB328" s="73"/>
      <c r="BE328" s="2"/>
      <c r="BG328" s="72"/>
      <c r="BH328" s="6"/>
      <c r="BI328" s="73"/>
      <c r="BJ328" s="6"/>
      <c r="BL328" s="2"/>
    </row>
    <row r="329" spans="7:64" x14ac:dyDescent="0.25">
      <c r="G329" s="72"/>
      <c r="H329" s="72"/>
      <c r="I329" s="72"/>
      <c r="S329" s="73"/>
      <c r="V329" s="2"/>
      <c r="X329" s="72"/>
      <c r="Y329" s="6"/>
      <c r="Z329" s="73"/>
      <c r="AB329" s="6"/>
      <c r="AC329" s="2"/>
      <c r="AE329" s="72"/>
      <c r="AF329" s="6"/>
      <c r="AG329" s="73"/>
      <c r="AH329" s="6"/>
      <c r="AI329" s="6"/>
      <c r="AJ329" s="2"/>
      <c r="AL329" s="72"/>
      <c r="AN329" s="73"/>
      <c r="AO329" s="6"/>
      <c r="AQ329" s="2"/>
      <c r="AS329" s="72"/>
      <c r="AU329" s="73"/>
      <c r="AV329" s="6"/>
      <c r="AW329" s="6"/>
      <c r="AX329" s="2"/>
      <c r="AZ329" s="72"/>
      <c r="BB329" s="73"/>
      <c r="BE329" s="2"/>
      <c r="BG329" s="72"/>
      <c r="BH329" s="6"/>
      <c r="BI329" s="73"/>
      <c r="BJ329" s="6"/>
      <c r="BL329" s="2"/>
    </row>
    <row r="330" spans="7:64" x14ac:dyDescent="0.25">
      <c r="G330" s="72"/>
      <c r="H330" s="72"/>
      <c r="I330" s="72"/>
      <c r="S330" s="73"/>
      <c r="V330" s="2"/>
      <c r="X330" s="72"/>
      <c r="Y330" s="6"/>
      <c r="Z330" s="73"/>
      <c r="AB330" s="6"/>
      <c r="AC330" s="2"/>
      <c r="AE330" s="72"/>
      <c r="AF330" s="6"/>
      <c r="AG330" s="73"/>
      <c r="AH330" s="6"/>
      <c r="AI330" s="6"/>
      <c r="AJ330" s="2"/>
      <c r="AL330" s="72"/>
      <c r="AN330" s="73"/>
      <c r="AO330" s="6"/>
      <c r="AQ330" s="2"/>
      <c r="AS330" s="72"/>
      <c r="AU330" s="73"/>
      <c r="AV330" s="6"/>
      <c r="AW330" s="6"/>
      <c r="AX330" s="2"/>
      <c r="AZ330" s="72"/>
      <c r="BB330" s="73"/>
      <c r="BE330" s="2"/>
      <c r="BG330" s="72"/>
      <c r="BH330" s="6"/>
      <c r="BI330" s="73"/>
      <c r="BJ330" s="6"/>
      <c r="BL330" s="2"/>
    </row>
    <row r="331" spans="7:64" x14ac:dyDescent="0.25">
      <c r="G331" s="72"/>
      <c r="H331" s="72"/>
      <c r="I331" s="72"/>
      <c r="S331" s="73"/>
      <c r="V331" s="2"/>
      <c r="X331" s="72"/>
      <c r="Y331" s="6"/>
      <c r="Z331" s="73"/>
      <c r="AB331" s="6"/>
      <c r="AC331" s="2"/>
      <c r="AE331" s="72"/>
      <c r="AF331" s="6"/>
      <c r="AG331" s="73"/>
      <c r="AH331" s="6"/>
      <c r="AI331" s="6"/>
      <c r="AJ331" s="2"/>
      <c r="AL331" s="72"/>
      <c r="AN331" s="73"/>
      <c r="AO331" s="6"/>
      <c r="AQ331" s="2"/>
      <c r="AS331" s="72"/>
      <c r="AU331" s="73"/>
      <c r="AV331" s="6"/>
      <c r="AW331" s="6"/>
      <c r="AX331" s="2"/>
      <c r="AZ331" s="72"/>
      <c r="BB331" s="73"/>
      <c r="BE331" s="2"/>
      <c r="BG331" s="72"/>
      <c r="BH331" s="6"/>
      <c r="BI331" s="73"/>
      <c r="BJ331" s="6"/>
      <c r="BL331" s="2"/>
    </row>
    <row r="332" spans="7:64" x14ac:dyDescent="0.25">
      <c r="G332" s="72"/>
      <c r="H332" s="72"/>
      <c r="I332" s="72"/>
      <c r="S332" s="73"/>
      <c r="V332" s="2"/>
      <c r="X332" s="72"/>
      <c r="Y332" s="6"/>
      <c r="Z332" s="73"/>
      <c r="AB332" s="6"/>
      <c r="AC332" s="2"/>
      <c r="AE332" s="72"/>
      <c r="AF332" s="6"/>
      <c r="AG332" s="73"/>
      <c r="AH332" s="6"/>
      <c r="AI332" s="6"/>
      <c r="AJ332" s="2"/>
      <c r="AL332" s="72"/>
      <c r="AN332" s="73"/>
      <c r="AO332" s="6"/>
      <c r="AQ332" s="2"/>
      <c r="AS332" s="72"/>
      <c r="AU332" s="73"/>
      <c r="AV332" s="6"/>
      <c r="AW332" s="6"/>
      <c r="AX332" s="2"/>
      <c r="AZ332" s="72"/>
      <c r="BB332" s="73"/>
      <c r="BE332" s="2"/>
      <c r="BG332" s="72"/>
      <c r="BH332" s="6"/>
      <c r="BI332" s="73"/>
      <c r="BJ332" s="6"/>
      <c r="BL332" s="2"/>
    </row>
    <row r="333" spans="7:64" x14ac:dyDescent="0.25">
      <c r="G333" s="72"/>
      <c r="H333" s="72"/>
      <c r="I333" s="72"/>
      <c r="S333" s="73"/>
      <c r="V333" s="2"/>
      <c r="X333" s="72"/>
      <c r="Y333" s="6"/>
      <c r="Z333" s="73"/>
      <c r="AB333" s="6"/>
      <c r="AC333" s="2"/>
      <c r="AE333" s="72"/>
      <c r="AF333" s="6"/>
      <c r="AG333" s="73"/>
      <c r="AH333" s="6"/>
      <c r="AI333" s="6"/>
      <c r="AJ333" s="2"/>
      <c r="AL333" s="72"/>
      <c r="AN333" s="73"/>
      <c r="AO333" s="6"/>
      <c r="AQ333" s="2"/>
      <c r="AS333" s="72"/>
      <c r="AU333" s="73"/>
      <c r="AV333" s="6"/>
      <c r="AW333" s="6"/>
      <c r="AX333" s="2"/>
      <c r="AZ333" s="72"/>
      <c r="BB333" s="73"/>
      <c r="BE333" s="2"/>
      <c r="BG333" s="72"/>
      <c r="BH333" s="6"/>
      <c r="BI333" s="73"/>
      <c r="BJ333" s="6"/>
      <c r="BL333" s="2"/>
    </row>
    <row r="334" spans="7:64" x14ac:dyDescent="0.25">
      <c r="G334" s="72"/>
      <c r="H334" s="72"/>
      <c r="I334" s="72"/>
      <c r="S334" s="73"/>
      <c r="V334" s="2"/>
      <c r="X334" s="72"/>
      <c r="Y334" s="6"/>
      <c r="Z334" s="73"/>
      <c r="AB334" s="6"/>
      <c r="AC334" s="2"/>
      <c r="AE334" s="72"/>
      <c r="AF334" s="6"/>
      <c r="AG334" s="73"/>
      <c r="AH334" s="6"/>
      <c r="AI334" s="6"/>
      <c r="AJ334" s="2"/>
      <c r="AL334" s="72"/>
      <c r="AN334" s="73"/>
      <c r="AO334" s="6"/>
      <c r="AQ334" s="2"/>
      <c r="AS334" s="72"/>
      <c r="AU334" s="73"/>
      <c r="AV334" s="6"/>
      <c r="AW334" s="6"/>
      <c r="AX334" s="2"/>
      <c r="AZ334" s="72"/>
      <c r="BB334" s="73"/>
      <c r="BE334" s="2"/>
      <c r="BG334" s="72"/>
      <c r="BH334" s="6"/>
      <c r="BI334" s="73"/>
      <c r="BJ334" s="6"/>
      <c r="BL334" s="2"/>
    </row>
    <row r="335" spans="7:64" x14ac:dyDescent="0.25">
      <c r="G335" s="72"/>
      <c r="H335" s="72"/>
      <c r="I335" s="72"/>
      <c r="S335" s="73"/>
      <c r="V335" s="2"/>
      <c r="X335" s="72"/>
      <c r="Y335" s="6"/>
      <c r="Z335" s="73"/>
      <c r="AB335" s="6"/>
      <c r="AC335" s="2"/>
      <c r="AE335" s="72"/>
      <c r="AF335" s="6"/>
      <c r="AG335" s="73"/>
      <c r="AH335" s="6"/>
      <c r="AI335" s="6"/>
      <c r="AJ335" s="2"/>
      <c r="AL335" s="72"/>
      <c r="AN335" s="73"/>
      <c r="AO335" s="6"/>
      <c r="AQ335" s="2"/>
      <c r="AS335" s="72"/>
      <c r="AU335" s="73"/>
      <c r="AV335" s="6"/>
      <c r="AW335" s="6"/>
      <c r="AX335" s="2"/>
      <c r="AZ335" s="72"/>
      <c r="BB335" s="73"/>
      <c r="BE335" s="2"/>
      <c r="BG335" s="72"/>
      <c r="BH335" s="6"/>
      <c r="BI335" s="73"/>
      <c r="BJ335" s="6"/>
      <c r="BL335" s="2"/>
    </row>
    <row r="336" spans="7:64" x14ac:dyDescent="0.25">
      <c r="G336" s="72"/>
      <c r="H336" s="72"/>
      <c r="I336" s="72"/>
      <c r="S336" s="73"/>
      <c r="V336" s="2"/>
      <c r="X336" s="72"/>
      <c r="Y336" s="6"/>
      <c r="Z336" s="73"/>
      <c r="AB336" s="6"/>
      <c r="AC336" s="2"/>
      <c r="AE336" s="72"/>
      <c r="AF336" s="6"/>
      <c r="AG336" s="73"/>
      <c r="AH336" s="6"/>
      <c r="AI336" s="6"/>
      <c r="AJ336" s="2"/>
      <c r="AL336" s="72"/>
      <c r="AN336" s="73"/>
      <c r="AO336" s="6"/>
      <c r="AQ336" s="2"/>
      <c r="AS336" s="72"/>
      <c r="AU336" s="73"/>
      <c r="AV336" s="6"/>
      <c r="AW336" s="6"/>
      <c r="AX336" s="2"/>
      <c r="AZ336" s="72"/>
      <c r="BB336" s="73"/>
      <c r="BE336" s="2"/>
      <c r="BG336" s="72"/>
      <c r="BH336" s="6"/>
      <c r="BI336" s="73"/>
      <c r="BJ336" s="6"/>
      <c r="BL336" s="2"/>
    </row>
    <row r="337" spans="7:64" x14ac:dyDescent="0.25">
      <c r="G337" s="72"/>
      <c r="H337" s="72"/>
      <c r="I337" s="72"/>
      <c r="S337" s="73"/>
      <c r="V337" s="2"/>
      <c r="X337" s="72"/>
      <c r="Y337" s="6"/>
      <c r="Z337" s="73"/>
      <c r="AB337" s="6"/>
      <c r="AC337" s="2"/>
      <c r="AE337" s="72"/>
      <c r="AF337" s="6"/>
      <c r="AG337" s="73"/>
      <c r="AH337" s="6"/>
      <c r="AI337" s="6"/>
      <c r="AJ337" s="2"/>
      <c r="AL337" s="72"/>
      <c r="AN337" s="73"/>
      <c r="AO337" s="6"/>
      <c r="AQ337" s="2"/>
      <c r="AS337" s="72"/>
      <c r="AU337" s="73"/>
      <c r="AV337" s="6"/>
      <c r="AW337" s="6"/>
      <c r="AX337" s="2"/>
      <c r="AZ337" s="72"/>
      <c r="BB337" s="73"/>
      <c r="BE337" s="2"/>
      <c r="BG337" s="72"/>
      <c r="BH337" s="6"/>
      <c r="BI337" s="73"/>
      <c r="BJ337" s="6"/>
      <c r="BL337" s="2"/>
    </row>
    <row r="338" spans="7:64" x14ac:dyDescent="0.25">
      <c r="G338" s="72"/>
      <c r="H338" s="72"/>
      <c r="I338" s="72"/>
      <c r="S338" s="73"/>
      <c r="V338" s="2"/>
      <c r="X338" s="72"/>
      <c r="Y338" s="6"/>
      <c r="Z338" s="73"/>
      <c r="AB338" s="6"/>
      <c r="AC338" s="2"/>
      <c r="AE338" s="72"/>
      <c r="AF338" s="6"/>
      <c r="AG338" s="73"/>
      <c r="AH338" s="6"/>
      <c r="AI338" s="6"/>
      <c r="AJ338" s="2"/>
      <c r="AL338" s="72"/>
      <c r="AN338" s="73"/>
      <c r="AO338" s="6"/>
      <c r="AQ338" s="2"/>
      <c r="AS338" s="72"/>
      <c r="AU338" s="73"/>
      <c r="AV338" s="6"/>
      <c r="AW338" s="6"/>
      <c r="AX338" s="2"/>
      <c r="AZ338" s="72"/>
      <c r="BB338" s="73"/>
      <c r="BE338" s="2"/>
      <c r="BG338" s="72"/>
      <c r="BH338" s="6"/>
      <c r="BI338" s="73"/>
      <c r="BJ338" s="6"/>
      <c r="BL338" s="2"/>
    </row>
    <row r="339" spans="7:64" x14ac:dyDescent="0.25">
      <c r="G339" s="72"/>
      <c r="H339" s="72"/>
      <c r="I339" s="72"/>
      <c r="S339" s="73"/>
      <c r="V339" s="2"/>
      <c r="X339" s="72"/>
      <c r="Y339" s="6"/>
      <c r="Z339" s="73"/>
      <c r="AB339" s="6"/>
      <c r="AC339" s="2"/>
      <c r="AE339" s="72"/>
      <c r="AF339" s="6"/>
      <c r="AG339" s="73"/>
      <c r="AH339" s="6"/>
      <c r="AI339" s="6"/>
      <c r="AJ339" s="2"/>
      <c r="AL339" s="72"/>
      <c r="AN339" s="73"/>
      <c r="AO339" s="6"/>
      <c r="AQ339" s="2"/>
      <c r="AS339" s="72"/>
      <c r="AU339" s="73"/>
      <c r="AV339" s="6"/>
      <c r="AW339" s="6"/>
      <c r="AX339" s="2"/>
      <c r="AZ339" s="72"/>
      <c r="BB339" s="73"/>
      <c r="BE339" s="2"/>
      <c r="BG339" s="72"/>
      <c r="BH339" s="6"/>
      <c r="BI339" s="73"/>
      <c r="BJ339" s="6"/>
      <c r="BL339" s="2"/>
    </row>
    <row r="340" spans="7:64" x14ac:dyDescent="0.25">
      <c r="G340" s="72"/>
      <c r="H340" s="72"/>
      <c r="I340" s="72"/>
      <c r="S340" s="73"/>
      <c r="V340" s="2"/>
      <c r="X340" s="72"/>
      <c r="Y340" s="6"/>
      <c r="Z340" s="73"/>
      <c r="AB340" s="6"/>
      <c r="AC340" s="2"/>
      <c r="AE340" s="72"/>
      <c r="AF340" s="6"/>
      <c r="AG340" s="73"/>
      <c r="AH340" s="6"/>
      <c r="AI340" s="6"/>
      <c r="AJ340" s="2"/>
      <c r="AL340" s="72"/>
      <c r="AN340" s="73"/>
      <c r="AO340" s="6"/>
      <c r="AQ340" s="2"/>
      <c r="AS340" s="72"/>
      <c r="AU340" s="73"/>
      <c r="AV340" s="6"/>
      <c r="AW340" s="6"/>
      <c r="AX340" s="2"/>
      <c r="AZ340" s="72"/>
      <c r="BB340" s="73"/>
      <c r="BE340" s="2"/>
      <c r="BG340" s="72"/>
      <c r="BH340" s="6"/>
      <c r="BI340" s="73"/>
      <c r="BJ340" s="6"/>
      <c r="BL340" s="2"/>
    </row>
    <row r="341" spans="7:64" x14ac:dyDescent="0.25">
      <c r="G341" s="72"/>
      <c r="H341" s="72"/>
      <c r="I341" s="72"/>
      <c r="S341" s="73"/>
      <c r="V341" s="2"/>
      <c r="X341" s="72"/>
      <c r="Y341" s="6"/>
      <c r="Z341" s="73"/>
      <c r="AB341" s="6"/>
      <c r="AC341" s="2"/>
      <c r="AE341" s="72"/>
      <c r="AF341" s="6"/>
      <c r="AG341" s="73"/>
      <c r="AH341" s="6"/>
      <c r="AI341" s="6"/>
      <c r="AJ341" s="2"/>
      <c r="AL341" s="72"/>
      <c r="AN341" s="73"/>
      <c r="AO341" s="6"/>
      <c r="AQ341" s="2"/>
      <c r="AS341" s="72"/>
      <c r="AU341" s="73"/>
      <c r="AV341" s="6"/>
      <c r="AW341" s="6"/>
      <c r="AX341" s="2"/>
      <c r="AZ341" s="72"/>
      <c r="BB341" s="73"/>
      <c r="BE341" s="2"/>
      <c r="BG341" s="72"/>
      <c r="BH341" s="6"/>
      <c r="BI341" s="73"/>
      <c r="BJ341" s="6"/>
      <c r="BL341" s="2"/>
    </row>
    <row r="342" spans="7:64" x14ac:dyDescent="0.25">
      <c r="G342" s="72"/>
      <c r="H342" s="72"/>
      <c r="I342" s="72"/>
      <c r="S342" s="73"/>
      <c r="V342" s="2"/>
      <c r="X342" s="72"/>
      <c r="Y342" s="6"/>
      <c r="Z342" s="73"/>
      <c r="AB342" s="6"/>
      <c r="AC342" s="2"/>
      <c r="AE342" s="72"/>
      <c r="AF342" s="6"/>
      <c r="AG342" s="73"/>
      <c r="AH342" s="6"/>
      <c r="AI342" s="6"/>
      <c r="AJ342" s="2"/>
      <c r="AL342" s="72"/>
      <c r="AN342" s="73"/>
      <c r="AO342" s="6"/>
      <c r="AQ342" s="2"/>
      <c r="AS342" s="72"/>
      <c r="AU342" s="73"/>
      <c r="AV342" s="6"/>
      <c r="AW342" s="6"/>
      <c r="AX342" s="2"/>
      <c r="AZ342" s="72"/>
      <c r="BB342" s="73"/>
      <c r="BE342" s="2"/>
      <c r="BG342" s="72"/>
      <c r="BH342" s="6"/>
      <c r="BI342" s="73"/>
      <c r="BJ342" s="6"/>
      <c r="BL342" s="2"/>
    </row>
    <row r="343" spans="7:64" x14ac:dyDescent="0.25">
      <c r="G343" s="72"/>
      <c r="H343" s="72"/>
      <c r="I343" s="72"/>
      <c r="S343" s="73"/>
      <c r="V343" s="2"/>
      <c r="X343" s="72"/>
      <c r="Y343" s="6"/>
      <c r="Z343" s="73"/>
      <c r="AB343" s="6"/>
      <c r="AC343" s="2"/>
      <c r="AE343" s="72"/>
      <c r="AF343" s="6"/>
      <c r="AG343" s="73"/>
      <c r="AH343" s="6"/>
      <c r="AI343" s="6"/>
      <c r="AJ343" s="2"/>
      <c r="AL343" s="72"/>
      <c r="AN343" s="73"/>
      <c r="AO343" s="6"/>
      <c r="AQ343" s="2"/>
      <c r="AS343" s="72"/>
      <c r="AU343" s="73"/>
      <c r="AV343" s="6"/>
      <c r="AW343" s="6"/>
      <c r="AX343" s="2"/>
      <c r="AZ343" s="72"/>
      <c r="BB343" s="73"/>
      <c r="BE343" s="2"/>
      <c r="BG343" s="72"/>
      <c r="BH343" s="6"/>
      <c r="BI343" s="73"/>
      <c r="BJ343" s="6"/>
      <c r="BL343" s="2"/>
    </row>
    <row r="344" spans="7:64" x14ac:dyDescent="0.25">
      <c r="G344" s="72"/>
      <c r="H344" s="72"/>
      <c r="I344" s="72"/>
      <c r="S344" s="73"/>
      <c r="V344" s="2"/>
      <c r="X344" s="72"/>
      <c r="Y344" s="6"/>
      <c r="Z344" s="73"/>
      <c r="AB344" s="6"/>
      <c r="AC344" s="2"/>
      <c r="AE344" s="72"/>
      <c r="AF344" s="6"/>
      <c r="AG344" s="73"/>
      <c r="AH344" s="6"/>
      <c r="AI344" s="6"/>
      <c r="AJ344" s="2"/>
      <c r="AL344" s="72"/>
      <c r="AN344" s="73"/>
      <c r="AO344" s="6"/>
      <c r="AQ344" s="2"/>
      <c r="AS344" s="72"/>
      <c r="AU344" s="73"/>
      <c r="AV344" s="6"/>
      <c r="AW344" s="6"/>
      <c r="AX344" s="2"/>
      <c r="AZ344" s="72"/>
      <c r="BB344" s="73"/>
      <c r="BE344" s="2"/>
      <c r="BG344" s="72"/>
      <c r="BH344" s="6"/>
      <c r="BI344" s="73"/>
      <c r="BJ344" s="6"/>
      <c r="BL344" s="2"/>
    </row>
    <row r="345" spans="7:64" x14ac:dyDescent="0.25">
      <c r="G345" s="72"/>
      <c r="H345" s="72"/>
      <c r="I345" s="72"/>
      <c r="S345" s="73"/>
      <c r="V345" s="2"/>
      <c r="X345" s="72"/>
      <c r="Y345" s="6"/>
      <c r="Z345" s="73"/>
      <c r="AB345" s="6"/>
      <c r="AC345" s="2"/>
      <c r="AE345" s="72"/>
      <c r="AF345" s="6"/>
      <c r="AG345" s="73"/>
      <c r="AH345" s="6"/>
      <c r="AI345" s="6"/>
      <c r="AJ345" s="2"/>
      <c r="AL345" s="72"/>
      <c r="AN345" s="73"/>
      <c r="AO345" s="6"/>
      <c r="AQ345" s="2"/>
      <c r="AS345" s="72"/>
      <c r="AU345" s="73"/>
      <c r="AV345" s="6"/>
      <c r="AW345" s="6"/>
      <c r="AX345" s="2"/>
      <c r="AZ345" s="72"/>
      <c r="BB345" s="73"/>
      <c r="BE345" s="2"/>
      <c r="BG345" s="72"/>
      <c r="BH345" s="6"/>
      <c r="BI345" s="73"/>
      <c r="BJ345" s="6"/>
      <c r="BL345" s="2"/>
    </row>
    <row r="346" spans="7:64" x14ac:dyDescent="0.25">
      <c r="G346" s="72"/>
      <c r="H346" s="72"/>
      <c r="I346" s="72"/>
      <c r="S346" s="73"/>
      <c r="V346" s="2"/>
      <c r="X346" s="72"/>
      <c r="Y346" s="6"/>
      <c r="Z346" s="73"/>
      <c r="AB346" s="6"/>
      <c r="AC346" s="2"/>
      <c r="AE346" s="72"/>
      <c r="AF346" s="6"/>
      <c r="AG346" s="73"/>
      <c r="AH346" s="6"/>
      <c r="AI346" s="6"/>
      <c r="AJ346" s="2"/>
      <c r="AL346" s="72"/>
      <c r="AN346" s="73"/>
      <c r="AO346" s="6"/>
      <c r="AQ346" s="2"/>
      <c r="AS346" s="72"/>
      <c r="AU346" s="73"/>
      <c r="AV346" s="6"/>
      <c r="AW346" s="6"/>
      <c r="AX346" s="2"/>
      <c r="AZ346" s="72"/>
      <c r="BB346" s="73"/>
      <c r="BE346" s="2"/>
      <c r="BG346" s="72"/>
      <c r="BH346" s="6"/>
      <c r="BI346" s="73"/>
      <c r="BJ346" s="6"/>
      <c r="BL346" s="2"/>
    </row>
    <row r="347" spans="7:64" x14ac:dyDescent="0.25">
      <c r="G347" s="72"/>
      <c r="H347" s="72"/>
      <c r="I347" s="72"/>
      <c r="S347" s="73"/>
      <c r="V347" s="2"/>
      <c r="X347" s="72"/>
      <c r="Y347" s="6"/>
      <c r="Z347" s="73"/>
      <c r="AB347" s="6"/>
      <c r="AC347" s="2"/>
      <c r="AE347" s="72"/>
      <c r="AF347" s="6"/>
      <c r="AG347" s="73"/>
      <c r="AH347" s="6"/>
      <c r="AI347" s="6"/>
      <c r="AJ347" s="2"/>
      <c r="AL347" s="72"/>
      <c r="AN347" s="73"/>
      <c r="AO347" s="6"/>
      <c r="AQ347" s="2"/>
      <c r="AS347" s="72"/>
      <c r="AU347" s="73"/>
      <c r="AV347" s="6"/>
      <c r="AW347" s="6"/>
      <c r="AX347" s="2"/>
      <c r="AZ347" s="72"/>
      <c r="BB347" s="73"/>
      <c r="BE347" s="2"/>
      <c r="BG347" s="72"/>
      <c r="BH347" s="6"/>
      <c r="BI347" s="73"/>
      <c r="BJ347" s="6"/>
      <c r="BL347" s="2"/>
    </row>
    <row r="348" spans="7:64" x14ac:dyDescent="0.25">
      <c r="G348" s="72"/>
      <c r="H348" s="72"/>
      <c r="I348" s="72"/>
      <c r="S348" s="73"/>
      <c r="V348" s="2"/>
      <c r="X348" s="72"/>
      <c r="Y348" s="6"/>
      <c r="Z348" s="73"/>
      <c r="AB348" s="6"/>
      <c r="AC348" s="2"/>
      <c r="AE348" s="72"/>
      <c r="AF348" s="6"/>
      <c r="AG348" s="73"/>
      <c r="AH348" s="6"/>
      <c r="AI348" s="6"/>
      <c r="AJ348" s="2"/>
      <c r="AL348" s="72"/>
      <c r="AN348" s="73"/>
      <c r="AO348" s="6"/>
      <c r="AQ348" s="2"/>
      <c r="AS348" s="72"/>
      <c r="AU348" s="73"/>
      <c r="AV348" s="6"/>
      <c r="AW348" s="6"/>
      <c r="AX348" s="2"/>
      <c r="AZ348" s="72"/>
      <c r="BB348" s="73"/>
      <c r="BE348" s="2"/>
      <c r="BG348" s="72"/>
      <c r="BH348" s="6"/>
      <c r="BI348" s="73"/>
      <c r="BJ348" s="6"/>
      <c r="BL348" s="2"/>
    </row>
    <row r="349" spans="7:64" x14ac:dyDescent="0.25">
      <c r="G349" s="72"/>
      <c r="H349" s="72"/>
      <c r="I349" s="72"/>
      <c r="S349" s="73"/>
      <c r="V349" s="2"/>
      <c r="X349" s="72"/>
      <c r="Y349" s="6"/>
      <c r="Z349" s="73"/>
      <c r="AB349" s="6"/>
      <c r="AC349" s="2"/>
      <c r="AE349" s="72"/>
      <c r="AF349" s="6"/>
      <c r="AG349" s="73"/>
      <c r="AH349" s="6"/>
      <c r="AI349" s="6"/>
      <c r="AJ349" s="2"/>
      <c r="AL349" s="72"/>
      <c r="AN349" s="73"/>
      <c r="AO349" s="6"/>
      <c r="AQ349" s="2"/>
      <c r="AS349" s="72"/>
      <c r="AU349" s="73"/>
      <c r="AV349" s="6"/>
      <c r="AW349" s="6"/>
      <c r="AX349" s="2"/>
      <c r="AZ349" s="72"/>
      <c r="BB349" s="73"/>
      <c r="BE349" s="2"/>
      <c r="BG349" s="72"/>
      <c r="BH349" s="6"/>
      <c r="BI349" s="73"/>
      <c r="BJ349" s="6"/>
      <c r="BL349" s="2"/>
    </row>
    <row r="350" spans="7:64" x14ac:dyDescent="0.25">
      <c r="G350" s="72"/>
      <c r="H350" s="72"/>
      <c r="I350" s="72"/>
      <c r="S350" s="73"/>
      <c r="V350" s="2"/>
      <c r="X350" s="72"/>
      <c r="Y350" s="6"/>
      <c r="Z350" s="73"/>
      <c r="AB350" s="6"/>
      <c r="AC350" s="2"/>
      <c r="AE350" s="72"/>
      <c r="AF350" s="6"/>
      <c r="AG350" s="73"/>
      <c r="AH350" s="6"/>
      <c r="AI350" s="6"/>
      <c r="AJ350" s="2"/>
      <c r="AL350" s="72"/>
      <c r="AN350" s="73"/>
      <c r="AO350" s="6"/>
      <c r="AQ350" s="2"/>
      <c r="AS350" s="72"/>
      <c r="AU350" s="73"/>
      <c r="AV350" s="6"/>
      <c r="AW350" s="6"/>
      <c r="AX350" s="2"/>
      <c r="AZ350" s="72"/>
      <c r="BB350" s="73"/>
      <c r="BE350" s="2"/>
      <c r="BG350" s="72"/>
      <c r="BH350" s="6"/>
      <c r="BI350" s="73"/>
      <c r="BJ350" s="6"/>
      <c r="BL350" s="2"/>
    </row>
    <row r="351" spans="7:64" x14ac:dyDescent="0.25">
      <c r="G351" s="72"/>
      <c r="H351" s="72"/>
      <c r="I351" s="72"/>
      <c r="S351" s="73"/>
      <c r="V351" s="2"/>
      <c r="X351" s="72"/>
      <c r="Y351" s="6"/>
      <c r="Z351" s="73"/>
      <c r="AB351" s="6"/>
      <c r="AC351" s="2"/>
      <c r="AE351" s="72"/>
      <c r="AF351" s="6"/>
      <c r="AG351" s="73"/>
      <c r="AH351" s="6"/>
      <c r="AI351" s="6"/>
      <c r="AJ351" s="2"/>
      <c r="AL351" s="72"/>
      <c r="AN351" s="73"/>
      <c r="AO351" s="6"/>
      <c r="AQ351" s="2"/>
      <c r="AS351" s="72"/>
      <c r="AU351" s="73"/>
      <c r="AV351" s="6"/>
      <c r="AW351" s="6"/>
      <c r="AX351" s="2"/>
      <c r="AZ351" s="72"/>
      <c r="BB351" s="73"/>
      <c r="BE351" s="2"/>
      <c r="BG351" s="72"/>
      <c r="BH351" s="6"/>
      <c r="BI351" s="73"/>
      <c r="BJ351" s="6"/>
      <c r="BL351" s="2"/>
    </row>
    <row r="352" spans="7:64" x14ac:dyDescent="0.25">
      <c r="G352" s="72"/>
      <c r="H352" s="72"/>
      <c r="I352" s="72"/>
      <c r="S352" s="73"/>
      <c r="V352" s="2"/>
      <c r="X352" s="72"/>
      <c r="Y352" s="6"/>
      <c r="Z352" s="73"/>
      <c r="AB352" s="6"/>
      <c r="AC352" s="2"/>
      <c r="AE352" s="72"/>
      <c r="AF352" s="6"/>
      <c r="AG352" s="73"/>
      <c r="AH352" s="6"/>
      <c r="AI352" s="6"/>
      <c r="AJ352" s="2"/>
      <c r="AL352" s="72"/>
      <c r="AN352" s="73"/>
      <c r="AO352" s="6"/>
      <c r="AQ352" s="2"/>
      <c r="AS352" s="72"/>
      <c r="AU352" s="73"/>
      <c r="AV352" s="6"/>
      <c r="AW352" s="6"/>
      <c r="AX352" s="2"/>
      <c r="AZ352" s="72"/>
      <c r="BB352" s="73"/>
      <c r="BE352" s="2"/>
      <c r="BG352" s="72"/>
      <c r="BH352" s="6"/>
      <c r="BI352" s="73"/>
      <c r="BJ352" s="6"/>
      <c r="BL352" s="2"/>
    </row>
    <row r="353" spans="7:64" x14ac:dyDescent="0.25">
      <c r="G353" s="72"/>
      <c r="H353" s="72"/>
      <c r="I353" s="72"/>
      <c r="S353" s="73"/>
      <c r="V353" s="2"/>
      <c r="X353" s="72"/>
      <c r="Y353" s="6"/>
      <c r="Z353" s="73"/>
      <c r="AB353" s="6"/>
      <c r="AC353" s="2"/>
      <c r="AE353" s="72"/>
      <c r="AF353" s="6"/>
      <c r="AG353" s="73"/>
      <c r="AH353" s="6"/>
      <c r="AI353" s="6"/>
      <c r="AJ353" s="2"/>
      <c r="AL353" s="72"/>
      <c r="AN353" s="73"/>
      <c r="AO353" s="6"/>
      <c r="AQ353" s="2"/>
      <c r="AS353" s="72"/>
      <c r="AU353" s="73"/>
      <c r="AV353" s="6"/>
      <c r="AW353" s="6"/>
      <c r="AX353" s="2"/>
      <c r="AZ353" s="72"/>
      <c r="BB353" s="73"/>
      <c r="BE353" s="2"/>
      <c r="BG353" s="72"/>
      <c r="BH353" s="6"/>
      <c r="BI353" s="73"/>
      <c r="BJ353" s="6"/>
      <c r="BL353" s="2"/>
    </row>
    <row r="354" spans="7:64" x14ac:dyDescent="0.25">
      <c r="G354" s="72"/>
      <c r="H354" s="72"/>
      <c r="I354" s="72"/>
      <c r="S354" s="73"/>
      <c r="V354" s="2"/>
      <c r="X354" s="72"/>
      <c r="Y354" s="6"/>
      <c r="Z354" s="73"/>
      <c r="AB354" s="6"/>
      <c r="AC354" s="2"/>
      <c r="AE354" s="72"/>
      <c r="AF354" s="6"/>
      <c r="AG354" s="73"/>
      <c r="AH354" s="6"/>
      <c r="AI354" s="6"/>
      <c r="AJ354" s="2"/>
      <c r="AL354" s="72"/>
      <c r="AN354" s="73"/>
      <c r="AO354" s="6"/>
      <c r="AQ354" s="2"/>
      <c r="AS354" s="72"/>
      <c r="AU354" s="73"/>
      <c r="AV354" s="6"/>
      <c r="AW354" s="6"/>
      <c r="AX354" s="2"/>
      <c r="AZ354" s="72"/>
      <c r="BB354" s="73"/>
      <c r="BE354" s="2"/>
      <c r="BG354" s="72"/>
      <c r="BH354" s="6"/>
      <c r="BI354" s="73"/>
      <c r="BJ354" s="6"/>
      <c r="BL354" s="2"/>
    </row>
    <row r="355" spans="7:64" x14ac:dyDescent="0.25">
      <c r="G355" s="72"/>
      <c r="H355" s="72"/>
      <c r="I355" s="72"/>
      <c r="S355" s="73"/>
      <c r="V355" s="2"/>
      <c r="X355" s="72"/>
      <c r="Y355" s="6"/>
      <c r="Z355" s="73"/>
      <c r="AB355" s="6"/>
      <c r="AC355" s="2"/>
      <c r="AE355" s="72"/>
      <c r="AF355" s="6"/>
      <c r="AG355" s="73"/>
      <c r="AH355" s="6"/>
      <c r="AI355" s="6"/>
      <c r="AJ355" s="2"/>
      <c r="AL355" s="72"/>
      <c r="AN355" s="73"/>
      <c r="AO355" s="6"/>
      <c r="AQ355" s="2"/>
      <c r="AS355" s="72"/>
      <c r="AU355" s="73"/>
      <c r="AV355" s="6"/>
      <c r="AW355" s="6"/>
      <c r="AX355" s="2"/>
      <c r="AZ355" s="72"/>
      <c r="BB355" s="73"/>
      <c r="BE355" s="2"/>
      <c r="BG355" s="72"/>
      <c r="BH355" s="6"/>
      <c r="BI355" s="73"/>
      <c r="BJ355" s="6"/>
      <c r="BL355" s="2"/>
    </row>
    <row r="356" spans="7:64" x14ac:dyDescent="0.25">
      <c r="G356" s="72"/>
      <c r="H356" s="72"/>
      <c r="I356" s="72"/>
      <c r="S356" s="73"/>
      <c r="V356" s="2"/>
      <c r="X356" s="72"/>
      <c r="Y356" s="6"/>
      <c r="Z356" s="73"/>
      <c r="AB356" s="6"/>
      <c r="AC356" s="2"/>
      <c r="AE356" s="72"/>
      <c r="AF356" s="6"/>
      <c r="AG356" s="73"/>
      <c r="AH356" s="6"/>
      <c r="AI356" s="6"/>
      <c r="AJ356" s="2"/>
      <c r="AL356" s="72"/>
      <c r="AN356" s="73"/>
      <c r="AO356" s="6"/>
      <c r="AQ356" s="2"/>
      <c r="AS356" s="72"/>
      <c r="AU356" s="73"/>
      <c r="AV356" s="6"/>
      <c r="AW356" s="6"/>
      <c r="AX356" s="2"/>
      <c r="AZ356" s="72"/>
      <c r="BB356" s="73"/>
      <c r="BE356" s="2"/>
      <c r="BG356" s="72"/>
      <c r="BH356" s="6"/>
      <c r="BI356" s="73"/>
      <c r="BJ356" s="6"/>
      <c r="BL356" s="2"/>
    </row>
    <row r="357" spans="7:64" x14ac:dyDescent="0.25">
      <c r="G357" s="72"/>
      <c r="H357" s="72"/>
      <c r="I357" s="72"/>
      <c r="S357" s="73"/>
      <c r="V357" s="2"/>
      <c r="X357" s="72"/>
      <c r="Y357" s="6"/>
      <c r="Z357" s="73"/>
      <c r="AB357" s="6"/>
      <c r="AC357" s="2"/>
      <c r="AE357" s="72"/>
      <c r="AF357" s="6"/>
      <c r="AG357" s="73"/>
      <c r="AH357" s="6"/>
      <c r="AI357" s="6"/>
      <c r="AJ357" s="2"/>
      <c r="AL357" s="72"/>
      <c r="AN357" s="73"/>
      <c r="AO357" s="6"/>
      <c r="AQ357" s="2"/>
      <c r="AS357" s="72"/>
      <c r="AU357" s="73"/>
      <c r="AV357" s="6"/>
      <c r="AW357" s="6"/>
      <c r="AX357" s="2"/>
      <c r="AZ357" s="72"/>
      <c r="BB357" s="73"/>
      <c r="BE357" s="2"/>
      <c r="BG357" s="72"/>
      <c r="BH357" s="6"/>
      <c r="BI357" s="73"/>
      <c r="BJ357" s="6"/>
      <c r="BL357" s="2"/>
    </row>
    <row r="358" spans="7:64" x14ac:dyDescent="0.25">
      <c r="G358" s="72"/>
      <c r="H358" s="72"/>
      <c r="I358" s="72"/>
      <c r="S358" s="73"/>
      <c r="V358" s="2"/>
      <c r="X358" s="72"/>
      <c r="Y358" s="6"/>
      <c r="Z358" s="73"/>
      <c r="AB358" s="6"/>
      <c r="AC358" s="2"/>
      <c r="AE358" s="72"/>
      <c r="AF358" s="6"/>
      <c r="AG358" s="73"/>
      <c r="AH358" s="6"/>
      <c r="AI358" s="6"/>
      <c r="AJ358" s="2"/>
      <c r="AL358" s="72"/>
      <c r="AN358" s="73"/>
      <c r="AO358" s="6"/>
      <c r="AQ358" s="2"/>
      <c r="AS358" s="72"/>
      <c r="AU358" s="73"/>
      <c r="AV358" s="6"/>
      <c r="AW358" s="6"/>
      <c r="AX358" s="2"/>
      <c r="AZ358" s="72"/>
      <c r="BB358" s="73"/>
      <c r="BE358" s="2"/>
      <c r="BG358" s="72"/>
      <c r="BH358" s="6"/>
      <c r="BI358" s="73"/>
      <c r="BJ358" s="6"/>
      <c r="BL358" s="2"/>
    </row>
    <row r="359" spans="7:64" x14ac:dyDescent="0.25">
      <c r="G359" s="72"/>
      <c r="H359" s="72"/>
      <c r="I359" s="72"/>
      <c r="S359" s="73"/>
      <c r="V359" s="2"/>
      <c r="X359" s="72"/>
      <c r="Y359" s="6"/>
      <c r="Z359" s="73"/>
      <c r="AB359" s="6"/>
      <c r="AC359" s="2"/>
      <c r="AE359" s="72"/>
      <c r="AF359" s="6"/>
      <c r="AG359" s="73"/>
      <c r="AH359" s="6"/>
      <c r="AI359" s="6"/>
      <c r="AJ359" s="2"/>
      <c r="AL359" s="72"/>
      <c r="AN359" s="73"/>
      <c r="AO359" s="6"/>
      <c r="AQ359" s="2"/>
      <c r="AS359" s="72"/>
      <c r="AU359" s="73"/>
      <c r="AV359" s="6"/>
      <c r="AW359" s="6"/>
      <c r="AX359" s="2"/>
      <c r="AZ359" s="72"/>
      <c r="BB359" s="73"/>
      <c r="BE359" s="2"/>
      <c r="BG359" s="72"/>
      <c r="BH359" s="6"/>
      <c r="BI359" s="73"/>
      <c r="BJ359" s="6"/>
      <c r="BL359" s="2"/>
    </row>
    <row r="360" spans="7:64" x14ac:dyDescent="0.25">
      <c r="G360" s="72"/>
      <c r="H360" s="72"/>
      <c r="I360" s="72"/>
      <c r="S360" s="73"/>
      <c r="V360" s="2"/>
      <c r="X360" s="72"/>
      <c r="Y360" s="6"/>
      <c r="Z360" s="73"/>
      <c r="AB360" s="6"/>
      <c r="AC360" s="2"/>
      <c r="AE360" s="72"/>
      <c r="AF360" s="6"/>
      <c r="AG360" s="73"/>
      <c r="AH360" s="6"/>
      <c r="AI360" s="6"/>
      <c r="AJ360" s="2"/>
      <c r="AL360" s="72"/>
      <c r="AN360" s="73"/>
      <c r="AO360" s="6"/>
      <c r="AQ360" s="2"/>
      <c r="AS360" s="72"/>
      <c r="AU360" s="73"/>
      <c r="AV360" s="6"/>
      <c r="AW360" s="6"/>
      <c r="AX360" s="2"/>
      <c r="AZ360" s="72"/>
      <c r="BB360" s="73"/>
      <c r="BE360" s="2"/>
      <c r="BG360" s="72"/>
      <c r="BH360" s="6"/>
      <c r="BI360" s="73"/>
      <c r="BJ360" s="6"/>
      <c r="BL360" s="2"/>
    </row>
    <row r="361" spans="7:64" x14ac:dyDescent="0.25">
      <c r="G361" s="72"/>
      <c r="H361" s="72"/>
      <c r="I361" s="72"/>
      <c r="S361" s="73"/>
      <c r="V361" s="2"/>
      <c r="X361" s="72"/>
      <c r="Y361" s="6"/>
      <c r="Z361" s="73"/>
      <c r="AB361" s="6"/>
      <c r="AC361" s="2"/>
      <c r="AE361" s="72"/>
      <c r="AF361" s="6"/>
      <c r="AG361" s="73"/>
      <c r="AH361" s="6"/>
      <c r="AI361" s="6"/>
      <c r="AJ361" s="2"/>
      <c r="AL361" s="72"/>
      <c r="AN361" s="73"/>
      <c r="AO361" s="6"/>
      <c r="AQ361" s="2"/>
      <c r="AS361" s="72"/>
      <c r="AU361" s="73"/>
      <c r="AV361" s="6"/>
      <c r="AW361" s="6"/>
      <c r="AX361" s="2"/>
      <c r="AZ361" s="72"/>
      <c r="BB361" s="73"/>
      <c r="BE361" s="2"/>
      <c r="BG361" s="72"/>
      <c r="BH361" s="6"/>
      <c r="BI361" s="73"/>
      <c r="BJ361" s="6"/>
      <c r="BL361" s="2"/>
    </row>
    <row r="362" spans="7:64" x14ac:dyDescent="0.25">
      <c r="G362" s="72"/>
      <c r="H362" s="72"/>
      <c r="I362" s="72"/>
      <c r="S362" s="73"/>
      <c r="V362" s="2"/>
      <c r="X362" s="72"/>
      <c r="Y362" s="6"/>
      <c r="Z362" s="73"/>
      <c r="AB362" s="6"/>
      <c r="AC362" s="2"/>
      <c r="AE362" s="72"/>
      <c r="AF362" s="6"/>
      <c r="AG362" s="73"/>
      <c r="AH362" s="6"/>
      <c r="AI362" s="6"/>
      <c r="AJ362" s="2"/>
      <c r="AL362" s="72"/>
      <c r="AN362" s="73"/>
      <c r="AO362" s="6"/>
      <c r="AQ362" s="2"/>
      <c r="AS362" s="72"/>
      <c r="AU362" s="73"/>
      <c r="AV362" s="6"/>
      <c r="AW362" s="6"/>
      <c r="AX362" s="2"/>
      <c r="AZ362" s="72"/>
      <c r="BB362" s="73"/>
      <c r="BE362" s="2"/>
      <c r="BG362" s="72"/>
      <c r="BH362" s="6"/>
      <c r="BI362" s="73"/>
      <c r="BJ362" s="6"/>
      <c r="BL362" s="2"/>
    </row>
    <row r="363" spans="7:64" x14ac:dyDescent="0.25">
      <c r="G363" s="72"/>
      <c r="H363" s="72"/>
      <c r="I363" s="72"/>
      <c r="S363" s="73"/>
      <c r="V363" s="2"/>
      <c r="X363" s="72"/>
      <c r="Y363" s="6"/>
      <c r="Z363" s="73"/>
      <c r="AB363" s="6"/>
      <c r="AC363" s="2"/>
      <c r="AE363" s="72"/>
      <c r="AF363" s="6"/>
      <c r="AG363" s="73"/>
      <c r="AH363" s="6"/>
      <c r="AI363" s="6"/>
      <c r="AJ363" s="2"/>
      <c r="AL363" s="72"/>
      <c r="AN363" s="73"/>
      <c r="AO363" s="6"/>
      <c r="AQ363" s="2"/>
      <c r="AS363" s="72"/>
      <c r="AU363" s="73"/>
      <c r="AV363" s="6"/>
      <c r="AW363" s="6"/>
      <c r="AX363" s="2"/>
      <c r="AZ363" s="72"/>
      <c r="BB363" s="73"/>
      <c r="BE363" s="2"/>
      <c r="BG363" s="72"/>
      <c r="BH363" s="6"/>
      <c r="BI363" s="73"/>
      <c r="BJ363" s="6"/>
      <c r="BL363" s="2"/>
    </row>
    <row r="364" spans="7:64" x14ac:dyDescent="0.25">
      <c r="G364" s="72"/>
      <c r="H364" s="72"/>
      <c r="I364" s="72"/>
      <c r="S364" s="73"/>
      <c r="V364" s="2"/>
      <c r="X364" s="72"/>
      <c r="Y364" s="6"/>
      <c r="Z364" s="73"/>
      <c r="AB364" s="6"/>
      <c r="AC364" s="2"/>
      <c r="AE364" s="72"/>
      <c r="AF364" s="6"/>
      <c r="AG364" s="73"/>
      <c r="AH364" s="6"/>
      <c r="AI364" s="6"/>
      <c r="AJ364" s="2"/>
      <c r="AL364" s="72"/>
      <c r="AN364" s="73"/>
      <c r="AO364" s="6"/>
      <c r="AQ364" s="2"/>
      <c r="AS364" s="72"/>
      <c r="AU364" s="73"/>
      <c r="AV364" s="6"/>
      <c r="AW364" s="6"/>
      <c r="AX364" s="2"/>
      <c r="AZ364" s="72"/>
      <c r="BB364" s="73"/>
      <c r="BE364" s="2"/>
      <c r="BG364" s="72"/>
      <c r="BH364" s="6"/>
      <c r="BI364" s="73"/>
      <c r="BJ364" s="6"/>
      <c r="BL364" s="2"/>
    </row>
    <row r="365" spans="7:64" x14ac:dyDescent="0.25">
      <c r="G365" s="72"/>
      <c r="H365" s="72"/>
      <c r="I365" s="72"/>
      <c r="S365" s="73"/>
      <c r="V365" s="2"/>
      <c r="X365" s="72"/>
      <c r="Y365" s="6"/>
      <c r="Z365" s="73"/>
      <c r="AB365" s="6"/>
      <c r="AC365" s="2"/>
      <c r="AE365" s="72"/>
      <c r="AF365" s="6"/>
      <c r="AG365" s="73"/>
      <c r="AH365" s="6"/>
      <c r="AI365" s="6"/>
      <c r="AJ365" s="2"/>
      <c r="AL365" s="72"/>
      <c r="AN365" s="73"/>
      <c r="AO365" s="6"/>
      <c r="AQ365" s="2"/>
      <c r="AS365" s="72"/>
      <c r="AU365" s="73"/>
      <c r="AV365" s="6"/>
      <c r="AW365" s="6"/>
      <c r="AX365" s="2"/>
      <c r="AZ365" s="72"/>
      <c r="BB365" s="73"/>
      <c r="BE365" s="2"/>
      <c r="BG365" s="72"/>
      <c r="BH365" s="6"/>
      <c r="BI365" s="73"/>
      <c r="BJ365" s="6"/>
      <c r="BL365" s="2"/>
    </row>
    <row r="366" spans="7:64" x14ac:dyDescent="0.25">
      <c r="G366" s="72"/>
      <c r="H366" s="72"/>
      <c r="I366" s="72"/>
      <c r="S366" s="73"/>
      <c r="V366" s="2"/>
      <c r="X366" s="72"/>
      <c r="Y366" s="6"/>
      <c r="Z366" s="73"/>
      <c r="AB366" s="6"/>
      <c r="AC366" s="2"/>
      <c r="AE366" s="72"/>
      <c r="AF366" s="6"/>
      <c r="AG366" s="73"/>
      <c r="AH366" s="6"/>
      <c r="AI366" s="6"/>
      <c r="AJ366" s="2"/>
      <c r="AL366" s="72"/>
      <c r="AN366" s="73"/>
      <c r="AO366" s="6"/>
      <c r="AQ366" s="2"/>
      <c r="AS366" s="72"/>
      <c r="AU366" s="73"/>
      <c r="AV366" s="6"/>
      <c r="AW366" s="6"/>
      <c r="AX366" s="2"/>
      <c r="AZ366" s="72"/>
      <c r="BB366" s="73"/>
      <c r="BE366" s="2"/>
      <c r="BG366" s="72"/>
      <c r="BH366" s="6"/>
      <c r="BI366" s="73"/>
      <c r="BJ366" s="6"/>
      <c r="BL366" s="2"/>
    </row>
    <row r="367" spans="7:64" x14ac:dyDescent="0.25">
      <c r="G367" s="72"/>
      <c r="H367" s="72"/>
      <c r="I367" s="72"/>
      <c r="S367" s="73"/>
      <c r="V367" s="2"/>
      <c r="X367" s="72"/>
      <c r="Y367" s="6"/>
      <c r="Z367" s="73"/>
      <c r="AB367" s="6"/>
      <c r="AC367" s="2"/>
      <c r="AE367" s="72"/>
      <c r="AF367" s="6"/>
      <c r="AG367" s="73"/>
      <c r="AH367" s="6"/>
      <c r="AI367" s="6"/>
      <c r="AJ367" s="2"/>
      <c r="AL367" s="72"/>
      <c r="AN367" s="73"/>
      <c r="AO367" s="6"/>
      <c r="AQ367" s="2"/>
      <c r="AS367" s="72"/>
      <c r="AU367" s="73"/>
      <c r="AV367" s="6"/>
      <c r="AW367" s="6"/>
      <c r="AX367" s="2"/>
      <c r="AZ367" s="72"/>
      <c r="BB367" s="73"/>
      <c r="BE367" s="2"/>
      <c r="BG367" s="72"/>
      <c r="BH367" s="6"/>
      <c r="BI367" s="73"/>
      <c r="BJ367" s="6"/>
      <c r="BL367" s="2"/>
    </row>
    <row r="368" spans="7:64" x14ac:dyDescent="0.25">
      <c r="G368" s="72"/>
      <c r="H368" s="72"/>
      <c r="I368" s="72"/>
      <c r="S368" s="73"/>
      <c r="V368" s="2"/>
      <c r="X368" s="72"/>
      <c r="Y368" s="6"/>
      <c r="Z368" s="73"/>
      <c r="AB368" s="6"/>
      <c r="AC368" s="2"/>
      <c r="AE368" s="72"/>
      <c r="AF368" s="6"/>
      <c r="AG368" s="73"/>
      <c r="AH368" s="6"/>
      <c r="AI368" s="6"/>
      <c r="AJ368" s="2"/>
      <c r="AL368" s="72"/>
      <c r="AN368" s="73"/>
      <c r="AO368" s="6"/>
      <c r="AQ368" s="2"/>
      <c r="AS368" s="72"/>
      <c r="AU368" s="73"/>
      <c r="AV368" s="6"/>
      <c r="AW368" s="6"/>
      <c r="AX368" s="2"/>
      <c r="AZ368" s="72"/>
      <c r="BB368" s="73"/>
      <c r="BE368" s="2"/>
      <c r="BG368" s="72"/>
      <c r="BH368" s="6"/>
      <c r="BI368" s="73"/>
      <c r="BJ368" s="6"/>
      <c r="BL368" s="2"/>
    </row>
    <row r="369" spans="7:64" x14ac:dyDescent="0.25">
      <c r="G369" s="72"/>
      <c r="H369" s="72"/>
      <c r="I369" s="72"/>
      <c r="S369" s="73"/>
      <c r="V369" s="2"/>
      <c r="X369" s="72"/>
      <c r="Y369" s="6"/>
      <c r="Z369" s="73"/>
      <c r="AB369" s="6"/>
      <c r="AC369" s="2"/>
      <c r="AE369" s="72"/>
      <c r="AF369" s="6"/>
      <c r="AG369" s="73"/>
      <c r="AH369" s="6"/>
      <c r="AI369" s="6"/>
      <c r="AJ369" s="2"/>
      <c r="AL369" s="72"/>
      <c r="AN369" s="73"/>
      <c r="AO369" s="6"/>
      <c r="AQ369" s="2"/>
      <c r="AS369" s="72"/>
      <c r="AU369" s="73"/>
      <c r="AV369" s="6"/>
      <c r="AW369" s="6"/>
      <c r="AX369" s="2"/>
      <c r="AZ369" s="72"/>
      <c r="BB369" s="73"/>
      <c r="BE369" s="2"/>
      <c r="BG369" s="72"/>
      <c r="BH369" s="6"/>
      <c r="BI369" s="73"/>
      <c r="BJ369" s="6"/>
      <c r="BL369" s="2"/>
    </row>
    <row r="370" spans="7:64" x14ac:dyDescent="0.25">
      <c r="G370" s="72"/>
      <c r="H370" s="72"/>
      <c r="I370" s="72"/>
      <c r="S370" s="73"/>
      <c r="V370" s="2"/>
      <c r="X370" s="72"/>
      <c r="Y370" s="6"/>
      <c r="Z370" s="73"/>
      <c r="AB370" s="6"/>
      <c r="AC370" s="2"/>
      <c r="AE370" s="72"/>
      <c r="AF370" s="6"/>
      <c r="AG370" s="73"/>
      <c r="AH370" s="6"/>
      <c r="AI370" s="6"/>
      <c r="AJ370" s="2"/>
      <c r="AL370" s="72"/>
      <c r="AN370" s="73"/>
      <c r="AO370" s="6"/>
      <c r="AQ370" s="2"/>
      <c r="AS370" s="72"/>
      <c r="AU370" s="73"/>
      <c r="AV370" s="6"/>
      <c r="AW370" s="6"/>
      <c r="AX370" s="2"/>
      <c r="AZ370" s="72"/>
      <c r="BB370" s="73"/>
      <c r="BE370" s="2"/>
      <c r="BG370" s="72"/>
      <c r="BH370" s="6"/>
      <c r="BI370" s="73"/>
      <c r="BJ370" s="6"/>
      <c r="BL370" s="2"/>
    </row>
    <row r="371" spans="7:64" x14ac:dyDescent="0.25">
      <c r="G371" s="72"/>
      <c r="H371" s="72"/>
      <c r="I371" s="72"/>
      <c r="S371" s="73"/>
      <c r="V371" s="2"/>
      <c r="X371" s="72"/>
      <c r="Y371" s="6"/>
      <c r="Z371" s="73"/>
      <c r="AB371" s="6"/>
      <c r="AC371" s="2"/>
      <c r="AE371" s="72"/>
      <c r="AF371" s="6"/>
      <c r="AG371" s="73"/>
      <c r="AH371" s="6"/>
      <c r="AI371" s="6"/>
      <c r="AJ371" s="2"/>
      <c r="AL371" s="72"/>
      <c r="AN371" s="73"/>
      <c r="AO371" s="6"/>
      <c r="AQ371" s="2"/>
      <c r="AS371" s="72"/>
      <c r="AU371" s="73"/>
      <c r="AV371" s="6"/>
      <c r="AW371" s="6"/>
      <c r="AX371" s="2"/>
      <c r="AZ371" s="72"/>
      <c r="BB371" s="73"/>
      <c r="BE371" s="2"/>
      <c r="BG371" s="72"/>
      <c r="BH371" s="6"/>
      <c r="BI371" s="73"/>
      <c r="BJ371" s="6"/>
      <c r="BL371" s="2"/>
    </row>
    <row r="372" spans="7:64" x14ac:dyDescent="0.25">
      <c r="G372" s="72"/>
      <c r="H372" s="72"/>
      <c r="I372" s="72"/>
      <c r="S372" s="73"/>
      <c r="V372" s="2"/>
      <c r="X372" s="72"/>
      <c r="Y372" s="6"/>
      <c r="Z372" s="73"/>
      <c r="AB372" s="6"/>
      <c r="AC372" s="2"/>
      <c r="AE372" s="72"/>
      <c r="AF372" s="6"/>
      <c r="AG372" s="73"/>
      <c r="AH372" s="6"/>
      <c r="AI372" s="6"/>
      <c r="AJ372" s="2"/>
      <c r="AL372" s="72"/>
      <c r="AN372" s="73"/>
      <c r="AO372" s="6"/>
      <c r="AQ372" s="2"/>
      <c r="AS372" s="72"/>
      <c r="AU372" s="73"/>
      <c r="AV372" s="6"/>
      <c r="AW372" s="6"/>
      <c r="AX372" s="2"/>
      <c r="AZ372" s="72"/>
      <c r="BB372" s="73"/>
      <c r="BE372" s="2"/>
      <c r="BG372" s="72"/>
      <c r="BH372" s="6"/>
      <c r="BI372" s="73"/>
      <c r="BJ372" s="6"/>
      <c r="BL372" s="2"/>
    </row>
    <row r="373" spans="7:64" x14ac:dyDescent="0.25">
      <c r="G373" s="72"/>
      <c r="H373" s="72"/>
      <c r="I373" s="72"/>
      <c r="S373" s="73"/>
      <c r="V373" s="2"/>
      <c r="X373" s="72"/>
      <c r="Y373" s="6"/>
      <c r="Z373" s="73"/>
      <c r="AB373" s="6"/>
      <c r="AC373" s="2"/>
      <c r="AE373" s="72"/>
      <c r="AF373" s="6"/>
      <c r="AG373" s="73"/>
      <c r="AH373" s="6"/>
      <c r="AI373" s="6"/>
      <c r="AJ373" s="2"/>
      <c r="AL373" s="72"/>
      <c r="AN373" s="73"/>
      <c r="AO373" s="6"/>
      <c r="AQ373" s="2"/>
      <c r="AS373" s="72"/>
      <c r="AU373" s="73"/>
      <c r="AV373" s="6"/>
      <c r="AW373" s="6"/>
      <c r="AX373" s="2"/>
      <c r="AZ373" s="72"/>
      <c r="BB373" s="73"/>
      <c r="BE373" s="2"/>
      <c r="BG373" s="72"/>
      <c r="BH373" s="6"/>
      <c r="BI373" s="73"/>
      <c r="BJ373" s="6"/>
      <c r="BL373" s="2"/>
    </row>
    <row r="374" spans="7:64" x14ac:dyDescent="0.25">
      <c r="G374" s="72"/>
      <c r="H374" s="72"/>
      <c r="I374" s="72"/>
      <c r="S374" s="73"/>
      <c r="V374" s="2"/>
      <c r="X374" s="72"/>
      <c r="Y374" s="6"/>
      <c r="Z374" s="73"/>
      <c r="AB374" s="6"/>
      <c r="AC374" s="2"/>
      <c r="AE374" s="72"/>
      <c r="AF374" s="6"/>
      <c r="AG374" s="73"/>
      <c r="AH374" s="6"/>
      <c r="AI374" s="6"/>
      <c r="AJ374" s="2"/>
      <c r="AL374" s="72"/>
      <c r="AN374" s="73"/>
      <c r="AO374" s="6"/>
      <c r="AQ374" s="2"/>
      <c r="AS374" s="72"/>
      <c r="AU374" s="73"/>
      <c r="AV374" s="6"/>
      <c r="AW374" s="6"/>
      <c r="AX374" s="2"/>
      <c r="AZ374" s="72"/>
      <c r="BB374" s="73"/>
      <c r="BE374" s="2"/>
      <c r="BG374" s="72"/>
      <c r="BH374" s="6"/>
      <c r="BI374" s="73"/>
      <c r="BJ374" s="6"/>
      <c r="BL374" s="2"/>
    </row>
    <row r="375" spans="7:64" x14ac:dyDescent="0.25">
      <c r="G375" s="72"/>
      <c r="H375" s="72"/>
      <c r="I375" s="72"/>
      <c r="S375" s="73"/>
      <c r="V375" s="2"/>
      <c r="X375" s="72"/>
      <c r="Y375" s="6"/>
      <c r="Z375" s="73"/>
      <c r="AB375" s="6"/>
      <c r="AC375" s="2"/>
      <c r="AE375" s="72"/>
      <c r="AF375" s="6"/>
      <c r="AG375" s="73"/>
      <c r="AH375" s="6"/>
      <c r="AI375" s="6"/>
      <c r="AJ375" s="2"/>
      <c r="AL375" s="72"/>
      <c r="AN375" s="73"/>
      <c r="AO375" s="6"/>
      <c r="AQ375" s="2"/>
      <c r="AS375" s="72"/>
      <c r="AU375" s="73"/>
      <c r="AV375" s="6"/>
      <c r="AW375" s="6"/>
      <c r="AX375" s="2"/>
      <c r="AZ375" s="72"/>
      <c r="BB375" s="73"/>
      <c r="BE375" s="2"/>
      <c r="BG375" s="72"/>
      <c r="BH375" s="6"/>
      <c r="BI375" s="73"/>
      <c r="BJ375" s="6"/>
      <c r="BL375" s="2"/>
    </row>
    <row r="376" spans="7:64" x14ac:dyDescent="0.25">
      <c r="G376" s="72"/>
      <c r="H376" s="72"/>
      <c r="I376" s="72"/>
      <c r="S376" s="73"/>
      <c r="V376" s="2"/>
      <c r="X376" s="72"/>
      <c r="Y376" s="6"/>
      <c r="Z376" s="73"/>
      <c r="AB376" s="6"/>
      <c r="AC376" s="2"/>
      <c r="AE376" s="72"/>
      <c r="AF376" s="6"/>
      <c r="AG376" s="73"/>
      <c r="AH376" s="6"/>
      <c r="AI376" s="6"/>
      <c r="AJ376" s="2"/>
      <c r="AL376" s="72"/>
      <c r="AN376" s="73"/>
      <c r="AO376" s="6"/>
      <c r="AQ376" s="2"/>
      <c r="AS376" s="72"/>
      <c r="AU376" s="73"/>
      <c r="AV376" s="6"/>
      <c r="AW376" s="6"/>
      <c r="AX376" s="2"/>
      <c r="AZ376" s="72"/>
      <c r="BB376" s="73"/>
      <c r="BE376" s="2"/>
      <c r="BG376" s="72"/>
      <c r="BH376" s="6"/>
      <c r="BI376" s="73"/>
      <c r="BJ376" s="6"/>
      <c r="BL376" s="2"/>
    </row>
    <row r="377" spans="7:64" x14ac:dyDescent="0.25">
      <c r="G377" s="72"/>
      <c r="H377" s="72"/>
      <c r="I377" s="72"/>
      <c r="S377" s="73"/>
      <c r="V377" s="2"/>
      <c r="X377" s="72"/>
      <c r="Y377" s="6"/>
      <c r="Z377" s="73"/>
      <c r="AB377" s="6"/>
      <c r="AC377" s="2"/>
      <c r="AE377" s="72"/>
      <c r="AF377" s="6"/>
      <c r="AG377" s="73"/>
      <c r="AH377" s="6"/>
      <c r="AI377" s="6"/>
      <c r="AJ377" s="2"/>
      <c r="AL377" s="72"/>
      <c r="AN377" s="73"/>
      <c r="AO377" s="6"/>
      <c r="AQ377" s="2"/>
      <c r="AS377" s="72"/>
      <c r="AU377" s="73"/>
      <c r="AV377" s="6"/>
      <c r="AW377" s="6"/>
      <c r="AX377" s="2"/>
      <c r="AZ377" s="72"/>
      <c r="BB377" s="73"/>
      <c r="BE377" s="2"/>
      <c r="BG377" s="72"/>
      <c r="BH377" s="6"/>
      <c r="BI377" s="73"/>
      <c r="BJ377" s="6"/>
      <c r="BL377" s="2"/>
    </row>
    <row r="378" spans="7:64" x14ac:dyDescent="0.25">
      <c r="G378" s="72"/>
      <c r="H378" s="72"/>
      <c r="I378" s="72"/>
      <c r="S378" s="73"/>
      <c r="V378" s="2"/>
      <c r="X378" s="72"/>
      <c r="Y378" s="6"/>
      <c r="Z378" s="73"/>
      <c r="AB378" s="6"/>
      <c r="AC378" s="2"/>
      <c r="AE378" s="72"/>
      <c r="AF378" s="6"/>
      <c r="AG378" s="73"/>
      <c r="AH378" s="6"/>
      <c r="AI378" s="6"/>
      <c r="AJ378" s="2"/>
      <c r="AL378" s="72"/>
      <c r="AN378" s="73"/>
      <c r="AO378" s="6"/>
      <c r="AQ378" s="2"/>
      <c r="AS378" s="72"/>
      <c r="AU378" s="73"/>
      <c r="AV378" s="6"/>
      <c r="AW378" s="6"/>
      <c r="AX378" s="2"/>
      <c r="AZ378" s="72"/>
      <c r="BB378" s="73"/>
      <c r="BE378" s="2"/>
      <c r="BG378" s="72"/>
      <c r="BH378" s="6"/>
      <c r="BI378" s="73"/>
      <c r="BJ378" s="6"/>
      <c r="BL378" s="2"/>
    </row>
    <row r="379" spans="7:64" x14ac:dyDescent="0.25">
      <c r="G379" s="72"/>
      <c r="H379" s="72"/>
      <c r="I379" s="72"/>
      <c r="S379" s="73"/>
      <c r="V379" s="2"/>
      <c r="X379" s="72"/>
      <c r="Y379" s="6"/>
      <c r="Z379" s="73"/>
      <c r="AB379" s="6"/>
      <c r="AC379" s="2"/>
      <c r="AE379" s="72"/>
      <c r="AF379" s="6"/>
      <c r="AG379" s="73"/>
      <c r="AH379" s="6"/>
      <c r="AI379" s="6"/>
      <c r="AJ379" s="2"/>
      <c r="AL379" s="72"/>
      <c r="AN379" s="73"/>
      <c r="AO379" s="6"/>
      <c r="AQ379" s="2"/>
      <c r="AS379" s="72"/>
      <c r="AU379" s="73"/>
      <c r="AV379" s="6"/>
      <c r="AW379" s="6"/>
      <c r="AX379" s="2"/>
      <c r="AZ379" s="72"/>
      <c r="BB379" s="73"/>
      <c r="BE379" s="2"/>
      <c r="BG379" s="72"/>
      <c r="BH379" s="6"/>
      <c r="BI379" s="73"/>
      <c r="BJ379" s="6"/>
      <c r="BL379" s="2"/>
    </row>
    <row r="380" spans="7:64" x14ac:dyDescent="0.25">
      <c r="G380" s="72"/>
      <c r="H380" s="72"/>
      <c r="I380" s="72"/>
      <c r="S380" s="73"/>
      <c r="V380" s="2"/>
      <c r="X380" s="72"/>
      <c r="Y380" s="6"/>
      <c r="Z380" s="73"/>
      <c r="AB380" s="6"/>
      <c r="AC380" s="2"/>
      <c r="AE380" s="72"/>
      <c r="AF380" s="6"/>
      <c r="AG380" s="73"/>
      <c r="AH380" s="6"/>
      <c r="AI380" s="6"/>
      <c r="AJ380" s="2"/>
      <c r="AL380" s="72"/>
      <c r="AN380" s="73"/>
      <c r="AO380" s="6"/>
      <c r="AQ380" s="2"/>
      <c r="AS380" s="72"/>
      <c r="AU380" s="73"/>
      <c r="AV380" s="6"/>
      <c r="AW380" s="6"/>
      <c r="AX380" s="2"/>
      <c r="AZ380" s="72"/>
      <c r="BB380" s="73"/>
      <c r="BE380" s="2"/>
      <c r="BG380" s="72"/>
      <c r="BH380" s="6"/>
      <c r="BI380" s="73"/>
      <c r="BJ380" s="6"/>
      <c r="BL380" s="2"/>
    </row>
    <row r="381" spans="7:64" x14ac:dyDescent="0.25">
      <c r="G381" s="72"/>
      <c r="H381" s="72"/>
      <c r="I381" s="72"/>
      <c r="S381" s="73"/>
      <c r="V381" s="2"/>
      <c r="X381" s="72"/>
      <c r="Y381" s="6"/>
      <c r="Z381" s="73"/>
      <c r="AB381" s="6"/>
      <c r="AC381" s="2"/>
      <c r="AE381" s="72"/>
      <c r="AF381" s="6"/>
      <c r="AG381" s="73"/>
      <c r="AH381" s="6"/>
      <c r="AI381" s="6"/>
      <c r="AJ381" s="2"/>
      <c r="AL381" s="72"/>
      <c r="AN381" s="73"/>
      <c r="AO381" s="6"/>
      <c r="AQ381" s="2"/>
      <c r="AS381" s="72"/>
      <c r="AU381" s="73"/>
      <c r="AV381" s="6"/>
      <c r="AW381" s="6"/>
      <c r="AX381" s="2"/>
      <c r="AZ381" s="72"/>
      <c r="BB381" s="73"/>
      <c r="BE381" s="2"/>
      <c r="BG381" s="72"/>
      <c r="BH381" s="6"/>
      <c r="BI381" s="73"/>
      <c r="BJ381" s="6"/>
      <c r="BL381" s="2"/>
    </row>
    <row r="382" spans="7:64" x14ac:dyDescent="0.25">
      <c r="G382" s="72"/>
      <c r="H382" s="72"/>
      <c r="I382" s="72"/>
      <c r="S382" s="73"/>
      <c r="V382" s="2"/>
      <c r="X382" s="72"/>
      <c r="Y382" s="6"/>
      <c r="Z382" s="73"/>
      <c r="AB382" s="6"/>
      <c r="AC382" s="2"/>
      <c r="AE382" s="72"/>
      <c r="AF382" s="6"/>
      <c r="AG382" s="73"/>
      <c r="AH382" s="6"/>
      <c r="AI382" s="6"/>
      <c r="AJ382" s="2"/>
      <c r="AL382" s="72"/>
      <c r="AN382" s="73"/>
      <c r="AO382" s="6"/>
      <c r="AQ382" s="2"/>
      <c r="AS382" s="72"/>
      <c r="AU382" s="73"/>
      <c r="AV382" s="6"/>
      <c r="AW382" s="6"/>
      <c r="AX382" s="2"/>
      <c r="AZ382" s="72"/>
      <c r="BB382" s="73"/>
      <c r="BE382" s="2"/>
      <c r="BG382" s="72"/>
      <c r="BH382" s="6"/>
      <c r="BI382" s="73"/>
      <c r="BJ382" s="6"/>
      <c r="BL382" s="2"/>
    </row>
    <row r="383" spans="7:64" x14ac:dyDescent="0.25">
      <c r="G383" s="72"/>
      <c r="H383" s="72"/>
      <c r="I383" s="72"/>
      <c r="S383" s="73"/>
      <c r="V383" s="2"/>
      <c r="X383" s="72"/>
      <c r="Y383" s="6"/>
      <c r="Z383" s="73"/>
      <c r="AB383" s="6"/>
      <c r="AC383" s="2"/>
      <c r="AE383" s="72"/>
      <c r="AF383" s="6"/>
      <c r="AG383" s="73"/>
      <c r="AH383" s="6"/>
      <c r="AI383" s="6"/>
      <c r="AJ383" s="2"/>
      <c r="AL383" s="72"/>
      <c r="AN383" s="73"/>
      <c r="AO383" s="6"/>
      <c r="AQ383" s="2"/>
      <c r="AS383" s="72"/>
      <c r="AU383" s="73"/>
      <c r="AV383" s="6"/>
      <c r="AW383" s="6"/>
      <c r="AX383" s="2"/>
      <c r="AZ383" s="72"/>
      <c r="BB383" s="73"/>
      <c r="BE383" s="2"/>
      <c r="BG383" s="72"/>
      <c r="BH383" s="6"/>
      <c r="BI383" s="73"/>
      <c r="BJ383" s="6"/>
      <c r="BL383" s="2"/>
    </row>
    <row r="384" spans="7:64" x14ac:dyDescent="0.25">
      <c r="G384" s="72"/>
      <c r="H384" s="72"/>
      <c r="I384" s="72"/>
      <c r="S384" s="73"/>
      <c r="V384" s="2"/>
      <c r="X384" s="72"/>
      <c r="Y384" s="6"/>
      <c r="Z384" s="73"/>
      <c r="AB384" s="6"/>
      <c r="AC384" s="2"/>
      <c r="AE384" s="72"/>
      <c r="AF384" s="6"/>
      <c r="AG384" s="73"/>
      <c r="AH384" s="6"/>
      <c r="AI384" s="6"/>
      <c r="AJ384" s="2"/>
      <c r="AL384" s="72"/>
      <c r="AN384" s="73"/>
      <c r="AO384" s="6"/>
      <c r="AQ384" s="2"/>
      <c r="AS384" s="72"/>
      <c r="AU384" s="73"/>
      <c r="AV384" s="6"/>
      <c r="AW384" s="6"/>
      <c r="AX384" s="2"/>
      <c r="AZ384" s="72"/>
      <c r="BB384" s="73"/>
      <c r="BE384" s="2"/>
      <c r="BG384" s="72"/>
      <c r="BH384" s="6"/>
      <c r="BI384" s="73"/>
      <c r="BJ384" s="6"/>
      <c r="BL384" s="2"/>
    </row>
    <row r="385" spans="7:64" x14ac:dyDescent="0.25">
      <c r="G385" s="72"/>
      <c r="H385" s="72"/>
      <c r="I385" s="72"/>
      <c r="S385" s="73"/>
      <c r="V385" s="2"/>
      <c r="X385" s="72"/>
      <c r="Y385" s="6"/>
      <c r="Z385" s="73"/>
      <c r="AB385" s="6"/>
      <c r="AC385" s="2"/>
      <c r="AE385" s="72"/>
      <c r="AF385" s="6"/>
      <c r="AG385" s="73"/>
      <c r="AH385" s="6"/>
      <c r="AI385" s="6"/>
      <c r="AJ385" s="2"/>
      <c r="AL385" s="72"/>
      <c r="AN385" s="73"/>
      <c r="AO385" s="6"/>
      <c r="AQ385" s="2"/>
      <c r="AS385" s="72"/>
      <c r="AU385" s="73"/>
      <c r="AV385" s="6"/>
      <c r="AW385" s="6"/>
      <c r="AX385" s="2"/>
      <c r="AZ385" s="72"/>
      <c r="BB385" s="73"/>
      <c r="BE385" s="2"/>
      <c r="BG385" s="72"/>
      <c r="BH385" s="6"/>
      <c r="BI385" s="73"/>
      <c r="BJ385" s="6"/>
      <c r="BL385" s="2"/>
    </row>
    <row r="386" spans="7:64" x14ac:dyDescent="0.25">
      <c r="G386" s="72"/>
      <c r="H386" s="72"/>
      <c r="I386" s="72"/>
      <c r="S386" s="73"/>
      <c r="V386" s="2"/>
      <c r="X386" s="72"/>
      <c r="Y386" s="6"/>
      <c r="Z386" s="73"/>
      <c r="AB386" s="6"/>
      <c r="AC386" s="2"/>
      <c r="AE386" s="72"/>
      <c r="AF386" s="6"/>
      <c r="AG386" s="73"/>
      <c r="AH386" s="6"/>
      <c r="AI386" s="6"/>
      <c r="AJ386" s="2"/>
      <c r="AL386" s="72"/>
      <c r="AN386" s="73"/>
      <c r="AO386" s="6"/>
      <c r="AQ386" s="2"/>
      <c r="AS386" s="72"/>
      <c r="AU386" s="73"/>
      <c r="AV386" s="6"/>
      <c r="AW386" s="6"/>
      <c r="AX386" s="2"/>
      <c r="AZ386" s="72"/>
      <c r="BB386" s="73"/>
      <c r="BE386" s="2"/>
      <c r="BG386" s="72"/>
      <c r="BH386" s="6"/>
      <c r="BI386" s="73"/>
      <c r="BJ386" s="6"/>
      <c r="BL386" s="2"/>
    </row>
    <row r="387" spans="7:64" x14ac:dyDescent="0.25">
      <c r="G387" s="72"/>
      <c r="H387" s="72"/>
      <c r="I387" s="72"/>
      <c r="S387" s="73"/>
      <c r="V387" s="2"/>
      <c r="X387" s="72"/>
      <c r="Y387" s="6"/>
      <c r="Z387" s="73"/>
      <c r="AB387" s="6"/>
      <c r="AC387" s="2"/>
      <c r="AE387" s="72"/>
      <c r="AF387" s="6"/>
      <c r="AG387" s="73"/>
      <c r="AH387" s="6"/>
      <c r="AI387" s="6"/>
      <c r="AJ387" s="2"/>
      <c r="AL387" s="72"/>
      <c r="AN387" s="73"/>
      <c r="AO387" s="6"/>
      <c r="AQ387" s="2"/>
      <c r="AS387" s="72"/>
      <c r="AU387" s="73"/>
      <c r="AV387" s="6"/>
      <c r="AW387" s="6"/>
      <c r="AX387" s="2"/>
      <c r="AZ387" s="72"/>
      <c r="BB387" s="73"/>
      <c r="BE387" s="2"/>
      <c r="BG387" s="72"/>
      <c r="BH387" s="6"/>
      <c r="BI387" s="73"/>
      <c r="BJ387" s="6"/>
      <c r="BL387" s="2"/>
    </row>
    <row r="388" spans="7:64" x14ac:dyDescent="0.25">
      <c r="G388" s="72"/>
      <c r="H388" s="72"/>
      <c r="I388" s="72"/>
      <c r="S388" s="73"/>
      <c r="V388" s="2"/>
      <c r="X388" s="72"/>
      <c r="Y388" s="6"/>
      <c r="Z388" s="73"/>
      <c r="AB388" s="6"/>
      <c r="AC388" s="2"/>
      <c r="AE388" s="72"/>
      <c r="AF388" s="6"/>
      <c r="AG388" s="73"/>
      <c r="AH388" s="6"/>
      <c r="AI388" s="6"/>
      <c r="AJ388" s="2"/>
      <c r="AL388" s="72"/>
      <c r="AN388" s="73"/>
      <c r="AO388" s="6"/>
      <c r="AQ388" s="2"/>
      <c r="AS388" s="72"/>
      <c r="AU388" s="73"/>
      <c r="AV388" s="6"/>
      <c r="AW388" s="6"/>
      <c r="AX388" s="2"/>
      <c r="AZ388" s="72"/>
      <c r="BB388" s="73"/>
      <c r="BE388" s="2"/>
      <c r="BG388" s="72"/>
      <c r="BH388" s="6"/>
      <c r="BI388" s="73"/>
      <c r="BJ388" s="6"/>
      <c r="BL388" s="2"/>
    </row>
    <row r="389" spans="7:64" x14ac:dyDescent="0.25">
      <c r="G389" s="72"/>
      <c r="H389" s="72"/>
      <c r="I389" s="72"/>
      <c r="S389" s="73"/>
      <c r="V389" s="2"/>
      <c r="X389" s="72"/>
      <c r="Y389" s="6"/>
      <c r="Z389" s="73"/>
      <c r="AB389" s="6"/>
      <c r="AC389" s="2"/>
      <c r="AE389" s="72"/>
      <c r="AF389" s="6"/>
      <c r="AG389" s="73"/>
      <c r="AH389" s="6"/>
      <c r="AI389" s="6"/>
      <c r="AJ389" s="2"/>
      <c r="AL389" s="72"/>
      <c r="AN389" s="73"/>
      <c r="AO389" s="6"/>
      <c r="AQ389" s="2"/>
      <c r="AS389" s="72"/>
      <c r="AU389" s="73"/>
      <c r="AV389" s="6"/>
      <c r="AW389" s="6"/>
      <c r="AX389" s="2"/>
      <c r="AZ389" s="72"/>
      <c r="BB389" s="73"/>
      <c r="BE389" s="2"/>
      <c r="BG389" s="72"/>
      <c r="BH389" s="6"/>
      <c r="BI389" s="73"/>
      <c r="BJ389" s="6"/>
      <c r="BL389" s="2"/>
    </row>
    <row r="390" spans="7:64" x14ac:dyDescent="0.25">
      <c r="G390" s="72"/>
      <c r="H390" s="72"/>
      <c r="I390" s="72"/>
      <c r="S390" s="73"/>
      <c r="V390" s="2"/>
      <c r="X390" s="72"/>
      <c r="Y390" s="6"/>
      <c r="Z390" s="73"/>
      <c r="AB390" s="6"/>
      <c r="AC390" s="2"/>
      <c r="AE390" s="72"/>
      <c r="AF390" s="6"/>
      <c r="AG390" s="73"/>
      <c r="AH390" s="6"/>
      <c r="AI390" s="6"/>
      <c r="AJ390" s="2"/>
      <c r="AL390" s="72"/>
      <c r="AN390" s="73"/>
      <c r="AO390" s="6"/>
      <c r="AQ390" s="2"/>
      <c r="AS390" s="72"/>
      <c r="AU390" s="73"/>
      <c r="AV390" s="6"/>
      <c r="AW390" s="6"/>
      <c r="AX390" s="2"/>
      <c r="AZ390" s="72"/>
      <c r="BB390" s="73"/>
      <c r="BE390" s="2"/>
      <c r="BG390" s="72"/>
      <c r="BH390" s="6"/>
      <c r="BI390" s="73"/>
      <c r="BJ390" s="6"/>
      <c r="BL390" s="2"/>
    </row>
    <row r="391" spans="7:64" x14ac:dyDescent="0.25">
      <c r="G391" s="72"/>
      <c r="H391" s="72"/>
      <c r="I391" s="72"/>
      <c r="S391" s="73"/>
      <c r="V391" s="2"/>
      <c r="X391" s="72"/>
      <c r="Y391" s="6"/>
      <c r="Z391" s="73"/>
      <c r="AB391" s="6"/>
      <c r="AC391" s="2"/>
      <c r="AE391" s="72"/>
      <c r="AF391" s="6"/>
      <c r="AG391" s="73"/>
      <c r="AH391" s="6"/>
      <c r="AI391" s="6"/>
      <c r="AJ391" s="2"/>
      <c r="AL391" s="72"/>
      <c r="AN391" s="73"/>
      <c r="AO391" s="6"/>
      <c r="AQ391" s="2"/>
      <c r="AS391" s="72"/>
      <c r="AU391" s="73"/>
      <c r="AV391" s="6"/>
      <c r="AW391" s="6"/>
      <c r="AX391" s="2"/>
      <c r="AZ391" s="72"/>
      <c r="BB391" s="73"/>
      <c r="BE391" s="2"/>
      <c r="BG391" s="72"/>
      <c r="BH391" s="6"/>
      <c r="BI391" s="73"/>
      <c r="BJ391" s="6"/>
      <c r="BL391" s="2"/>
    </row>
    <row r="392" spans="7:64" x14ac:dyDescent="0.25">
      <c r="G392" s="72"/>
      <c r="H392" s="72"/>
      <c r="I392" s="72"/>
      <c r="S392" s="73"/>
      <c r="V392" s="2"/>
      <c r="X392" s="72"/>
      <c r="Y392" s="6"/>
      <c r="Z392" s="73"/>
      <c r="AB392" s="6"/>
      <c r="AC392" s="2"/>
      <c r="AE392" s="72"/>
      <c r="AF392" s="6"/>
      <c r="AG392" s="73"/>
      <c r="AH392" s="6"/>
      <c r="AI392" s="6"/>
      <c r="AJ392" s="2"/>
      <c r="AL392" s="72"/>
      <c r="AN392" s="73"/>
      <c r="AO392" s="6"/>
      <c r="AQ392" s="2"/>
      <c r="AS392" s="72"/>
      <c r="AU392" s="73"/>
      <c r="AV392" s="6"/>
      <c r="AW392" s="6"/>
      <c r="AX392" s="2"/>
      <c r="AZ392" s="72"/>
      <c r="BB392" s="73"/>
      <c r="BE392" s="2"/>
      <c r="BG392" s="72"/>
      <c r="BH392" s="6"/>
      <c r="BI392" s="73"/>
      <c r="BJ392" s="6"/>
      <c r="BL392" s="2"/>
    </row>
    <row r="393" spans="7:64" x14ac:dyDescent="0.25">
      <c r="G393" s="72"/>
      <c r="H393" s="72"/>
      <c r="I393" s="72"/>
      <c r="S393" s="73"/>
      <c r="V393" s="2"/>
      <c r="X393" s="72"/>
      <c r="Y393" s="6"/>
      <c r="Z393" s="73"/>
      <c r="AB393" s="6"/>
      <c r="AC393" s="2"/>
      <c r="AE393" s="72"/>
      <c r="AF393" s="6"/>
      <c r="AG393" s="73"/>
      <c r="AH393" s="6"/>
      <c r="AI393" s="6"/>
      <c r="AJ393" s="2"/>
      <c r="AL393" s="72"/>
      <c r="AN393" s="73"/>
      <c r="AO393" s="6"/>
      <c r="AQ393" s="2"/>
      <c r="AS393" s="72"/>
      <c r="AU393" s="73"/>
      <c r="AV393" s="6"/>
      <c r="AW393" s="6"/>
      <c r="AX393" s="2"/>
      <c r="AZ393" s="72"/>
      <c r="BB393" s="73"/>
      <c r="BE393" s="2"/>
      <c r="BG393" s="72"/>
      <c r="BH393" s="6"/>
      <c r="BI393" s="73"/>
      <c r="BJ393" s="6"/>
      <c r="BL393" s="2"/>
    </row>
    <row r="394" spans="7:64" x14ac:dyDescent="0.25">
      <c r="G394" s="72"/>
      <c r="H394" s="72"/>
      <c r="I394" s="72"/>
      <c r="S394" s="73"/>
      <c r="V394" s="2"/>
      <c r="X394" s="72"/>
      <c r="Y394" s="6"/>
      <c r="Z394" s="73"/>
      <c r="AB394" s="6"/>
      <c r="AC394" s="2"/>
      <c r="AE394" s="72"/>
      <c r="AF394" s="6"/>
      <c r="AG394" s="73"/>
      <c r="AH394" s="6"/>
      <c r="AI394" s="6"/>
      <c r="AJ394" s="2"/>
      <c r="AL394" s="72"/>
      <c r="AN394" s="73"/>
      <c r="AO394" s="6"/>
      <c r="AQ394" s="2"/>
      <c r="AS394" s="72"/>
      <c r="AU394" s="73"/>
      <c r="AV394" s="6"/>
      <c r="AW394" s="6"/>
      <c r="AX394" s="2"/>
      <c r="AZ394" s="72"/>
      <c r="BB394" s="73"/>
      <c r="BE394" s="2"/>
      <c r="BG394" s="72"/>
      <c r="BH394" s="6"/>
      <c r="BI394" s="73"/>
      <c r="BJ394" s="6"/>
      <c r="BL394" s="2"/>
    </row>
    <row r="395" spans="7:64" x14ac:dyDescent="0.25">
      <c r="G395" s="72"/>
      <c r="H395" s="72"/>
      <c r="I395" s="72"/>
      <c r="S395" s="73"/>
      <c r="V395" s="2"/>
      <c r="X395" s="72"/>
      <c r="Y395" s="6"/>
      <c r="Z395" s="73"/>
      <c r="AB395" s="6"/>
      <c r="AC395" s="2"/>
      <c r="AE395" s="72"/>
      <c r="AF395" s="6"/>
      <c r="AG395" s="73"/>
      <c r="AH395" s="6"/>
      <c r="AI395" s="6"/>
      <c r="AJ395" s="2"/>
      <c r="AL395" s="72"/>
      <c r="AN395" s="73"/>
      <c r="AO395" s="6"/>
      <c r="AQ395" s="2"/>
      <c r="AS395" s="72"/>
      <c r="AU395" s="73"/>
      <c r="AV395" s="6"/>
      <c r="AW395" s="6"/>
      <c r="AX395" s="2"/>
      <c r="AZ395" s="72"/>
      <c r="BB395" s="73"/>
      <c r="BE395" s="2"/>
      <c r="BG395" s="72"/>
      <c r="BH395" s="6"/>
      <c r="BI395" s="73"/>
      <c r="BJ395" s="6"/>
      <c r="BL395" s="2"/>
    </row>
    <row r="396" spans="7:64" x14ac:dyDescent="0.25">
      <c r="S396" s="73"/>
      <c r="V396" s="2"/>
      <c r="X396" s="72"/>
      <c r="Y396" s="6"/>
      <c r="Z396" s="73"/>
      <c r="AB396" s="6"/>
      <c r="AC396" s="2"/>
      <c r="AE396" s="72"/>
      <c r="AF396" s="6"/>
      <c r="AG396" s="73"/>
      <c r="AH396" s="6"/>
      <c r="AI396" s="6"/>
      <c r="AJ396" s="2"/>
      <c r="AL396" s="72"/>
      <c r="AN396" s="73"/>
      <c r="AO396" s="6"/>
      <c r="AQ396" s="2"/>
      <c r="AS396" s="72"/>
      <c r="AU396" s="73"/>
      <c r="AV396" s="6"/>
      <c r="AW396" s="6"/>
      <c r="AX396" s="2"/>
      <c r="AZ396" s="72"/>
      <c r="BB396" s="73"/>
      <c r="BE396" s="2"/>
      <c r="BG396" s="72"/>
      <c r="BH396" s="6"/>
      <c r="BI396" s="73"/>
      <c r="BJ396" s="6"/>
      <c r="BL396" s="2"/>
    </row>
    <row r="397" spans="7:64" x14ac:dyDescent="0.25">
      <c r="S397" s="73"/>
      <c r="V397" s="2"/>
      <c r="X397" s="72"/>
      <c r="Y397" s="6"/>
      <c r="Z397" s="73"/>
      <c r="AB397" s="6"/>
      <c r="AC397" s="2"/>
      <c r="AE397" s="72"/>
      <c r="AF397" s="6"/>
      <c r="AG397" s="73"/>
      <c r="AH397" s="6"/>
      <c r="AI397" s="6"/>
      <c r="AJ397" s="2"/>
      <c r="AL397" s="72"/>
      <c r="AN397" s="73"/>
      <c r="AO397" s="6"/>
      <c r="AQ397" s="2"/>
      <c r="AS397" s="72"/>
      <c r="AU397" s="73"/>
      <c r="AV397" s="6"/>
      <c r="AW397" s="6"/>
      <c r="AX397" s="2"/>
      <c r="AZ397" s="72"/>
      <c r="BB397" s="73"/>
      <c r="BE397" s="2"/>
      <c r="BG397" s="72"/>
      <c r="BH397" s="6"/>
      <c r="BI397" s="73"/>
      <c r="BJ397" s="6"/>
      <c r="BL397" s="2"/>
    </row>
    <row r="398" spans="7:64" x14ac:dyDescent="0.25">
      <c r="S398" s="73"/>
      <c r="V398" s="2"/>
      <c r="X398" s="72"/>
      <c r="Y398" s="6"/>
      <c r="Z398" s="73"/>
      <c r="AB398" s="6"/>
      <c r="AC398" s="2"/>
      <c r="AE398" s="72"/>
      <c r="AF398" s="6"/>
      <c r="AG398" s="73"/>
      <c r="AH398" s="6"/>
      <c r="AI398" s="6"/>
      <c r="AJ398" s="2"/>
      <c r="AL398" s="72"/>
      <c r="AN398" s="73"/>
      <c r="AO398" s="6"/>
      <c r="AQ398" s="2"/>
      <c r="AS398" s="72"/>
      <c r="AU398" s="73"/>
      <c r="AV398" s="6"/>
      <c r="AW398" s="6"/>
      <c r="AX398" s="2"/>
      <c r="AZ398" s="72"/>
      <c r="BB398" s="73"/>
      <c r="BE398" s="2"/>
      <c r="BG398" s="72"/>
      <c r="BH398" s="6"/>
      <c r="BI398" s="73"/>
      <c r="BJ398" s="6"/>
      <c r="BL398" s="2"/>
    </row>
    <row r="399" spans="7:64" x14ac:dyDescent="0.25">
      <c r="S399" s="73"/>
      <c r="V399" s="2"/>
      <c r="X399" s="72"/>
      <c r="Y399" s="6"/>
      <c r="Z399" s="73"/>
      <c r="AB399" s="6"/>
      <c r="AC399" s="2"/>
      <c r="AE399" s="72"/>
      <c r="AF399" s="6"/>
      <c r="AG399" s="73"/>
      <c r="AH399" s="6"/>
      <c r="AI399" s="6"/>
      <c r="AJ399" s="2"/>
      <c r="AL399" s="72"/>
      <c r="AN399" s="73"/>
      <c r="AO399" s="6"/>
      <c r="AQ399" s="2"/>
      <c r="AS399" s="72"/>
      <c r="AU399" s="73"/>
      <c r="AV399" s="6"/>
      <c r="AW399" s="6"/>
      <c r="AX399" s="2"/>
      <c r="AZ399" s="72"/>
      <c r="BB399" s="73"/>
      <c r="BE399" s="2"/>
      <c r="BG399" s="72"/>
      <c r="BH399" s="6"/>
      <c r="BI399" s="73"/>
      <c r="BJ399" s="6"/>
      <c r="BL399" s="2"/>
    </row>
    <row r="400" spans="7:64" x14ac:dyDescent="0.25">
      <c r="S400" s="73"/>
      <c r="V400" s="2"/>
      <c r="X400" s="72"/>
      <c r="Y400" s="6"/>
      <c r="Z400" s="73"/>
      <c r="AB400" s="6"/>
      <c r="AC400" s="2"/>
      <c r="AE400" s="72"/>
      <c r="AF400" s="6"/>
      <c r="AG400" s="73"/>
      <c r="AH400" s="6"/>
      <c r="AI400" s="6"/>
      <c r="AJ400" s="2"/>
      <c r="AL400" s="72"/>
      <c r="AN400" s="73"/>
      <c r="AO400" s="6"/>
      <c r="AQ400" s="2"/>
      <c r="AS400" s="72"/>
      <c r="AU400" s="73"/>
      <c r="AV400" s="6"/>
      <c r="AW400" s="6"/>
      <c r="AX400" s="2"/>
      <c r="AZ400" s="72"/>
      <c r="BB400" s="73"/>
      <c r="BE400" s="2"/>
      <c r="BG400" s="72"/>
      <c r="BH400" s="6"/>
      <c r="BI400" s="73"/>
      <c r="BJ400" s="6"/>
      <c r="BL400" s="2"/>
    </row>
    <row r="401" spans="19:64" x14ac:dyDescent="0.25">
      <c r="S401" s="73"/>
      <c r="V401" s="2"/>
      <c r="X401" s="72"/>
      <c r="Y401" s="6"/>
      <c r="Z401" s="73"/>
      <c r="AB401" s="6"/>
      <c r="AC401" s="2"/>
      <c r="AE401" s="72"/>
      <c r="AF401" s="6"/>
      <c r="AG401" s="73"/>
      <c r="AH401" s="6"/>
      <c r="AI401" s="6"/>
      <c r="AJ401" s="2"/>
      <c r="AL401" s="72"/>
      <c r="AN401" s="73"/>
      <c r="AO401" s="6"/>
      <c r="AQ401" s="2"/>
      <c r="AS401" s="72"/>
      <c r="AU401" s="73"/>
      <c r="AV401" s="6"/>
      <c r="AW401" s="6"/>
      <c r="AX401" s="2"/>
      <c r="AZ401" s="72"/>
      <c r="BB401" s="73"/>
      <c r="BE401" s="2"/>
      <c r="BG401" s="72"/>
      <c r="BH401" s="6"/>
      <c r="BI401" s="73"/>
      <c r="BJ401" s="6"/>
      <c r="BL401" s="2"/>
    </row>
    <row r="402" spans="19:64" x14ac:dyDescent="0.25">
      <c r="S402" s="73"/>
      <c r="V402" s="2"/>
      <c r="X402" s="72"/>
      <c r="Y402" s="6"/>
      <c r="Z402" s="73"/>
      <c r="AB402" s="6"/>
      <c r="AC402" s="2"/>
      <c r="AE402" s="72"/>
      <c r="AF402" s="6"/>
      <c r="AG402" s="73"/>
      <c r="AH402" s="6"/>
      <c r="AI402" s="6"/>
      <c r="AJ402" s="2"/>
      <c r="AL402" s="72"/>
      <c r="AN402" s="73"/>
      <c r="AO402" s="6"/>
      <c r="AQ402" s="2"/>
      <c r="AS402" s="72"/>
      <c r="AU402" s="73"/>
      <c r="AV402" s="6"/>
      <c r="AW402" s="6"/>
      <c r="AX402" s="2"/>
      <c r="AZ402" s="72"/>
      <c r="BB402" s="73"/>
      <c r="BE402" s="2"/>
      <c r="BG402" s="72"/>
      <c r="BH402" s="6"/>
      <c r="BI402" s="73"/>
      <c r="BJ402" s="6"/>
      <c r="BL402" s="2"/>
    </row>
    <row r="403" spans="19:64" x14ac:dyDescent="0.25">
      <c r="S403" s="73"/>
      <c r="V403" s="2"/>
      <c r="X403" s="72"/>
      <c r="Y403" s="6"/>
      <c r="Z403" s="73"/>
      <c r="AB403" s="6"/>
      <c r="AC403" s="2"/>
      <c r="AE403" s="72"/>
      <c r="AF403" s="6"/>
      <c r="AG403" s="73"/>
      <c r="AH403" s="6"/>
      <c r="AI403" s="6"/>
      <c r="AJ403" s="2"/>
      <c r="AL403" s="72"/>
      <c r="AN403" s="73"/>
      <c r="AO403" s="6"/>
      <c r="AQ403" s="2"/>
      <c r="AS403" s="72"/>
      <c r="AU403" s="73"/>
      <c r="AV403" s="6"/>
      <c r="AW403" s="6"/>
      <c r="AX403" s="2"/>
      <c r="AZ403" s="72"/>
      <c r="BB403" s="73"/>
      <c r="BE403" s="2"/>
      <c r="BG403" s="72"/>
      <c r="BH403" s="6"/>
      <c r="BI403" s="73"/>
      <c r="BJ403" s="6"/>
      <c r="BL403" s="2"/>
    </row>
    <row r="404" spans="19:64" x14ac:dyDescent="0.25">
      <c r="S404" s="73"/>
      <c r="V404" s="2"/>
      <c r="X404" s="72"/>
      <c r="Y404" s="6"/>
      <c r="Z404" s="73"/>
      <c r="AB404" s="6"/>
      <c r="AC404" s="2"/>
      <c r="AE404" s="72"/>
      <c r="AF404" s="6"/>
      <c r="AG404" s="73"/>
      <c r="AH404" s="6"/>
      <c r="AI404" s="6"/>
      <c r="AJ404" s="2"/>
      <c r="AL404" s="72"/>
      <c r="AN404" s="73"/>
      <c r="AO404" s="6"/>
      <c r="AQ404" s="2"/>
      <c r="AS404" s="72"/>
      <c r="AU404" s="73"/>
      <c r="AV404" s="6"/>
      <c r="AW404" s="6"/>
      <c r="AX404" s="2"/>
      <c r="AZ404" s="72"/>
      <c r="BB404" s="73"/>
      <c r="BE404" s="2"/>
      <c r="BG404" s="72"/>
      <c r="BH404" s="6"/>
      <c r="BI404" s="73"/>
      <c r="BJ404" s="6"/>
      <c r="BL404" s="2"/>
    </row>
    <row r="405" spans="19:64" x14ac:dyDescent="0.25">
      <c r="S405" s="73"/>
      <c r="V405" s="2"/>
      <c r="X405" s="72"/>
      <c r="Y405" s="6"/>
      <c r="Z405" s="73"/>
      <c r="AB405" s="6"/>
      <c r="AC405" s="2"/>
      <c r="AE405" s="72"/>
      <c r="AF405" s="6"/>
      <c r="AG405" s="73"/>
      <c r="AH405" s="6"/>
      <c r="AI405" s="6"/>
      <c r="AJ405" s="2"/>
      <c r="AL405" s="72"/>
      <c r="AN405" s="73"/>
      <c r="AO405" s="6"/>
      <c r="AQ405" s="2"/>
      <c r="AS405" s="72"/>
      <c r="AU405" s="73"/>
      <c r="AV405" s="6"/>
      <c r="AW405" s="6"/>
      <c r="AX405" s="2"/>
      <c r="AZ405" s="72"/>
      <c r="BB405" s="73"/>
      <c r="BE405" s="2"/>
      <c r="BG405" s="72"/>
      <c r="BH405" s="6"/>
      <c r="BI405" s="73"/>
      <c r="BJ405" s="6"/>
      <c r="BL405" s="2"/>
    </row>
    <row r="406" spans="19:64" x14ac:dyDescent="0.25">
      <c r="S406" s="73"/>
      <c r="V406" s="2"/>
      <c r="X406" s="72"/>
      <c r="Y406" s="6"/>
      <c r="Z406" s="73"/>
      <c r="AB406" s="6"/>
      <c r="AC406" s="2"/>
      <c r="AE406" s="72"/>
      <c r="AF406" s="6"/>
      <c r="AG406" s="73"/>
      <c r="AH406" s="6"/>
      <c r="AI406" s="6"/>
      <c r="AJ406" s="2"/>
      <c r="AL406" s="72"/>
      <c r="AN406" s="73"/>
      <c r="AO406" s="6"/>
      <c r="AQ406" s="2"/>
      <c r="AS406" s="72"/>
      <c r="AU406" s="73"/>
      <c r="AV406" s="6"/>
      <c r="AW406" s="6"/>
      <c r="AX406" s="2"/>
      <c r="AZ406" s="72"/>
      <c r="BB406" s="73"/>
      <c r="BE406" s="2"/>
      <c r="BG406" s="72"/>
      <c r="BH406" s="6"/>
      <c r="BI406" s="73"/>
      <c r="BJ406" s="6"/>
      <c r="BL406" s="2"/>
    </row>
    <row r="407" spans="19:64" x14ac:dyDescent="0.25">
      <c r="S407" s="73"/>
      <c r="V407" s="2"/>
      <c r="X407" s="72"/>
      <c r="Y407" s="6"/>
      <c r="Z407" s="73"/>
      <c r="AB407" s="6"/>
      <c r="AC407" s="2"/>
      <c r="AE407" s="72"/>
      <c r="AF407" s="6"/>
      <c r="AG407" s="73"/>
      <c r="AH407" s="6"/>
      <c r="AI407" s="6"/>
      <c r="AJ407" s="2"/>
      <c r="AL407" s="72"/>
      <c r="AN407" s="73"/>
      <c r="AO407" s="6"/>
      <c r="AQ407" s="2"/>
      <c r="AS407" s="72"/>
      <c r="AU407" s="73"/>
      <c r="AV407" s="6"/>
      <c r="AW407" s="6"/>
      <c r="AX407" s="2"/>
      <c r="AZ407" s="72"/>
      <c r="BB407" s="73"/>
      <c r="BE407" s="2"/>
      <c r="BG407" s="72"/>
      <c r="BH407" s="6"/>
      <c r="BI407" s="73"/>
      <c r="BJ407" s="6"/>
      <c r="BL407" s="2"/>
    </row>
    <row r="408" spans="19:64" x14ac:dyDescent="0.25">
      <c r="S408" s="73"/>
      <c r="V408" s="2"/>
      <c r="X408" s="72"/>
      <c r="Y408" s="6"/>
      <c r="Z408" s="73"/>
      <c r="AB408" s="6"/>
      <c r="AC408" s="2"/>
      <c r="AE408" s="72"/>
      <c r="AF408" s="6"/>
      <c r="AG408" s="73"/>
      <c r="AH408" s="6"/>
      <c r="AI408" s="6"/>
      <c r="AJ408" s="2"/>
      <c r="AL408" s="72"/>
      <c r="AN408" s="73"/>
      <c r="AO408" s="6"/>
      <c r="AQ408" s="2"/>
      <c r="AS408" s="72"/>
      <c r="AU408" s="73"/>
      <c r="AV408" s="6"/>
      <c r="AW408" s="6"/>
      <c r="AX408" s="2"/>
      <c r="AZ408" s="72"/>
      <c r="BB408" s="73"/>
      <c r="BE408" s="2"/>
      <c r="BG408" s="72"/>
      <c r="BH408" s="6"/>
      <c r="BI408" s="73"/>
      <c r="BJ408" s="6"/>
      <c r="BL408" s="2"/>
    </row>
    <row r="409" spans="19:64" x14ac:dyDescent="0.25">
      <c r="S409" s="73"/>
      <c r="V409" s="2"/>
      <c r="X409" s="72"/>
      <c r="Y409" s="6"/>
      <c r="Z409" s="73"/>
      <c r="AB409" s="6"/>
      <c r="AC409" s="2"/>
      <c r="AE409" s="72"/>
      <c r="AF409" s="6"/>
      <c r="AG409" s="73"/>
      <c r="AH409" s="6"/>
      <c r="AI409" s="6"/>
      <c r="AJ409" s="2"/>
      <c r="AL409" s="72"/>
      <c r="AN409" s="73"/>
      <c r="AO409" s="6"/>
      <c r="AQ409" s="2"/>
      <c r="AS409" s="72"/>
      <c r="AU409" s="73"/>
      <c r="AV409" s="6"/>
      <c r="AW409" s="6"/>
      <c r="AX409" s="2"/>
      <c r="AZ409" s="72"/>
      <c r="BB409" s="73"/>
      <c r="BE409" s="2"/>
      <c r="BG409" s="72"/>
      <c r="BH409" s="6"/>
      <c r="BI409" s="73"/>
      <c r="BJ409" s="6"/>
      <c r="BL409" s="2"/>
    </row>
    <row r="410" spans="19:64" x14ac:dyDescent="0.25">
      <c r="S410" s="73"/>
      <c r="V410" s="2"/>
      <c r="X410" s="72"/>
      <c r="Y410" s="6"/>
      <c r="Z410" s="73"/>
      <c r="AB410" s="6"/>
      <c r="AC410" s="2"/>
      <c r="AE410" s="72"/>
      <c r="AF410" s="6"/>
      <c r="AG410" s="73"/>
      <c r="AH410" s="6"/>
      <c r="AI410" s="6"/>
      <c r="AJ410" s="2"/>
      <c r="AL410" s="72"/>
      <c r="AN410" s="73"/>
      <c r="AO410" s="6"/>
      <c r="AQ410" s="2"/>
      <c r="AS410" s="72"/>
      <c r="AU410" s="73"/>
      <c r="AV410" s="6"/>
      <c r="AW410" s="6"/>
      <c r="AX410" s="2"/>
      <c r="AZ410" s="72"/>
      <c r="BB410" s="73"/>
      <c r="BE410" s="2"/>
      <c r="BG410" s="72"/>
      <c r="BH410" s="6"/>
      <c r="BI410" s="73"/>
      <c r="BJ410" s="6"/>
      <c r="BL410" s="2"/>
    </row>
    <row r="411" spans="19:64" x14ac:dyDescent="0.25">
      <c r="S411" s="73"/>
      <c r="V411" s="2"/>
      <c r="X411" s="72"/>
      <c r="Y411" s="6"/>
      <c r="Z411" s="73"/>
      <c r="AB411" s="6"/>
      <c r="AC411" s="2"/>
      <c r="AE411" s="72"/>
      <c r="AF411" s="6"/>
      <c r="AG411" s="73"/>
      <c r="AH411" s="6"/>
      <c r="AI411" s="6"/>
      <c r="AJ411" s="2"/>
      <c r="AL411" s="72"/>
      <c r="AN411" s="73"/>
      <c r="AO411" s="6"/>
      <c r="AQ411" s="2"/>
      <c r="AS411" s="72"/>
      <c r="AU411" s="73"/>
      <c r="AV411" s="6"/>
      <c r="AW411" s="6"/>
      <c r="AX411" s="2"/>
      <c r="AZ411" s="72"/>
      <c r="BB411" s="73"/>
      <c r="BE411" s="2"/>
      <c r="BG411" s="72"/>
      <c r="BH411" s="6"/>
      <c r="BI411" s="73"/>
      <c r="BJ411" s="6"/>
      <c r="BL411" s="2"/>
    </row>
    <row r="412" spans="19:64" x14ac:dyDescent="0.25">
      <c r="S412" s="73"/>
      <c r="V412" s="2"/>
      <c r="X412" s="72"/>
      <c r="Y412" s="6"/>
      <c r="Z412" s="73"/>
      <c r="AB412" s="6"/>
      <c r="AC412" s="2"/>
      <c r="AE412" s="72"/>
      <c r="AF412" s="6"/>
      <c r="AG412" s="73"/>
      <c r="AH412" s="6"/>
      <c r="AI412" s="6"/>
      <c r="AJ412" s="2"/>
      <c r="AL412" s="72"/>
      <c r="AN412" s="73"/>
      <c r="AO412" s="6"/>
      <c r="AQ412" s="2"/>
      <c r="AS412" s="72"/>
      <c r="AU412" s="73"/>
      <c r="AV412" s="6"/>
      <c r="AW412" s="6"/>
      <c r="AX412" s="2"/>
      <c r="AZ412" s="72"/>
      <c r="BB412" s="73"/>
      <c r="BE412" s="2"/>
      <c r="BG412" s="72"/>
      <c r="BH412" s="6"/>
      <c r="BI412" s="73"/>
      <c r="BJ412" s="6"/>
      <c r="BL412" s="2"/>
    </row>
    <row r="413" spans="19:64" x14ac:dyDescent="0.25">
      <c r="S413" s="73"/>
      <c r="V413" s="2"/>
      <c r="X413" s="72"/>
      <c r="Y413" s="6"/>
      <c r="Z413" s="73"/>
      <c r="AB413" s="6"/>
      <c r="AC413" s="2"/>
      <c r="AE413" s="72"/>
      <c r="AF413" s="6"/>
      <c r="AG413" s="73"/>
      <c r="AH413" s="6"/>
      <c r="AI413" s="6"/>
      <c r="AJ413" s="2"/>
      <c r="AL413" s="72"/>
      <c r="AN413" s="73"/>
      <c r="AO413" s="6"/>
      <c r="AQ413" s="2"/>
      <c r="AS413" s="72"/>
      <c r="AU413" s="73"/>
      <c r="AV413" s="6"/>
      <c r="AW413" s="6"/>
      <c r="AX413" s="2"/>
      <c r="AZ413" s="72"/>
      <c r="BB413" s="73"/>
      <c r="BE413" s="2"/>
      <c r="BG413" s="72"/>
      <c r="BH413" s="6"/>
      <c r="BI413" s="73"/>
      <c r="BJ413" s="6"/>
      <c r="BL413" s="2"/>
    </row>
    <row r="414" spans="19:64" x14ac:dyDescent="0.25">
      <c r="S414" s="73"/>
      <c r="V414" s="2"/>
      <c r="X414" s="72"/>
      <c r="Y414" s="6"/>
      <c r="Z414" s="73"/>
      <c r="AB414" s="6"/>
      <c r="AC414" s="2"/>
      <c r="AE414" s="72"/>
      <c r="AF414" s="6"/>
      <c r="AG414" s="73"/>
      <c r="AH414" s="6"/>
      <c r="AI414" s="6"/>
      <c r="AJ414" s="2"/>
      <c r="AL414" s="72"/>
      <c r="AN414" s="73"/>
      <c r="AO414" s="6"/>
      <c r="AQ414" s="2"/>
      <c r="AS414" s="72"/>
      <c r="AU414" s="73"/>
      <c r="AV414" s="6"/>
      <c r="AW414" s="6"/>
      <c r="AX414" s="2"/>
      <c r="AZ414" s="72"/>
      <c r="BB414" s="73"/>
      <c r="BE414" s="2"/>
      <c r="BG414" s="72"/>
      <c r="BH414" s="6"/>
      <c r="BI414" s="73"/>
      <c r="BJ414" s="6"/>
      <c r="BL414" s="2"/>
    </row>
    <row r="415" spans="19:64" x14ac:dyDescent="0.25">
      <c r="V415" s="2"/>
    </row>
  </sheetData>
  <mergeCells count="26">
    <mergeCell ref="BB2:BC2"/>
    <mergeCell ref="BD2:BE2"/>
    <mergeCell ref="BI2:BJ2"/>
    <mergeCell ref="BK2:BL2"/>
    <mergeCell ref="AG2:AH2"/>
    <mergeCell ref="AI2:AJ2"/>
    <mergeCell ref="AN2:AO2"/>
    <mergeCell ref="AP2:AQ2"/>
    <mergeCell ref="AU2:AV2"/>
    <mergeCell ref="AW2:AX2"/>
    <mergeCell ref="AS1:AX1"/>
    <mergeCell ref="AZ1:BE1"/>
    <mergeCell ref="BG1:BL1"/>
    <mergeCell ref="C2:F2"/>
    <mergeCell ref="L2:M2"/>
    <mergeCell ref="N2:O2"/>
    <mergeCell ref="S2:T2"/>
    <mergeCell ref="U2:V2"/>
    <mergeCell ref="Z2:AA2"/>
    <mergeCell ref="AB2:AC2"/>
    <mergeCell ref="C1:F1"/>
    <mergeCell ref="J1:O1"/>
    <mergeCell ref="Q1:V1"/>
    <mergeCell ref="X1:AC1"/>
    <mergeCell ref="AE1:AJ1"/>
    <mergeCell ref="AL1:AQ1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21" max="60" man="1"/>
    <brk id="34" max="60" man="1"/>
    <brk id="47" max="60" man="1"/>
    <brk id="60" max="60" man="1"/>
    <brk id="73" max="60" man="1"/>
    <brk id="86" max="60" man="1"/>
    <brk id="99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zoomScaleNormal="100" workbookViewId="0">
      <pane ySplit="2" topLeftCell="A3" activePane="bottomLeft" state="frozen"/>
      <selection activeCell="F50" sqref="F50"/>
      <selection pane="bottomLeft" activeCell="H1" sqref="H1"/>
    </sheetView>
  </sheetViews>
  <sheetFormatPr defaultRowHeight="15" x14ac:dyDescent="0.25"/>
  <cols>
    <col min="1" max="3" width="14.7109375" customWidth="1"/>
    <col min="4" max="4" width="7.140625" customWidth="1"/>
    <col min="5" max="5" width="16.85546875" bestFit="1" customWidth="1"/>
    <col min="6" max="6" width="22.7109375" bestFit="1" customWidth="1"/>
    <col min="7" max="7" width="6.42578125" customWidth="1"/>
    <col min="8" max="8" width="15.5703125" style="81" bestFit="1" customWidth="1"/>
    <col min="9" max="9" width="17.7109375" style="81" customWidth="1"/>
    <col min="10" max="10" width="55" customWidth="1"/>
    <col min="11" max="11" width="24.42578125" customWidth="1"/>
    <col min="12" max="12" width="18" customWidth="1"/>
    <col min="13" max="13" width="24.140625" customWidth="1"/>
    <col min="14" max="14" width="15.5703125" bestFit="1" customWidth="1"/>
    <col min="15" max="15" width="16.28515625" bestFit="1" customWidth="1"/>
    <col min="16" max="16" width="14" style="86" customWidth="1"/>
    <col min="17" max="17" width="14" style="85" customWidth="1"/>
    <col min="18" max="19" width="14" style="86" customWidth="1"/>
    <col min="20" max="20" width="16" style="86" customWidth="1"/>
    <col min="21" max="22" width="9.140625" style="86"/>
  </cols>
  <sheetData>
    <row r="1" spans="1:32" x14ac:dyDescent="0.25">
      <c r="H1" s="81">
        <f>SUBTOTAL(9,$I$3:$I$98)</f>
        <v>13551377.789485546</v>
      </c>
      <c r="I1" s="248">
        <f>SUMIFS($I$3:$I$98,$T$3:$T$98,"BDG")</f>
        <v>5093887.0516799185</v>
      </c>
      <c r="J1" s="82"/>
      <c r="K1" s="82">
        <f>SUMIFS($I$3:$I$98,$U$3:$U$98,"MARKUP",$S$3:$S$98,"REMOVAL")</f>
        <v>7731091.9918968873</v>
      </c>
      <c r="O1" s="83">
        <f>P1-I1</f>
        <v>5126028.0417552441</v>
      </c>
      <c r="P1" s="84">
        <f>Daniel!F62</f>
        <v>10219915.093435163</v>
      </c>
      <c r="R1" s="84"/>
      <c r="S1" s="84"/>
      <c r="T1" s="84"/>
    </row>
    <row r="2" spans="1:32" x14ac:dyDescent="0.25">
      <c r="A2" s="87" t="s">
        <v>60</v>
      </c>
      <c r="B2" s="88" t="s">
        <v>61</v>
      </c>
      <c r="C2" s="88" t="s">
        <v>62</v>
      </c>
      <c r="D2" s="87" t="s">
        <v>63</v>
      </c>
      <c r="E2" s="87" t="s">
        <v>64</v>
      </c>
      <c r="F2" s="87" t="s">
        <v>65</v>
      </c>
      <c r="G2" s="87" t="s">
        <v>66</v>
      </c>
      <c r="H2" s="249" t="s">
        <v>67</v>
      </c>
      <c r="I2" s="249" t="s">
        <v>68</v>
      </c>
      <c r="J2" s="87" t="s">
        <v>69</v>
      </c>
      <c r="K2" s="87" t="s">
        <v>70</v>
      </c>
      <c r="L2" s="87" t="s">
        <v>71</v>
      </c>
      <c r="M2" s="87" t="s">
        <v>269</v>
      </c>
      <c r="N2" s="87" t="s">
        <v>267</v>
      </c>
      <c r="O2" s="87" t="s">
        <v>268</v>
      </c>
      <c r="P2" s="89" t="s">
        <v>72</v>
      </c>
      <c r="Q2" s="90" t="s">
        <v>73</v>
      </c>
      <c r="R2" s="89" t="s">
        <v>74</v>
      </c>
      <c r="S2" s="91" t="s">
        <v>75</v>
      </c>
      <c r="T2" s="86">
        <v>1</v>
      </c>
      <c r="U2" s="86">
        <v>2</v>
      </c>
      <c r="W2" s="92">
        <v>3</v>
      </c>
      <c r="X2" s="93">
        <v>4</v>
      </c>
      <c r="Y2" s="93">
        <v>5</v>
      </c>
      <c r="Z2" s="93">
        <v>6</v>
      </c>
      <c r="AA2" s="93">
        <v>7</v>
      </c>
      <c r="AB2" s="93">
        <v>8</v>
      </c>
      <c r="AC2" s="93">
        <v>9</v>
      </c>
    </row>
    <row r="3" spans="1:32" x14ac:dyDescent="0.25">
      <c r="A3" s="94" t="s">
        <v>76</v>
      </c>
      <c r="B3" s="95" t="s">
        <v>77</v>
      </c>
      <c r="C3" s="95" t="s">
        <v>78</v>
      </c>
      <c r="D3" s="94" t="s">
        <v>79</v>
      </c>
      <c r="E3" s="94" t="s">
        <v>80</v>
      </c>
      <c r="F3" s="96">
        <v>1</v>
      </c>
      <c r="G3" s="94" t="s">
        <v>16</v>
      </c>
      <c r="H3" s="111">
        <f>SUMIFS($I$3:$I$98,$E$3:$E$98,$E3,$U$3:$U$98,"MARKUP",$S$3:$S$98,"REMOVAL")*0.01</f>
        <v>14059.87609152</v>
      </c>
      <c r="I3" s="113">
        <f>F3*H3</f>
        <v>14059.87609152</v>
      </c>
      <c r="J3" s="98" t="s">
        <v>81</v>
      </c>
      <c r="K3" s="94" t="s">
        <v>82</v>
      </c>
      <c r="L3" s="94" t="s">
        <v>82</v>
      </c>
      <c r="M3" s="94" t="s">
        <v>81</v>
      </c>
      <c r="N3" s="246">
        <f t="shared" ref="N3:N32" si="0">H3</f>
        <v>14059.87609152</v>
      </c>
      <c r="O3" s="247">
        <f t="shared" ref="O3:O32" si="1">I3</f>
        <v>14059.87609152</v>
      </c>
      <c r="P3" s="99" t="s">
        <v>83</v>
      </c>
      <c r="Q3" s="100">
        <v>0.5</v>
      </c>
      <c r="R3" s="99" t="s">
        <v>84</v>
      </c>
      <c r="S3" s="101" t="s">
        <v>85</v>
      </c>
      <c r="T3" s="86" t="s">
        <v>86</v>
      </c>
      <c r="W3" s="92" t="str">
        <f t="shared" ref="W3:W32" si="2">A3&amp;B3&amp;C3&amp;D3&amp;E3&amp;G3&amp;J3</f>
        <v>3090481309CCLRDANIEL12-ECO%ADMINISTRATIVE &amp; GENERAL OVERHEAD</v>
      </c>
      <c r="X3" s="92"/>
      <c r="AF3" s="110">
        <f>Daniel!$D$5</f>
        <v>1</v>
      </c>
    </row>
    <row r="4" spans="1:32" x14ac:dyDescent="0.25">
      <c r="A4" s="94" t="s">
        <v>76</v>
      </c>
      <c r="B4" s="95" t="s">
        <v>77</v>
      </c>
      <c r="C4" s="95" t="s">
        <v>78</v>
      </c>
      <c r="D4" s="94" t="s">
        <v>79</v>
      </c>
      <c r="E4" s="94" t="s">
        <v>297</v>
      </c>
      <c r="F4" s="96">
        <v>1</v>
      </c>
      <c r="G4" s="94" t="s">
        <v>16</v>
      </c>
      <c r="H4" s="111">
        <f>SUMIFS($I$3:$I$98,$C$3:$C$98,$C4,$E$3:$E$98,$E4,$U$3:$U$98,"MARKUP",$S$3:$S$98,"REMOVAL")*0.01</f>
        <v>5988.125</v>
      </c>
      <c r="I4" s="113">
        <f>F4*H4</f>
        <v>5988.125</v>
      </c>
      <c r="J4" s="98" t="s">
        <v>81</v>
      </c>
      <c r="K4" s="94" t="s">
        <v>82</v>
      </c>
      <c r="L4" s="94" t="s">
        <v>82</v>
      </c>
      <c r="M4" s="155" t="s">
        <v>298</v>
      </c>
      <c r="N4" s="246">
        <f t="shared" si="0"/>
        <v>5988.125</v>
      </c>
      <c r="O4" s="247">
        <f t="shared" si="1"/>
        <v>5988.125</v>
      </c>
      <c r="P4" s="99" t="s">
        <v>83</v>
      </c>
      <c r="Q4" s="100">
        <v>0.5</v>
      </c>
      <c r="R4" s="99" t="s">
        <v>84</v>
      </c>
      <c r="S4" s="101" t="s">
        <v>85</v>
      </c>
      <c r="T4" s="86" t="s">
        <v>86</v>
      </c>
      <c r="W4" s="92" t="str">
        <f t="shared" si="2"/>
        <v>3090481309CCLRDANIEL12-ECOF%ADMINISTRATIVE &amp; GENERAL OVERHEAD</v>
      </c>
      <c r="X4" s="92"/>
      <c r="AF4" s="110">
        <f>Daniel!$D$6</f>
        <v>1</v>
      </c>
    </row>
    <row r="5" spans="1:32" x14ac:dyDescent="0.25">
      <c r="A5" s="94" t="s">
        <v>76</v>
      </c>
      <c r="B5" s="95" t="s">
        <v>77</v>
      </c>
      <c r="C5" s="95" t="s">
        <v>78</v>
      </c>
      <c r="D5" s="94" t="s">
        <v>79</v>
      </c>
      <c r="E5" s="109" t="s">
        <v>116</v>
      </c>
      <c r="F5" s="96">
        <v>1</v>
      </c>
      <c r="G5" s="94" t="s">
        <v>16</v>
      </c>
      <c r="H5" s="257">
        <f>SUMIFS($I$3:$I$98,$E$3:$E$98,$E5,$U$3:$U$98,"MARKUP",$S$3:$S$98,"REMOVAL")*0.01</f>
        <v>57262.91882744887</v>
      </c>
      <c r="I5" s="113">
        <f>F5*H5</f>
        <v>57262.91882744887</v>
      </c>
      <c r="J5" s="98" t="s">
        <v>81</v>
      </c>
      <c r="K5" s="94" t="s">
        <v>82</v>
      </c>
      <c r="L5" s="94" t="s">
        <v>82</v>
      </c>
      <c r="M5" s="94" t="s">
        <v>81</v>
      </c>
      <c r="N5" s="246">
        <f t="shared" si="0"/>
        <v>57262.91882744887</v>
      </c>
      <c r="O5" s="247">
        <f t="shared" si="1"/>
        <v>57262.91882744887</v>
      </c>
      <c r="P5" s="99" t="s">
        <v>117</v>
      </c>
      <c r="Q5" s="100">
        <v>0.5</v>
      </c>
      <c r="R5" s="99" t="s">
        <v>84</v>
      </c>
      <c r="S5" s="101" t="s">
        <v>85</v>
      </c>
      <c r="T5" s="86" t="s">
        <v>86</v>
      </c>
      <c r="W5" s="92" t="str">
        <f t="shared" si="2"/>
        <v>3090481309CCLRDANIEL12-NON%ADMINISTRATIVE &amp; GENERAL OVERHEAD</v>
      </c>
      <c r="X5" s="92"/>
      <c r="AF5" s="110">
        <f>Daniel!$D$10</f>
        <v>1</v>
      </c>
    </row>
    <row r="6" spans="1:32" x14ac:dyDescent="0.25">
      <c r="A6" s="94" t="s">
        <v>118</v>
      </c>
      <c r="B6" s="95" t="s">
        <v>111</v>
      </c>
      <c r="C6" s="95" t="s">
        <v>78</v>
      </c>
      <c r="D6" s="94" t="s">
        <v>79</v>
      </c>
      <c r="E6" s="109" t="s">
        <v>116</v>
      </c>
      <c r="F6" s="102">
        <f>Daniel!$D$49*0.85*$Q6</f>
        <v>85</v>
      </c>
      <c r="G6" s="94" t="s">
        <v>36</v>
      </c>
      <c r="H6" s="111">
        <f>Daniel!$E$49</f>
        <v>367.34399999999999</v>
      </c>
      <c r="I6" s="113">
        <f>Daniel!$F$49*0.85*$Q6</f>
        <v>31224.240000000002</v>
      </c>
      <c r="J6" s="94" t="s">
        <v>119</v>
      </c>
      <c r="K6" s="94" t="s">
        <v>82</v>
      </c>
      <c r="L6" s="94" t="s">
        <v>82</v>
      </c>
      <c r="M6" s="94" t="s">
        <v>120</v>
      </c>
      <c r="N6" s="246">
        <f t="shared" si="0"/>
        <v>367.34399999999999</v>
      </c>
      <c r="O6" s="247">
        <f t="shared" si="1"/>
        <v>31224.240000000002</v>
      </c>
      <c r="P6" s="99" t="s">
        <v>117</v>
      </c>
      <c r="Q6" s="100">
        <v>0.5</v>
      </c>
      <c r="R6" s="99" t="s">
        <v>84</v>
      </c>
      <c r="S6" s="101" t="s">
        <v>85</v>
      </c>
      <c r="T6" s="86" t="s">
        <v>95</v>
      </c>
      <c r="U6" s="86" t="s">
        <v>96</v>
      </c>
      <c r="V6" s="86">
        <v>35</v>
      </c>
      <c r="W6" s="92" t="str">
        <f t="shared" si="2"/>
        <v>311UND311CCLRDANIEL12-NONntANCILLARY BUILDINGS - Demo</v>
      </c>
      <c r="X6" s="92"/>
      <c r="AF6" s="110">
        <f>Daniel!$D$11</f>
        <v>100000</v>
      </c>
    </row>
    <row r="7" spans="1:32" x14ac:dyDescent="0.25">
      <c r="A7" s="94" t="s">
        <v>118</v>
      </c>
      <c r="B7" s="95" t="s">
        <v>111</v>
      </c>
      <c r="C7" s="95" t="s">
        <v>78</v>
      </c>
      <c r="D7" s="94" t="s">
        <v>121</v>
      </c>
      <c r="E7" s="109" t="s">
        <v>116</v>
      </c>
      <c r="F7" s="102">
        <f>Daniel!$D$50*0.85*$Q7</f>
        <v>85</v>
      </c>
      <c r="G7" s="94" t="s">
        <v>36</v>
      </c>
      <c r="H7" s="111">
        <f>Daniel!$E$50</f>
        <v>-108.3695731319762</v>
      </c>
      <c r="I7" s="113">
        <f>Daniel!$F$50*0.85*$Q7</f>
        <v>-9211.4137162179759</v>
      </c>
      <c r="J7" s="94" t="s">
        <v>122</v>
      </c>
      <c r="K7" s="94" t="s">
        <v>100</v>
      </c>
      <c r="L7" s="94" t="s">
        <v>82</v>
      </c>
      <c r="M7" s="94" t="s">
        <v>296</v>
      </c>
      <c r="N7" s="246">
        <f t="shared" si="0"/>
        <v>-108.3695731319762</v>
      </c>
      <c r="O7" s="247">
        <f t="shared" si="1"/>
        <v>-9211.4137162179759</v>
      </c>
      <c r="P7" s="99" t="s">
        <v>117</v>
      </c>
      <c r="Q7" s="100">
        <v>0.5</v>
      </c>
      <c r="R7" s="99" t="s">
        <v>84</v>
      </c>
      <c r="S7" s="101" t="s">
        <v>101</v>
      </c>
      <c r="T7" s="86" t="s">
        <v>95</v>
      </c>
      <c r="U7" s="86" t="s">
        <v>96</v>
      </c>
      <c r="V7" s="86">
        <v>36</v>
      </c>
      <c r="W7" s="92" t="str">
        <f t="shared" si="2"/>
        <v>311UND311CCMSDANIEL12-NONntANCILLARY BUILDINGS - FE SALES</v>
      </c>
      <c r="X7" s="92"/>
      <c r="AF7" s="110">
        <f>Daniel!$D$12</f>
        <v>1</v>
      </c>
    </row>
    <row r="8" spans="1:32" x14ac:dyDescent="0.25">
      <c r="A8" s="94" t="s">
        <v>169</v>
      </c>
      <c r="B8" s="95" t="s">
        <v>170</v>
      </c>
      <c r="C8" s="95" t="s">
        <v>78</v>
      </c>
      <c r="D8" s="94" t="s">
        <v>79</v>
      </c>
      <c r="E8" s="94" t="s">
        <v>112</v>
      </c>
      <c r="F8" s="96">
        <v>0</v>
      </c>
      <c r="G8" s="94" t="s">
        <v>82</v>
      </c>
      <c r="H8" s="250"/>
      <c r="I8" s="111">
        <v>0</v>
      </c>
      <c r="J8" s="94" t="s">
        <v>171</v>
      </c>
      <c r="K8" s="94" t="s">
        <v>171</v>
      </c>
      <c r="L8" s="94" t="s">
        <v>82</v>
      </c>
      <c r="M8" s="94" t="s">
        <v>171</v>
      </c>
      <c r="N8" s="246">
        <f t="shared" si="0"/>
        <v>0</v>
      </c>
      <c r="O8" s="247">
        <f t="shared" si="1"/>
        <v>0</v>
      </c>
      <c r="P8" s="99" t="s">
        <v>115</v>
      </c>
      <c r="Q8" s="100">
        <v>1</v>
      </c>
      <c r="R8" s="99" t="s">
        <v>84</v>
      </c>
      <c r="S8" s="101" t="s">
        <v>85</v>
      </c>
      <c r="T8" s="86" t="s">
        <v>86</v>
      </c>
      <c r="W8" s="92" t="str">
        <f t="shared" si="2"/>
        <v>3040000304CCLRDANIEL12-ASHCONTINGENCY</v>
      </c>
      <c r="X8" s="92"/>
      <c r="AF8" s="110">
        <f>Daniel!$D$13</f>
        <v>1</v>
      </c>
    </row>
    <row r="9" spans="1:32" x14ac:dyDescent="0.25">
      <c r="A9" s="94" t="s">
        <v>169</v>
      </c>
      <c r="B9" s="95" t="s">
        <v>170</v>
      </c>
      <c r="C9" s="95">
        <v>1</v>
      </c>
      <c r="D9" s="94" t="s">
        <v>93</v>
      </c>
      <c r="E9" s="94" t="s">
        <v>80</v>
      </c>
      <c r="F9" s="96">
        <v>0</v>
      </c>
      <c r="G9" s="94" t="s">
        <v>82</v>
      </c>
      <c r="H9" s="250"/>
      <c r="I9" s="111">
        <v>0</v>
      </c>
      <c r="J9" s="94" t="s">
        <v>171</v>
      </c>
      <c r="K9" s="94" t="s">
        <v>171</v>
      </c>
      <c r="L9" s="94" t="s">
        <v>82</v>
      </c>
      <c r="M9" s="94" t="s">
        <v>171</v>
      </c>
      <c r="N9" s="246">
        <f t="shared" si="0"/>
        <v>0</v>
      </c>
      <c r="O9" s="247">
        <f t="shared" si="1"/>
        <v>0</v>
      </c>
      <c r="P9" s="99" t="s">
        <v>83</v>
      </c>
      <c r="Q9" s="100">
        <v>1</v>
      </c>
      <c r="R9" s="99" t="s">
        <v>84</v>
      </c>
      <c r="S9" s="101" t="s">
        <v>85</v>
      </c>
      <c r="T9" s="86" t="s">
        <v>86</v>
      </c>
      <c r="W9" s="92" t="str">
        <f t="shared" si="2"/>
        <v>304000030411LRDANIEL12-ECOCONTINGENCY</v>
      </c>
      <c r="X9" s="92"/>
      <c r="AF9" s="110">
        <f>Daniel!$D$14</f>
        <v>1</v>
      </c>
    </row>
    <row r="10" spans="1:32" x14ac:dyDescent="0.25">
      <c r="A10" s="94" t="s">
        <v>169</v>
      </c>
      <c r="B10" s="95" t="s">
        <v>170</v>
      </c>
      <c r="C10" s="95">
        <v>2</v>
      </c>
      <c r="D10" s="94" t="s">
        <v>97</v>
      </c>
      <c r="E10" s="94" t="s">
        <v>80</v>
      </c>
      <c r="F10" s="96">
        <v>0</v>
      </c>
      <c r="G10" s="94" t="s">
        <v>82</v>
      </c>
      <c r="H10" s="250"/>
      <c r="I10" s="111">
        <v>0</v>
      </c>
      <c r="J10" s="94" t="s">
        <v>171</v>
      </c>
      <c r="K10" s="94" t="s">
        <v>171</v>
      </c>
      <c r="L10" s="94" t="s">
        <v>82</v>
      </c>
      <c r="M10" s="94" t="s">
        <v>171</v>
      </c>
      <c r="N10" s="246">
        <f t="shared" si="0"/>
        <v>0</v>
      </c>
      <c r="O10" s="247">
        <f t="shared" si="1"/>
        <v>0</v>
      </c>
      <c r="P10" s="99" t="s">
        <v>83</v>
      </c>
      <c r="Q10" s="100">
        <v>1</v>
      </c>
      <c r="R10" s="99" t="s">
        <v>84</v>
      </c>
      <c r="S10" s="101" t="s">
        <v>85</v>
      </c>
      <c r="T10" s="86" t="s">
        <v>86</v>
      </c>
      <c r="W10" s="92" t="str">
        <f t="shared" si="2"/>
        <v>304000030422LRDANIEL12-ECOCONTINGENCY</v>
      </c>
      <c r="X10" s="92"/>
      <c r="AF10" s="102">
        <f>Daniel!$D$15</f>
        <v>400000</v>
      </c>
    </row>
    <row r="11" spans="1:32" x14ac:dyDescent="0.25">
      <c r="A11" s="94" t="s">
        <v>169</v>
      </c>
      <c r="B11" s="95" t="s">
        <v>170</v>
      </c>
      <c r="C11" s="95" t="s">
        <v>78</v>
      </c>
      <c r="D11" s="94" t="s">
        <v>79</v>
      </c>
      <c r="E11" s="94" t="s">
        <v>80</v>
      </c>
      <c r="F11" s="96">
        <v>0</v>
      </c>
      <c r="G11" s="94" t="s">
        <v>82</v>
      </c>
      <c r="H11" s="250"/>
      <c r="I11" s="111">
        <v>0</v>
      </c>
      <c r="J11" s="94" t="s">
        <v>171</v>
      </c>
      <c r="K11" s="94" t="s">
        <v>171</v>
      </c>
      <c r="L11" s="94" t="s">
        <v>82</v>
      </c>
      <c r="M11" s="94" t="s">
        <v>171</v>
      </c>
      <c r="N11" s="246">
        <f t="shared" si="0"/>
        <v>0</v>
      </c>
      <c r="O11" s="247">
        <f t="shared" si="1"/>
        <v>0</v>
      </c>
      <c r="P11" s="99" t="s">
        <v>83</v>
      </c>
      <c r="Q11" s="100">
        <v>1</v>
      </c>
      <c r="R11" s="99" t="s">
        <v>84</v>
      </c>
      <c r="S11" s="101" t="s">
        <v>85</v>
      </c>
      <c r="T11" s="86" t="s">
        <v>86</v>
      </c>
      <c r="W11" s="92" t="str">
        <f t="shared" si="2"/>
        <v>3040000304CCLRDANIEL12-ECOCONTINGENCY</v>
      </c>
      <c r="X11" s="92"/>
      <c r="AF11">
        <v>1</v>
      </c>
    </row>
    <row r="12" spans="1:32" x14ac:dyDescent="0.25">
      <c r="A12" s="94" t="s">
        <v>169</v>
      </c>
      <c r="B12" s="95" t="s">
        <v>170</v>
      </c>
      <c r="C12" s="95" t="s">
        <v>78</v>
      </c>
      <c r="D12" s="94" t="s">
        <v>79</v>
      </c>
      <c r="E12" s="94" t="s">
        <v>297</v>
      </c>
      <c r="F12" s="96">
        <v>0</v>
      </c>
      <c r="G12" s="94" t="s">
        <v>82</v>
      </c>
      <c r="H12" s="250"/>
      <c r="I12" s="111">
        <v>0</v>
      </c>
      <c r="J12" s="94" t="s">
        <v>171</v>
      </c>
      <c r="K12" s="94" t="s">
        <v>171</v>
      </c>
      <c r="L12" s="94" t="s">
        <v>82</v>
      </c>
      <c r="M12" s="155" t="s">
        <v>298</v>
      </c>
      <c r="N12" s="246">
        <f t="shared" si="0"/>
        <v>0</v>
      </c>
      <c r="O12" s="247">
        <f t="shared" si="1"/>
        <v>0</v>
      </c>
      <c r="P12" s="99" t="s">
        <v>83</v>
      </c>
      <c r="Q12" s="100">
        <v>1</v>
      </c>
      <c r="R12" s="99" t="s">
        <v>84</v>
      </c>
      <c r="S12" s="101" t="s">
        <v>85</v>
      </c>
      <c r="T12" s="86" t="s">
        <v>86</v>
      </c>
      <c r="W12" s="92" t="str">
        <f t="shared" si="2"/>
        <v>3040000304CCLRDANIEL12-ECOFCONTINGENCY</v>
      </c>
      <c r="X12" s="92"/>
      <c r="AF12">
        <v>1</v>
      </c>
    </row>
    <row r="13" spans="1:32" x14ac:dyDescent="0.25">
      <c r="A13" s="94" t="s">
        <v>169</v>
      </c>
      <c r="B13" s="95" t="s">
        <v>170</v>
      </c>
      <c r="C13" s="95">
        <v>1</v>
      </c>
      <c r="D13" s="94" t="s">
        <v>93</v>
      </c>
      <c r="E13" s="94" t="s">
        <v>116</v>
      </c>
      <c r="F13" s="96">
        <v>0</v>
      </c>
      <c r="G13" s="94" t="s">
        <v>82</v>
      </c>
      <c r="H13" s="250"/>
      <c r="I13" s="111">
        <v>0</v>
      </c>
      <c r="J13" s="94" t="s">
        <v>171</v>
      </c>
      <c r="K13" s="94" t="s">
        <v>171</v>
      </c>
      <c r="L13" s="94" t="s">
        <v>82</v>
      </c>
      <c r="M13" s="94" t="s">
        <v>171</v>
      </c>
      <c r="N13" s="246">
        <f t="shared" si="0"/>
        <v>0</v>
      </c>
      <c r="O13" s="247">
        <f t="shared" si="1"/>
        <v>0</v>
      </c>
      <c r="P13" s="99" t="s">
        <v>117</v>
      </c>
      <c r="Q13" s="100">
        <v>1</v>
      </c>
      <c r="R13" s="99" t="s">
        <v>84</v>
      </c>
      <c r="S13" s="101" t="s">
        <v>85</v>
      </c>
      <c r="T13" s="86" t="s">
        <v>86</v>
      </c>
      <c r="W13" s="92" t="str">
        <f t="shared" si="2"/>
        <v>304000030411LRDANIEL12-NONCONTINGENCY</v>
      </c>
      <c r="X13" s="92"/>
      <c r="AF13">
        <v>1</v>
      </c>
    </row>
    <row r="14" spans="1:32" x14ac:dyDescent="0.25">
      <c r="A14" s="94" t="s">
        <v>169</v>
      </c>
      <c r="B14" s="95" t="s">
        <v>170</v>
      </c>
      <c r="C14" s="95">
        <v>2</v>
      </c>
      <c r="D14" s="94" t="s">
        <v>97</v>
      </c>
      <c r="E14" s="94" t="s">
        <v>116</v>
      </c>
      <c r="F14" s="96">
        <v>0</v>
      </c>
      <c r="G14" s="94" t="s">
        <v>82</v>
      </c>
      <c r="H14" s="250"/>
      <c r="I14" s="111">
        <v>0</v>
      </c>
      <c r="J14" s="94" t="s">
        <v>171</v>
      </c>
      <c r="K14" s="94" t="s">
        <v>171</v>
      </c>
      <c r="L14" s="94" t="s">
        <v>82</v>
      </c>
      <c r="M14" s="94" t="s">
        <v>171</v>
      </c>
      <c r="N14" s="246">
        <f t="shared" si="0"/>
        <v>0</v>
      </c>
      <c r="O14" s="247">
        <f t="shared" si="1"/>
        <v>0</v>
      </c>
      <c r="P14" s="99" t="s">
        <v>117</v>
      </c>
      <c r="Q14" s="100">
        <v>1</v>
      </c>
      <c r="R14" s="99" t="s">
        <v>84</v>
      </c>
      <c r="S14" s="101" t="s">
        <v>85</v>
      </c>
      <c r="T14" s="86" t="s">
        <v>86</v>
      </c>
      <c r="W14" s="92" t="str">
        <f t="shared" si="2"/>
        <v>304000030422LRDANIEL12-NONCONTINGENCY</v>
      </c>
      <c r="X14" s="92"/>
      <c r="AF14">
        <v>1</v>
      </c>
    </row>
    <row r="15" spans="1:32" x14ac:dyDescent="0.25">
      <c r="A15" s="94" t="s">
        <v>169</v>
      </c>
      <c r="B15" s="95" t="s">
        <v>170</v>
      </c>
      <c r="C15" s="95" t="s">
        <v>78</v>
      </c>
      <c r="D15" s="94" t="s">
        <v>79</v>
      </c>
      <c r="E15" s="109" t="s">
        <v>116</v>
      </c>
      <c r="F15" s="96">
        <v>0</v>
      </c>
      <c r="G15" s="94" t="s">
        <v>82</v>
      </c>
      <c r="H15" s="250"/>
      <c r="I15" s="111">
        <v>0</v>
      </c>
      <c r="J15" s="94" t="s">
        <v>171</v>
      </c>
      <c r="K15" s="94" t="s">
        <v>171</v>
      </c>
      <c r="L15" s="94" t="s">
        <v>82</v>
      </c>
      <c r="M15" s="94" t="s">
        <v>171</v>
      </c>
      <c r="N15" s="246">
        <f t="shared" si="0"/>
        <v>0</v>
      </c>
      <c r="O15" s="247">
        <f t="shared" si="1"/>
        <v>0</v>
      </c>
      <c r="P15" s="99" t="s">
        <v>117</v>
      </c>
      <c r="Q15" s="100">
        <v>1</v>
      </c>
      <c r="R15" s="99" t="s">
        <v>84</v>
      </c>
      <c r="S15" s="101" t="s">
        <v>85</v>
      </c>
      <c r="T15" s="86" t="s">
        <v>86</v>
      </c>
      <c r="W15" s="92" t="str">
        <f t="shared" si="2"/>
        <v>3040000304CCLRDANIEL12-NONCONTINGENCY</v>
      </c>
      <c r="X15" s="92"/>
      <c r="AF15">
        <v>1</v>
      </c>
    </row>
    <row r="16" spans="1:32" x14ac:dyDescent="0.25">
      <c r="A16" s="94" t="s">
        <v>124</v>
      </c>
      <c r="B16" s="95" t="s">
        <v>106</v>
      </c>
      <c r="C16" s="95" t="s">
        <v>78</v>
      </c>
      <c r="D16" s="94" t="s">
        <v>79</v>
      </c>
      <c r="E16" s="109" t="s">
        <v>116</v>
      </c>
      <c r="F16" s="160">
        <f>Daniel!$D$10*$Q$5</f>
        <v>0.5</v>
      </c>
      <c r="G16" s="94" t="s">
        <v>89</v>
      </c>
      <c r="H16" s="111">
        <f>Daniel!$E$10</f>
        <v>250000</v>
      </c>
      <c r="I16" s="113">
        <f>Daniel!F10*$Q16</f>
        <v>125000</v>
      </c>
      <c r="J16" s="94" t="s">
        <v>125</v>
      </c>
      <c r="K16" s="94" t="s">
        <v>82</v>
      </c>
      <c r="L16" s="94" t="s">
        <v>82</v>
      </c>
      <c r="M16" s="94" t="s">
        <v>125</v>
      </c>
      <c r="N16" s="246">
        <f t="shared" si="0"/>
        <v>250000</v>
      </c>
      <c r="O16" s="247">
        <f t="shared" si="1"/>
        <v>125000</v>
      </c>
      <c r="P16" s="99" t="s">
        <v>117</v>
      </c>
      <c r="Q16" s="100">
        <v>0.5</v>
      </c>
      <c r="R16" s="99" t="s">
        <v>84</v>
      </c>
      <c r="S16" s="101" t="s">
        <v>85</v>
      </c>
      <c r="T16" s="86" t="s">
        <v>95</v>
      </c>
      <c r="V16" s="86">
        <v>4</v>
      </c>
      <c r="W16" s="92" t="str">
        <f t="shared" si="2"/>
        <v>3070201MO307CCLRDANIEL12-NONLTCONTRACTOR MOBILIZATION</v>
      </c>
      <c r="X16" s="92"/>
      <c r="AF16">
        <v>1</v>
      </c>
    </row>
    <row r="17" spans="1:24" x14ac:dyDescent="0.25">
      <c r="A17" s="94" t="s">
        <v>110</v>
      </c>
      <c r="B17" s="95" t="s">
        <v>111</v>
      </c>
      <c r="C17" s="95" t="s">
        <v>78</v>
      </c>
      <c r="D17" s="94" t="s">
        <v>79</v>
      </c>
      <c r="E17" s="94" t="s">
        <v>112</v>
      </c>
      <c r="F17" s="106">
        <f>37*Q17</f>
        <v>18.5</v>
      </c>
      <c r="G17" s="94" t="s">
        <v>113</v>
      </c>
      <c r="H17" s="253">
        <f>4289173/37</f>
        <v>115923.5945945946</v>
      </c>
      <c r="I17" s="113">
        <f>F17*H17</f>
        <v>2144586.5</v>
      </c>
      <c r="J17" s="94" t="s">
        <v>300</v>
      </c>
      <c r="K17" s="94" t="s">
        <v>82</v>
      </c>
      <c r="L17" s="94" t="s">
        <v>82</v>
      </c>
      <c r="M17" s="94" t="str">
        <f>J17</f>
        <v>Daniel Gypsum Facility</v>
      </c>
      <c r="N17" s="246">
        <f t="shared" si="0"/>
        <v>115923.5945945946</v>
      </c>
      <c r="O17" s="247">
        <f t="shared" si="1"/>
        <v>2144586.5</v>
      </c>
      <c r="P17" s="99" t="s">
        <v>115</v>
      </c>
      <c r="Q17" s="100">
        <v>0.5</v>
      </c>
      <c r="R17" s="99" t="s">
        <v>84</v>
      </c>
      <c r="S17" s="101" t="s">
        <v>85</v>
      </c>
      <c r="T17" s="86" t="s">
        <v>86</v>
      </c>
      <c r="W17" s="92" t="str">
        <f t="shared" si="2"/>
        <v>3110230311CCLRDANIEL12-ASHACDaniel Gypsum Facility</v>
      </c>
      <c r="X17" s="92"/>
    </row>
    <row r="18" spans="1:24" x14ac:dyDescent="0.25">
      <c r="A18" s="94" t="s">
        <v>110</v>
      </c>
      <c r="B18" s="95" t="s">
        <v>111</v>
      </c>
      <c r="C18" s="95" t="s">
        <v>78</v>
      </c>
      <c r="D18" s="94" t="s">
        <v>79</v>
      </c>
      <c r="E18" s="94" t="s">
        <v>112</v>
      </c>
      <c r="F18" s="106">
        <f>30*Q18</f>
        <v>15</v>
      </c>
      <c r="G18" s="94" t="s">
        <v>113</v>
      </c>
      <c r="H18" s="253">
        <f>3210138/30</f>
        <v>107004.6</v>
      </c>
      <c r="I18" s="113">
        <f>F18*H18</f>
        <v>1605069</v>
      </c>
      <c r="J18" s="94" t="s">
        <v>299</v>
      </c>
      <c r="K18" s="94" t="s">
        <v>82</v>
      </c>
      <c r="L18" s="94" t="s">
        <v>82</v>
      </c>
      <c r="M18" s="94" t="str">
        <f t="shared" ref="M18:M19" si="3">J18</f>
        <v>Daniel NAMU Ash Landfill Closure</v>
      </c>
      <c r="N18" s="246">
        <f t="shared" si="0"/>
        <v>107004.6</v>
      </c>
      <c r="O18" s="247">
        <f t="shared" si="1"/>
        <v>1605069</v>
      </c>
      <c r="P18" s="99" t="s">
        <v>115</v>
      </c>
      <c r="Q18" s="100">
        <v>0.5</v>
      </c>
      <c r="R18" s="99" t="s">
        <v>84</v>
      </c>
      <c r="S18" s="101" t="s">
        <v>85</v>
      </c>
      <c r="T18" s="86" t="s">
        <v>86</v>
      </c>
      <c r="W18" s="92" t="str">
        <f t="shared" si="2"/>
        <v>3110230311CCLRDANIEL12-ASHACDaniel NAMU Ash Landfill Closure</v>
      </c>
      <c r="X18" s="92"/>
    </row>
    <row r="19" spans="1:24" x14ac:dyDescent="0.25">
      <c r="A19" s="94" t="s">
        <v>110</v>
      </c>
      <c r="B19" s="95" t="s">
        <v>111</v>
      </c>
      <c r="C19" s="95" t="s">
        <v>78</v>
      </c>
      <c r="D19" s="94" t="s">
        <v>79</v>
      </c>
      <c r="E19" s="94" t="s">
        <v>112</v>
      </c>
      <c r="F19" s="106">
        <f>19*Q19</f>
        <v>9.5</v>
      </c>
      <c r="G19" s="94" t="s">
        <v>113</v>
      </c>
      <c r="H19" s="253">
        <f>7612135/19</f>
        <v>400638.68421052629</v>
      </c>
      <c r="I19" s="113">
        <f>F19*H19</f>
        <v>3806067.5</v>
      </c>
      <c r="J19" s="94" t="s">
        <v>301</v>
      </c>
      <c r="K19" s="94" t="s">
        <v>82</v>
      </c>
      <c r="L19" s="94" t="s">
        <v>82</v>
      </c>
      <c r="M19" s="94" t="str">
        <f t="shared" si="3"/>
        <v>Daniel Bottom Ash Pond Closure</v>
      </c>
      <c r="N19" s="246">
        <f t="shared" si="0"/>
        <v>400638.68421052629</v>
      </c>
      <c r="O19" s="247">
        <f t="shared" si="1"/>
        <v>3806067.5</v>
      </c>
      <c r="P19" s="99" t="s">
        <v>115</v>
      </c>
      <c r="Q19" s="100">
        <v>0.5</v>
      </c>
      <c r="R19" s="99" t="s">
        <v>84</v>
      </c>
      <c r="S19" s="101" t="s">
        <v>85</v>
      </c>
      <c r="T19" s="86" t="s">
        <v>86</v>
      </c>
      <c r="W19" s="92" t="str">
        <f t="shared" si="2"/>
        <v>3110230311CCLRDANIEL12-ASHACDaniel Bottom Ash Pond Closure</v>
      </c>
      <c r="X19" s="92"/>
    </row>
    <row r="20" spans="1:24" x14ac:dyDescent="0.25">
      <c r="A20" s="94" t="s">
        <v>126</v>
      </c>
      <c r="B20" s="95" t="s">
        <v>88</v>
      </c>
      <c r="C20" s="95" t="s">
        <v>78</v>
      </c>
      <c r="D20" s="94" t="s">
        <v>79</v>
      </c>
      <c r="E20" s="109" t="s">
        <v>116</v>
      </c>
      <c r="F20" s="160">
        <f>Daniel!$D$5*$Q$3</f>
        <v>0.5</v>
      </c>
      <c r="G20" s="94" t="s">
        <v>23</v>
      </c>
      <c r="H20" s="111">
        <f>Daniel!$E$5</f>
        <v>50000</v>
      </c>
      <c r="I20" s="113">
        <f>Daniel!$F$5*$Q20</f>
        <v>25000</v>
      </c>
      <c r="J20" s="94" t="s">
        <v>22</v>
      </c>
      <c r="K20" s="94" t="s">
        <v>82</v>
      </c>
      <c r="L20" s="94" t="s">
        <v>82</v>
      </c>
      <c r="M20" s="94" t="s">
        <v>22</v>
      </c>
      <c r="N20" s="246">
        <f t="shared" si="0"/>
        <v>50000</v>
      </c>
      <c r="O20" s="247">
        <f t="shared" si="1"/>
        <v>25000</v>
      </c>
      <c r="P20" s="99" t="s">
        <v>117</v>
      </c>
      <c r="Q20" s="100">
        <v>0.5</v>
      </c>
      <c r="R20" s="99" t="s">
        <v>84</v>
      </c>
      <c r="S20" s="101" t="s">
        <v>85</v>
      </c>
      <c r="T20" s="86" t="s">
        <v>95</v>
      </c>
      <c r="V20" s="86">
        <v>1</v>
      </c>
      <c r="W20" s="92" t="str">
        <f t="shared" si="2"/>
        <v>3080241308CCLRDANIEL12-NONlsDesign bulkhead for intake and discharge tunnel</v>
      </c>
      <c r="X20" s="92"/>
    </row>
    <row r="21" spans="1:24" x14ac:dyDescent="0.25">
      <c r="A21" s="94" t="s">
        <v>91</v>
      </c>
      <c r="B21" s="95" t="s">
        <v>92</v>
      </c>
      <c r="C21" s="95">
        <v>1</v>
      </c>
      <c r="D21" s="94" t="s">
        <v>127</v>
      </c>
      <c r="E21" s="94" t="s">
        <v>116</v>
      </c>
      <c r="F21" s="102">
        <f>Daniel!$D$58/2*$Q21</f>
        <v>1777.7777777777778</v>
      </c>
      <c r="G21" s="94" t="s">
        <v>36</v>
      </c>
      <c r="H21" s="111">
        <f>Daniel!$E$58</f>
        <v>66.325999999999993</v>
      </c>
      <c r="I21" s="113">
        <f>Daniel!$F$58/2*$Q21</f>
        <v>117912.88888888888</v>
      </c>
      <c r="J21" s="94" t="s">
        <v>57</v>
      </c>
      <c r="K21" s="94" t="s">
        <v>82</v>
      </c>
      <c r="L21" s="94" t="s">
        <v>82</v>
      </c>
      <c r="M21" s="94" t="s">
        <v>57</v>
      </c>
      <c r="N21" s="246">
        <f t="shared" si="0"/>
        <v>66.325999999999993</v>
      </c>
      <c r="O21" s="247">
        <f t="shared" si="1"/>
        <v>117912.88888888888</v>
      </c>
      <c r="P21" s="99" t="s">
        <v>117</v>
      </c>
      <c r="Q21" s="100">
        <v>0.5</v>
      </c>
      <c r="R21" s="99" t="s">
        <v>84</v>
      </c>
      <c r="S21" s="101" t="s">
        <v>128</v>
      </c>
      <c r="T21" s="86" t="s">
        <v>95</v>
      </c>
      <c r="U21" s="86" t="s">
        <v>96</v>
      </c>
      <c r="W21" s="92" t="str">
        <f t="shared" si="2"/>
        <v>312UND31211LDDANIEL12-NONntDispose of Refractory in Subtitle D Landfill</v>
      </c>
      <c r="X21" s="92"/>
    </row>
    <row r="22" spans="1:24" x14ac:dyDescent="0.25">
      <c r="A22" s="94" t="s">
        <v>91</v>
      </c>
      <c r="B22" s="95" t="s">
        <v>92</v>
      </c>
      <c r="C22" s="95">
        <v>2</v>
      </c>
      <c r="D22" s="94" t="s">
        <v>129</v>
      </c>
      <c r="E22" s="94" t="s">
        <v>116</v>
      </c>
      <c r="F22" s="102">
        <f>Daniel!$D$58/2*$Q22</f>
        <v>1777.7777777777778</v>
      </c>
      <c r="G22" s="94" t="s">
        <v>36</v>
      </c>
      <c r="H22" s="111">
        <f>Daniel!$E$58</f>
        <v>66.325999999999993</v>
      </c>
      <c r="I22" s="113">
        <f>Daniel!$F$58/2*$Q22</f>
        <v>117912.88888888888</v>
      </c>
      <c r="J22" s="94" t="s">
        <v>57</v>
      </c>
      <c r="K22" s="94" t="s">
        <v>82</v>
      </c>
      <c r="L22" s="94" t="s">
        <v>82</v>
      </c>
      <c r="M22" s="94" t="s">
        <v>57</v>
      </c>
      <c r="N22" s="246">
        <f t="shared" si="0"/>
        <v>66.325999999999993</v>
      </c>
      <c r="O22" s="247">
        <f t="shared" si="1"/>
        <v>117912.88888888888</v>
      </c>
      <c r="P22" s="99" t="s">
        <v>117</v>
      </c>
      <c r="Q22" s="100">
        <v>0.5</v>
      </c>
      <c r="R22" s="99" t="s">
        <v>84</v>
      </c>
      <c r="S22" s="101" t="s">
        <v>128</v>
      </c>
      <c r="T22" s="86" t="s">
        <v>95</v>
      </c>
      <c r="U22" s="86" t="s">
        <v>96</v>
      </c>
      <c r="W22" s="92" t="str">
        <f t="shared" si="2"/>
        <v>312UND31222LDDANIEL12-NONntDispose of Refractory in Subtitle D Landfill</v>
      </c>
      <c r="X22" s="92"/>
    </row>
    <row r="23" spans="1:24" x14ac:dyDescent="0.25">
      <c r="A23" s="94" t="s">
        <v>130</v>
      </c>
      <c r="B23" s="95" t="s">
        <v>111</v>
      </c>
      <c r="C23" s="95" t="s">
        <v>78</v>
      </c>
      <c r="D23" s="94" t="s">
        <v>79</v>
      </c>
      <c r="E23" s="109" t="s">
        <v>116</v>
      </c>
      <c r="F23" s="160">
        <f>Daniel!$D$15*$Q$10</f>
        <v>400000</v>
      </c>
      <c r="G23" s="94" t="s">
        <v>29</v>
      </c>
      <c r="H23" s="111">
        <f>Daniel!$E$15</f>
        <v>0.25509999999999999</v>
      </c>
      <c r="I23" s="113">
        <f>Daniel!F15*$Q23</f>
        <v>51020</v>
      </c>
      <c r="J23" s="94" t="s">
        <v>33</v>
      </c>
      <c r="K23" s="94" t="s">
        <v>82</v>
      </c>
      <c r="L23" s="94" t="s">
        <v>82</v>
      </c>
      <c r="M23" s="94" t="s">
        <v>33</v>
      </c>
      <c r="N23" s="246">
        <f t="shared" si="0"/>
        <v>0.25509999999999999</v>
      </c>
      <c r="O23" s="247">
        <f t="shared" si="1"/>
        <v>51020</v>
      </c>
      <c r="P23" s="99" t="s">
        <v>117</v>
      </c>
      <c r="Q23" s="100">
        <v>0.5</v>
      </c>
      <c r="R23" s="99" t="s">
        <v>84</v>
      </c>
      <c r="S23" s="101" t="s">
        <v>85</v>
      </c>
      <c r="T23" s="86" t="s">
        <v>95</v>
      </c>
      <c r="U23" s="86" t="s">
        <v>96</v>
      </c>
      <c r="V23" s="86">
        <v>9</v>
      </c>
      <c r="W23" s="92" t="str">
        <f t="shared" si="2"/>
        <v>3110001LC311CCLRDANIEL12-NONsfGrade and Seeding</v>
      </c>
      <c r="X23" s="92"/>
    </row>
    <row r="24" spans="1:24" x14ac:dyDescent="0.25">
      <c r="A24" s="94" t="s">
        <v>131</v>
      </c>
      <c r="B24" s="95" t="s">
        <v>132</v>
      </c>
      <c r="C24" s="95" t="s">
        <v>78</v>
      </c>
      <c r="D24" s="94" t="s">
        <v>79</v>
      </c>
      <c r="E24" s="109" t="s">
        <v>116</v>
      </c>
      <c r="F24" s="160">
        <f>Daniel!$D$13*$Q$8</f>
        <v>1</v>
      </c>
      <c r="G24" s="94" t="s">
        <v>23</v>
      </c>
      <c r="H24" s="111">
        <f>Daniel!$E$13</f>
        <v>250000</v>
      </c>
      <c r="I24" s="113">
        <f>Daniel!F13*$Q24</f>
        <v>125000</v>
      </c>
      <c r="J24" s="94" t="s">
        <v>31</v>
      </c>
      <c r="K24" s="94" t="s">
        <v>82</v>
      </c>
      <c r="L24" s="94" t="s">
        <v>82</v>
      </c>
      <c r="M24" s="94" t="s">
        <v>31</v>
      </c>
      <c r="N24" s="246">
        <f t="shared" si="0"/>
        <v>250000</v>
      </c>
      <c r="O24" s="247">
        <f t="shared" si="1"/>
        <v>125000</v>
      </c>
      <c r="P24" s="99" t="s">
        <v>117</v>
      </c>
      <c r="Q24" s="100">
        <v>0.5</v>
      </c>
      <c r="R24" s="99" t="s">
        <v>84</v>
      </c>
      <c r="S24" s="101" t="s">
        <v>85</v>
      </c>
      <c r="T24" s="86" t="s">
        <v>95</v>
      </c>
      <c r="U24" s="86" t="s">
        <v>96</v>
      </c>
      <c r="V24" s="86">
        <v>7</v>
      </c>
      <c r="W24" s="92" t="str">
        <f t="shared" si="2"/>
        <v>314052102314CCLRDANIEL12-NONlsInstall Bulkhead in Intake &amp; Discharge Tunnel</v>
      </c>
      <c r="X24" s="92"/>
    </row>
    <row r="25" spans="1:24" x14ac:dyDescent="0.25">
      <c r="A25" s="94" t="s">
        <v>133</v>
      </c>
      <c r="B25" s="95" t="s">
        <v>106</v>
      </c>
      <c r="C25" s="95" t="s">
        <v>78</v>
      </c>
      <c r="D25" s="94" t="s">
        <v>79</v>
      </c>
      <c r="E25" s="109" t="s">
        <v>116</v>
      </c>
      <c r="F25" s="160">
        <f>Daniel!$D$14*$Q$9</f>
        <v>1</v>
      </c>
      <c r="G25" s="94" t="s">
        <v>23</v>
      </c>
      <c r="H25" s="111">
        <f>Daniel!$E$14</f>
        <v>200000</v>
      </c>
      <c r="I25" s="113">
        <f>Daniel!F14*$Q25</f>
        <v>100000</v>
      </c>
      <c r="J25" s="94" t="s">
        <v>134</v>
      </c>
      <c r="K25" s="94" t="s">
        <v>82</v>
      </c>
      <c r="L25" s="94" t="s">
        <v>82</v>
      </c>
      <c r="M25" s="94" t="s">
        <v>32</v>
      </c>
      <c r="N25" s="246">
        <f t="shared" si="0"/>
        <v>200000</v>
      </c>
      <c r="O25" s="247">
        <f t="shared" si="1"/>
        <v>100000</v>
      </c>
      <c r="P25" s="99" t="s">
        <v>117</v>
      </c>
      <c r="Q25" s="100">
        <v>0.5</v>
      </c>
      <c r="R25" s="99" t="s">
        <v>84</v>
      </c>
      <c r="S25" s="101" t="s">
        <v>85</v>
      </c>
      <c r="T25" s="86" t="s">
        <v>95</v>
      </c>
      <c r="V25" s="86">
        <v>8</v>
      </c>
      <c r="W25" s="92" t="str">
        <f t="shared" si="2"/>
        <v>307UND307CCLRDANIEL12-NONlsInstall Electrical for Decommissioning Work</v>
      </c>
      <c r="X25" s="92"/>
    </row>
    <row r="26" spans="1:24" x14ac:dyDescent="0.25">
      <c r="A26" s="94" t="s">
        <v>91</v>
      </c>
      <c r="B26" s="95" t="s">
        <v>92</v>
      </c>
      <c r="C26" s="95">
        <v>1</v>
      </c>
      <c r="D26" s="94" t="s">
        <v>93</v>
      </c>
      <c r="E26" s="94" t="s">
        <v>116</v>
      </c>
      <c r="F26" s="112">
        <f>Daniel!$D$26/2*Q26</f>
        <v>0.25</v>
      </c>
      <c r="G26" s="94" t="s">
        <v>47</v>
      </c>
      <c r="H26" s="111">
        <f>Daniel!$E$26</f>
        <v>350000</v>
      </c>
      <c r="I26" s="186">
        <f>Daniel!$F$26/2*$Q26</f>
        <v>87500</v>
      </c>
      <c r="J26" s="114" t="s">
        <v>135</v>
      </c>
      <c r="K26" s="94" t="s">
        <v>82</v>
      </c>
      <c r="L26" s="94" t="s">
        <v>82</v>
      </c>
      <c r="M26" s="94" t="str">
        <f>J26</f>
        <v>Main Power Block - (1) each 350' Stack (felling)</v>
      </c>
      <c r="N26" s="246">
        <f t="shared" si="0"/>
        <v>350000</v>
      </c>
      <c r="O26" s="247">
        <f t="shared" si="1"/>
        <v>87500</v>
      </c>
      <c r="P26" s="99" t="s">
        <v>117</v>
      </c>
      <c r="Q26" s="100">
        <v>0.5</v>
      </c>
      <c r="R26" s="99" t="s">
        <v>84</v>
      </c>
      <c r="S26" s="101" t="s">
        <v>85</v>
      </c>
      <c r="T26" s="86" t="s">
        <v>95</v>
      </c>
      <c r="U26" s="86" t="s">
        <v>96</v>
      </c>
      <c r="V26" s="86">
        <v>18</v>
      </c>
      <c r="W26" s="92" t="str">
        <f t="shared" si="2"/>
        <v>312UND31211LRDANIEL12-NONeaMain Power Block - (1) each 350' Stack (felling)</v>
      </c>
      <c r="X26" s="92"/>
    </row>
    <row r="27" spans="1:24" x14ac:dyDescent="0.25">
      <c r="A27" s="94" t="s">
        <v>91</v>
      </c>
      <c r="B27" s="95" t="s">
        <v>92</v>
      </c>
      <c r="C27" s="95">
        <v>2</v>
      </c>
      <c r="D27" s="94" t="s">
        <v>97</v>
      </c>
      <c r="E27" s="94" t="s">
        <v>116</v>
      </c>
      <c r="F27" s="112">
        <f>Daniel!$D$26/2*Q27</f>
        <v>0.25</v>
      </c>
      <c r="G27" s="94" t="s">
        <v>47</v>
      </c>
      <c r="H27" s="111">
        <f>Daniel!$E$26</f>
        <v>350000</v>
      </c>
      <c r="I27" s="186">
        <f>Daniel!$F$26/2*$Q27</f>
        <v>87500</v>
      </c>
      <c r="J27" s="114" t="s">
        <v>135</v>
      </c>
      <c r="K27" s="94" t="s">
        <v>82</v>
      </c>
      <c r="L27" s="94" t="s">
        <v>82</v>
      </c>
      <c r="M27" s="94" t="str">
        <f>J27</f>
        <v>Main Power Block - (1) each 350' Stack (felling)</v>
      </c>
      <c r="N27" s="246">
        <f t="shared" si="0"/>
        <v>350000</v>
      </c>
      <c r="O27" s="247">
        <f t="shared" si="1"/>
        <v>87500</v>
      </c>
      <c r="P27" s="99" t="s">
        <v>117</v>
      </c>
      <c r="Q27" s="100">
        <v>0.5</v>
      </c>
      <c r="R27" s="99" t="s">
        <v>84</v>
      </c>
      <c r="S27" s="101" t="s">
        <v>85</v>
      </c>
      <c r="T27" s="86" t="s">
        <v>95</v>
      </c>
      <c r="U27" s="86" t="s">
        <v>96</v>
      </c>
      <c r="V27" s="86">
        <v>18</v>
      </c>
      <c r="W27" s="92" t="str">
        <f t="shared" si="2"/>
        <v>312UND31222LRDANIEL12-NONeaMain Power Block - (1) each 350' Stack (felling)</v>
      </c>
      <c r="X27" s="92"/>
    </row>
    <row r="28" spans="1:24" x14ac:dyDescent="0.25">
      <c r="A28" s="94" t="s">
        <v>91</v>
      </c>
      <c r="B28" s="95" t="s">
        <v>92</v>
      </c>
      <c r="C28" s="95">
        <v>1</v>
      </c>
      <c r="D28" s="94" t="s">
        <v>98</v>
      </c>
      <c r="E28" s="94" t="s">
        <v>116</v>
      </c>
      <c r="F28" s="102">
        <f>Daniel!$D$20/2*$Q28</f>
        <v>87190.361999999994</v>
      </c>
      <c r="G28" s="94" t="s">
        <v>39</v>
      </c>
      <c r="H28" s="111">
        <f>Daniel!$E$20</f>
        <v>-0.38793301271641789</v>
      </c>
      <c r="I28" s="186">
        <f>Daniel!$F$20/2*$Q28</f>
        <v>-33824.019810495076</v>
      </c>
      <c r="J28" s="94" t="s">
        <v>136</v>
      </c>
      <c r="K28" s="94" t="s">
        <v>137</v>
      </c>
      <c r="L28" s="94" t="s">
        <v>82</v>
      </c>
      <c r="M28" s="94" t="s">
        <v>296</v>
      </c>
      <c r="N28" s="246">
        <f t="shared" si="0"/>
        <v>-0.38793301271641789</v>
      </c>
      <c r="O28" s="247">
        <f t="shared" si="1"/>
        <v>-33824.019810495076</v>
      </c>
      <c r="P28" s="99" t="s">
        <v>117</v>
      </c>
      <c r="Q28" s="100">
        <v>0.5</v>
      </c>
      <c r="R28" s="99" t="s">
        <v>84</v>
      </c>
      <c r="S28" s="101" t="s">
        <v>101</v>
      </c>
      <c r="T28" s="86" t="s">
        <v>95</v>
      </c>
      <c r="U28" s="86" t="s">
        <v>96</v>
      </c>
      <c r="V28" s="86">
        <v>12</v>
      </c>
      <c r="W28" s="92" t="str">
        <f t="shared" si="2"/>
        <v>312UND31211MSDANIEL12-NONlbsMain Power Block - AL Sales</v>
      </c>
      <c r="X28" s="92"/>
    </row>
    <row r="29" spans="1:24" x14ac:dyDescent="0.25">
      <c r="A29" s="94" t="s">
        <v>91</v>
      </c>
      <c r="B29" s="95" t="s">
        <v>92</v>
      </c>
      <c r="C29" s="95">
        <v>2</v>
      </c>
      <c r="D29" s="94" t="s">
        <v>102</v>
      </c>
      <c r="E29" s="94" t="s">
        <v>116</v>
      </c>
      <c r="F29" s="102">
        <f>Daniel!$D$20/2*$Q29</f>
        <v>87190.361999999994</v>
      </c>
      <c r="G29" s="94" t="s">
        <v>39</v>
      </c>
      <c r="H29" s="111">
        <f>Daniel!$E$20</f>
        <v>-0.38793301271641789</v>
      </c>
      <c r="I29" s="186">
        <f>Daniel!$F$20/2*$Q29</f>
        <v>-33824.019810495076</v>
      </c>
      <c r="J29" s="94" t="s">
        <v>136</v>
      </c>
      <c r="K29" s="94" t="s">
        <v>137</v>
      </c>
      <c r="L29" s="94" t="s">
        <v>82</v>
      </c>
      <c r="M29" s="94" t="s">
        <v>296</v>
      </c>
      <c r="N29" s="246">
        <f t="shared" si="0"/>
        <v>-0.38793301271641789</v>
      </c>
      <c r="O29" s="247">
        <f t="shared" si="1"/>
        <v>-33824.019810495076</v>
      </c>
      <c r="P29" s="99" t="s">
        <v>117</v>
      </c>
      <c r="Q29" s="100">
        <v>0.5</v>
      </c>
      <c r="R29" s="99" t="s">
        <v>84</v>
      </c>
      <c r="S29" s="101" t="s">
        <v>101</v>
      </c>
      <c r="T29" s="86" t="s">
        <v>95</v>
      </c>
      <c r="U29" s="86" t="s">
        <v>96</v>
      </c>
      <c r="V29" s="86">
        <v>12</v>
      </c>
      <c r="W29" s="92" t="str">
        <f t="shared" si="2"/>
        <v>312UND31222MSDANIEL12-NONlbsMain Power Block - AL Sales</v>
      </c>
      <c r="X29" s="92"/>
    </row>
    <row r="30" spans="1:24" x14ac:dyDescent="0.25">
      <c r="A30" s="94" t="s">
        <v>138</v>
      </c>
      <c r="B30" s="95" t="s">
        <v>132</v>
      </c>
      <c r="C30" s="95">
        <v>1</v>
      </c>
      <c r="D30" s="94" t="s">
        <v>98</v>
      </c>
      <c r="E30" s="94" t="s">
        <v>116</v>
      </c>
      <c r="F30" s="102">
        <f>Daniel!$D$24/2*$Q30</f>
        <v>225000</v>
      </c>
      <c r="G30" s="94" t="s">
        <v>39</v>
      </c>
      <c r="H30" s="111">
        <f>Daniel!$E$24</f>
        <v>-0.16439166666666666</v>
      </c>
      <c r="I30" s="186">
        <f>Daniel!$F$24/2*$Q30</f>
        <v>-36988.125</v>
      </c>
      <c r="J30" s="114" t="s">
        <v>139</v>
      </c>
      <c r="K30" s="114" t="s">
        <v>140</v>
      </c>
      <c r="L30" s="94" t="s">
        <v>82</v>
      </c>
      <c r="M30" s="94" t="s">
        <v>296</v>
      </c>
      <c r="N30" s="246">
        <f t="shared" si="0"/>
        <v>-0.16439166666666666</v>
      </c>
      <c r="O30" s="247">
        <f t="shared" si="1"/>
        <v>-36988.125</v>
      </c>
      <c r="P30" s="99" t="s">
        <v>117</v>
      </c>
      <c r="Q30" s="100">
        <v>0.5</v>
      </c>
      <c r="R30" s="99" t="s">
        <v>84</v>
      </c>
      <c r="S30" s="101" t="s">
        <v>101</v>
      </c>
      <c r="T30" s="86" t="s">
        <v>95</v>
      </c>
      <c r="U30" s="86" t="s">
        <v>96</v>
      </c>
      <c r="V30" s="86">
        <v>16</v>
      </c>
      <c r="W30" s="92" t="str">
        <f t="shared" si="2"/>
        <v>314UND31411MSDANIEL12-NONlbsMain Power Block - Condenser Tubes (Titanium)</v>
      </c>
      <c r="X30" s="92"/>
    </row>
    <row r="31" spans="1:24" x14ac:dyDescent="0.25">
      <c r="A31" s="94" t="s">
        <v>138</v>
      </c>
      <c r="B31" s="95" t="s">
        <v>132</v>
      </c>
      <c r="C31" s="95">
        <v>2</v>
      </c>
      <c r="D31" s="94" t="s">
        <v>102</v>
      </c>
      <c r="E31" s="94" t="s">
        <v>116</v>
      </c>
      <c r="F31" s="102">
        <f>Daniel!$D$24/2*$Q31</f>
        <v>225000</v>
      </c>
      <c r="G31" s="94" t="s">
        <v>39</v>
      </c>
      <c r="H31" s="111">
        <f>Daniel!$E$24</f>
        <v>-0.16439166666666666</v>
      </c>
      <c r="I31" s="186">
        <f>Daniel!$F$24/2*$Q31</f>
        <v>-36988.125</v>
      </c>
      <c r="J31" s="114" t="s">
        <v>139</v>
      </c>
      <c r="K31" s="114" t="s">
        <v>140</v>
      </c>
      <c r="L31" s="94" t="s">
        <v>82</v>
      </c>
      <c r="M31" s="94" t="s">
        <v>296</v>
      </c>
      <c r="N31" s="246">
        <f t="shared" si="0"/>
        <v>-0.16439166666666666</v>
      </c>
      <c r="O31" s="247">
        <f t="shared" si="1"/>
        <v>-36988.125</v>
      </c>
      <c r="P31" s="99" t="s">
        <v>117</v>
      </c>
      <c r="Q31" s="100">
        <v>0.5</v>
      </c>
      <c r="R31" s="99" t="s">
        <v>84</v>
      </c>
      <c r="S31" s="101" t="s">
        <v>101</v>
      </c>
      <c r="T31" s="86" t="s">
        <v>95</v>
      </c>
      <c r="U31" s="86" t="s">
        <v>96</v>
      </c>
      <c r="V31" s="86">
        <v>16</v>
      </c>
      <c r="W31" s="92" t="str">
        <f t="shared" si="2"/>
        <v>314UND31422MSDANIEL12-NONlbsMain Power Block - Condenser Tubes (Titanium)</v>
      </c>
      <c r="X31" s="92"/>
    </row>
    <row r="32" spans="1:24" x14ac:dyDescent="0.25">
      <c r="A32" s="94" t="s">
        <v>91</v>
      </c>
      <c r="B32" s="95" t="s">
        <v>92</v>
      </c>
      <c r="C32" s="95">
        <v>1</v>
      </c>
      <c r="D32" s="94" t="s">
        <v>98</v>
      </c>
      <c r="E32" s="94" t="s">
        <v>116</v>
      </c>
      <c r="F32" s="102">
        <f>Daniel!$D$21/2*0.2*$Q32</f>
        <v>164692.90599999999</v>
      </c>
      <c r="G32" s="94" t="s">
        <v>39</v>
      </c>
      <c r="H32" s="111">
        <f>Daniel!$E$21</f>
        <v>-0.31414430979039298</v>
      </c>
      <c r="I32" s="186">
        <f>Daniel!$F$21/2*0.2*$Q32</f>
        <v>-51737.339282744069</v>
      </c>
      <c r="J32" s="94" t="s">
        <v>141</v>
      </c>
      <c r="K32" s="94" t="s">
        <v>142</v>
      </c>
      <c r="L32" s="94" t="s">
        <v>82</v>
      </c>
      <c r="M32" s="94" t="s">
        <v>296</v>
      </c>
      <c r="N32" s="246">
        <f t="shared" si="0"/>
        <v>-0.31414430979039298</v>
      </c>
      <c r="O32" s="247">
        <f t="shared" si="1"/>
        <v>-51737.339282744069</v>
      </c>
      <c r="P32" s="99" t="s">
        <v>117</v>
      </c>
      <c r="Q32" s="100">
        <v>0.5</v>
      </c>
      <c r="R32" s="99" t="s">
        <v>84</v>
      </c>
      <c r="S32" s="101" t="s">
        <v>101</v>
      </c>
      <c r="T32" s="86" t="s">
        <v>95</v>
      </c>
      <c r="U32" s="86" t="s">
        <v>96</v>
      </c>
      <c r="V32" s="86">
        <v>13</v>
      </c>
      <c r="W32" s="92" t="str">
        <f t="shared" si="2"/>
        <v>312UND31211MSDANIEL12-NONlbsMain Power Block - CU Sales</v>
      </c>
      <c r="X32" s="92"/>
    </row>
    <row r="33" spans="1:24" x14ac:dyDescent="0.25">
      <c r="A33" s="94" t="s">
        <v>143</v>
      </c>
      <c r="B33" s="95" t="s">
        <v>144</v>
      </c>
      <c r="C33" s="95">
        <v>1</v>
      </c>
      <c r="D33" s="94" t="s">
        <v>98</v>
      </c>
      <c r="E33" s="94" t="s">
        <v>116</v>
      </c>
      <c r="F33" s="102">
        <f>Daniel!$D$21/2*0.8*$Q33</f>
        <v>658771.62399999995</v>
      </c>
      <c r="G33" s="94" t="s">
        <v>39</v>
      </c>
      <c r="H33" s="111">
        <f>Daniel!$E$21</f>
        <v>-0.31414430979039298</v>
      </c>
      <c r="I33" s="186">
        <f>Daniel!$F$21/2*0.8*$Q33</f>
        <v>-206949.35713097628</v>
      </c>
      <c r="J33" s="94" t="s">
        <v>141</v>
      </c>
      <c r="K33" s="94" t="s">
        <v>142</v>
      </c>
      <c r="L33" s="94" t="s">
        <v>82</v>
      </c>
      <c r="M33" s="94" t="s">
        <v>296</v>
      </c>
      <c r="N33" s="246">
        <f t="shared" ref="N33:N63" si="4">H33</f>
        <v>-0.31414430979039298</v>
      </c>
      <c r="O33" s="247">
        <f t="shared" ref="O33:O63" si="5">I33</f>
        <v>-206949.35713097628</v>
      </c>
      <c r="P33" s="99" t="s">
        <v>117</v>
      </c>
      <c r="Q33" s="100">
        <v>0.5</v>
      </c>
      <c r="R33" s="99" t="s">
        <v>84</v>
      </c>
      <c r="S33" s="101" t="s">
        <v>101</v>
      </c>
      <c r="T33" s="86" t="s">
        <v>95</v>
      </c>
      <c r="U33" s="86" t="s">
        <v>96</v>
      </c>
      <c r="V33" s="86">
        <v>13</v>
      </c>
      <c r="W33" s="92" t="str">
        <f t="shared" ref="W33:W63" si="6">A33&amp;B33&amp;C33&amp;D33&amp;E33&amp;G33&amp;J33</f>
        <v>315UND31511MSDANIEL12-NONlbsMain Power Block - CU Sales</v>
      </c>
      <c r="X33" s="92"/>
    </row>
    <row r="34" spans="1:24" x14ac:dyDescent="0.25">
      <c r="A34" s="94" t="s">
        <v>91</v>
      </c>
      <c r="B34" s="95" t="s">
        <v>92</v>
      </c>
      <c r="C34" s="95">
        <v>2</v>
      </c>
      <c r="D34" s="94" t="s">
        <v>102</v>
      </c>
      <c r="E34" s="94" t="s">
        <v>116</v>
      </c>
      <c r="F34" s="102">
        <f>Daniel!$D$21/2*0.2*$Q34</f>
        <v>164692.90599999999</v>
      </c>
      <c r="G34" s="94" t="s">
        <v>39</v>
      </c>
      <c r="H34" s="111">
        <f>Daniel!$E$21</f>
        <v>-0.31414430979039298</v>
      </c>
      <c r="I34" s="186">
        <f>Daniel!$F$21/2*0.2*$Q34</f>
        <v>-51737.339282744069</v>
      </c>
      <c r="J34" s="94" t="s">
        <v>141</v>
      </c>
      <c r="K34" s="94" t="s">
        <v>142</v>
      </c>
      <c r="L34" s="94" t="s">
        <v>82</v>
      </c>
      <c r="M34" s="94" t="s">
        <v>296</v>
      </c>
      <c r="N34" s="246">
        <f t="shared" si="4"/>
        <v>-0.31414430979039298</v>
      </c>
      <c r="O34" s="247">
        <f t="shared" si="5"/>
        <v>-51737.339282744069</v>
      </c>
      <c r="P34" s="99" t="s">
        <v>117</v>
      </c>
      <c r="Q34" s="100">
        <v>0.5</v>
      </c>
      <c r="R34" s="99" t="s">
        <v>84</v>
      </c>
      <c r="S34" s="101" t="s">
        <v>101</v>
      </c>
      <c r="T34" s="86" t="s">
        <v>95</v>
      </c>
      <c r="U34" s="86" t="s">
        <v>96</v>
      </c>
      <c r="V34" s="86">
        <v>13</v>
      </c>
      <c r="W34" s="92" t="str">
        <f t="shared" si="6"/>
        <v>312UND31222MSDANIEL12-NONlbsMain Power Block - CU Sales</v>
      </c>
      <c r="X34" s="92"/>
    </row>
    <row r="35" spans="1:24" s="255" customFormat="1" x14ac:dyDescent="0.25">
      <c r="A35" s="94" t="s">
        <v>143</v>
      </c>
      <c r="B35" s="95" t="s">
        <v>144</v>
      </c>
      <c r="C35" s="95">
        <v>2</v>
      </c>
      <c r="D35" s="94" t="s">
        <v>102</v>
      </c>
      <c r="E35" s="94" t="s">
        <v>116</v>
      </c>
      <c r="F35" s="102">
        <f>Daniel!$D$21/2*0.8*$Q35</f>
        <v>658771.62399999995</v>
      </c>
      <c r="G35" s="94" t="s">
        <v>39</v>
      </c>
      <c r="H35" s="111">
        <f>Daniel!$E$21</f>
        <v>-0.31414430979039298</v>
      </c>
      <c r="I35" s="186">
        <f>Daniel!$F$21/2*0.8*$Q35</f>
        <v>-206949.35713097628</v>
      </c>
      <c r="J35" s="94" t="s">
        <v>141</v>
      </c>
      <c r="K35" s="94" t="s">
        <v>142</v>
      </c>
      <c r="L35" s="94" t="s">
        <v>82</v>
      </c>
      <c r="M35" s="94" t="s">
        <v>296</v>
      </c>
      <c r="N35" s="246">
        <f t="shared" si="4"/>
        <v>-0.31414430979039298</v>
      </c>
      <c r="O35" s="247">
        <f t="shared" si="5"/>
        <v>-206949.35713097628</v>
      </c>
      <c r="P35" s="99" t="s">
        <v>117</v>
      </c>
      <c r="Q35" s="100">
        <v>0.5</v>
      </c>
      <c r="R35" s="99" t="s">
        <v>84</v>
      </c>
      <c r="S35" s="101" t="s">
        <v>101</v>
      </c>
      <c r="T35" s="86" t="s">
        <v>95</v>
      </c>
      <c r="U35" s="86" t="s">
        <v>96</v>
      </c>
      <c r="V35" s="86">
        <v>13</v>
      </c>
      <c r="W35" s="92" t="str">
        <f t="shared" si="6"/>
        <v>315UND31522MSDANIEL12-NONlbsMain Power Block - CU Sales</v>
      </c>
      <c r="X35" s="92"/>
    </row>
    <row r="36" spans="1:24" s="255" customFormat="1" x14ac:dyDescent="0.25">
      <c r="A36" s="94" t="s">
        <v>118</v>
      </c>
      <c r="B36" s="95" t="s">
        <v>111</v>
      </c>
      <c r="C36" s="95">
        <v>1</v>
      </c>
      <c r="D36" s="94" t="s">
        <v>93</v>
      </c>
      <c r="E36" s="94" t="s">
        <v>116</v>
      </c>
      <c r="F36" s="102">
        <f>(Daniel!$D$18/2)*0.6*$Q36</f>
        <v>5794.6907999999994</v>
      </c>
      <c r="G36" s="94" t="s">
        <v>36</v>
      </c>
      <c r="H36" s="111">
        <f>(Daniel!$E$18)</f>
        <v>244.89599999999999</v>
      </c>
      <c r="I36" s="186">
        <f>(Daniel!$F$18/2)*0.6*$Q36</f>
        <v>1419096.5981567998</v>
      </c>
      <c r="J36" s="94" t="s">
        <v>145</v>
      </c>
      <c r="K36" s="94" t="s">
        <v>82</v>
      </c>
      <c r="L36" s="94" t="s">
        <v>82</v>
      </c>
      <c r="M36" s="94" t="s">
        <v>145</v>
      </c>
      <c r="N36" s="246">
        <f t="shared" si="4"/>
        <v>244.89599999999999</v>
      </c>
      <c r="O36" s="247">
        <f t="shared" si="5"/>
        <v>1419096.5981567998</v>
      </c>
      <c r="P36" s="99" t="s">
        <v>117</v>
      </c>
      <c r="Q36" s="100">
        <v>0.5</v>
      </c>
      <c r="R36" s="99" t="s">
        <v>84</v>
      </c>
      <c r="S36" s="101" t="s">
        <v>85</v>
      </c>
      <c r="T36" s="86" t="s">
        <v>95</v>
      </c>
      <c r="U36" s="86" t="s">
        <v>96</v>
      </c>
      <c r="V36" s="86">
        <v>10</v>
      </c>
      <c r="W36" s="92" t="str">
        <f t="shared" si="6"/>
        <v>311UND31111LRDANIEL12-NONntMain Power Block - DEMO</v>
      </c>
      <c r="X36" s="92"/>
    </row>
    <row r="37" spans="1:24" s="255" customFormat="1" x14ac:dyDescent="0.25">
      <c r="A37" s="94" t="s">
        <v>91</v>
      </c>
      <c r="B37" s="95" t="s">
        <v>92</v>
      </c>
      <c r="C37" s="95">
        <v>1</v>
      </c>
      <c r="D37" s="94" t="s">
        <v>93</v>
      </c>
      <c r="E37" s="94" t="s">
        <v>116</v>
      </c>
      <c r="F37" s="102">
        <f>(Daniel!$D$18/2)*0.2*$Q37</f>
        <v>1931.5636</v>
      </c>
      <c r="G37" s="94" t="s">
        <v>36</v>
      </c>
      <c r="H37" s="111">
        <f>(Daniel!$E$18)</f>
        <v>244.89599999999999</v>
      </c>
      <c r="I37" s="186">
        <f>(Daniel!$F$18/2)*0.2*$Q37</f>
        <v>473032.19938559999</v>
      </c>
      <c r="J37" s="94" t="s">
        <v>145</v>
      </c>
      <c r="K37" s="94" t="s">
        <v>82</v>
      </c>
      <c r="L37" s="94" t="s">
        <v>82</v>
      </c>
      <c r="M37" s="94" t="s">
        <v>145</v>
      </c>
      <c r="N37" s="246">
        <f t="shared" si="4"/>
        <v>244.89599999999999</v>
      </c>
      <c r="O37" s="247">
        <f t="shared" si="5"/>
        <v>473032.19938559999</v>
      </c>
      <c r="P37" s="99" t="s">
        <v>117</v>
      </c>
      <c r="Q37" s="100">
        <v>0.5</v>
      </c>
      <c r="R37" s="99" t="s">
        <v>84</v>
      </c>
      <c r="S37" s="101" t="s">
        <v>85</v>
      </c>
      <c r="T37" s="86" t="s">
        <v>95</v>
      </c>
      <c r="U37" s="86" t="s">
        <v>96</v>
      </c>
      <c r="V37" s="86">
        <v>10</v>
      </c>
      <c r="W37" s="92" t="str">
        <f t="shared" si="6"/>
        <v>312UND31211LRDANIEL12-NONntMain Power Block - DEMO</v>
      </c>
      <c r="X37" s="92"/>
    </row>
    <row r="38" spans="1:24" s="255" customFormat="1" x14ac:dyDescent="0.25">
      <c r="A38" s="94" t="s">
        <v>138</v>
      </c>
      <c r="B38" s="95" t="s">
        <v>132</v>
      </c>
      <c r="C38" s="95">
        <v>1</v>
      </c>
      <c r="D38" s="94" t="s">
        <v>93</v>
      </c>
      <c r="E38" s="94" t="s">
        <v>116</v>
      </c>
      <c r="F38" s="102">
        <f>(Daniel!$D$18/2)*0.15*$Q38</f>
        <v>1448.6726999999998</v>
      </c>
      <c r="G38" s="94" t="s">
        <v>36</v>
      </c>
      <c r="H38" s="111">
        <f>(Daniel!$E$18)</f>
        <v>244.89599999999999</v>
      </c>
      <c r="I38" s="186">
        <f>(Daniel!$F$18/2)*0.15*$Q38</f>
        <v>354774.14953919995</v>
      </c>
      <c r="J38" s="94" t="s">
        <v>145</v>
      </c>
      <c r="K38" s="94" t="s">
        <v>82</v>
      </c>
      <c r="L38" s="94" t="s">
        <v>82</v>
      </c>
      <c r="M38" s="94" t="s">
        <v>145</v>
      </c>
      <c r="N38" s="246">
        <f t="shared" si="4"/>
        <v>244.89599999999999</v>
      </c>
      <c r="O38" s="247">
        <f t="shared" si="5"/>
        <v>354774.14953919995</v>
      </c>
      <c r="P38" s="99" t="s">
        <v>117</v>
      </c>
      <c r="Q38" s="100">
        <v>0.5</v>
      </c>
      <c r="R38" s="99" t="s">
        <v>84</v>
      </c>
      <c r="S38" s="101" t="s">
        <v>85</v>
      </c>
      <c r="T38" s="86" t="s">
        <v>95</v>
      </c>
      <c r="U38" s="86" t="s">
        <v>96</v>
      </c>
      <c r="V38" s="86">
        <v>10</v>
      </c>
      <c r="W38" s="92" t="str">
        <f t="shared" si="6"/>
        <v>314UND31411LRDANIEL12-NONntMain Power Block - DEMO</v>
      </c>
      <c r="X38" s="92"/>
    </row>
    <row r="39" spans="1:24" s="255" customFormat="1" x14ac:dyDescent="0.25">
      <c r="A39" s="94" t="s">
        <v>143</v>
      </c>
      <c r="B39" s="95" t="s">
        <v>144</v>
      </c>
      <c r="C39" s="95">
        <v>1</v>
      </c>
      <c r="D39" s="94" t="s">
        <v>93</v>
      </c>
      <c r="E39" s="94" t="s">
        <v>116</v>
      </c>
      <c r="F39" s="102">
        <f>(Daniel!$D$18/2)*0.05*$Q39</f>
        <v>482.89089999999999</v>
      </c>
      <c r="G39" s="94" t="s">
        <v>36</v>
      </c>
      <c r="H39" s="111">
        <f>(Daniel!$E$18)</f>
        <v>244.89599999999999</v>
      </c>
      <c r="I39" s="186">
        <f>(Daniel!$F$18/2)*0.05*$Q39</f>
        <v>118258.0498464</v>
      </c>
      <c r="J39" s="94" t="s">
        <v>145</v>
      </c>
      <c r="K39" s="94" t="s">
        <v>82</v>
      </c>
      <c r="L39" s="94" t="s">
        <v>82</v>
      </c>
      <c r="M39" s="94" t="s">
        <v>145</v>
      </c>
      <c r="N39" s="246">
        <f t="shared" si="4"/>
        <v>244.89599999999999</v>
      </c>
      <c r="O39" s="247">
        <f t="shared" si="5"/>
        <v>118258.0498464</v>
      </c>
      <c r="P39" s="99" t="s">
        <v>117</v>
      </c>
      <c r="Q39" s="100">
        <v>0.5</v>
      </c>
      <c r="R39" s="99" t="s">
        <v>84</v>
      </c>
      <c r="S39" s="101" t="s">
        <v>85</v>
      </c>
      <c r="T39" s="86" t="s">
        <v>95</v>
      </c>
      <c r="U39" s="86" t="s">
        <v>96</v>
      </c>
      <c r="V39" s="86">
        <v>10</v>
      </c>
      <c r="W39" s="92" t="str">
        <f t="shared" si="6"/>
        <v>315UND31511LRDANIEL12-NONntMain Power Block - DEMO</v>
      </c>
      <c r="X39" s="92"/>
    </row>
    <row r="40" spans="1:24" s="255" customFormat="1" x14ac:dyDescent="0.25">
      <c r="A40" s="94" t="s">
        <v>118</v>
      </c>
      <c r="B40" s="95" t="s">
        <v>111</v>
      </c>
      <c r="C40" s="95">
        <v>2</v>
      </c>
      <c r="D40" s="94" t="s">
        <v>97</v>
      </c>
      <c r="E40" s="94" t="s">
        <v>116</v>
      </c>
      <c r="F40" s="102">
        <f>(Daniel!$D$18/2)*0.6*$Q40</f>
        <v>5794.6907999999994</v>
      </c>
      <c r="G40" s="94" t="s">
        <v>36</v>
      </c>
      <c r="H40" s="111">
        <f>(Daniel!$E$18)</f>
        <v>244.89599999999999</v>
      </c>
      <c r="I40" s="186">
        <f>(Daniel!$F$18/2)*0.6*$Q40</f>
        <v>1419096.5981567998</v>
      </c>
      <c r="J40" s="94" t="s">
        <v>145</v>
      </c>
      <c r="K40" s="94" t="s">
        <v>82</v>
      </c>
      <c r="L40" s="94" t="s">
        <v>82</v>
      </c>
      <c r="M40" s="94" t="s">
        <v>145</v>
      </c>
      <c r="N40" s="246">
        <f t="shared" si="4"/>
        <v>244.89599999999999</v>
      </c>
      <c r="O40" s="247">
        <f t="shared" si="5"/>
        <v>1419096.5981567998</v>
      </c>
      <c r="P40" s="99" t="s">
        <v>117</v>
      </c>
      <c r="Q40" s="100">
        <v>0.5</v>
      </c>
      <c r="R40" s="99" t="s">
        <v>84</v>
      </c>
      <c r="S40" s="101" t="s">
        <v>85</v>
      </c>
      <c r="T40" s="86" t="s">
        <v>95</v>
      </c>
      <c r="U40" s="86" t="s">
        <v>96</v>
      </c>
      <c r="V40" s="86">
        <v>10</v>
      </c>
      <c r="W40" s="92" t="str">
        <f t="shared" si="6"/>
        <v>311UND31122LRDANIEL12-NONntMain Power Block - DEMO</v>
      </c>
      <c r="X40" s="92"/>
    </row>
    <row r="41" spans="1:24" x14ac:dyDescent="0.25">
      <c r="A41" s="94" t="s">
        <v>91</v>
      </c>
      <c r="B41" s="95" t="s">
        <v>92</v>
      </c>
      <c r="C41" s="95">
        <v>2</v>
      </c>
      <c r="D41" s="94" t="s">
        <v>97</v>
      </c>
      <c r="E41" s="94" t="s">
        <v>116</v>
      </c>
      <c r="F41" s="102">
        <f>(Daniel!$D$18/2)*0.2*$Q41</f>
        <v>1931.5636</v>
      </c>
      <c r="G41" s="94" t="s">
        <v>36</v>
      </c>
      <c r="H41" s="111">
        <f>(Daniel!$E$18)</f>
        <v>244.89599999999999</v>
      </c>
      <c r="I41" s="186">
        <f>(Daniel!$F$18/2)*0.2*$Q41</f>
        <v>473032.19938559999</v>
      </c>
      <c r="J41" s="94" t="s">
        <v>145</v>
      </c>
      <c r="K41" s="94" t="s">
        <v>82</v>
      </c>
      <c r="L41" s="94" t="s">
        <v>82</v>
      </c>
      <c r="M41" s="94" t="s">
        <v>145</v>
      </c>
      <c r="N41" s="246">
        <f t="shared" si="4"/>
        <v>244.89599999999999</v>
      </c>
      <c r="O41" s="247">
        <f t="shared" si="5"/>
        <v>473032.19938559999</v>
      </c>
      <c r="P41" s="99" t="s">
        <v>117</v>
      </c>
      <c r="Q41" s="100">
        <v>0.5</v>
      </c>
      <c r="R41" s="99" t="s">
        <v>84</v>
      </c>
      <c r="S41" s="101" t="s">
        <v>85</v>
      </c>
      <c r="T41" s="86" t="s">
        <v>95</v>
      </c>
      <c r="U41" s="86" t="s">
        <v>96</v>
      </c>
      <c r="V41" s="86">
        <v>10</v>
      </c>
      <c r="W41" s="92" t="str">
        <f t="shared" si="6"/>
        <v>312UND31222LRDANIEL12-NONntMain Power Block - DEMO</v>
      </c>
      <c r="X41" s="92"/>
    </row>
    <row r="42" spans="1:24" x14ac:dyDescent="0.25">
      <c r="A42" s="94" t="s">
        <v>138</v>
      </c>
      <c r="B42" s="95" t="s">
        <v>132</v>
      </c>
      <c r="C42" s="95">
        <v>2</v>
      </c>
      <c r="D42" s="94" t="s">
        <v>97</v>
      </c>
      <c r="E42" s="94" t="s">
        <v>116</v>
      </c>
      <c r="F42" s="102">
        <f>(Daniel!$D$18/2)*0.15*$Q42</f>
        <v>1448.6726999999998</v>
      </c>
      <c r="G42" s="94" t="s">
        <v>36</v>
      </c>
      <c r="H42" s="111">
        <f>(Daniel!$E$18)</f>
        <v>244.89599999999999</v>
      </c>
      <c r="I42" s="186">
        <f>(Daniel!$F$18/2)*0.15*$Q42</f>
        <v>354774.14953919995</v>
      </c>
      <c r="J42" s="94" t="s">
        <v>145</v>
      </c>
      <c r="K42" s="94" t="s">
        <v>82</v>
      </c>
      <c r="L42" s="94" t="s">
        <v>82</v>
      </c>
      <c r="M42" s="94" t="s">
        <v>145</v>
      </c>
      <c r="N42" s="246">
        <f t="shared" si="4"/>
        <v>244.89599999999999</v>
      </c>
      <c r="O42" s="247">
        <f t="shared" si="5"/>
        <v>354774.14953919995</v>
      </c>
      <c r="P42" s="99" t="s">
        <v>117</v>
      </c>
      <c r="Q42" s="100">
        <v>0.5</v>
      </c>
      <c r="R42" s="99" t="s">
        <v>84</v>
      </c>
      <c r="S42" s="101" t="s">
        <v>85</v>
      </c>
      <c r="T42" s="86" t="s">
        <v>95</v>
      </c>
      <c r="U42" s="86" t="s">
        <v>96</v>
      </c>
      <c r="V42" s="86">
        <v>10</v>
      </c>
      <c r="W42" s="92" t="str">
        <f t="shared" si="6"/>
        <v>314UND31422LRDANIEL12-NONntMain Power Block - DEMO</v>
      </c>
      <c r="X42" s="92"/>
    </row>
    <row r="43" spans="1:24" x14ac:dyDescent="0.25">
      <c r="A43" s="94" t="s">
        <v>143</v>
      </c>
      <c r="B43" s="95" t="s">
        <v>144</v>
      </c>
      <c r="C43" s="95">
        <v>2</v>
      </c>
      <c r="D43" s="94" t="s">
        <v>97</v>
      </c>
      <c r="E43" s="94" t="s">
        <v>116</v>
      </c>
      <c r="F43" s="102">
        <f>(Daniel!$D$18/2)*0.05*$Q43</f>
        <v>482.89089999999999</v>
      </c>
      <c r="G43" s="94" t="s">
        <v>36</v>
      </c>
      <c r="H43" s="111">
        <f>(Daniel!$E$18)</f>
        <v>244.89599999999999</v>
      </c>
      <c r="I43" s="186">
        <f>(Daniel!$F$18/2)*0.05*$Q43</f>
        <v>118258.0498464</v>
      </c>
      <c r="J43" s="94" t="s">
        <v>145</v>
      </c>
      <c r="K43" s="94" t="s">
        <v>82</v>
      </c>
      <c r="L43" s="94" t="s">
        <v>82</v>
      </c>
      <c r="M43" s="94" t="s">
        <v>145</v>
      </c>
      <c r="N43" s="246">
        <f t="shared" si="4"/>
        <v>244.89599999999999</v>
      </c>
      <c r="O43" s="247">
        <f t="shared" si="5"/>
        <v>118258.0498464</v>
      </c>
      <c r="P43" s="99" t="s">
        <v>117</v>
      </c>
      <c r="Q43" s="100">
        <v>0.5</v>
      </c>
      <c r="R43" s="99" t="s">
        <v>84</v>
      </c>
      <c r="S43" s="101" t="s">
        <v>85</v>
      </c>
      <c r="T43" s="86" t="s">
        <v>95</v>
      </c>
      <c r="U43" s="86" t="s">
        <v>96</v>
      </c>
      <c r="V43" s="86">
        <v>10</v>
      </c>
      <c r="W43" s="92" t="str">
        <f t="shared" si="6"/>
        <v>315UND31522LRDANIEL12-NONntMain Power Block - DEMO</v>
      </c>
      <c r="X43" s="92"/>
    </row>
    <row r="44" spans="1:24" x14ac:dyDescent="0.25">
      <c r="A44" s="94" t="s">
        <v>118</v>
      </c>
      <c r="B44" s="95" t="s">
        <v>111</v>
      </c>
      <c r="C44" s="95">
        <v>1</v>
      </c>
      <c r="D44" s="94" t="s">
        <v>98</v>
      </c>
      <c r="E44" s="94" t="s">
        <v>116</v>
      </c>
      <c r="F44" s="102">
        <f>(Daniel!$D$19/2)*0.6*$Q44</f>
        <v>5794.6907999999994</v>
      </c>
      <c r="G44" s="94" t="s">
        <v>36</v>
      </c>
      <c r="H44" s="111">
        <f>Daniel!$E$19</f>
        <v>-108.3695731319762</v>
      </c>
      <c r="I44" s="186">
        <f>(Daniel!$F$19/2)*0.6*$Q44</f>
        <v>-627968.16842778958</v>
      </c>
      <c r="J44" s="94" t="s">
        <v>146</v>
      </c>
      <c r="K44" s="94" t="s">
        <v>100</v>
      </c>
      <c r="L44" s="94" t="s">
        <v>82</v>
      </c>
      <c r="M44" s="94" t="s">
        <v>296</v>
      </c>
      <c r="N44" s="246">
        <f t="shared" si="4"/>
        <v>-108.3695731319762</v>
      </c>
      <c r="O44" s="247">
        <f t="shared" si="5"/>
        <v>-627968.16842778958</v>
      </c>
      <c r="P44" s="99" t="s">
        <v>117</v>
      </c>
      <c r="Q44" s="100">
        <v>0.5</v>
      </c>
      <c r="R44" s="99" t="s">
        <v>84</v>
      </c>
      <c r="S44" s="101" t="s">
        <v>101</v>
      </c>
      <c r="T44" s="86" t="s">
        <v>95</v>
      </c>
      <c r="U44" s="86" t="s">
        <v>96</v>
      </c>
      <c r="V44" s="86">
        <v>11</v>
      </c>
      <c r="W44" s="92" t="str">
        <f t="shared" si="6"/>
        <v>311UND31111MSDANIEL12-NONntMain Power Block - FE Sales</v>
      </c>
      <c r="X44" s="92"/>
    </row>
    <row r="45" spans="1:24" x14ac:dyDescent="0.25">
      <c r="A45" s="94" t="s">
        <v>91</v>
      </c>
      <c r="B45" s="95" t="s">
        <v>92</v>
      </c>
      <c r="C45" s="95">
        <v>1</v>
      </c>
      <c r="D45" s="94" t="s">
        <v>98</v>
      </c>
      <c r="E45" s="94" t="s">
        <v>116</v>
      </c>
      <c r="F45" s="102">
        <f>(Daniel!$D$19/2)*0.25*$Q45</f>
        <v>2414.4544999999998</v>
      </c>
      <c r="G45" s="94" t="s">
        <v>36</v>
      </c>
      <c r="H45" s="111">
        <f>Daniel!$E$19</f>
        <v>-108.3695731319762</v>
      </c>
      <c r="I45" s="186">
        <f>(Daniel!$F$19/2)*0.25*$Q45</f>
        <v>-261653.403511579</v>
      </c>
      <c r="J45" s="94" t="s">
        <v>146</v>
      </c>
      <c r="K45" s="94" t="s">
        <v>100</v>
      </c>
      <c r="L45" s="94" t="s">
        <v>82</v>
      </c>
      <c r="M45" s="94" t="s">
        <v>296</v>
      </c>
      <c r="N45" s="246">
        <f t="shared" si="4"/>
        <v>-108.3695731319762</v>
      </c>
      <c r="O45" s="247">
        <f t="shared" si="5"/>
        <v>-261653.403511579</v>
      </c>
      <c r="P45" s="99" t="s">
        <v>117</v>
      </c>
      <c r="Q45" s="100">
        <v>0.5</v>
      </c>
      <c r="R45" s="99" t="s">
        <v>84</v>
      </c>
      <c r="S45" s="101" t="s">
        <v>101</v>
      </c>
      <c r="T45" s="86" t="s">
        <v>95</v>
      </c>
      <c r="U45" s="86" t="s">
        <v>96</v>
      </c>
      <c r="V45" s="86">
        <v>11</v>
      </c>
      <c r="W45" s="92" t="str">
        <f t="shared" si="6"/>
        <v>312UND31211MSDANIEL12-NONntMain Power Block - FE Sales</v>
      </c>
      <c r="X45" s="92"/>
    </row>
    <row r="46" spans="1:24" x14ac:dyDescent="0.25">
      <c r="A46" s="94" t="s">
        <v>138</v>
      </c>
      <c r="B46" s="95" t="s">
        <v>132</v>
      </c>
      <c r="C46" s="95">
        <v>1</v>
      </c>
      <c r="D46" s="94" t="s">
        <v>98</v>
      </c>
      <c r="E46" s="94" t="s">
        <v>116</v>
      </c>
      <c r="F46" s="102">
        <f>(Daniel!$D$19/2)*0.15*$Q46</f>
        <v>1448.6726999999998</v>
      </c>
      <c r="G46" s="94" t="s">
        <v>36</v>
      </c>
      <c r="H46" s="111">
        <f>Daniel!$E$19</f>
        <v>-108.3695731319762</v>
      </c>
      <c r="I46" s="186">
        <f>(Daniel!$F$19/2)*0.15*$Q46</f>
        <v>-156992.0421069474</v>
      </c>
      <c r="J46" s="94" t="s">
        <v>146</v>
      </c>
      <c r="K46" s="94" t="s">
        <v>100</v>
      </c>
      <c r="L46" s="94" t="s">
        <v>82</v>
      </c>
      <c r="M46" s="94" t="s">
        <v>296</v>
      </c>
      <c r="N46" s="246">
        <f t="shared" si="4"/>
        <v>-108.3695731319762</v>
      </c>
      <c r="O46" s="247">
        <f t="shared" si="5"/>
        <v>-156992.0421069474</v>
      </c>
      <c r="P46" s="99" t="s">
        <v>117</v>
      </c>
      <c r="Q46" s="100">
        <v>0.5</v>
      </c>
      <c r="R46" s="99" t="s">
        <v>84</v>
      </c>
      <c r="S46" s="101" t="s">
        <v>101</v>
      </c>
      <c r="T46" s="86" t="s">
        <v>95</v>
      </c>
      <c r="U46" s="86" t="s">
        <v>96</v>
      </c>
      <c r="V46" s="86">
        <v>11</v>
      </c>
      <c r="W46" s="92" t="str">
        <f t="shared" si="6"/>
        <v>314UND31411MSDANIEL12-NONntMain Power Block - FE Sales</v>
      </c>
      <c r="X46" s="92"/>
    </row>
    <row r="47" spans="1:24" x14ac:dyDescent="0.25">
      <c r="A47" s="94" t="s">
        <v>118</v>
      </c>
      <c r="B47" s="95" t="s">
        <v>111</v>
      </c>
      <c r="C47" s="95">
        <v>2</v>
      </c>
      <c r="D47" s="94" t="s">
        <v>102</v>
      </c>
      <c r="E47" s="94" t="s">
        <v>116</v>
      </c>
      <c r="F47" s="102">
        <f>(Daniel!$D$19/2)*0.6*$Q47</f>
        <v>5794.6907999999994</v>
      </c>
      <c r="G47" s="94" t="s">
        <v>36</v>
      </c>
      <c r="H47" s="111">
        <f>Daniel!$E$19</f>
        <v>-108.3695731319762</v>
      </c>
      <c r="I47" s="186">
        <f>(Daniel!$F$19/2)*0.6*$Q47</f>
        <v>-627968.16842778958</v>
      </c>
      <c r="J47" s="94" t="s">
        <v>146</v>
      </c>
      <c r="K47" s="94" t="s">
        <v>100</v>
      </c>
      <c r="L47" s="94" t="s">
        <v>82</v>
      </c>
      <c r="M47" s="94" t="s">
        <v>296</v>
      </c>
      <c r="N47" s="246">
        <f t="shared" si="4"/>
        <v>-108.3695731319762</v>
      </c>
      <c r="O47" s="247">
        <f t="shared" si="5"/>
        <v>-627968.16842778958</v>
      </c>
      <c r="P47" s="99" t="s">
        <v>117</v>
      </c>
      <c r="Q47" s="100">
        <v>0.5</v>
      </c>
      <c r="R47" s="99" t="s">
        <v>84</v>
      </c>
      <c r="S47" s="101" t="s">
        <v>101</v>
      </c>
      <c r="T47" s="86" t="s">
        <v>95</v>
      </c>
      <c r="U47" s="86" t="s">
        <v>96</v>
      </c>
      <c r="V47" s="86">
        <v>11</v>
      </c>
      <c r="W47" s="92" t="str">
        <f t="shared" si="6"/>
        <v>311UND31122MSDANIEL12-NONntMain Power Block - FE Sales</v>
      </c>
      <c r="X47" s="92"/>
    </row>
    <row r="48" spans="1:24" x14ac:dyDescent="0.25">
      <c r="A48" s="94" t="s">
        <v>91</v>
      </c>
      <c r="B48" s="95" t="s">
        <v>92</v>
      </c>
      <c r="C48" s="95">
        <v>2</v>
      </c>
      <c r="D48" s="94" t="s">
        <v>102</v>
      </c>
      <c r="E48" s="94" t="s">
        <v>116</v>
      </c>
      <c r="F48" s="102">
        <f>(Daniel!$D$19/2)*0.25*$Q48</f>
        <v>2414.4544999999998</v>
      </c>
      <c r="G48" s="94" t="s">
        <v>36</v>
      </c>
      <c r="H48" s="111">
        <f>Daniel!$E$19</f>
        <v>-108.3695731319762</v>
      </c>
      <c r="I48" s="186">
        <f>(Daniel!$F$19/2)*0.25*$Q48</f>
        <v>-261653.403511579</v>
      </c>
      <c r="J48" s="94" t="s">
        <v>146</v>
      </c>
      <c r="K48" s="94" t="s">
        <v>100</v>
      </c>
      <c r="L48" s="94" t="s">
        <v>82</v>
      </c>
      <c r="M48" s="94" t="s">
        <v>296</v>
      </c>
      <c r="N48" s="246">
        <f t="shared" si="4"/>
        <v>-108.3695731319762</v>
      </c>
      <c r="O48" s="247">
        <f t="shared" si="5"/>
        <v>-261653.403511579</v>
      </c>
      <c r="P48" s="99" t="s">
        <v>117</v>
      </c>
      <c r="Q48" s="100">
        <v>0.5</v>
      </c>
      <c r="R48" s="99" t="s">
        <v>84</v>
      </c>
      <c r="S48" s="101" t="s">
        <v>101</v>
      </c>
      <c r="T48" s="86" t="s">
        <v>95</v>
      </c>
      <c r="U48" s="86" t="s">
        <v>96</v>
      </c>
      <c r="V48" s="86">
        <v>11</v>
      </c>
      <c r="W48" s="92" t="str">
        <f t="shared" si="6"/>
        <v>312UND31222MSDANIEL12-NONntMain Power Block - FE Sales</v>
      </c>
      <c r="X48" s="92"/>
    </row>
    <row r="49" spans="1:32" x14ac:dyDescent="0.25">
      <c r="A49" s="94" t="s">
        <v>138</v>
      </c>
      <c r="B49" s="95" t="s">
        <v>132</v>
      </c>
      <c r="C49" s="95">
        <v>2</v>
      </c>
      <c r="D49" s="94" t="s">
        <v>102</v>
      </c>
      <c r="E49" s="94" t="s">
        <v>116</v>
      </c>
      <c r="F49" s="102">
        <f>(Daniel!$D$19/2)*0.15*$Q49</f>
        <v>1448.6726999999998</v>
      </c>
      <c r="G49" s="94" t="s">
        <v>36</v>
      </c>
      <c r="H49" s="111">
        <f>Daniel!$E$19</f>
        <v>-108.3695731319762</v>
      </c>
      <c r="I49" s="186">
        <f>(Daniel!$F$19/2)*0.15*$Q49</f>
        <v>-156992.0421069474</v>
      </c>
      <c r="J49" s="94" t="s">
        <v>146</v>
      </c>
      <c r="K49" s="94" t="s">
        <v>100</v>
      </c>
      <c r="L49" s="94" t="s">
        <v>82</v>
      </c>
      <c r="M49" s="94" t="s">
        <v>296</v>
      </c>
      <c r="N49" s="246">
        <f t="shared" si="4"/>
        <v>-108.3695731319762</v>
      </c>
      <c r="O49" s="247">
        <f t="shared" si="5"/>
        <v>-156992.0421069474</v>
      </c>
      <c r="P49" s="99" t="s">
        <v>117</v>
      </c>
      <c r="Q49" s="100">
        <v>0.5</v>
      </c>
      <c r="R49" s="99" t="s">
        <v>84</v>
      </c>
      <c r="S49" s="101" t="s">
        <v>101</v>
      </c>
      <c r="T49" s="86" t="s">
        <v>95</v>
      </c>
      <c r="U49" s="86" t="s">
        <v>96</v>
      </c>
      <c r="V49" s="86">
        <v>11</v>
      </c>
      <c r="W49" s="92" t="str">
        <f t="shared" si="6"/>
        <v>314UND31422MSDANIEL12-NONntMain Power Block - FE Sales</v>
      </c>
      <c r="X49" s="92"/>
    </row>
    <row r="50" spans="1:32" x14ac:dyDescent="0.25">
      <c r="A50" s="94" t="s">
        <v>91</v>
      </c>
      <c r="B50" s="95" t="s">
        <v>92</v>
      </c>
      <c r="C50" s="95">
        <v>1</v>
      </c>
      <c r="D50" s="94" t="s">
        <v>98</v>
      </c>
      <c r="E50" s="94" t="s">
        <v>116</v>
      </c>
      <c r="F50" s="102">
        <f>Daniel!$D$22/2*$Q50</f>
        <v>116253.81599999999</v>
      </c>
      <c r="G50" s="94" t="s">
        <v>39</v>
      </c>
      <c r="H50" s="111">
        <f>Daniel!$E$22</f>
        <v>-0.13699903999999999</v>
      </c>
      <c r="I50" s="186">
        <f>Daniel!$F$22/2*$Q50</f>
        <v>-15926.661188336637</v>
      </c>
      <c r="J50" s="94" t="s">
        <v>147</v>
      </c>
      <c r="K50" s="94" t="s">
        <v>148</v>
      </c>
      <c r="L50" s="94" t="s">
        <v>82</v>
      </c>
      <c r="M50" s="94" t="s">
        <v>296</v>
      </c>
      <c r="N50" s="246">
        <f t="shared" si="4"/>
        <v>-0.13699903999999999</v>
      </c>
      <c r="O50" s="247">
        <f t="shared" si="5"/>
        <v>-15926.661188336637</v>
      </c>
      <c r="P50" s="99" t="s">
        <v>117</v>
      </c>
      <c r="Q50" s="100">
        <v>0.5</v>
      </c>
      <c r="R50" s="99" t="s">
        <v>84</v>
      </c>
      <c r="S50" s="101" t="s">
        <v>101</v>
      </c>
      <c r="T50" s="86" t="s">
        <v>95</v>
      </c>
      <c r="U50" s="86" t="s">
        <v>96</v>
      </c>
      <c r="V50" s="86">
        <v>14</v>
      </c>
      <c r="W50" s="92" t="str">
        <f t="shared" si="6"/>
        <v>312UND31211MSDANIEL12-NONlbsMain Power Block - SS Sales</v>
      </c>
      <c r="X50" s="92"/>
    </row>
    <row r="51" spans="1:32" x14ac:dyDescent="0.25">
      <c r="A51" s="94" t="s">
        <v>91</v>
      </c>
      <c r="B51" s="95" t="s">
        <v>92</v>
      </c>
      <c r="C51" s="95">
        <v>2</v>
      </c>
      <c r="D51" s="94" t="s">
        <v>102</v>
      </c>
      <c r="E51" s="94" t="s">
        <v>116</v>
      </c>
      <c r="F51" s="102">
        <f>Daniel!$D$22/2*$Q51</f>
        <v>116253.81599999999</v>
      </c>
      <c r="G51" s="94" t="s">
        <v>39</v>
      </c>
      <c r="H51" s="111">
        <f>Daniel!$E$22</f>
        <v>-0.13699903999999999</v>
      </c>
      <c r="I51" s="186">
        <f>Daniel!$F$22/2*$Q51</f>
        <v>-15926.661188336637</v>
      </c>
      <c r="J51" s="94" t="s">
        <v>147</v>
      </c>
      <c r="K51" s="94" t="s">
        <v>148</v>
      </c>
      <c r="L51" s="94" t="s">
        <v>82</v>
      </c>
      <c r="M51" s="94" t="s">
        <v>296</v>
      </c>
      <c r="N51" s="246">
        <f t="shared" si="4"/>
        <v>-0.13699903999999999</v>
      </c>
      <c r="O51" s="247">
        <f t="shared" si="5"/>
        <v>-15926.661188336637</v>
      </c>
      <c r="P51" s="99" t="s">
        <v>117</v>
      </c>
      <c r="Q51" s="100">
        <v>0.5</v>
      </c>
      <c r="R51" s="99" t="s">
        <v>84</v>
      </c>
      <c r="S51" s="101" t="s">
        <v>101</v>
      </c>
      <c r="T51" s="86" t="s">
        <v>95</v>
      </c>
      <c r="U51" s="86" t="s">
        <v>96</v>
      </c>
      <c r="V51" s="86">
        <v>14</v>
      </c>
      <c r="W51" s="92" t="str">
        <f t="shared" si="6"/>
        <v>312UND31222MSDANIEL12-NONlbsMain Power Block - SS Sales</v>
      </c>
      <c r="X51" s="92"/>
    </row>
    <row r="52" spans="1:32" x14ac:dyDescent="0.25">
      <c r="A52" s="94" t="s">
        <v>138</v>
      </c>
      <c r="B52" s="95" t="s">
        <v>132</v>
      </c>
      <c r="C52" s="95">
        <v>1</v>
      </c>
      <c r="D52" s="94" t="s">
        <v>93</v>
      </c>
      <c r="E52" s="94" t="s">
        <v>116</v>
      </c>
      <c r="F52" s="102">
        <f>Daniel!$D$23/2*$Q52</f>
        <v>1490.7407407407406</v>
      </c>
      <c r="G52" s="94" t="s">
        <v>43</v>
      </c>
      <c r="H52" s="111">
        <f>Daniel!$E$23</f>
        <v>107.142</v>
      </c>
      <c r="I52" s="186">
        <f>Daniel!$F$23/2*$Q52</f>
        <v>159720.94444444444</v>
      </c>
      <c r="J52" s="94" t="s">
        <v>149</v>
      </c>
      <c r="K52" s="94" t="s">
        <v>82</v>
      </c>
      <c r="L52" s="94" t="s">
        <v>82</v>
      </c>
      <c r="M52" s="94" t="s">
        <v>149</v>
      </c>
      <c r="N52" s="246">
        <f t="shared" si="4"/>
        <v>107.142</v>
      </c>
      <c r="O52" s="247">
        <f t="shared" si="5"/>
        <v>159720.94444444444</v>
      </c>
      <c r="P52" s="99" t="s">
        <v>117</v>
      </c>
      <c r="Q52" s="100">
        <v>0.5</v>
      </c>
      <c r="R52" s="99" t="s">
        <v>84</v>
      </c>
      <c r="S52" s="101" t="s">
        <v>85</v>
      </c>
      <c r="T52" s="86" t="s">
        <v>95</v>
      </c>
      <c r="U52" s="86" t="s">
        <v>96</v>
      </c>
      <c r="V52" s="86">
        <v>15</v>
      </c>
      <c r="W52" s="92" t="str">
        <f t="shared" si="6"/>
        <v>314UND31411LRDANIEL12-NONcyMain Power Block - Turbine Foundations Concrete</v>
      </c>
      <c r="X52" s="92"/>
    </row>
    <row r="53" spans="1:32" x14ac:dyDescent="0.25">
      <c r="A53" s="94" t="s">
        <v>138</v>
      </c>
      <c r="B53" s="95" t="s">
        <v>132</v>
      </c>
      <c r="C53" s="95">
        <v>2</v>
      </c>
      <c r="D53" s="94" t="s">
        <v>97</v>
      </c>
      <c r="E53" s="94" t="s">
        <v>116</v>
      </c>
      <c r="F53" s="102">
        <f>Daniel!$D$23/2*$Q53</f>
        <v>1490.7407407407406</v>
      </c>
      <c r="G53" s="94" t="s">
        <v>43</v>
      </c>
      <c r="H53" s="111">
        <f>Daniel!$E$23</f>
        <v>107.142</v>
      </c>
      <c r="I53" s="186">
        <f>Daniel!$F$23/2*$Q53</f>
        <v>159720.94444444444</v>
      </c>
      <c r="J53" s="94" t="s">
        <v>149</v>
      </c>
      <c r="K53" s="94" t="s">
        <v>82</v>
      </c>
      <c r="L53" s="94" t="s">
        <v>82</v>
      </c>
      <c r="M53" s="94" t="s">
        <v>149</v>
      </c>
      <c r="N53" s="246">
        <f t="shared" si="4"/>
        <v>107.142</v>
      </c>
      <c r="O53" s="247">
        <f t="shared" si="5"/>
        <v>159720.94444444444</v>
      </c>
      <c r="P53" s="99" t="s">
        <v>117</v>
      </c>
      <c r="Q53" s="100">
        <v>0.5</v>
      </c>
      <c r="R53" s="99" t="s">
        <v>84</v>
      </c>
      <c r="S53" s="101" t="s">
        <v>85</v>
      </c>
      <c r="T53" s="86" t="s">
        <v>95</v>
      </c>
      <c r="U53" s="86" t="s">
        <v>96</v>
      </c>
      <c r="V53" s="86">
        <v>15</v>
      </c>
      <c r="W53" s="92" t="str">
        <f t="shared" si="6"/>
        <v>314UND31422LRDANIEL12-NONcyMain Power Block - Turbine Foundations Concrete</v>
      </c>
      <c r="X53" s="92"/>
    </row>
    <row r="54" spans="1:32" x14ac:dyDescent="0.25">
      <c r="A54" s="103">
        <v>3080261</v>
      </c>
      <c r="B54" s="95" t="s">
        <v>88</v>
      </c>
      <c r="C54" s="95" t="s">
        <v>78</v>
      </c>
      <c r="D54" s="94" t="s">
        <v>79</v>
      </c>
      <c r="E54" s="109" t="s">
        <v>116</v>
      </c>
      <c r="F54" s="106">
        <f>2000*0.85*Q54</f>
        <v>850</v>
      </c>
      <c r="G54" s="94" t="s">
        <v>123</v>
      </c>
      <c r="H54" s="111">
        <v>101.26</v>
      </c>
      <c r="I54" s="113">
        <f>202516*0.85*Q54</f>
        <v>86069.3</v>
      </c>
      <c r="J54" s="105" t="s">
        <v>244</v>
      </c>
      <c r="K54" s="94" t="s">
        <v>82</v>
      </c>
      <c r="L54" s="94" t="s">
        <v>82</v>
      </c>
      <c r="M54" s="94" t="s">
        <v>103</v>
      </c>
      <c r="N54" s="246">
        <f t="shared" si="4"/>
        <v>101.26</v>
      </c>
      <c r="O54" s="247">
        <f t="shared" si="5"/>
        <v>86069.3</v>
      </c>
      <c r="P54" s="99" t="s">
        <v>117</v>
      </c>
      <c r="Q54" s="100">
        <v>0.5</v>
      </c>
      <c r="R54" s="99" t="s">
        <v>84</v>
      </c>
      <c r="S54" s="101" t="s">
        <v>85</v>
      </c>
      <c r="T54" s="86" t="s">
        <v>86</v>
      </c>
      <c r="W54" s="92" t="str">
        <f t="shared" si="6"/>
        <v>3080261308CCLRDANIEL12-NONMHMPC ENGINEERING</v>
      </c>
      <c r="X54" s="92"/>
    </row>
    <row r="55" spans="1:32" x14ac:dyDescent="0.25">
      <c r="A55" s="94" t="s">
        <v>150</v>
      </c>
      <c r="B55" s="95" t="s">
        <v>111</v>
      </c>
      <c r="C55" s="95" t="s">
        <v>78</v>
      </c>
      <c r="D55" s="94" t="s">
        <v>79</v>
      </c>
      <c r="E55" s="109" t="s">
        <v>116</v>
      </c>
      <c r="F55" s="160">
        <f>Daniel!$D$11*$Q$6</f>
        <v>50000</v>
      </c>
      <c r="G55" s="94" t="s">
        <v>29</v>
      </c>
      <c r="H55" s="111">
        <f>Daniel!$E$11</f>
        <v>4.5918000000000001</v>
      </c>
      <c r="I55" s="113">
        <f>Daniel!F11*$Q55</f>
        <v>229590</v>
      </c>
      <c r="J55" s="94" t="s">
        <v>28</v>
      </c>
      <c r="K55" s="94" t="s">
        <v>82</v>
      </c>
      <c r="L55" s="94" t="s">
        <v>82</v>
      </c>
      <c r="M55" s="94" t="s">
        <v>28</v>
      </c>
      <c r="N55" s="246">
        <f t="shared" si="4"/>
        <v>4.5918000000000001</v>
      </c>
      <c r="O55" s="247">
        <f t="shared" si="5"/>
        <v>229590</v>
      </c>
      <c r="P55" s="99" t="s">
        <v>117</v>
      </c>
      <c r="Q55" s="100">
        <v>0.5</v>
      </c>
      <c r="R55" s="99" t="s">
        <v>84</v>
      </c>
      <c r="S55" s="101" t="s">
        <v>85</v>
      </c>
      <c r="T55" s="86" t="s">
        <v>95</v>
      </c>
      <c r="U55" s="86" t="s">
        <v>96</v>
      </c>
      <c r="V55" s="86">
        <v>5</v>
      </c>
      <c r="W55" s="92" t="str">
        <f t="shared" si="6"/>
        <v>3110061311CCLRDANIEL12-NONsfPavement Repairs</v>
      </c>
      <c r="X55" s="92"/>
    </row>
    <row r="56" spans="1:32" x14ac:dyDescent="0.25">
      <c r="A56" s="94" t="s">
        <v>151</v>
      </c>
      <c r="B56" s="95" t="s">
        <v>88</v>
      </c>
      <c r="C56" s="95" t="s">
        <v>78</v>
      </c>
      <c r="D56" s="94" t="s">
        <v>79</v>
      </c>
      <c r="E56" s="109" t="s">
        <v>116</v>
      </c>
      <c r="F56" s="160">
        <f>Daniel!$D$6*$Q$4</f>
        <v>0.5</v>
      </c>
      <c r="G56" s="94" t="s">
        <v>23</v>
      </c>
      <c r="H56" s="111">
        <f>Daniel!$E$6</f>
        <v>250000</v>
      </c>
      <c r="I56" s="113">
        <f>Daniel!$F$6*$Q56</f>
        <v>125000</v>
      </c>
      <c r="J56" s="94" t="s">
        <v>24</v>
      </c>
      <c r="K56" s="94" t="s">
        <v>82</v>
      </c>
      <c r="L56" s="94" t="s">
        <v>82</v>
      </c>
      <c r="M56" s="94" t="s">
        <v>24</v>
      </c>
      <c r="N56" s="246">
        <f t="shared" si="4"/>
        <v>250000</v>
      </c>
      <c r="O56" s="247">
        <f t="shared" si="5"/>
        <v>125000</v>
      </c>
      <c r="P56" s="99" t="s">
        <v>117</v>
      </c>
      <c r="Q56" s="100">
        <v>0.5</v>
      </c>
      <c r="R56" s="99" t="s">
        <v>84</v>
      </c>
      <c r="S56" s="101" t="s">
        <v>85</v>
      </c>
      <c r="T56" s="86" t="s">
        <v>95</v>
      </c>
      <c r="V56" s="86">
        <v>2</v>
      </c>
      <c r="W56" s="92" t="str">
        <f t="shared" si="6"/>
        <v>3080268EA308CCLRDANIEL12-NONlsPerform environmental survey of above grade structures</v>
      </c>
      <c r="X56" s="92"/>
      <c r="AF56" s="102">
        <f>Daniel!$D$38/2</f>
        <v>675</v>
      </c>
    </row>
    <row r="57" spans="1:32" x14ac:dyDescent="0.25">
      <c r="A57" s="94" t="s">
        <v>87</v>
      </c>
      <c r="B57" s="95" t="s">
        <v>88</v>
      </c>
      <c r="C57" s="95" t="s">
        <v>78</v>
      </c>
      <c r="D57" s="94" t="s">
        <v>79</v>
      </c>
      <c r="E57" s="94" t="s">
        <v>80</v>
      </c>
      <c r="F57" s="96">
        <v>1</v>
      </c>
      <c r="G57" s="94" t="s">
        <v>89</v>
      </c>
      <c r="H57" s="111">
        <f>SUMIFS($I$3:$I$98,$E$3:$E$98,$E57,$U$3:$U$98,"MARKUP",$S$3:$S$98,"REMOVAL")*0.0008</f>
        <v>1124.7900873215999</v>
      </c>
      <c r="I57" s="113">
        <f>F57*H57</f>
        <v>1124.7900873215999</v>
      </c>
      <c r="J57" s="98" t="s">
        <v>90</v>
      </c>
      <c r="K57" s="94" t="s">
        <v>82</v>
      </c>
      <c r="L57" s="94" t="s">
        <v>82</v>
      </c>
      <c r="M57" s="94" t="s">
        <v>90</v>
      </c>
      <c r="N57" s="246">
        <f t="shared" si="4"/>
        <v>1124.7900873215999</v>
      </c>
      <c r="O57" s="247">
        <f t="shared" si="5"/>
        <v>1124.7900873215999</v>
      </c>
      <c r="P57" s="99" t="s">
        <v>83</v>
      </c>
      <c r="Q57" s="100">
        <v>0.5</v>
      </c>
      <c r="R57" s="99" t="s">
        <v>84</v>
      </c>
      <c r="S57" s="101" t="s">
        <v>85</v>
      </c>
      <c r="T57" s="86" t="s">
        <v>86</v>
      </c>
      <c r="W57" s="92" t="str">
        <f t="shared" si="6"/>
        <v>3080268308CCLRDANIEL12-ECOLTPERMITS</v>
      </c>
      <c r="X57" s="92"/>
      <c r="AF57" s="102">
        <f>Daniel!$D$38/2</f>
        <v>675</v>
      </c>
    </row>
    <row r="58" spans="1:32" x14ac:dyDescent="0.25">
      <c r="A58" s="94" t="s">
        <v>87</v>
      </c>
      <c r="B58" s="95" t="s">
        <v>88</v>
      </c>
      <c r="C58" s="95" t="s">
        <v>78</v>
      </c>
      <c r="D58" s="94" t="s">
        <v>79</v>
      </c>
      <c r="E58" s="94" t="s">
        <v>297</v>
      </c>
      <c r="F58" s="96">
        <v>1</v>
      </c>
      <c r="G58" s="94" t="s">
        <v>89</v>
      </c>
      <c r="H58" s="111">
        <f>SUMIFS($I$3:$I$98,$C$3:$C$98,$C58,$E$3:$E$98,$E58,$U$3:$U$98,"MARKUP",$S$3:$S$98,"REMOVAL")*0.0008</f>
        <v>479.05</v>
      </c>
      <c r="I58" s="113">
        <f>F58*H58</f>
        <v>479.05</v>
      </c>
      <c r="J58" s="98" t="s">
        <v>90</v>
      </c>
      <c r="K58" s="94" t="s">
        <v>82</v>
      </c>
      <c r="L58" s="94" t="s">
        <v>82</v>
      </c>
      <c r="M58" s="155" t="s">
        <v>298</v>
      </c>
      <c r="N58" s="246">
        <f t="shared" si="4"/>
        <v>479.05</v>
      </c>
      <c r="O58" s="247">
        <f t="shared" si="5"/>
        <v>479.05</v>
      </c>
      <c r="P58" s="99" t="s">
        <v>83</v>
      </c>
      <c r="Q58" s="100">
        <v>0.5</v>
      </c>
      <c r="R58" s="99" t="s">
        <v>84</v>
      </c>
      <c r="S58" s="101" t="s">
        <v>85</v>
      </c>
      <c r="T58" s="86" t="s">
        <v>86</v>
      </c>
      <c r="W58" s="92" t="str">
        <f t="shared" si="6"/>
        <v>3080268308CCLRDANIEL12-ECOFLTPERMITS</v>
      </c>
      <c r="X58" s="92"/>
      <c r="AF58" s="102">
        <f>Daniel!$D$39/2</f>
        <v>675</v>
      </c>
    </row>
    <row r="59" spans="1:32" s="254" customFormat="1" x14ac:dyDescent="0.25">
      <c r="A59" s="94" t="s">
        <v>87</v>
      </c>
      <c r="B59" s="95" t="s">
        <v>88</v>
      </c>
      <c r="C59" s="95" t="s">
        <v>78</v>
      </c>
      <c r="D59" s="94" t="s">
        <v>79</v>
      </c>
      <c r="E59" s="109" t="s">
        <v>116</v>
      </c>
      <c r="F59" s="96">
        <v>1</v>
      </c>
      <c r="G59" s="94" t="s">
        <v>89</v>
      </c>
      <c r="H59" s="111">
        <f>SUMIFS($I$3:$I$98,$E$3:$E$98,$E59,$U$3:$U$98,"MARKUP",$S$3:$S$98,"REMOVAL")*0.0008</f>
        <v>4581.0335061959095</v>
      </c>
      <c r="I59" s="113">
        <f>F59*H59*$Q59</f>
        <v>2290.5167530979547</v>
      </c>
      <c r="J59" s="98" t="s">
        <v>90</v>
      </c>
      <c r="K59" s="94" t="s">
        <v>82</v>
      </c>
      <c r="L59" s="94" t="s">
        <v>82</v>
      </c>
      <c r="M59" s="94" t="s">
        <v>90</v>
      </c>
      <c r="N59" s="246">
        <f t="shared" si="4"/>
        <v>4581.0335061959095</v>
      </c>
      <c r="O59" s="247">
        <f t="shared" si="5"/>
        <v>2290.5167530979547</v>
      </c>
      <c r="P59" s="99" t="s">
        <v>117</v>
      </c>
      <c r="Q59" s="100">
        <v>0.5</v>
      </c>
      <c r="R59" s="99" t="s">
        <v>84</v>
      </c>
      <c r="S59" s="101" t="s">
        <v>85</v>
      </c>
      <c r="T59" s="86" t="s">
        <v>86</v>
      </c>
      <c r="U59" s="86"/>
      <c r="V59" s="86"/>
      <c r="W59" s="92" t="str">
        <f t="shared" si="6"/>
        <v>3080268308CCLRDANIEL12-NONLTPERMITS</v>
      </c>
      <c r="X59" s="92"/>
      <c r="AF59" s="110">
        <f>Daniel!$D$5</f>
        <v>1</v>
      </c>
    </row>
    <row r="60" spans="1:32" s="254" customFormat="1" x14ac:dyDescent="0.25">
      <c r="A60" s="94" t="s">
        <v>152</v>
      </c>
      <c r="B60" s="95" t="s">
        <v>106</v>
      </c>
      <c r="C60" s="95" t="s">
        <v>78</v>
      </c>
      <c r="D60" s="94" t="s">
        <v>79</v>
      </c>
      <c r="E60" s="109" t="s">
        <v>116</v>
      </c>
      <c r="F60" s="106">
        <f>3*Q60</f>
        <v>1.5</v>
      </c>
      <c r="G60" s="94" t="s">
        <v>153</v>
      </c>
      <c r="H60" s="251">
        <f>135010.76*0.85</f>
        <v>114759.14600000001</v>
      </c>
      <c r="I60" s="252">
        <f>F60*H60</f>
        <v>172138.71900000001</v>
      </c>
      <c r="J60" s="94" t="s">
        <v>154</v>
      </c>
      <c r="K60" s="94" t="s">
        <v>82</v>
      </c>
      <c r="L60" s="94" t="s">
        <v>82</v>
      </c>
      <c r="M60" s="94" t="s">
        <v>154</v>
      </c>
      <c r="N60" s="246">
        <f t="shared" si="4"/>
        <v>114759.14600000001</v>
      </c>
      <c r="O60" s="247">
        <f t="shared" si="5"/>
        <v>172138.71900000001</v>
      </c>
      <c r="P60" s="99" t="s">
        <v>117</v>
      </c>
      <c r="Q60" s="100">
        <v>0.5</v>
      </c>
      <c r="R60" s="99" t="s">
        <v>84</v>
      </c>
      <c r="S60" s="101" t="s">
        <v>85</v>
      </c>
      <c r="T60" s="86" t="s">
        <v>86</v>
      </c>
      <c r="U60" s="86"/>
      <c r="V60" s="86"/>
      <c r="W60" s="92" t="str">
        <f t="shared" si="6"/>
        <v>3070041307CCLRDANIEL12-NONMYPOWER GENERATION SUPERVISION</v>
      </c>
      <c r="X60" s="92"/>
      <c r="AF60" s="110">
        <f>Daniel!$D$12</f>
        <v>1</v>
      </c>
    </row>
    <row r="61" spans="1:32" s="254" customFormat="1" x14ac:dyDescent="0.25">
      <c r="A61" s="94" t="s">
        <v>91</v>
      </c>
      <c r="B61" s="95" t="s">
        <v>92</v>
      </c>
      <c r="C61" s="95">
        <v>1</v>
      </c>
      <c r="D61" s="94" t="s">
        <v>93</v>
      </c>
      <c r="E61" s="94" t="s">
        <v>80</v>
      </c>
      <c r="F61" s="102">
        <f>Daniel!$D$34/2*$Q61</f>
        <v>2870.5810000000001</v>
      </c>
      <c r="G61" s="94" t="s">
        <v>36</v>
      </c>
      <c r="H61" s="111">
        <f>Daniel!$E$34</f>
        <v>244.89599999999999</v>
      </c>
      <c r="I61" s="186">
        <f>Daniel!$F$34/2*$Q61</f>
        <v>702993.80457599997</v>
      </c>
      <c r="J61" s="94" t="s">
        <v>94</v>
      </c>
      <c r="K61" s="94" t="s">
        <v>82</v>
      </c>
      <c r="L61" s="94" t="s">
        <v>82</v>
      </c>
      <c r="M61" s="94" t="s">
        <v>94</v>
      </c>
      <c r="N61" s="246">
        <f t="shared" si="4"/>
        <v>244.89599999999999</v>
      </c>
      <c r="O61" s="247">
        <f t="shared" si="5"/>
        <v>702993.80457599997</v>
      </c>
      <c r="P61" s="99" t="s">
        <v>83</v>
      </c>
      <c r="Q61" s="100">
        <v>0.5</v>
      </c>
      <c r="R61" s="99" t="s">
        <v>84</v>
      </c>
      <c r="S61" s="101" t="s">
        <v>85</v>
      </c>
      <c r="T61" s="86" t="s">
        <v>95</v>
      </c>
      <c r="U61" s="86" t="s">
        <v>96</v>
      </c>
      <c r="V61" s="86">
        <v>24</v>
      </c>
      <c r="W61" s="92" t="str">
        <f t="shared" si="6"/>
        <v>312UND31211LRDANIEL12-ECOntPrecipitators - DEMO</v>
      </c>
      <c r="X61" s="92"/>
      <c r="AF61" s="110">
        <f>Daniel!$D$13</f>
        <v>1</v>
      </c>
    </row>
    <row r="62" spans="1:32" s="254" customFormat="1" x14ac:dyDescent="0.25">
      <c r="A62" s="94" t="s">
        <v>91</v>
      </c>
      <c r="B62" s="95" t="s">
        <v>92</v>
      </c>
      <c r="C62" s="95">
        <v>2</v>
      </c>
      <c r="D62" s="94" t="s">
        <v>97</v>
      </c>
      <c r="E62" s="94" t="s">
        <v>80</v>
      </c>
      <c r="F62" s="102">
        <f>Daniel!$D$34/2*$Q62</f>
        <v>2870.5810000000001</v>
      </c>
      <c r="G62" s="94" t="s">
        <v>36</v>
      </c>
      <c r="H62" s="111">
        <f>Daniel!$E$34</f>
        <v>244.89599999999999</v>
      </c>
      <c r="I62" s="186">
        <f>Daniel!$F$34/2*$Q62</f>
        <v>702993.80457599997</v>
      </c>
      <c r="J62" s="94" t="s">
        <v>94</v>
      </c>
      <c r="K62" s="94" t="s">
        <v>82</v>
      </c>
      <c r="L62" s="94" t="s">
        <v>82</v>
      </c>
      <c r="M62" s="94" t="s">
        <v>94</v>
      </c>
      <c r="N62" s="246">
        <f t="shared" si="4"/>
        <v>244.89599999999999</v>
      </c>
      <c r="O62" s="247">
        <f t="shared" si="5"/>
        <v>702993.80457599997</v>
      </c>
      <c r="P62" s="99" t="s">
        <v>83</v>
      </c>
      <c r="Q62" s="100">
        <v>0.5</v>
      </c>
      <c r="R62" s="99" t="s">
        <v>84</v>
      </c>
      <c r="S62" s="101" t="s">
        <v>85</v>
      </c>
      <c r="T62" s="86" t="s">
        <v>95</v>
      </c>
      <c r="U62" s="86" t="s">
        <v>96</v>
      </c>
      <c r="V62" s="86">
        <v>24</v>
      </c>
      <c r="W62" s="92" t="str">
        <f t="shared" si="6"/>
        <v>312UND31222LRDANIEL12-ECOntPrecipitators - DEMO</v>
      </c>
      <c r="X62" s="92"/>
      <c r="AF62" s="110">
        <f>Daniel!$D$14</f>
        <v>1</v>
      </c>
    </row>
    <row r="63" spans="1:32" s="254" customFormat="1" x14ac:dyDescent="0.25">
      <c r="A63" s="94" t="s">
        <v>91</v>
      </c>
      <c r="B63" s="95" t="s">
        <v>92</v>
      </c>
      <c r="C63" s="95">
        <v>1</v>
      </c>
      <c r="D63" s="94" t="s">
        <v>98</v>
      </c>
      <c r="E63" s="94" t="s">
        <v>80</v>
      </c>
      <c r="F63" s="102">
        <f>Daniel!$D$35/2*$Q63</f>
        <v>2870.5810000000001</v>
      </c>
      <c r="G63" s="94" t="s">
        <v>36</v>
      </c>
      <c r="H63" s="111">
        <f>Daniel!$E$35</f>
        <v>-108.3695731319762</v>
      </c>
      <c r="I63" s="186">
        <f>Daniel!$F$35/2*$Q63</f>
        <v>-311083.63761076139</v>
      </c>
      <c r="J63" s="94" t="s">
        <v>99</v>
      </c>
      <c r="K63" s="94" t="s">
        <v>100</v>
      </c>
      <c r="L63" s="94" t="s">
        <v>82</v>
      </c>
      <c r="M63" s="94" t="s">
        <v>296</v>
      </c>
      <c r="N63" s="246">
        <f t="shared" si="4"/>
        <v>-108.3695731319762</v>
      </c>
      <c r="O63" s="247">
        <f t="shared" si="5"/>
        <v>-311083.63761076139</v>
      </c>
      <c r="P63" s="99" t="s">
        <v>83</v>
      </c>
      <c r="Q63" s="100">
        <v>0.5</v>
      </c>
      <c r="R63" s="99" t="s">
        <v>84</v>
      </c>
      <c r="S63" s="101" t="s">
        <v>101</v>
      </c>
      <c r="T63" s="86" t="s">
        <v>95</v>
      </c>
      <c r="U63" s="86" t="s">
        <v>96</v>
      </c>
      <c r="V63" s="86">
        <v>25</v>
      </c>
      <c r="W63" s="92" t="str">
        <f t="shared" si="6"/>
        <v>312UND31211MSDANIEL12-ECOntPrecipitators - FE Sales</v>
      </c>
      <c r="X63" s="92"/>
      <c r="AF63" s="102">
        <f>Daniel!$D$39/2</f>
        <v>675</v>
      </c>
    </row>
    <row r="64" spans="1:32" s="254" customFormat="1" x14ac:dyDescent="0.25">
      <c r="A64" s="94" t="s">
        <v>91</v>
      </c>
      <c r="B64" s="95" t="s">
        <v>92</v>
      </c>
      <c r="C64" s="95">
        <v>2</v>
      </c>
      <c r="D64" s="94" t="s">
        <v>102</v>
      </c>
      <c r="E64" s="94" t="s">
        <v>80</v>
      </c>
      <c r="F64" s="102">
        <f>Daniel!$D$35/2*$Q64</f>
        <v>2870.5810000000001</v>
      </c>
      <c r="G64" s="94" t="s">
        <v>36</v>
      </c>
      <c r="H64" s="111">
        <f>Daniel!$E$35</f>
        <v>-108.3695731319762</v>
      </c>
      <c r="I64" s="186">
        <f>Daniel!$F$35/2*$Q64</f>
        <v>-311083.63761076139</v>
      </c>
      <c r="J64" s="94" t="s">
        <v>99</v>
      </c>
      <c r="K64" s="94" t="s">
        <v>100</v>
      </c>
      <c r="L64" s="94" t="s">
        <v>82</v>
      </c>
      <c r="M64" s="94" t="s">
        <v>296</v>
      </c>
      <c r="N64" s="246">
        <f t="shared" ref="N64:N84" si="7">H64</f>
        <v>-108.3695731319762</v>
      </c>
      <c r="O64" s="247">
        <f t="shared" ref="O64:O84" si="8">I64</f>
        <v>-311083.63761076139</v>
      </c>
      <c r="P64" s="99" t="s">
        <v>83</v>
      </c>
      <c r="Q64" s="100">
        <v>0.5</v>
      </c>
      <c r="R64" s="99" t="s">
        <v>84</v>
      </c>
      <c r="S64" s="101" t="s">
        <v>101</v>
      </c>
      <c r="T64" s="86" t="s">
        <v>95</v>
      </c>
      <c r="U64" s="86" t="s">
        <v>96</v>
      </c>
      <c r="V64" s="86">
        <v>25</v>
      </c>
      <c r="W64" s="92" t="str">
        <f t="shared" ref="W64:W71" si="9">A64&amp;B64&amp;C64&amp;D64&amp;E64&amp;G64&amp;J64</f>
        <v>312UND31222MSDANIEL12-ECOntPrecipitators - FE Sales</v>
      </c>
      <c r="X64" s="92"/>
      <c r="AF64" s="102">
        <f>Daniel!$D$43/2</f>
        <v>112.5</v>
      </c>
    </row>
    <row r="65" spans="1:32" s="254" customFormat="1" x14ac:dyDescent="0.25">
      <c r="A65" s="94" t="s">
        <v>155</v>
      </c>
      <c r="B65" s="95" t="s">
        <v>111</v>
      </c>
      <c r="C65" s="95">
        <v>1</v>
      </c>
      <c r="D65" s="94" t="s">
        <v>127</v>
      </c>
      <c r="E65" s="94" t="s">
        <v>116</v>
      </c>
      <c r="F65" s="102">
        <f>Daniel!$D$27/2*$Q65</f>
        <v>4500</v>
      </c>
      <c r="G65" s="94" t="s">
        <v>36</v>
      </c>
      <c r="H65" s="111">
        <f>Daniel!$E$27</f>
        <v>15.305999999999999</v>
      </c>
      <c r="I65" s="186">
        <f>Daniel!$F$27/2*$Q65</f>
        <v>68877</v>
      </c>
      <c r="J65" s="94" t="s">
        <v>156</v>
      </c>
      <c r="K65" s="94" t="s">
        <v>82</v>
      </c>
      <c r="L65" s="94" t="s">
        <v>82</v>
      </c>
      <c r="M65" s="94" t="s">
        <v>156</v>
      </c>
      <c r="N65" s="246">
        <f t="shared" si="7"/>
        <v>15.305999999999999</v>
      </c>
      <c r="O65" s="247">
        <f t="shared" si="8"/>
        <v>68877</v>
      </c>
      <c r="P65" s="99" t="s">
        <v>117</v>
      </c>
      <c r="Q65" s="100">
        <v>0.5</v>
      </c>
      <c r="R65" s="99" t="s">
        <v>84</v>
      </c>
      <c r="S65" s="101" t="s">
        <v>128</v>
      </c>
      <c r="T65" s="86" t="s">
        <v>95</v>
      </c>
      <c r="U65" s="86" t="s">
        <v>96</v>
      </c>
      <c r="V65" s="86">
        <v>19</v>
      </c>
      <c r="W65" s="92" t="str">
        <f t="shared" si="9"/>
        <v>3111002CN31111LDDANIEL12-NONntProcess, haul and backfill brick &amp; block</v>
      </c>
      <c r="X65" s="92"/>
    </row>
    <row r="66" spans="1:32" s="254" customFormat="1" x14ac:dyDescent="0.25">
      <c r="A66" s="94" t="s">
        <v>155</v>
      </c>
      <c r="B66" s="95" t="s">
        <v>111</v>
      </c>
      <c r="C66" s="95">
        <v>2</v>
      </c>
      <c r="D66" s="94" t="s">
        <v>129</v>
      </c>
      <c r="E66" s="94" t="s">
        <v>116</v>
      </c>
      <c r="F66" s="102">
        <f>Daniel!$D$27/2*$Q66</f>
        <v>4500</v>
      </c>
      <c r="G66" s="94" t="s">
        <v>36</v>
      </c>
      <c r="H66" s="111">
        <f>Daniel!$E$27</f>
        <v>15.305999999999999</v>
      </c>
      <c r="I66" s="186">
        <f>Daniel!$F$27/2*$Q66</f>
        <v>68877</v>
      </c>
      <c r="J66" s="94" t="s">
        <v>156</v>
      </c>
      <c r="K66" s="94" t="s">
        <v>82</v>
      </c>
      <c r="L66" s="94" t="s">
        <v>82</v>
      </c>
      <c r="M66" s="94" t="s">
        <v>156</v>
      </c>
      <c r="N66" s="246">
        <f t="shared" si="7"/>
        <v>15.305999999999999</v>
      </c>
      <c r="O66" s="247">
        <f t="shared" si="8"/>
        <v>68877</v>
      </c>
      <c r="P66" s="99" t="s">
        <v>117</v>
      </c>
      <c r="Q66" s="100">
        <v>0.5</v>
      </c>
      <c r="R66" s="99" t="s">
        <v>84</v>
      </c>
      <c r="S66" s="101" t="s">
        <v>128</v>
      </c>
      <c r="T66" s="86" t="s">
        <v>95</v>
      </c>
      <c r="U66" s="86" t="s">
        <v>96</v>
      </c>
      <c r="V66" s="86">
        <v>19</v>
      </c>
      <c r="W66" s="92" t="str">
        <f t="shared" si="9"/>
        <v>3111002CN31122LDDANIEL12-NONntProcess, haul and backfill brick &amp; block</v>
      </c>
      <c r="X66" s="92"/>
    </row>
    <row r="67" spans="1:32" x14ac:dyDescent="0.25">
      <c r="A67" s="103">
        <v>3080241</v>
      </c>
      <c r="B67" s="95" t="s">
        <v>88</v>
      </c>
      <c r="C67" s="95" t="s">
        <v>78</v>
      </c>
      <c r="D67" s="94" t="s">
        <v>79</v>
      </c>
      <c r="E67" s="94" t="s">
        <v>80</v>
      </c>
      <c r="F67" s="104">
        <v>3</v>
      </c>
      <c r="G67" s="94" t="s">
        <v>16</v>
      </c>
      <c r="H67" s="111">
        <f>SUMIFS($I$3:$I$98,$E$3:$E$98,$E67,$U$3:$U$98,"MARKUP",$S$3:$S$98,"REMOVAL")*0.01</f>
        <v>14059.87609152</v>
      </c>
      <c r="I67" s="113">
        <f>F67*H67</f>
        <v>42179.628274560004</v>
      </c>
      <c r="J67" s="105" t="s">
        <v>103</v>
      </c>
      <c r="K67" s="94" t="s">
        <v>82</v>
      </c>
      <c r="L67" s="94" t="s">
        <v>82</v>
      </c>
      <c r="M67" s="94" t="s">
        <v>104</v>
      </c>
      <c r="N67" s="246">
        <f t="shared" si="7"/>
        <v>14059.87609152</v>
      </c>
      <c r="O67" s="247">
        <f t="shared" si="8"/>
        <v>42179.628274560004</v>
      </c>
      <c r="P67" s="99" t="s">
        <v>83</v>
      </c>
      <c r="Q67" s="100">
        <v>0.5</v>
      </c>
      <c r="R67" s="99" t="s">
        <v>84</v>
      </c>
      <c r="S67" s="101" t="s">
        <v>85</v>
      </c>
      <c r="T67" s="86" t="s">
        <v>86</v>
      </c>
      <c r="W67" s="92" t="str">
        <f t="shared" si="9"/>
        <v>3080241308CCLRDANIEL12-ECO%SCS ENGINEERING</v>
      </c>
      <c r="X67" s="92"/>
      <c r="AF67" s="102">
        <f>Daniel!$D$40/2</f>
        <v>6075</v>
      </c>
    </row>
    <row r="68" spans="1:32" x14ac:dyDescent="0.25">
      <c r="A68" s="103">
        <v>3080241</v>
      </c>
      <c r="B68" s="95" t="s">
        <v>88</v>
      </c>
      <c r="C68" s="95" t="s">
        <v>78</v>
      </c>
      <c r="D68" s="94" t="s">
        <v>79</v>
      </c>
      <c r="E68" s="94" t="s">
        <v>297</v>
      </c>
      <c r="F68" s="104">
        <v>3</v>
      </c>
      <c r="G68" s="94" t="s">
        <v>16</v>
      </c>
      <c r="H68" s="111">
        <f>SUMIFS($I$3:$I$98,$C$3:$C$98,$C68,$E$3:$E$98,$E68,$U$3:$U$98,"MARKUP",$S$3:$S$98,"REMOVAL")*0.01</f>
        <v>5988.125</v>
      </c>
      <c r="I68" s="113">
        <f>F68*H68</f>
        <v>17964.375</v>
      </c>
      <c r="J68" s="105" t="s">
        <v>103</v>
      </c>
      <c r="K68" s="94" t="s">
        <v>82</v>
      </c>
      <c r="L68" s="94" t="s">
        <v>82</v>
      </c>
      <c r="M68" s="155" t="s">
        <v>298</v>
      </c>
      <c r="N68" s="246">
        <f t="shared" si="7"/>
        <v>5988.125</v>
      </c>
      <c r="O68" s="247">
        <f t="shared" si="8"/>
        <v>17964.375</v>
      </c>
      <c r="P68" s="99" t="s">
        <v>83</v>
      </c>
      <c r="Q68" s="100">
        <v>0.5</v>
      </c>
      <c r="R68" s="99" t="s">
        <v>84</v>
      </c>
      <c r="S68" s="101" t="s">
        <v>85</v>
      </c>
      <c r="T68" s="86" t="s">
        <v>86</v>
      </c>
      <c r="W68" s="92" t="str">
        <f t="shared" si="9"/>
        <v>3080241308CCLRDANIEL12-ECOF%SCS ENGINEERING</v>
      </c>
      <c r="X68" s="92"/>
      <c r="AF68" s="102">
        <f>Daniel!$D$40/2</f>
        <v>6075</v>
      </c>
    </row>
    <row r="69" spans="1:32" x14ac:dyDescent="0.25">
      <c r="A69" s="103">
        <v>3080241</v>
      </c>
      <c r="B69" s="95" t="s">
        <v>88</v>
      </c>
      <c r="C69" s="95" t="s">
        <v>78</v>
      </c>
      <c r="D69" s="94" t="s">
        <v>79</v>
      </c>
      <c r="E69" s="109" t="s">
        <v>116</v>
      </c>
      <c r="F69" s="104">
        <v>3</v>
      </c>
      <c r="G69" s="94" t="s">
        <v>16</v>
      </c>
      <c r="H69" s="111">
        <f>SUMIFS($I$3:$I$98,$E$3:$E$98,$E69,$U$3:$U$98,"MARKUP",$S$3:$S$98,"REMOVAL")*0.01</f>
        <v>57262.91882744887</v>
      </c>
      <c r="I69" s="113">
        <f>F69*H69</f>
        <v>171788.75648234662</v>
      </c>
      <c r="J69" s="105" t="s">
        <v>103</v>
      </c>
      <c r="K69" s="94" t="s">
        <v>82</v>
      </c>
      <c r="L69" s="94" t="s">
        <v>82</v>
      </c>
      <c r="M69" s="94" t="s">
        <v>104</v>
      </c>
      <c r="N69" s="246">
        <f t="shared" si="7"/>
        <v>57262.91882744887</v>
      </c>
      <c r="O69" s="247">
        <f t="shared" si="8"/>
        <v>171788.75648234662</v>
      </c>
      <c r="P69" s="99" t="s">
        <v>117</v>
      </c>
      <c r="Q69" s="100">
        <v>0.5</v>
      </c>
      <c r="R69" s="99" t="s">
        <v>84</v>
      </c>
      <c r="S69" s="101" t="s">
        <v>85</v>
      </c>
      <c r="T69" s="86" t="s">
        <v>86</v>
      </c>
      <c r="W69" s="92" t="str">
        <f t="shared" si="9"/>
        <v>3080241308CCLRDANIEL12-NON%SCS ENGINEERING</v>
      </c>
      <c r="X69" s="92"/>
      <c r="AF69" s="102">
        <f>Daniel!$D$41/2</f>
        <v>13500</v>
      </c>
    </row>
    <row r="70" spans="1:32" x14ac:dyDescent="0.25">
      <c r="A70" s="94" t="s">
        <v>157</v>
      </c>
      <c r="B70" s="95" t="s">
        <v>106</v>
      </c>
      <c r="C70" s="95" t="s">
        <v>78</v>
      </c>
      <c r="D70" s="94" t="s">
        <v>79</v>
      </c>
      <c r="E70" s="109" t="s">
        <v>116</v>
      </c>
      <c r="F70" s="106">
        <f>6*Q70</f>
        <v>3</v>
      </c>
      <c r="G70" s="94" t="s">
        <v>153</v>
      </c>
      <c r="H70" s="251">
        <f>50750.31*0.85</f>
        <v>43137.763499999994</v>
      </c>
      <c r="I70" s="252">
        <f>F70*H70</f>
        <v>129413.29049999997</v>
      </c>
      <c r="J70" s="94" t="s">
        <v>158</v>
      </c>
      <c r="K70" s="94" t="s">
        <v>82</v>
      </c>
      <c r="L70" s="94" t="s">
        <v>82</v>
      </c>
      <c r="M70" s="94" t="s">
        <v>158</v>
      </c>
      <c r="N70" s="246">
        <f t="shared" si="7"/>
        <v>43137.763499999994</v>
      </c>
      <c r="O70" s="247">
        <f t="shared" si="8"/>
        <v>129413.29049999997</v>
      </c>
      <c r="P70" s="99" t="s">
        <v>117</v>
      </c>
      <c r="Q70" s="100">
        <v>0.5</v>
      </c>
      <c r="R70" s="99" t="s">
        <v>84</v>
      </c>
      <c r="S70" s="101" t="s">
        <v>85</v>
      </c>
      <c r="T70" s="86" t="s">
        <v>86</v>
      </c>
      <c r="W70" s="92" t="str">
        <f t="shared" si="9"/>
        <v>3070221307CCLRDANIEL12-NONMYSECURITY SERVICES</v>
      </c>
      <c r="X70" s="92"/>
      <c r="AF70" s="102">
        <f>Daniel!$D$42/2</f>
        <v>8100</v>
      </c>
    </row>
    <row r="71" spans="1:32" x14ac:dyDescent="0.25">
      <c r="A71" s="94" t="s">
        <v>91</v>
      </c>
      <c r="B71" s="95" t="s">
        <v>92</v>
      </c>
      <c r="C71" s="95" t="s">
        <v>78</v>
      </c>
      <c r="D71" s="94" t="s">
        <v>121</v>
      </c>
      <c r="E71" s="94" t="s">
        <v>297</v>
      </c>
      <c r="F71" s="102">
        <f>Daniel!$D$40/2*Q71</f>
        <v>3037.5</v>
      </c>
      <c r="G71" s="94" t="s">
        <v>39</v>
      </c>
      <c r="H71" s="111">
        <f>Daniel!$E$40</f>
        <v>-0.38793301271641789</v>
      </c>
      <c r="I71" s="113">
        <f>Daniel!$F$40*Q71</f>
        <v>-2371.6480263157887</v>
      </c>
      <c r="J71" s="94" t="s">
        <v>227</v>
      </c>
      <c r="K71" s="94" t="s">
        <v>137</v>
      </c>
      <c r="L71" s="94" t="s">
        <v>82</v>
      </c>
      <c r="M71" s="155" t="s">
        <v>298</v>
      </c>
      <c r="N71" s="246">
        <f t="shared" si="7"/>
        <v>-0.38793301271641789</v>
      </c>
      <c r="O71" s="247">
        <f t="shared" si="8"/>
        <v>-2371.6480263157887</v>
      </c>
      <c r="P71" s="99" t="s">
        <v>117</v>
      </c>
      <c r="Q71" s="100">
        <v>0.5</v>
      </c>
      <c r="R71" s="99" t="s">
        <v>84</v>
      </c>
      <c r="S71" s="101" t="s">
        <v>101</v>
      </c>
      <c r="T71" s="86" t="s">
        <v>95</v>
      </c>
      <c r="U71" s="86" t="s">
        <v>96</v>
      </c>
      <c r="V71" s="86">
        <v>28</v>
      </c>
      <c r="W71" s="92" t="str">
        <f t="shared" si="9"/>
        <v>312UND312CCMSDANIEL12-ECOFlbsSO2 SCRUBBER -  AL Sales</v>
      </c>
      <c r="X71" s="92"/>
      <c r="AF71" s="102">
        <f>Daniel!$D$42/2</f>
        <v>8100</v>
      </c>
    </row>
    <row r="72" spans="1:32" x14ac:dyDescent="0.25">
      <c r="A72" s="153" t="s">
        <v>91</v>
      </c>
      <c r="B72" s="95" t="s">
        <v>92</v>
      </c>
      <c r="C72" s="154" t="s">
        <v>78</v>
      </c>
      <c r="D72" s="94" t="s">
        <v>79</v>
      </c>
      <c r="E72" s="94" t="s">
        <v>297</v>
      </c>
      <c r="F72" s="112">
        <f>Daniel!$D$45/2*Q72</f>
        <v>0.25</v>
      </c>
      <c r="G72" s="94" t="s">
        <v>47</v>
      </c>
      <c r="H72" s="111">
        <f>Daniel!$E$45</f>
        <v>850000</v>
      </c>
      <c r="I72" s="113">
        <f>Daniel!$F$45*Q72</f>
        <v>425000</v>
      </c>
      <c r="J72" s="155" t="s">
        <v>222</v>
      </c>
      <c r="K72" s="155"/>
      <c r="L72" s="155"/>
      <c r="M72" s="155" t="s">
        <v>298</v>
      </c>
      <c r="N72" s="246">
        <f t="shared" si="7"/>
        <v>850000</v>
      </c>
      <c r="O72" s="247">
        <f t="shared" si="8"/>
        <v>425000</v>
      </c>
      <c r="P72" s="86" t="s">
        <v>83</v>
      </c>
      <c r="Q72" s="100">
        <v>0.5</v>
      </c>
      <c r="R72" s="99" t="s">
        <v>84</v>
      </c>
      <c r="S72" s="101" t="s">
        <v>85</v>
      </c>
      <c r="T72" s="86" t="s">
        <v>95</v>
      </c>
      <c r="U72" s="256" t="s">
        <v>96</v>
      </c>
      <c r="V72" s="86">
        <v>33</v>
      </c>
      <c r="W72" s="92" t="str">
        <f>A72&amp;C72&amp;D72&amp;E72&amp;F72&amp;G72&amp;H72&amp;J72</f>
        <v>312UNDCCLRDANIEL12-ECOF0.25ea850000SO2 SCRUBBER - 600' Stack (felling)</v>
      </c>
      <c r="X72" s="256"/>
      <c r="AF72" s="102">
        <f>Daniel!$D$43/2</f>
        <v>112.5</v>
      </c>
    </row>
    <row r="73" spans="1:32" x14ac:dyDescent="0.25">
      <c r="A73" s="94" t="s">
        <v>143</v>
      </c>
      <c r="B73" s="95" t="s">
        <v>92</v>
      </c>
      <c r="C73" s="95" t="s">
        <v>78</v>
      </c>
      <c r="D73" s="94" t="s">
        <v>121</v>
      </c>
      <c r="E73" s="94" t="s">
        <v>297</v>
      </c>
      <c r="F73" s="102">
        <f>Daniel!$D$41/2*Q73</f>
        <v>6750</v>
      </c>
      <c r="G73" s="94" t="s">
        <v>39</v>
      </c>
      <c r="H73" s="111">
        <f>Daniel!$E$41</f>
        <v>-0.31414430979039298</v>
      </c>
      <c r="I73" s="113">
        <f>Daniel!$F$41*Q73</f>
        <v>-4997.4923076923087</v>
      </c>
      <c r="J73" s="94" t="s">
        <v>226</v>
      </c>
      <c r="K73" s="94" t="s">
        <v>142</v>
      </c>
      <c r="L73" s="94" t="s">
        <v>82</v>
      </c>
      <c r="M73" s="155" t="s">
        <v>298</v>
      </c>
      <c r="N73" s="246">
        <f t="shared" si="7"/>
        <v>-0.31414430979039298</v>
      </c>
      <c r="O73" s="247">
        <f t="shared" si="8"/>
        <v>-4997.4923076923087</v>
      </c>
      <c r="P73" s="99" t="s">
        <v>117</v>
      </c>
      <c r="Q73" s="100">
        <v>0.5</v>
      </c>
      <c r="R73" s="99" t="s">
        <v>84</v>
      </c>
      <c r="S73" s="101" t="s">
        <v>101</v>
      </c>
      <c r="T73" s="86" t="s">
        <v>95</v>
      </c>
      <c r="U73" s="86" t="s">
        <v>96</v>
      </c>
      <c r="V73" s="86">
        <v>29</v>
      </c>
      <c r="W73" s="92" t="str">
        <f>A73&amp;B73&amp;C73&amp;D73&amp;E73&amp;G73&amp;J73</f>
        <v>315UND312CCMSDANIEL12-ECOFlbsSO2 SCRUBBER - CU Sales</v>
      </c>
      <c r="X73" s="92"/>
      <c r="AF73" s="102">
        <f>Daniel!$D$44/2</f>
        <v>25.3125</v>
      </c>
    </row>
    <row r="74" spans="1:32" x14ac:dyDescent="0.25">
      <c r="A74" s="153" t="s">
        <v>91</v>
      </c>
      <c r="B74" s="95" t="s">
        <v>92</v>
      </c>
      <c r="C74" s="154" t="s">
        <v>78</v>
      </c>
      <c r="D74" s="94" t="s">
        <v>79</v>
      </c>
      <c r="E74" s="94" t="s">
        <v>297</v>
      </c>
      <c r="F74" s="102">
        <f>Daniel!$D$38/2*Q74</f>
        <v>337.5</v>
      </c>
      <c r="G74" s="94" t="s">
        <v>36</v>
      </c>
      <c r="H74" s="111">
        <f>Daniel!$E$38</f>
        <v>244.89599999999999</v>
      </c>
      <c r="I74" s="113">
        <f>Daniel!$F$38*Q74</f>
        <v>162000</v>
      </c>
      <c r="J74" s="155" t="s">
        <v>223</v>
      </c>
      <c r="K74" s="155"/>
      <c r="L74" s="155"/>
      <c r="M74" s="155" t="s">
        <v>298</v>
      </c>
      <c r="N74" s="246">
        <f t="shared" si="7"/>
        <v>244.89599999999999</v>
      </c>
      <c r="O74" s="247">
        <f t="shared" si="8"/>
        <v>162000</v>
      </c>
      <c r="P74" s="86" t="s">
        <v>83</v>
      </c>
      <c r="Q74" s="100">
        <v>0.5</v>
      </c>
      <c r="R74" s="99" t="s">
        <v>84</v>
      </c>
      <c r="S74" s="101" t="s">
        <v>85</v>
      </c>
      <c r="T74" s="86" t="s">
        <v>95</v>
      </c>
      <c r="U74" s="256" t="s">
        <v>96</v>
      </c>
      <c r="V74" s="86">
        <v>26</v>
      </c>
      <c r="W74" s="92" t="str">
        <f>A74&amp;C74&amp;D74&amp;E74&amp;F74&amp;G74&amp;H74&amp;J74</f>
        <v>312UNDCCLRDANIEL12-ECOF337.5nt244.896SO2 SCRUBBER - Demo FE</v>
      </c>
      <c r="X74" s="256"/>
      <c r="AF74" s="156">
        <f>Daniel!$D$45/2</f>
        <v>0.5</v>
      </c>
    </row>
    <row r="75" spans="1:32" x14ac:dyDescent="0.25">
      <c r="A75" s="153" t="s">
        <v>91</v>
      </c>
      <c r="B75" s="95" t="s">
        <v>92</v>
      </c>
      <c r="C75" s="154" t="s">
        <v>78</v>
      </c>
      <c r="D75" s="94" t="s">
        <v>121</v>
      </c>
      <c r="E75" s="94" t="s">
        <v>297</v>
      </c>
      <c r="F75" s="102">
        <f>Daniel!$D$39/2*Q75</f>
        <v>337.5</v>
      </c>
      <c r="G75" s="94" t="s">
        <v>36</v>
      </c>
      <c r="H75" s="111">
        <f>Daniel!$E$39</f>
        <v>-108.3695731319762</v>
      </c>
      <c r="I75" s="113">
        <f>Daniel!$F$39*Q75</f>
        <v>-121855.26315789473</v>
      </c>
      <c r="J75" s="155" t="s">
        <v>224</v>
      </c>
      <c r="K75" s="94" t="s">
        <v>100</v>
      </c>
      <c r="L75" s="155"/>
      <c r="M75" s="155" t="s">
        <v>298</v>
      </c>
      <c r="N75" s="246">
        <f t="shared" si="7"/>
        <v>-108.3695731319762</v>
      </c>
      <c r="O75" s="247">
        <f t="shared" si="8"/>
        <v>-121855.26315789473</v>
      </c>
      <c r="P75" s="86" t="s">
        <v>83</v>
      </c>
      <c r="Q75" s="100">
        <v>0.5</v>
      </c>
      <c r="R75" s="99" t="s">
        <v>84</v>
      </c>
      <c r="S75" s="101" t="s">
        <v>101</v>
      </c>
      <c r="T75" s="86" t="s">
        <v>95</v>
      </c>
      <c r="U75" s="256" t="s">
        <v>96</v>
      </c>
      <c r="V75" s="86">
        <v>27</v>
      </c>
      <c r="W75" s="92" t="str">
        <f>A75&amp;C75&amp;D75&amp;E75&amp;F75&amp;G75&amp;H75&amp;J75</f>
        <v>312UNDCCMSDANIEL12-ECOF337.5nt-108.369573131976SO2 SCRUBBER - FE Sales</v>
      </c>
      <c r="X75" s="256"/>
      <c r="AF75" s="102">
        <f>Daniel!$D$46/2</f>
        <v>3488.8888888888887</v>
      </c>
    </row>
    <row r="76" spans="1:32" x14ac:dyDescent="0.25">
      <c r="A76" s="94" t="s">
        <v>155</v>
      </c>
      <c r="B76" s="95" t="s">
        <v>92</v>
      </c>
      <c r="C76" s="95" t="s">
        <v>78</v>
      </c>
      <c r="D76" s="94" t="s">
        <v>163</v>
      </c>
      <c r="E76" s="94" t="s">
        <v>297</v>
      </c>
      <c r="F76" s="102">
        <f>Daniel!$D$46/2*Q76</f>
        <v>1744.4444444444443</v>
      </c>
      <c r="G76" s="94" t="s">
        <v>36</v>
      </c>
      <c r="H76" s="111">
        <f>Daniel!$E$46</f>
        <v>15.305999999999999</v>
      </c>
      <c r="I76" s="113">
        <f>Daniel!$F$46*Q76</f>
        <v>52333.333333333328</v>
      </c>
      <c r="J76" s="94" t="s">
        <v>225</v>
      </c>
      <c r="K76" s="94" t="s">
        <v>82</v>
      </c>
      <c r="L76" s="94" t="s">
        <v>82</v>
      </c>
      <c r="M76" s="155" t="s">
        <v>298</v>
      </c>
      <c r="N76" s="246">
        <f t="shared" si="7"/>
        <v>15.305999999999999</v>
      </c>
      <c r="O76" s="247">
        <f t="shared" si="8"/>
        <v>52333.333333333328</v>
      </c>
      <c r="P76" s="99" t="s">
        <v>117</v>
      </c>
      <c r="Q76" s="100">
        <v>0.5</v>
      </c>
      <c r="R76" s="99" t="s">
        <v>84</v>
      </c>
      <c r="S76" s="101" t="s">
        <v>128</v>
      </c>
      <c r="T76" s="86" t="s">
        <v>95</v>
      </c>
      <c r="U76" s="86" t="s">
        <v>96</v>
      </c>
      <c r="V76" s="86">
        <v>34</v>
      </c>
      <c r="W76" s="92" t="str">
        <f t="shared" ref="W76:W98" si="10">A76&amp;B76&amp;C76&amp;D76&amp;E76&amp;G76&amp;J76</f>
        <v>3111002CN312CCLDDANIEL12-ECOFntSO2 SCRUBBER - Process, haul and backfill brick &amp; block</v>
      </c>
      <c r="X76" s="92"/>
    </row>
    <row r="77" spans="1:32" x14ac:dyDescent="0.25">
      <c r="A77" s="94" t="s">
        <v>91</v>
      </c>
      <c r="B77" s="95" t="s">
        <v>92</v>
      </c>
      <c r="C77" s="95" t="s">
        <v>78</v>
      </c>
      <c r="D77" s="94" t="s">
        <v>121</v>
      </c>
      <c r="E77" s="94" t="s">
        <v>297</v>
      </c>
      <c r="F77" s="102">
        <f>Daniel!$D$42/2*Q77</f>
        <v>4050</v>
      </c>
      <c r="G77" s="94" t="s">
        <v>39</v>
      </c>
      <c r="H77" s="111">
        <f>Daniel!$E$42</f>
        <v>-0.13699903999999999</v>
      </c>
      <c r="I77" s="113">
        <f>Daniel!$F$42*Q77</f>
        <v>-1489.9140546006067</v>
      </c>
      <c r="J77" s="94" t="s">
        <v>228</v>
      </c>
      <c r="K77" s="94" t="s">
        <v>148</v>
      </c>
      <c r="L77" s="94" t="s">
        <v>82</v>
      </c>
      <c r="M77" s="155" t="s">
        <v>298</v>
      </c>
      <c r="N77" s="246">
        <f t="shared" si="7"/>
        <v>-0.13699903999999999</v>
      </c>
      <c r="O77" s="247">
        <f t="shared" si="8"/>
        <v>-1489.9140546006067</v>
      </c>
      <c r="P77" s="99" t="s">
        <v>117</v>
      </c>
      <c r="Q77" s="100">
        <v>0.5</v>
      </c>
      <c r="R77" s="99" t="s">
        <v>84</v>
      </c>
      <c r="S77" s="101" t="s">
        <v>101</v>
      </c>
      <c r="T77" s="86" t="s">
        <v>95</v>
      </c>
      <c r="U77" s="86" t="s">
        <v>96</v>
      </c>
      <c r="V77" s="86">
        <v>30</v>
      </c>
      <c r="W77" s="92" t="str">
        <f t="shared" si="10"/>
        <v>312UND312CCMSDANIEL12-ECOFlbsSO2 SCRUBBER - SS Sales</v>
      </c>
      <c r="X77" s="92"/>
    </row>
    <row r="78" spans="1:32" s="184" customFormat="1" x14ac:dyDescent="0.25">
      <c r="A78" s="94" t="s">
        <v>138</v>
      </c>
      <c r="B78" s="95" t="s">
        <v>92</v>
      </c>
      <c r="C78" s="95" t="s">
        <v>78</v>
      </c>
      <c r="D78" s="94" t="s">
        <v>79</v>
      </c>
      <c r="E78" s="94" t="s">
        <v>297</v>
      </c>
      <c r="F78" s="102">
        <f>Daniel!$D$43/2*Q78</f>
        <v>56.25</v>
      </c>
      <c r="G78" s="94" t="s">
        <v>43</v>
      </c>
      <c r="H78" s="111">
        <f>Daniel!$E$43</f>
        <v>107.142</v>
      </c>
      <c r="I78" s="113">
        <f>Daniel!$F$43*Q78</f>
        <v>11812.5</v>
      </c>
      <c r="J78" s="94" t="s">
        <v>229</v>
      </c>
      <c r="K78" s="94" t="s">
        <v>82</v>
      </c>
      <c r="L78" s="94" t="s">
        <v>82</v>
      </c>
      <c r="M78" s="155" t="s">
        <v>298</v>
      </c>
      <c r="N78" s="246">
        <f t="shared" si="7"/>
        <v>107.142</v>
      </c>
      <c r="O78" s="247">
        <f t="shared" si="8"/>
        <v>11812.5</v>
      </c>
      <c r="P78" s="99" t="s">
        <v>117</v>
      </c>
      <c r="Q78" s="100">
        <v>0.5</v>
      </c>
      <c r="R78" s="99" t="s">
        <v>84</v>
      </c>
      <c r="S78" s="101" t="s">
        <v>85</v>
      </c>
      <c r="T78" s="86" t="s">
        <v>95</v>
      </c>
      <c r="U78" s="86" t="s">
        <v>96</v>
      </c>
      <c r="V78" s="86">
        <v>31</v>
      </c>
      <c r="W78" s="92" t="str">
        <f t="shared" si="10"/>
        <v>314UND312CCLRDANIEL12-ECOFcySO2 SCRUBBER - Stack Foundations Concrete</v>
      </c>
      <c r="X78" s="92"/>
    </row>
    <row r="79" spans="1:32" x14ac:dyDescent="0.25">
      <c r="A79" s="94" t="s">
        <v>118</v>
      </c>
      <c r="B79" s="95" t="s">
        <v>92</v>
      </c>
      <c r="C79" s="95" t="s">
        <v>78</v>
      </c>
      <c r="D79" s="94" t="s">
        <v>163</v>
      </c>
      <c r="E79" s="94" t="s">
        <v>297</v>
      </c>
      <c r="F79" s="102">
        <f>Daniel!$D$44/2*Q79</f>
        <v>12.65625</v>
      </c>
      <c r="G79" s="94" t="s">
        <v>36</v>
      </c>
      <c r="H79" s="111">
        <f>Daniel!$E$44</f>
        <v>66.325999999999993</v>
      </c>
      <c r="I79" s="113">
        <f>Daniel!$F$44*Q79</f>
        <v>1645.3125</v>
      </c>
      <c r="J79" s="94" t="s">
        <v>230</v>
      </c>
      <c r="K79" s="94" t="s">
        <v>82</v>
      </c>
      <c r="L79" s="94" t="s">
        <v>82</v>
      </c>
      <c r="M79" s="155" t="s">
        <v>298</v>
      </c>
      <c r="N79" s="246">
        <f t="shared" si="7"/>
        <v>66.325999999999993</v>
      </c>
      <c r="O79" s="247">
        <f t="shared" si="8"/>
        <v>1645.3125</v>
      </c>
      <c r="P79" s="99" t="s">
        <v>117</v>
      </c>
      <c r="Q79" s="100">
        <v>0.5</v>
      </c>
      <c r="R79" s="99" t="s">
        <v>84</v>
      </c>
      <c r="S79" s="101" t="s">
        <v>128</v>
      </c>
      <c r="T79" s="86" t="s">
        <v>95</v>
      </c>
      <c r="U79" s="86" t="s">
        <v>96</v>
      </c>
      <c r="V79" s="86">
        <v>32</v>
      </c>
      <c r="W79" s="92" t="str">
        <f t="shared" si="10"/>
        <v>311UND312CCLDDANIEL12-ECOFntSO2 SCRUBBER - Transport &amp;  Dispose of Combustibles</v>
      </c>
      <c r="X79" s="92"/>
    </row>
    <row r="80" spans="1:32" x14ac:dyDescent="0.25">
      <c r="A80" s="94" t="s">
        <v>159</v>
      </c>
      <c r="B80" s="95" t="s">
        <v>88</v>
      </c>
      <c r="C80" s="95" t="s">
        <v>78</v>
      </c>
      <c r="D80" s="94" t="s">
        <v>79</v>
      </c>
      <c r="E80" s="109" t="s">
        <v>116</v>
      </c>
      <c r="F80" s="160" t="e">
        <f>Daniel!$D$7*#REF!</f>
        <v>#REF!</v>
      </c>
      <c r="G80" s="94" t="s">
        <v>23</v>
      </c>
      <c r="H80" s="111">
        <f>Daniel!$E$7</f>
        <v>30000</v>
      </c>
      <c r="I80" s="113">
        <f>Daniel!$F$7*$Q80</f>
        <v>15000</v>
      </c>
      <c r="J80" s="94" t="s">
        <v>25</v>
      </c>
      <c r="K80" s="94" t="s">
        <v>82</v>
      </c>
      <c r="L80" s="94" t="s">
        <v>82</v>
      </c>
      <c r="M80" s="94" t="s">
        <v>25</v>
      </c>
      <c r="N80" s="246">
        <f t="shared" si="7"/>
        <v>30000</v>
      </c>
      <c r="O80" s="247">
        <f t="shared" si="8"/>
        <v>15000</v>
      </c>
      <c r="P80" s="99" t="s">
        <v>117</v>
      </c>
      <c r="Q80" s="100">
        <v>0.5</v>
      </c>
      <c r="R80" s="99" t="s">
        <v>84</v>
      </c>
      <c r="S80" s="101" t="s">
        <v>85</v>
      </c>
      <c r="T80" s="86" t="s">
        <v>95</v>
      </c>
      <c r="V80" s="86">
        <v>3</v>
      </c>
      <c r="W80" s="92" t="str">
        <f t="shared" si="10"/>
        <v>3080241SW308CCLRDANIEL12-NONlsStorm Water Prevention Plan</v>
      </c>
      <c r="X80" s="92"/>
    </row>
    <row r="81" spans="1:24" x14ac:dyDescent="0.25">
      <c r="A81" s="94" t="s">
        <v>105</v>
      </c>
      <c r="B81" s="95" t="s">
        <v>106</v>
      </c>
      <c r="C81" s="95" t="s">
        <v>78</v>
      </c>
      <c r="D81" s="94" t="s">
        <v>79</v>
      </c>
      <c r="E81" s="94" t="s">
        <v>80</v>
      </c>
      <c r="F81" s="96">
        <v>2</v>
      </c>
      <c r="G81" s="94" t="s">
        <v>16</v>
      </c>
      <c r="H81" s="111">
        <f>SUMIFS($I$3:$I$98,$E$3:$E$98,$E81,$U$3:$U$98,"MARKUP",$S$3:$S$98,"REMOVAL")*0.01</f>
        <v>14059.87609152</v>
      </c>
      <c r="I81" s="113">
        <f>F81*H81</f>
        <v>28119.75218304</v>
      </c>
      <c r="J81" s="98" t="s">
        <v>107</v>
      </c>
      <c r="K81" s="94" t="s">
        <v>82</v>
      </c>
      <c r="L81" s="94" t="s">
        <v>82</v>
      </c>
      <c r="M81" s="94" t="s">
        <v>107</v>
      </c>
      <c r="N81" s="246">
        <f t="shared" si="7"/>
        <v>14059.87609152</v>
      </c>
      <c r="O81" s="247">
        <f t="shared" si="8"/>
        <v>28119.75218304</v>
      </c>
      <c r="P81" s="99" t="s">
        <v>83</v>
      </c>
      <c r="Q81" s="100">
        <v>0.5</v>
      </c>
      <c r="R81" s="99" t="s">
        <v>84</v>
      </c>
      <c r="S81" s="101" t="s">
        <v>85</v>
      </c>
      <c r="T81" s="86" t="s">
        <v>86</v>
      </c>
      <c r="W81" s="92" t="str">
        <f t="shared" si="10"/>
        <v>3070201307CCLRDANIEL12-ECO%TEMPORARY CONSTRUCTION SERVICES</v>
      </c>
      <c r="X81" s="92"/>
    </row>
    <row r="82" spans="1:24" x14ac:dyDescent="0.25">
      <c r="A82" s="94" t="s">
        <v>105</v>
      </c>
      <c r="B82" s="95" t="s">
        <v>106</v>
      </c>
      <c r="C82" s="95" t="s">
        <v>78</v>
      </c>
      <c r="D82" s="94" t="s">
        <v>79</v>
      </c>
      <c r="E82" s="94" t="s">
        <v>297</v>
      </c>
      <c r="F82" s="96">
        <v>2</v>
      </c>
      <c r="G82" s="94" t="s">
        <v>16</v>
      </c>
      <c r="H82" s="111">
        <f>SUMIFS($I$3:$I$98,$C$3:$C$98,$C82,$E$3:$E$98,$E82,$U$3:$U$98,"MARKUP",$S$3:$S$98,"REMOVAL")*0.01</f>
        <v>5988.125</v>
      </c>
      <c r="I82" s="113">
        <f>F82*H82</f>
        <v>11976.25</v>
      </c>
      <c r="J82" s="98" t="s">
        <v>107</v>
      </c>
      <c r="K82" s="94" t="s">
        <v>82</v>
      </c>
      <c r="L82" s="94" t="s">
        <v>82</v>
      </c>
      <c r="M82" s="155" t="s">
        <v>298</v>
      </c>
      <c r="N82" s="246">
        <f t="shared" si="7"/>
        <v>5988.125</v>
      </c>
      <c r="O82" s="247">
        <f t="shared" si="8"/>
        <v>11976.25</v>
      </c>
      <c r="P82" s="99" t="s">
        <v>83</v>
      </c>
      <c r="Q82" s="100">
        <v>0.5</v>
      </c>
      <c r="R82" s="99" t="s">
        <v>84</v>
      </c>
      <c r="S82" s="101" t="s">
        <v>85</v>
      </c>
      <c r="T82" s="86" t="s">
        <v>86</v>
      </c>
      <c r="W82" s="92" t="str">
        <f t="shared" si="10"/>
        <v>3070201307CCLRDANIEL12-ECOF%TEMPORARY CONSTRUCTION SERVICES</v>
      </c>
      <c r="X82" s="92"/>
    </row>
    <row r="83" spans="1:24" x14ac:dyDescent="0.25">
      <c r="A83" s="94" t="s">
        <v>105</v>
      </c>
      <c r="B83" s="95" t="s">
        <v>106</v>
      </c>
      <c r="C83" s="95" t="s">
        <v>78</v>
      </c>
      <c r="D83" s="94" t="s">
        <v>79</v>
      </c>
      <c r="E83" s="109" t="s">
        <v>116</v>
      </c>
      <c r="F83" s="96">
        <v>2</v>
      </c>
      <c r="G83" s="94" t="s">
        <v>16</v>
      </c>
      <c r="H83" s="111">
        <f>SUMIFS($I$3:$I$98,$E$3:$E$98,$E83,$U$3:$U$98,"MARKUP",$S$3:$S$98,"REMOVAL")*0.01</f>
        <v>57262.91882744887</v>
      </c>
      <c r="I83" s="113">
        <f>(F83*H83)</f>
        <v>114525.83765489774</v>
      </c>
      <c r="J83" s="98" t="s">
        <v>107</v>
      </c>
      <c r="K83" s="94" t="s">
        <v>82</v>
      </c>
      <c r="L83" s="94" t="s">
        <v>82</v>
      </c>
      <c r="M83" s="94" t="s">
        <v>160</v>
      </c>
      <c r="N83" s="246">
        <f t="shared" si="7"/>
        <v>57262.91882744887</v>
      </c>
      <c r="O83" s="247">
        <f t="shared" si="8"/>
        <v>114525.83765489774</v>
      </c>
      <c r="P83" s="99" t="s">
        <v>117</v>
      </c>
      <c r="Q83" s="100">
        <v>0.5</v>
      </c>
      <c r="R83" s="99" t="s">
        <v>84</v>
      </c>
      <c r="S83" s="101" t="s">
        <v>85</v>
      </c>
      <c r="T83" s="86" t="s">
        <v>86</v>
      </c>
      <c r="W83" s="92" t="str">
        <f t="shared" si="10"/>
        <v>3070201307CCLRDANIEL12-NON%TEMPORARY CONSTRUCTION SERVICES</v>
      </c>
      <c r="X83" s="92"/>
    </row>
    <row r="84" spans="1:24" x14ac:dyDescent="0.25">
      <c r="A84" s="94" t="s">
        <v>118</v>
      </c>
      <c r="B84" s="95" t="s">
        <v>111</v>
      </c>
      <c r="C84" s="95">
        <v>1</v>
      </c>
      <c r="D84" s="94" t="s">
        <v>127</v>
      </c>
      <c r="E84" s="94" t="s">
        <v>116</v>
      </c>
      <c r="F84" s="102">
        <f>Daniel!$D$25/2*$Q84</f>
        <v>217.97590499999998</v>
      </c>
      <c r="G84" s="94" t="s">
        <v>36</v>
      </c>
      <c r="H84" s="111">
        <f>Daniel!$E$25</f>
        <v>66.325999999999993</v>
      </c>
      <c r="I84" s="186">
        <f>Daniel!$F$25/2*$Q84</f>
        <v>14457.469875029998</v>
      </c>
      <c r="J84" s="94" t="s">
        <v>45</v>
      </c>
      <c r="K84" s="94" t="s">
        <v>82</v>
      </c>
      <c r="L84" s="94" t="s">
        <v>82</v>
      </c>
      <c r="M84" s="94" t="s">
        <v>45</v>
      </c>
      <c r="N84" s="246">
        <f t="shared" si="7"/>
        <v>66.325999999999993</v>
      </c>
      <c r="O84" s="247">
        <f t="shared" si="8"/>
        <v>14457.469875029998</v>
      </c>
      <c r="P84" s="99" t="s">
        <v>117</v>
      </c>
      <c r="Q84" s="100">
        <v>0.5</v>
      </c>
      <c r="R84" s="99" t="s">
        <v>84</v>
      </c>
      <c r="S84" s="101" t="s">
        <v>128</v>
      </c>
      <c r="T84" s="86" t="s">
        <v>95</v>
      </c>
      <c r="U84" s="86" t="s">
        <v>96</v>
      </c>
      <c r="V84" s="86">
        <v>17</v>
      </c>
      <c r="W84" s="92" t="str">
        <f t="shared" si="10"/>
        <v>311UND31111LDDANIEL12-NONntTransport &amp;  Dispose of Combustibles</v>
      </c>
      <c r="X84" s="92"/>
    </row>
    <row r="85" spans="1:24" x14ac:dyDescent="0.25">
      <c r="A85" s="94" t="s">
        <v>118</v>
      </c>
      <c r="B85" s="95" t="s">
        <v>111</v>
      </c>
      <c r="C85" s="95">
        <v>2</v>
      </c>
      <c r="D85" s="94" t="s">
        <v>129</v>
      </c>
      <c r="E85" s="94" t="s">
        <v>116</v>
      </c>
      <c r="F85" s="102">
        <f>Daniel!$D$25/2*$Q85</f>
        <v>217.97590499999998</v>
      </c>
      <c r="G85" s="94" t="s">
        <v>36</v>
      </c>
      <c r="H85" s="111">
        <f>Daniel!$E$25</f>
        <v>66.325999999999993</v>
      </c>
      <c r="I85" s="186">
        <f>Daniel!$F$25/2*$Q85</f>
        <v>14457.469875029998</v>
      </c>
      <c r="J85" s="94" t="s">
        <v>45</v>
      </c>
      <c r="K85" s="94" t="s">
        <v>82</v>
      </c>
      <c r="L85" s="94" t="s">
        <v>82</v>
      </c>
      <c r="M85" s="94" t="s">
        <v>45</v>
      </c>
      <c r="N85" s="246">
        <f t="shared" ref="N85:N98" si="11">H85</f>
        <v>66.325999999999993</v>
      </c>
      <c r="O85" s="247">
        <f t="shared" ref="O85:O98" si="12">I85</f>
        <v>14457.469875029998</v>
      </c>
      <c r="P85" s="99" t="s">
        <v>117</v>
      </c>
      <c r="Q85" s="100">
        <v>0.5</v>
      </c>
      <c r="R85" s="99" t="s">
        <v>84</v>
      </c>
      <c r="S85" s="101" t="s">
        <v>128</v>
      </c>
      <c r="T85" s="86" t="s">
        <v>95</v>
      </c>
      <c r="U85" s="86" t="s">
        <v>96</v>
      </c>
      <c r="V85" s="86">
        <v>17</v>
      </c>
      <c r="W85" s="92" t="str">
        <f t="shared" si="10"/>
        <v>311UND31122LDDANIEL12-NONntTransport &amp;  Dispose of Combustibles</v>
      </c>
      <c r="X85" s="92"/>
    </row>
    <row r="86" spans="1:24" x14ac:dyDescent="0.25">
      <c r="A86" s="94" t="s">
        <v>161</v>
      </c>
      <c r="B86" s="95" t="s">
        <v>162</v>
      </c>
      <c r="C86" s="95" t="s">
        <v>78</v>
      </c>
      <c r="D86" s="94" t="s">
        <v>163</v>
      </c>
      <c r="E86" s="109" t="s">
        <v>116</v>
      </c>
      <c r="F86" s="102">
        <f>Daniel!$D$51*0.85*$Q86</f>
        <v>27.625</v>
      </c>
      <c r="G86" s="94" t="s">
        <v>36</v>
      </c>
      <c r="H86" s="111">
        <f>Daniel!$E$51</f>
        <v>66.325999999999993</v>
      </c>
      <c r="I86" s="113">
        <f>Daniel!$F$51*0.85*$Q86</f>
        <v>1832.2557499999998</v>
      </c>
      <c r="J86" s="94" t="s">
        <v>45</v>
      </c>
      <c r="K86" s="94" t="s">
        <v>82</v>
      </c>
      <c r="L86" s="94" t="s">
        <v>82</v>
      </c>
      <c r="M86" s="94" t="s">
        <v>45</v>
      </c>
      <c r="N86" s="246">
        <f t="shared" si="11"/>
        <v>66.325999999999993</v>
      </c>
      <c r="O86" s="247">
        <f t="shared" si="12"/>
        <v>1832.2557499999998</v>
      </c>
      <c r="P86" s="99" t="s">
        <v>117</v>
      </c>
      <c r="Q86" s="100">
        <v>0.5</v>
      </c>
      <c r="R86" s="99" t="s">
        <v>84</v>
      </c>
      <c r="S86" s="101" t="s">
        <v>128</v>
      </c>
      <c r="T86" s="86" t="s">
        <v>95</v>
      </c>
      <c r="U86" s="86" t="s">
        <v>96</v>
      </c>
      <c r="V86" s="86">
        <v>37</v>
      </c>
      <c r="W86" s="92" t="str">
        <f t="shared" si="10"/>
        <v>341UND341CCLDDANIEL12-NONntTransport &amp;  Dispose of Combustibles</v>
      </c>
      <c r="X86" s="92"/>
    </row>
    <row r="87" spans="1:24" x14ac:dyDescent="0.25">
      <c r="A87" s="94" t="s">
        <v>143</v>
      </c>
      <c r="B87" s="95" t="s">
        <v>144</v>
      </c>
      <c r="C87" s="95">
        <v>1</v>
      </c>
      <c r="D87" s="94" t="s">
        <v>98</v>
      </c>
      <c r="E87" s="94" t="s">
        <v>116</v>
      </c>
      <c r="F87" s="102">
        <f>Daniel!$D$29/2*$Q87</f>
        <v>63028.357932732208</v>
      </c>
      <c r="G87" s="94" t="s">
        <v>39</v>
      </c>
      <c r="H87" s="111">
        <f>Daniel!$E$29</f>
        <v>-0.31414430979039298</v>
      </c>
      <c r="I87" s="186">
        <f>Daniel!$F$29/2*$Q87</f>
        <v>-19800</v>
      </c>
      <c r="J87" s="94" t="s">
        <v>164</v>
      </c>
      <c r="K87" s="94" t="s">
        <v>142</v>
      </c>
      <c r="L87" s="94" t="s">
        <v>165</v>
      </c>
      <c r="M87" s="94" t="s">
        <v>296</v>
      </c>
      <c r="N87" s="246">
        <f t="shared" si="11"/>
        <v>-0.31414430979039298</v>
      </c>
      <c r="O87" s="247">
        <f t="shared" si="12"/>
        <v>-19800</v>
      </c>
      <c r="P87" s="99" t="s">
        <v>117</v>
      </c>
      <c r="Q87" s="100">
        <v>0.5</v>
      </c>
      <c r="R87" s="99" t="s">
        <v>84</v>
      </c>
      <c r="S87" s="101" t="s">
        <v>101</v>
      </c>
      <c r="T87" s="86" t="s">
        <v>95</v>
      </c>
      <c r="U87" s="86" t="s">
        <v>96</v>
      </c>
      <c r="V87" s="86">
        <v>21</v>
      </c>
      <c r="W87" s="92" t="str">
        <f t="shared" si="10"/>
        <v>315UND31511MSDANIEL12-NONlbsUnit &amp; Service Transformers - CU Sales</v>
      </c>
      <c r="X87" s="92"/>
    </row>
    <row r="88" spans="1:24" x14ac:dyDescent="0.25">
      <c r="A88" s="94" t="s">
        <v>143</v>
      </c>
      <c r="B88" s="95" t="s">
        <v>144</v>
      </c>
      <c r="C88" s="95">
        <v>2</v>
      </c>
      <c r="D88" s="94" t="s">
        <v>102</v>
      </c>
      <c r="E88" s="94" t="s">
        <v>116</v>
      </c>
      <c r="F88" s="102">
        <f>Daniel!$D$29/2*$Q88</f>
        <v>63028.357932732208</v>
      </c>
      <c r="G88" s="94" t="s">
        <v>39</v>
      </c>
      <c r="H88" s="111">
        <f>Daniel!$E$29</f>
        <v>-0.31414430979039298</v>
      </c>
      <c r="I88" s="186">
        <f>Daniel!$F$29/2*$Q88</f>
        <v>-19800</v>
      </c>
      <c r="J88" s="94" t="s">
        <v>164</v>
      </c>
      <c r="K88" s="94" t="s">
        <v>142</v>
      </c>
      <c r="L88" s="94" t="s">
        <v>165</v>
      </c>
      <c r="M88" s="94" t="s">
        <v>296</v>
      </c>
      <c r="N88" s="246">
        <f t="shared" si="11"/>
        <v>-0.31414430979039298</v>
      </c>
      <c r="O88" s="247">
        <f t="shared" si="12"/>
        <v>-19800</v>
      </c>
      <c r="P88" s="99" t="s">
        <v>117</v>
      </c>
      <c r="Q88" s="100">
        <v>0.5</v>
      </c>
      <c r="R88" s="99" t="s">
        <v>84</v>
      </c>
      <c r="S88" s="101" t="s">
        <v>101</v>
      </c>
      <c r="T88" s="86" t="s">
        <v>95</v>
      </c>
      <c r="U88" s="86" t="s">
        <v>96</v>
      </c>
      <c r="V88" s="86">
        <v>21</v>
      </c>
      <c r="W88" s="92" t="str">
        <f t="shared" si="10"/>
        <v>315UND31522MSDANIEL12-NONlbsUnit &amp; Service Transformers - CU Sales</v>
      </c>
      <c r="X88" s="92"/>
    </row>
    <row r="89" spans="1:24" x14ac:dyDescent="0.25">
      <c r="A89" s="94" t="s">
        <v>143</v>
      </c>
      <c r="B89" s="95" t="s">
        <v>144</v>
      </c>
      <c r="C89" s="95">
        <v>1</v>
      </c>
      <c r="D89" s="94" t="s">
        <v>93</v>
      </c>
      <c r="E89" s="94" t="s">
        <v>116</v>
      </c>
      <c r="F89" s="102">
        <f>Daniel!$D$28/2*$Q89</f>
        <v>30</v>
      </c>
      <c r="G89" s="94" t="s">
        <v>36</v>
      </c>
      <c r="H89" s="111">
        <f>Daniel!$E$28</f>
        <v>244.89599999999999</v>
      </c>
      <c r="I89" s="186">
        <f>Daniel!$F$28/2*$Q89</f>
        <v>7346.8799999999992</v>
      </c>
      <c r="J89" s="94" t="s">
        <v>49</v>
      </c>
      <c r="K89" s="94" t="s">
        <v>82</v>
      </c>
      <c r="L89" s="94" t="s">
        <v>165</v>
      </c>
      <c r="M89" s="94" t="s">
        <v>166</v>
      </c>
      <c r="N89" s="246">
        <f t="shared" si="11"/>
        <v>244.89599999999999</v>
      </c>
      <c r="O89" s="247">
        <f t="shared" si="12"/>
        <v>7346.8799999999992</v>
      </c>
      <c r="P89" s="99" t="s">
        <v>117</v>
      </c>
      <c r="Q89" s="100">
        <v>0.5</v>
      </c>
      <c r="R89" s="99" t="s">
        <v>84</v>
      </c>
      <c r="S89" s="101" t="s">
        <v>85</v>
      </c>
      <c r="T89" s="86" t="s">
        <v>95</v>
      </c>
      <c r="U89" s="86" t="s">
        <v>96</v>
      </c>
      <c r="V89" s="86">
        <v>20</v>
      </c>
      <c r="W89" s="92" t="str">
        <f t="shared" si="10"/>
        <v>315UND31511LRDANIEL12-NONntUnit &amp; Service Transformers - Demo</v>
      </c>
      <c r="X89" s="92"/>
    </row>
    <row r="90" spans="1:24" x14ac:dyDescent="0.25">
      <c r="A90" s="94" t="s">
        <v>143</v>
      </c>
      <c r="B90" s="95" t="s">
        <v>144</v>
      </c>
      <c r="C90" s="95">
        <v>2</v>
      </c>
      <c r="D90" s="94" t="s">
        <v>97</v>
      </c>
      <c r="E90" s="94" t="s">
        <v>116</v>
      </c>
      <c r="F90" s="102">
        <f>Daniel!$D$28/2*$Q90</f>
        <v>30</v>
      </c>
      <c r="G90" s="94" t="s">
        <v>36</v>
      </c>
      <c r="H90" s="111">
        <f>Daniel!$E$28</f>
        <v>244.89599999999999</v>
      </c>
      <c r="I90" s="186">
        <f>Daniel!$F$28/2*$Q90</f>
        <v>7346.8799999999992</v>
      </c>
      <c r="J90" s="94" t="s">
        <v>49</v>
      </c>
      <c r="K90" s="94" t="s">
        <v>82</v>
      </c>
      <c r="L90" s="94" t="s">
        <v>165</v>
      </c>
      <c r="M90" s="94" t="s">
        <v>166</v>
      </c>
      <c r="N90" s="246">
        <f t="shared" si="11"/>
        <v>244.89599999999999</v>
      </c>
      <c r="O90" s="247">
        <f t="shared" si="12"/>
        <v>7346.8799999999992</v>
      </c>
      <c r="P90" s="99" t="s">
        <v>117</v>
      </c>
      <c r="Q90" s="100">
        <v>0.5</v>
      </c>
      <c r="R90" s="99" t="s">
        <v>84</v>
      </c>
      <c r="S90" s="101" t="s">
        <v>85</v>
      </c>
      <c r="T90" s="86" t="s">
        <v>95</v>
      </c>
      <c r="U90" s="86" t="s">
        <v>96</v>
      </c>
      <c r="V90" s="86">
        <v>20</v>
      </c>
      <c r="W90" s="92" t="str">
        <f t="shared" si="10"/>
        <v>315UND31522LRDANIEL12-NONntUnit &amp; Service Transformers - Demo</v>
      </c>
      <c r="X90" s="92"/>
    </row>
    <row r="91" spans="1:24" x14ac:dyDescent="0.25">
      <c r="A91" s="94" t="s">
        <v>143</v>
      </c>
      <c r="B91" s="95" t="s">
        <v>144</v>
      </c>
      <c r="C91" s="95">
        <v>1</v>
      </c>
      <c r="D91" s="94" t="s">
        <v>98</v>
      </c>
      <c r="E91" s="94" t="s">
        <v>116</v>
      </c>
      <c r="F91" s="102">
        <f>Daniel!$D$30/2*$Q91</f>
        <v>30</v>
      </c>
      <c r="G91" s="94" t="s">
        <v>36</v>
      </c>
      <c r="H91" s="111">
        <f>Daniel!$E$30</f>
        <v>-108.3695731319762</v>
      </c>
      <c r="I91" s="186">
        <f>Daniel!$F$30/2*$Q91</f>
        <v>-3251.0871939592857</v>
      </c>
      <c r="J91" s="94" t="s">
        <v>51</v>
      </c>
      <c r="K91" s="94" t="s">
        <v>100</v>
      </c>
      <c r="L91" s="94" t="s">
        <v>165</v>
      </c>
      <c r="M91" s="94" t="s">
        <v>296</v>
      </c>
      <c r="N91" s="246">
        <f t="shared" si="11"/>
        <v>-108.3695731319762</v>
      </c>
      <c r="O91" s="247">
        <f t="shared" si="12"/>
        <v>-3251.0871939592857</v>
      </c>
      <c r="P91" s="99" t="s">
        <v>117</v>
      </c>
      <c r="Q91" s="100">
        <v>0.5</v>
      </c>
      <c r="R91" s="99" t="s">
        <v>84</v>
      </c>
      <c r="S91" s="101" t="s">
        <v>101</v>
      </c>
      <c r="T91" s="86" t="s">
        <v>95</v>
      </c>
      <c r="U91" s="86" t="s">
        <v>96</v>
      </c>
      <c r="V91" s="86">
        <v>23</v>
      </c>
      <c r="W91" s="92" t="str">
        <f t="shared" si="10"/>
        <v>315UND31511MSDANIEL12-NONntUnit &amp; Service Transformers - FE Sales</v>
      </c>
      <c r="X91" s="92"/>
    </row>
    <row r="92" spans="1:24" x14ac:dyDescent="0.25">
      <c r="A92" s="94" t="s">
        <v>143</v>
      </c>
      <c r="B92" s="95" t="s">
        <v>144</v>
      </c>
      <c r="C92" s="95">
        <v>2</v>
      </c>
      <c r="D92" s="94" t="s">
        <v>102</v>
      </c>
      <c r="E92" s="94" t="s">
        <v>116</v>
      </c>
      <c r="F92" s="102">
        <f>Daniel!$D$30/2*$Q92</f>
        <v>30</v>
      </c>
      <c r="G92" s="94" t="s">
        <v>36</v>
      </c>
      <c r="H92" s="111">
        <f>Daniel!$E$30</f>
        <v>-108.3695731319762</v>
      </c>
      <c r="I92" s="186">
        <f>Daniel!$F$30/2*$Q92</f>
        <v>-3251.0871939592857</v>
      </c>
      <c r="J92" s="94" t="s">
        <v>51</v>
      </c>
      <c r="K92" s="94" t="s">
        <v>100</v>
      </c>
      <c r="L92" s="94" t="s">
        <v>165</v>
      </c>
      <c r="M92" s="94" t="s">
        <v>296</v>
      </c>
      <c r="N92" s="246">
        <f t="shared" si="11"/>
        <v>-108.3695731319762</v>
      </c>
      <c r="O92" s="247">
        <f t="shared" si="12"/>
        <v>-3251.0871939592857</v>
      </c>
      <c r="P92" s="99" t="s">
        <v>117</v>
      </c>
      <c r="Q92" s="100">
        <v>0.5</v>
      </c>
      <c r="R92" s="99" t="s">
        <v>84</v>
      </c>
      <c r="S92" s="101" t="s">
        <v>101</v>
      </c>
      <c r="T92" s="86" t="s">
        <v>95</v>
      </c>
      <c r="U92" s="86" t="s">
        <v>96</v>
      </c>
      <c r="V92" s="86">
        <v>23</v>
      </c>
      <c r="W92" s="92" t="str">
        <f t="shared" si="10"/>
        <v>315UND31522MSDANIEL12-NONntUnit &amp; Service Transformers - FE Sales</v>
      </c>
      <c r="X92" s="92"/>
    </row>
    <row r="93" spans="1:24" x14ac:dyDescent="0.25">
      <c r="A93" s="94" t="s">
        <v>167</v>
      </c>
      <c r="B93" s="95" t="s">
        <v>168</v>
      </c>
      <c r="C93" s="95">
        <v>1</v>
      </c>
      <c r="D93" s="94" t="s">
        <v>127</v>
      </c>
      <c r="E93" s="94" t="s">
        <v>116</v>
      </c>
      <c r="F93" s="102">
        <f>Daniel!$D$57/2*0.9*$Q93</f>
        <v>8719.0362000000005</v>
      </c>
      <c r="G93" s="94" t="s">
        <v>36</v>
      </c>
      <c r="H93" s="111">
        <f>Daniel!$E$57</f>
        <v>6.1223999999999998</v>
      </c>
      <c r="I93" s="186">
        <f>Daniel!$F$57/2*0.9*$Q93</f>
        <v>53381.427230879999</v>
      </c>
      <c r="J93" s="94" t="s">
        <v>56</v>
      </c>
      <c r="K93" s="94" t="s">
        <v>82</v>
      </c>
      <c r="L93" s="94" t="s">
        <v>82</v>
      </c>
      <c r="M93" s="94" t="s">
        <v>56</v>
      </c>
      <c r="N93" s="246">
        <f t="shared" si="11"/>
        <v>6.1223999999999998</v>
      </c>
      <c r="O93" s="247">
        <f t="shared" si="12"/>
        <v>53381.427230879999</v>
      </c>
      <c r="P93" s="99" t="s">
        <v>117</v>
      </c>
      <c r="Q93" s="100">
        <v>0.5</v>
      </c>
      <c r="R93" s="99" t="s">
        <v>84</v>
      </c>
      <c r="S93" s="101" t="s">
        <v>128</v>
      </c>
      <c r="T93" s="86" t="s">
        <v>95</v>
      </c>
      <c r="U93" s="86" t="s">
        <v>96</v>
      </c>
      <c r="W93" s="92" t="str">
        <f t="shared" si="10"/>
        <v>3430000FM34311LDDANIEL12-NONntUniversal Wastes, Grease &amp; Oil Removal</v>
      </c>
      <c r="X93" s="92"/>
    </row>
    <row r="94" spans="1:24" x14ac:dyDescent="0.25">
      <c r="A94" s="94" t="s">
        <v>167</v>
      </c>
      <c r="B94" s="95" t="s">
        <v>168</v>
      </c>
      <c r="C94" s="95">
        <v>2</v>
      </c>
      <c r="D94" s="94" t="s">
        <v>129</v>
      </c>
      <c r="E94" s="94" t="s">
        <v>116</v>
      </c>
      <c r="F94" s="102">
        <f>Daniel!$D$57/2*0.9*$Q94</f>
        <v>8719.0362000000005</v>
      </c>
      <c r="G94" s="94" t="s">
        <v>36</v>
      </c>
      <c r="H94" s="111">
        <f>Daniel!$E$57</f>
        <v>6.1223999999999998</v>
      </c>
      <c r="I94" s="186">
        <f>Daniel!$F$57/2*0.9*$Q94</f>
        <v>53381.427230879999</v>
      </c>
      <c r="J94" s="94" t="s">
        <v>56</v>
      </c>
      <c r="K94" s="94" t="s">
        <v>82</v>
      </c>
      <c r="L94" s="94" t="s">
        <v>82</v>
      </c>
      <c r="M94" s="94" t="s">
        <v>56</v>
      </c>
      <c r="N94" s="246">
        <f t="shared" si="11"/>
        <v>6.1223999999999998</v>
      </c>
      <c r="O94" s="247">
        <f t="shared" si="12"/>
        <v>53381.427230879999</v>
      </c>
      <c r="P94" s="99" t="s">
        <v>117</v>
      </c>
      <c r="Q94" s="100">
        <v>0.5</v>
      </c>
      <c r="R94" s="99" t="s">
        <v>84</v>
      </c>
      <c r="S94" s="101" t="s">
        <v>128</v>
      </c>
      <c r="T94" s="86" t="s">
        <v>95</v>
      </c>
      <c r="U94" s="86" t="s">
        <v>96</v>
      </c>
      <c r="W94" s="92" t="str">
        <f t="shared" si="10"/>
        <v>3430000FM34322LDDANIEL12-NONntUniversal Wastes, Grease &amp; Oil Removal</v>
      </c>
      <c r="X94" s="92"/>
    </row>
    <row r="95" spans="1:24" x14ac:dyDescent="0.25">
      <c r="A95" s="94" t="s">
        <v>118</v>
      </c>
      <c r="B95" s="95" t="s">
        <v>111</v>
      </c>
      <c r="C95" s="95" t="s">
        <v>78</v>
      </c>
      <c r="D95" s="94" t="s">
        <v>79</v>
      </c>
      <c r="E95" s="109" t="s">
        <v>116</v>
      </c>
      <c r="F95" s="160">
        <f>Daniel!$D$12*$Q$7</f>
        <v>0.5</v>
      </c>
      <c r="G95" s="94" t="s">
        <v>23</v>
      </c>
      <c r="H95" s="111">
        <f>Daniel!$E$12</f>
        <v>100000</v>
      </c>
      <c r="I95" s="113">
        <f>Daniel!F12*$Q95</f>
        <v>50000</v>
      </c>
      <c r="J95" s="94" t="s">
        <v>30</v>
      </c>
      <c r="K95" s="94" t="s">
        <v>82</v>
      </c>
      <c r="L95" s="94" t="s">
        <v>82</v>
      </c>
      <c r="M95" s="94" t="s">
        <v>30</v>
      </c>
      <c r="N95" s="246">
        <f t="shared" si="11"/>
        <v>100000</v>
      </c>
      <c r="O95" s="247">
        <f t="shared" si="12"/>
        <v>50000</v>
      </c>
      <c r="P95" s="99" t="s">
        <v>117</v>
      </c>
      <c r="Q95" s="100">
        <v>0.5</v>
      </c>
      <c r="R95" s="99" t="s">
        <v>84</v>
      </c>
      <c r="S95" s="101" t="s">
        <v>85</v>
      </c>
      <c r="T95" s="86" t="s">
        <v>95</v>
      </c>
      <c r="U95" s="86" t="s">
        <v>96</v>
      </c>
      <c r="V95" s="86">
        <v>6</v>
      </c>
      <c r="W95" s="92" t="str">
        <f t="shared" si="10"/>
        <v>311UND311CCLRDANIEL12-NONlsUtility Disconnects</v>
      </c>
      <c r="X95" s="92"/>
    </row>
    <row r="96" spans="1:24" x14ac:dyDescent="0.25">
      <c r="A96" s="94" t="s">
        <v>108</v>
      </c>
      <c r="B96" s="95" t="s">
        <v>88</v>
      </c>
      <c r="C96" s="95" t="s">
        <v>78</v>
      </c>
      <c r="D96" s="94" t="s">
        <v>79</v>
      </c>
      <c r="E96" s="94" t="s">
        <v>80</v>
      </c>
      <c r="F96" s="96">
        <v>0.6</v>
      </c>
      <c r="G96" s="94" t="s">
        <v>16</v>
      </c>
      <c r="H96" s="111">
        <f>SUMIFS($I$3:$I$98,$E$3:$E$98,$E96,$U$3:$U$98,"MARKUP",$S$3:$S$98,"REMOVAL")*0.01</f>
        <v>14059.87609152</v>
      </c>
      <c r="I96" s="113">
        <f>F96*H96</f>
        <v>8435.925654912</v>
      </c>
      <c r="J96" s="98" t="s">
        <v>109</v>
      </c>
      <c r="K96" s="94" t="s">
        <v>82</v>
      </c>
      <c r="L96" s="94" t="s">
        <v>82</v>
      </c>
      <c r="M96" s="94" t="s">
        <v>109</v>
      </c>
      <c r="N96" s="246">
        <f t="shared" si="11"/>
        <v>14059.87609152</v>
      </c>
      <c r="O96" s="247">
        <f t="shared" si="12"/>
        <v>8435.925654912</v>
      </c>
      <c r="P96" s="99" t="s">
        <v>83</v>
      </c>
      <c r="Q96" s="100">
        <v>0.5</v>
      </c>
      <c r="R96" s="99" t="s">
        <v>84</v>
      </c>
      <c r="S96" s="101" t="s">
        <v>85</v>
      </c>
      <c r="T96" s="86" t="s">
        <v>86</v>
      </c>
      <c r="W96" s="92" t="str">
        <f t="shared" si="10"/>
        <v>3080361308CCLRDANIEL12-ECO%WRAP-UP AND ALL-RISK INSURANCE</v>
      </c>
      <c r="X96" s="92"/>
    </row>
    <row r="97" spans="1:24" x14ac:dyDescent="0.25">
      <c r="A97" s="94" t="s">
        <v>108</v>
      </c>
      <c r="B97" s="95" t="s">
        <v>88</v>
      </c>
      <c r="C97" s="95" t="s">
        <v>78</v>
      </c>
      <c r="D97" s="94" t="s">
        <v>79</v>
      </c>
      <c r="E97" s="94" t="s">
        <v>297</v>
      </c>
      <c r="F97" s="96">
        <v>0.6</v>
      </c>
      <c r="G97" s="94" t="s">
        <v>16</v>
      </c>
      <c r="H97" s="111">
        <f>SUMIFS($I$3:$I$98,$C$3:$C$98,$C97,$E$3:$E$98,$E97,$U$3:$U$98,"MARKUP",$S$3:$S$98,"REMOVAL")*0.01</f>
        <v>5988.125</v>
      </c>
      <c r="I97" s="113">
        <f>F97*H97</f>
        <v>3592.875</v>
      </c>
      <c r="J97" s="98" t="s">
        <v>109</v>
      </c>
      <c r="K97" s="94" t="s">
        <v>82</v>
      </c>
      <c r="L97" s="94" t="s">
        <v>82</v>
      </c>
      <c r="M97" s="155" t="s">
        <v>298</v>
      </c>
      <c r="N97" s="246">
        <f t="shared" si="11"/>
        <v>5988.125</v>
      </c>
      <c r="O97" s="247">
        <f t="shared" si="12"/>
        <v>3592.875</v>
      </c>
      <c r="P97" s="99" t="s">
        <v>83</v>
      </c>
      <c r="Q97" s="100">
        <v>0.5</v>
      </c>
      <c r="R97" s="99" t="s">
        <v>84</v>
      </c>
      <c r="S97" s="101" t="s">
        <v>85</v>
      </c>
      <c r="T97" s="86" t="s">
        <v>86</v>
      </c>
      <c r="W97" s="92" t="str">
        <f t="shared" si="10"/>
        <v>3080361308CCLRDANIEL12-ECOF%WRAP-UP AND ALL-RISK INSURANCE</v>
      </c>
      <c r="X97" s="92"/>
    </row>
    <row r="98" spans="1:24" x14ac:dyDescent="0.25">
      <c r="A98" s="94" t="s">
        <v>108</v>
      </c>
      <c r="B98" s="95" t="s">
        <v>88</v>
      </c>
      <c r="C98" s="95" t="s">
        <v>78</v>
      </c>
      <c r="D98" s="94" t="s">
        <v>79</v>
      </c>
      <c r="E98" s="109" t="s">
        <v>116</v>
      </c>
      <c r="F98" s="96">
        <v>0.6</v>
      </c>
      <c r="G98" s="94" t="s">
        <v>16</v>
      </c>
      <c r="H98" s="111">
        <f>SUMIFS($I$3:$I$98,$E$3:$E$98,$E98,$U$3:$U$98,"MARKUP",$S$3:$S$98,"REMOVAL")*0.01</f>
        <v>57262.91882744887</v>
      </c>
      <c r="I98" s="113">
        <f>F98*H98</f>
        <v>34357.751296469323</v>
      </c>
      <c r="J98" s="98" t="s">
        <v>109</v>
      </c>
      <c r="K98" s="94" t="s">
        <v>82</v>
      </c>
      <c r="L98" s="94" t="s">
        <v>82</v>
      </c>
      <c r="M98" s="94" t="s">
        <v>109</v>
      </c>
      <c r="N98" s="246">
        <f t="shared" si="11"/>
        <v>57262.91882744887</v>
      </c>
      <c r="O98" s="247">
        <f t="shared" si="12"/>
        <v>34357.751296469323</v>
      </c>
      <c r="P98" s="99" t="s">
        <v>117</v>
      </c>
      <c r="Q98" s="100">
        <v>0.5</v>
      </c>
      <c r="R98" s="99" t="s">
        <v>84</v>
      </c>
      <c r="S98" s="101" t="s">
        <v>85</v>
      </c>
      <c r="T98" s="86" t="s">
        <v>86</v>
      </c>
      <c r="W98" s="92" t="str">
        <f t="shared" si="10"/>
        <v>3080361308CCLRDANIEL12-NON%WRAP-UP AND ALL-RISK INSURANCE</v>
      </c>
      <c r="X98" s="92"/>
    </row>
    <row r="100" spans="1:24" x14ac:dyDescent="0.25">
      <c r="J100" s="273" t="s">
        <v>302</v>
      </c>
    </row>
  </sheetData>
  <autoFilter ref="A2:AC98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50" sqref="F50"/>
    </sheetView>
  </sheetViews>
  <sheetFormatPr defaultRowHeight="15" x14ac:dyDescent="0.25"/>
  <cols>
    <col min="1" max="1" width="61" bestFit="1" customWidth="1"/>
    <col min="2" max="3" width="12" bestFit="1" customWidth="1"/>
    <col min="4" max="5" width="13.28515625" bestFit="1" customWidth="1"/>
  </cols>
  <sheetData>
    <row r="1" spans="1:5" ht="15.75" x14ac:dyDescent="0.25">
      <c r="A1" s="116" t="s">
        <v>174</v>
      </c>
    </row>
    <row r="2" spans="1:5" ht="15.75" thickBot="1" x14ac:dyDescent="0.3">
      <c r="A2" s="117"/>
    </row>
    <row r="3" spans="1:5" ht="15.75" thickBot="1" x14ac:dyDescent="0.3">
      <c r="A3" s="118"/>
      <c r="B3" s="119" t="s">
        <v>175</v>
      </c>
      <c r="C3" s="119" t="s">
        <v>176</v>
      </c>
      <c r="D3" s="119" t="s">
        <v>177</v>
      </c>
      <c r="E3" s="119" t="s">
        <v>0</v>
      </c>
    </row>
    <row r="4" spans="1:5" ht="15.75" thickBot="1" x14ac:dyDescent="0.3">
      <c r="A4" s="120" t="s">
        <v>178</v>
      </c>
      <c r="B4" s="121">
        <v>0.5</v>
      </c>
      <c r="C4" s="121">
        <v>0.5</v>
      </c>
      <c r="D4" s="121">
        <v>0.5</v>
      </c>
      <c r="E4" s="121">
        <v>0.5</v>
      </c>
    </row>
    <row r="5" spans="1:5" ht="15.75" thickBot="1" x14ac:dyDescent="0.3">
      <c r="A5" s="120" t="s">
        <v>179</v>
      </c>
      <c r="B5" s="122">
        <v>1453000</v>
      </c>
      <c r="C5" s="122">
        <v>1478000</v>
      </c>
      <c r="D5" s="122">
        <v>12841000</v>
      </c>
      <c r="E5" s="122">
        <v>15772000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F39" sqref="F39"/>
    </sheetView>
  </sheetViews>
  <sheetFormatPr defaultRowHeight="15" x14ac:dyDescent="0.25"/>
  <cols>
    <col min="1" max="1" width="8.42578125" bestFit="1" customWidth="1"/>
    <col min="2" max="2" width="11.28515625" bestFit="1" customWidth="1"/>
    <col min="3" max="3" width="9" bestFit="1" customWidth="1"/>
    <col min="4" max="4" width="10.140625" bestFit="1" customWidth="1"/>
    <col min="5" max="6" width="7.85546875" bestFit="1" customWidth="1"/>
    <col min="8" max="8" width="11.42578125" bestFit="1" customWidth="1"/>
    <col min="9" max="9" width="5.140625" bestFit="1" customWidth="1"/>
    <col min="10" max="10" width="8.140625" bestFit="1" customWidth="1"/>
    <col min="11" max="11" width="5.85546875" bestFit="1" customWidth="1"/>
    <col min="12" max="12" width="15.140625" bestFit="1" customWidth="1"/>
    <col min="13" max="13" width="11.42578125" bestFit="1" customWidth="1"/>
    <col min="14" max="14" width="3.5703125" bestFit="1" customWidth="1"/>
    <col min="15" max="15" width="6.5703125" bestFit="1" customWidth="1"/>
    <col min="16" max="16" width="3.5703125" bestFit="1" customWidth="1"/>
    <col min="17" max="17" width="6.5703125" bestFit="1" customWidth="1"/>
    <col min="18" max="18" width="8.140625" bestFit="1" customWidth="1"/>
    <col min="19" max="19" width="5.85546875" bestFit="1" customWidth="1"/>
    <col min="20" max="20" width="14.140625" bestFit="1" customWidth="1"/>
  </cols>
  <sheetData>
    <row r="1" spans="1:20" ht="18.75" x14ac:dyDescent="0.3">
      <c r="A1" s="266" t="s">
        <v>180</v>
      </c>
      <c r="B1" s="266"/>
      <c r="C1" s="266"/>
      <c r="D1" s="266"/>
      <c r="E1" s="266"/>
      <c r="H1" s="267" t="s">
        <v>154</v>
      </c>
      <c r="I1" s="268"/>
      <c r="J1" s="268"/>
      <c r="K1" s="123"/>
      <c r="L1" s="124" t="s">
        <v>181</v>
      </c>
      <c r="M1" s="269" t="s">
        <v>158</v>
      </c>
      <c r="N1" s="270"/>
      <c r="O1" s="270"/>
      <c r="P1" s="270"/>
      <c r="Q1" s="270"/>
      <c r="R1" s="271"/>
      <c r="S1" s="125"/>
      <c r="T1" s="126" t="s">
        <v>182</v>
      </c>
    </row>
    <row r="2" spans="1:20" x14ac:dyDescent="0.25">
      <c r="A2" s="127" t="s">
        <v>183</v>
      </c>
      <c r="B2" s="127" t="s">
        <v>184</v>
      </c>
      <c r="C2" s="127" t="s">
        <v>185</v>
      </c>
      <c r="D2" s="127" t="s">
        <v>186</v>
      </c>
      <c r="E2" s="127" t="s">
        <v>187</v>
      </c>
      <c r="H2" s="128" t="s">
        <v>188</v>
      </c>
      <c r="I2" s="129"/>
      <c r="J2" s="130" t="s">
        <v>189</v>
      </c>
      <c r="K2" s="131" t="s">
        <v>190</v>
      </c>
      <c r="L2" s="129" t="s">
        <v>191</v>
      </c>
      <c r="M2" s="128" t="s">
        <v>192</v>
      </c>
      <c r="N2" s="129"/>
      <c r="O2" s="132" t="s">
        <v>188</v>
      </c>
      <c r="P2" s="129"/>
      <c r="Q2" s="129" t="s">
        <v>193</v>
      </c>
      <c r="R2" s="130" t="s">
        <v>189</v>
      </c>
      <c r="S2" s="131" t="s">
        <v>190</v>
      </c>
      <c r="T2" s="133" t="s">
        <v>191</v>
      </c>
    </row>
    <row r="3" spans="1:20" x14ac:dyDescent="0.25">
      <c r="A3" t="s">
        <v>194</v>
      </c>
      <c r="B3" s="134">
        <v>1464</v>
      </c>
      <c r="C3" s="86"/>
      <c r="D3" t="s">
        <v>195</v>
      </c>
      <c r="E3" s="86">
        <v>2</v>
      </c>
      <c r="F3" t="s">
        <v>196</v>
      </c>
      <c r="H3" s="135">
        <v>2</v>
      </c>
      <c r="I3" s="136">
        <f>ROUNDUP(E3*(H3/12),0)</f>
        <v>1</v>
      </c>
      <c r="J3" s="137">
        <v>6</v>
      </c>
      <c r="K3" s="138">
        <f>I3-J3</f>
        <v>-5</v>
      </c>
      <c r="L3" s="139">
        <f>K3*$F$33</f>
        <v>0</v>
      </c>
      <c r="M3" s="135">
        <v>1</v>
      </c>
      <c r="N3" s="140">
        <f>M3*(E3/12)*5</f>
        <v>0.83333333333333326</v>
      </c>
      <c r="O3" s="141"/>
      <c r="P3" s="140">
        <f>O3*(E3/12)</f>
        <v>0</v>
      </c>
      <c r="Q3" s="136">
        <f>ROUNDUP(N3+P3,0)</f>
        <v>1</v>
      </c>
      <c r="R3" s="137">
        <v>8</v>
      </c>
      <c r="S3" s="138">
        <f>Q3-R3</f>
        <v>-7</v>
      </c>
      <c r="T3" s="142">
        <f>S3*$F$34</f>
        <v>0</v>
      </c>
    </row>
    <row r="4" spans="1:20" x14ac:dyDescent="0.25">
      <c r="A4" t="s">
        <v>197</v>
      </c>
      <c r="B4" s="134">
        <v>56979</v>
      </c>
      <c r="C4" s="86" t="s">
        <v>198</v>
      </c>
      <c r="D4" t="s">
        <v>199</v>
      </c>
      <c r="E4" s="86">
        <v>14</v>
      </c>
      <c r="F4" t="s">
        <v>200</v>
      </c>
      <c r="H4" s="135">
        <v>2</v>
      </c>
      <c r="I4" s="136">
        <f>ROUNDUP(E4*(H4/12),0)</f>
        <v>3</v>
      </c>
      <c r="J4" s="137">
        <v>7</v>
      </c>
      <c r="K4" s="138">
        <f t="shared" ref="K4:K6" si="0">I4-J4</f>
        <v>-4</v>
      </c>
      <c r="L4" s="139">
        <f t="shared" ref="L4:L6" si="1">K4*$F$33</f>
        <v>0</v>
      </c>
      <c r="M4" s="135">
        <v>1</v>
      </c>
      <c r="N4" s="140">
        <f>M4*(E4/12)*5</f>
        <v>5.8333333333333339</v>
      </c>
      <c r="O4" s="141"/>
      <c r="P4" s="140">
        <f>O4*(E4/12)</f>
        <v>0</v>
      </c>
      <c r="Q4" s="136">
        <f t="shared" ref="Q4:Q6" si="2">ROUNDUP(N4+P4,0)</f>
        <v>6</v>
      </c>
      <c r="R4" s="137">
        <v>9</v>
      </c>
      <c r="S4" s="138">
        <f t="shared" ref="S4:S6" si="3">Q4-R4</f>
        <v>-3</v>
      </c>
      <c r="T4" s="142">
        <f t="shared" ref="T4:T6" si="4">S4*$F$34</f>
        <v>0</v>
      </c>
    </row>
    <row r="5" spans="1:20" x14ac:dyDescent="0.25">
      <c r="A5" t="s">
        <v>201</v>
      </c>
      <c r="B5" s="134">
        <v>3839</v>
      </c>
      <c r="C5" s="86" t="s">
        <v>198</v>
      </c>
      <c r="D5" t="s">
        <v>202</v>
      </c>
      <c r="E5" s="86">
        <v>3</v>
      </c>
      <c r="F5" t="s">
        <v>203</v>
      </c>
      <c r="H5" s="135">
        <v>2</v>
      </c>
      <c r="I5" s="136">
        <f>ROUNDUP(E5*(H5/12),0)</f>
        <v>1</v>
      </c>
      <c r="J5" s="137">
        <v>8</v>
      </c>
      <c r="K5" s="138">
        <f t="shared" si="0"/>
        <v>-7</v>
      </c>
      <c r="L5" s="139">
        <f t="shared" si="1"/>
        <v>0</v>
      </c>
      <c r="M5" s="135">
        <v>1</v>
      </c>
      <c r="N5" s="140">
        <f>M5*(E5/12)*5</f>
        <v>1.25</v>
      </c>
      <c r="O5" s="141"/>
      <c r="P5" s="140">
        <f>O5*(E5/12)</f>
        <v>0</v>
      </c>
      <c r="Q5" s="136">
        <f t="shared" si="2"/>
        <v>2</v>
      </c>
      <c r="R5" s="137">
        <v>10</v>
      </c>
      <c r="S5" s="138">
        <f t="shared" si="3"/>
        <v>-8</v>
      </c>
      <c r="T5" s="142">
        <f t="shared" si="4"/>
        <v>0</v>
      </c>
    </row>
    <row r="6" spans="1:20" x14ac:dyDescent="0.25">
      <c r="A6" t="s">
        <v>204</v>
      </c>
      <c r="B6" s="134">
        <v>40048</v>
      </c>
      <c r="C6" s="86" t="s">
        <v>198</v>
      </c>
      <c r="D6" t="s">
        <v>205</v>
      </c>
      <c r="E6" s="86">
        <v>12</v>
      </c>
      <c r="H6" s="135">
        <v>2</v>
      </c>
      <c r="I6" s="136">
        <f>ROUNDUP(E6*(H6/12),0)</f>
        <v>2</v>
      </c>
      <c r="J6" s="137">
        <v>9</v>
      </c>
      <c r="K6" s="138">
        <f t="shared" si="0"/>
        <v>-7</v>
      </c>
      <c r="L6" s="139">
        <f t="shared" si="1"/>
        <v>0</v>
      </c>
      <c r="M6" s="135">
        <v>1</v>
      </c>
      <c r="N6" s="140">
        <f>M6*(E6/12)*5</f>
        <v>5</v>
      </c>
      <c r="O6" s="141"/>
      <c r="P6" s="140">
        <f>O6*(E6/12)</f>
        <v>0</v>
      </c>
      <c r="Q6" s="136">
        <f t="shared" si="2"/>
        <v>5</v>
      </c>
      <c r="R6" s="137">
        <v>11</v>
      </c>
      <c r="S6" s="138">
        <f t="shared" si="3"/>
        <v>-6</v>
      </c>
      <c r="T6" s="142">
        <f t="shared" si="4"/>
        <v>0</v>
      </c>
    </row>
  </sheetData>
  <mergeCells count="3">
    <mergeCell ref="A1:E1"/>
    <mergeCell ref="H1:J1"/>
    <mergeCell ref="M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32"/>
  <sheetViews>
    <sheetView showZeros="0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E40" sqref="E40"/>
    </sheetView>
  </sheetViews>
  <sheetFormatPr defaultRowHeight="15" x14ac:dyDescent="0.25"/>
  <cols>
    <col min="1" max="1" width="8.5703125" style="1" customWidth="1"/>
    <col min="2" max="2" width="51.7109375" style="2" customWidth="1"/>
    <col min="3" max="3" width="4.85546875" style="67" bestFit="1" customWidth="1"/>
    <col min="4" max="4" width="10.140625" style="68" bestFit="1" customWidth="1"/>
    <col min="5" max="5" width="11.85546875" style="69" bestFit="1" customWidth="1"/>
    <col min="6" max="6" width="12.5703125" style="70" bestFit="1" customWidth="1"/>
    <col min="7" max="7" width="1.85546875" style="71" customWidth="1"/>
    <col min="8" max="8" width="5.5703125" style="72" bestFit="1" customWidth="1"/>
    <col min="9" max="9" width="9.28515625" style="67" bestFit="1" customWidth="1"/>
    <col min="10" max="10" width="7.7109375" style="73" bestFit="1" customWidth="1"/>
    <col min="11" max="11" width="10" style="6" customWidth="1"/>
    <col min="12" max="12" width="2" style="71" customWidth="1"/>
    <col min="13" max="13" width="5.7109375" style="72" bestFit="1" customWidth="1"/>
    <col min="14" max="14" width="10.85546875" style="6" bestFit="1" customWidth="1"/>
    <col min="15" max="15" width="5.5703125" style="73" bestFit="1" customWidth="1"/>
    <col min="16" max="16" width="10.85546875" style="6" bestFit="1" customWidth="1"/>
    <col min="17" max="17" width="1.42578125" style="74" customWidth="1"/>
    <col min="18" max="18" width="5.5703125" style="72" bestFit="1" customWidth="1"/>
    <col min="19" max="19" width="12.5703125" style="6" bestFit="1" customWidth="1"/>
    <col min="20" max="20" width="5.5703125" style="73" bestFit="1" customWidth="1"/>
    <col min="21" max="21" width="11.5703125" style="6" bestFit="1" customWidth="1"/>
    <col min="22" max="22" width="1.28515625" style="74" customWidth="1"/>
    <col min="23" max="23" width="5.5703125" style="72" bestFit="1" customWidth="1"/>
    <col min="24" max="24" width="11.5703125" style="6" customWidth="1"/>
    <col min="25" max="25" width="5.7109375" style="73" bestFit="1" customWidth="1"/>
    <col min="26" max="26" width="11.5703125" style="6" bestFit="1" customWidth="1"/>
    <col min="27" max="27" width="1.7109375" style="74" customWidth="1"/>
    <col min="28" max="28" width="5.5703125" style="72" bestFit="1" customWidth="1"/>
    <col min="29" max="29" width="11.5703125" style="6" customWidth="1"/>
    <col min="30" max="30" width="5.5703125" style="73" bestFit="1" customWidth="1"/>
    <col min="31" max="31" width="11.5703125" style="6" bestFit="1" customWidth="1"/>
    <col min="32" max="32" width="1.28515625" style="74" customWidth="1"/>
    <col min="33" max="33" width="5.7109375" style="72" bestFit="1" customWidth="1"/>
    <col min="34" max="34" width="11.5703125" style="6" customWidth="1"/>
    <col min="35" max="35" width="5.5703125" style="73" bestFit="1" customWidth="1"/>
    <col min="36" max="36" width="11.5703125" style="6" bestFit="1" customWidth="1"/>
    <col min="37" max="37" width="2.42578125" style="74" customWidth="1"/>
    <col min="38" max="38" width="4.7109375" style="72" bestFit="1" customWidth="1"/>
    <col min="39" max="39" width="11.85546875" style="6" bestFit="1" customWidth="1"/>
    <col min="40" max="40" width="5.5703125" style="73" bestFit="1" customWidth="1"/>
    <col min="41" max="41" width="8.28515625" style="6" bestFit="1" customWidth="1"/>
    <col min="42" max="42" width="1.85546875" style="74" customWidth="1"/>
    <col min="43" max="43" width="5.5703125" style="72" bestFit="1" customWidth="1"/>
    <col min="44" max="44" width="11.5703125" style="6" customWidth="1"/>
    <col min="45" max="45" width="5.5703125" style="73" bestFit="1" customWidth="1"/>
    <col min="46" max="46" width="11.5703125" style="6" bestFit="1" customWidth="1"/>
    <col min="47" max="47" width="14.28515625" style="5" bestFit="1" customWidth="1"/>
    <col min="48" max="48" width="13.28515625" style="6" customWidth="1"/>
    <col min="49" max="49" width="12.42578125" style="6" customWidth="1"/>
    <col min="50" max="16384" width="9.140625" style="2"/>
  </cols>
  <sheetData>
    <row r="1" spans="1:50" x14ac:dyDescent="0.25">
      <c r="C1" s="264" t="s">
        <v>0</v>
      </c>
      <c r="D1" s="265"/>
      <c r="E1" s="265"/>
      <c r="F1" s="265"/>
      <c r="G1" s="3"/>
      <c r="H1" s="258" t="s">
        <v>1</v>
      </c>
      <c r="I1" s="259"/>
      <c r="J1" s="259"/>
      <c r="K1" s="259"/>
      <c r="L1" s="3"/>
      <c r="M1" s="258" t="s">
        <v>2</v>
      </c>
      <c r="N1" s="259"/>
      <c r="O1" s="259"/>
      <c r="P1" s="259"/>
      <c r="Q1" s="4"/>
      <c r="R1" s="258" t="s">
        <v>3</v>
      </c>
      <c r="S1" s="259"/>
      <c r="T1" s="259"/>
      <c r="U1" s="259"/>
      <c r="V1" s="4"/>
      <c r="W1" s="258" t="s">
        <v>4</v>
      </c>
      <c r="X1" s="259"/>
      <c r="Y1" s="259"/>
      <c r="Z1" s="259"/>
      <c r="AA1" s="4"/>
      <c r="AB1" s="258" t="s">
        <v>5</v>
      </c>
      <c r="AC1" s="259"/>
      <c r="AD1" s="259"/>
      <c r="AE1" s="259"/>
      <c r="AF1" s="4"/>
      <c r="AG1" s="258" t="s">
        <v>6</v>
      </c>
      <c r="AH1" s="259"/>
      <c r="AI1" s="259"/>
      <c r="AJ1" s="259"/>
      <c r="AK1" s="4"/>
      <c r="AL1" s="258" t="s">
        <v>7</v>
      </c>
      <c r="AM1" s="259"/>
      <c r="AN1" s="259"/>
      <c r="AO1" s="259"/>
      <c r="AP1" s="4"/>
      <c r="AQ1" s="258" t="s">
        <v>8</v>
      </c>
      <c r="AR1" s="259"/>
      <c r="AS1" s="259"/>
      <c r="AT1" s="259"/>
    </row>
    <row r="2" spans="1:50" s="8" customFormat="1" ht="57.75" customHeight="1" x14ac:dyDescent="0.25">
      <c r="A2" s="7"/>
      <c r="C2" s="260"/>
      <c r="D2" s="261"/>
      <c r="E2" s="261"/>
      <c r="F2" s="261"/>
      <c r="G2" s="9"/>
      <c r="H2" s="10"/>
      <c r="I2" s="11"/>
      <c r="J2" s="262" t="s">
        <v>206</v>
      </c>
      <c r="K2" s="263"/>
      <c r="L2" s="9"/>
      <c r="M2" s="10"/>
      <c r="N2" s="11"/>
      <c r="O2" s="262" t="s">
        <v>206</v>
      </c>
      <c r="P2" s="263"/>
      <c r="Q2" s="12"/>
      <c r="R2" s="10"/>
      <c r="S2" s="11"/>
      <c r="T2" s="262" t="s">
        <v>206</v>
      </c>
      <c r="U2" s="263"/>
      <c r="V2" s="12"/>
      <c r="W2" s="10"/>
      <c r="X2" s="11"/>
      <c r="Y2" s="262" t="s">
        <v>206</v>
      </c>
      <c r="Z2" s="263"/>
      <c r="AA2" s="12"/>
      <c r="AB2" s="10"/>
      <c r="AC2" s="11"/>
      <c r="AD2" s="262" t="s">
        <v>206</v>
      </c>
      <c r="AE2" s="263"/>
      <c r="AF2" s="12"/>
      <c r="AG2" s="10"/>
      <c r="AH2" s="11"/>
      <c r="AI2" s="262" t="s">
        <v>206</v>
      </c>
      <c r="AJ2" s="263"/>
      <c r="AK2" s="12"/>
      <c r="AL2" s="10"/>
      <c r="AM2" s="11"/>
      <c r="AN2" s="262" t="s">
        <v>206</v>
      </c>
      <c r="AO2" s="263"/>
      <c r="AP2" s="12"/>
      <c r="AQ2" s="10"/>
      <c r="AR2" s="11"/>
      <c r="AS2" s="262" t="s">
        <v>206</v>
      </c>
      <c r="AT2" s="263"/>
      <c r="AU2" s="13"/>
      <c r="AV2" s="14"/>
      <c r="AW2" s="14"/>
    </row>
    <row r="3" spans="1:50" s="15" customFormat="1" ht="30" x14ac:dyDescent="0.25"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20"/>
      <c r="H3" s="21" t="s">
        <v>16</v>
      </c>
      <c r="I3" s="22" t="s">
        <v>0</v>
      </c>
      <c r="J3" s="23" t="s">
        <v>16</v>
      </c>
      <c r="K3" s="24" t="s">
        <v>15</v>
      </c>
      <c r="L3" s="20"/>
      <c r="M3" s="21" t="s">
        <v>16</v>
      </c>
      <c r="N3" s="22" t="s">
        <v>0</v>
      </c>
      <c r="O3" s="23" t="s">
        <v>16</v>
      </c>
      <c r="P3" s="24" t="s">
        <v>15</v>
      </c>
      <c r="Q3" s="26"/>
      <c r="R3" s="21" t="s">
        <v>16</v>
      </c>
      <c r="S3" s="22" t="s">
        <v>0</v>
      </c>
      <c r="T3" s="23" t="s">
        <v>16</v>
      </c>
      <c r="U3" s="24" t="s">
        <v>15</v>
      </c>
      <c r="V3" s="26"/>
      <c r="W3" s="21" t="s">
        <v>16</v>
      </c>
      <c r="X3" s="22" t="s">
        <v>0</v>
      </c>
      <c r="Y3" s="23" t="s">
        <v>16</v>
      </c>
      <c r="Z3" s="24" t="s">
        <v>15</v>
      </c>
      <c r="AA3" s="26"/>
      <c r="AB3" s="21" t="s">
        <v>16</v>
      </c>
      <c r="AC3" s="22" t="s">
        <v>0</v>
      </c>
      <c r="AD3" s="23" t="s">
        <v>16</v>
      </c>
      <c r="AE3" s="24" t="s">
        <v>15</v>
      </c>
      <c r="AF3" s="26"/>
      <c r="AG3" s="21" t="s">
        <v>16</v>
      </c>
      <c r="AH3" s="22" t="s">
        <v>0</v>
      </c>
      <c r="AI3" s="23" t="s">
        <v>16</v>
      </c>
      <c r="AJ3" s="24" t="s">
        <v>15</v>
      </c>
      <c r="AK3" s="26"/>
      <c r="AL3" s="21" t="s">
        <v>16</v>
      </c>
      <c r="AM3" s="22" t="s">
        <v>0</v>
      </c>
      <c r="AN3" s="23" t="s">
        <v>16</v>
      </c>
      <c r="AO3" s="24" t="s">
        <v>15</v>
      </c>
      <c r="AP3" s="26"/>
      <c r="AQ3" s="21" t="s">
        <v>16</v>
      </c>
      <c r="AR3" s="22" t="s">
        <v>0</v>
      </c>
      <c r="AS3" s="23" t="s">
        <v>16</v>
      </c>
      <c r="AT3" s="24" t="s">
        <v>15</v>
      </c>
      <c r="AU3" s="27" t="s">
        <v>17</v>
      </c>
      <c r="AV3" s="28" t="s">
        <v>18</v>
      </c>
      <c r="AW3" s="28" t="s">
        <v>19</v>
      </c>
      <c r="AX3" s="15" t="s">
        <v>20</v>
      </c>
    </row>
    <row r="4" spans="1:50" x14ac:dyDescent="0.25">
      <c r="A4" s="1" t="s">
        <v>207</v>
      </c>
      <c r="C4" s="41"/>
      <c r="D4" s="46"/>
      <c r="E4" s="33"/>
      <c r="F4" s="33">
        <v>0</v>
      </c>
      <c r="G4" s="39"/>
      <c r="H4" s="35"/>
      <c r="I4" s="36">
        <f t="shared" ref="I4:I13" si="0">H4*$F4</f>
        <v>0</v>
      </c>
      <c r="J4" s="37"/>
      <c r="K4" s="38">
        <f t="shared" ref="K4:K13" si="1">J4*I4</f>
        <v>0</v>
      </c>
      <c r="L4" s="39"/>
      <c r="M4" s="35"/>
      <c r="N4" s="36">
        <f t="shared" ref="N4:N13" si="2">M4*$F4</f>
        <v>0</v>
      </c>
      <c r="O4" s="37"/>
      <c r="P4" s="38">
        <f t="shared" ref="P4:P13" si="3">O4*N4</f>
        <v>0</v>
      </c>
      <c r="Q4" s="39"/>
      <c r="R4" s="35"/>
      <c r="S4" s="36">
        <f t="shared" ref="S4:S13" si="4">R4*$F4</f>
        <v>0</v>
      </c>
      <c r="T4" s="37"/>
      <c r="U4" s="38">
        <f t="shared" ref="U4:U13" si="5">T4*S4</f>
        <v>0</v>
      </c>
      <c r="V4" s="39"/>
      <c r="W4" s="35"/>
      <c r="X4" s="36">
        <f t="shared" ref="X4:X13" si="6">W4*$F4</f>
        <v>0</v>
      </c>
      <c r="Y4" s="37"/>
      <c r="Z4" s="38">
        <f t="shared" ref="Z4:Z13" si="7">Y4*X4</f>
        <v>0</v>
      </c>
      <c r="AA4" s="39"/>
      <c r="AB4" s="35"/>
      <c r="AC4" s="36">
        <f t="shared" ref="AC4:AC13" si="8">AB4*$F4</f>
        <v>0</v>
      </c>
      <c r="AD4" s="37"/>
      <c r="AE4" s="38">
        <f t="shared" ref="AE4:AE13" si="9">AD4*AC4</f>
        <v>0</v>
      </c>
      <c r="AF4" s="39"/>
      <c r="AG4" s="35"/>
      <c r="AH4" s="36">
        <f t="shared" ref="AH4:AH13" si="10">AG4*$F4</f>
        <v>0</v>
      </c>
      <c r="AI4" s="37"/>
      <c r="AJ4" s="38">
        <f t="shared" ref="AJ4:AJ13" si="11">AI4*AH4</f>
        <v>0</v>
      </c>
      <c r="AK4" s="39"/>
      <c r="AL4" s="35"/>
      <c r="AM4" s="36">
        <f t="shared" ref="AM4:AM13" si="12">AL4*$F4</f>
        <v>0</v>
      </c>
      <c r="AN4" s="37"/>
      <c r="AO4" s="38">
        <f t="shared" ref="AO4:AO13" si="13">AN4*AM4</f>
        <v>0</v>
      </c>
      <c r="AP4" s="39"/>
      <c r="AQ4" s="35"/>
      <c r="AR4" s="36">
        <f t="shared" ref="AR4:AR13" si="14">AQ4*$F4</f>
        <v>0</v>
      </c>
      <c r="AS4" s="37"/>
      <c r="AT4" s="38">
        <f t="shared" ref="AT4:AT13" si="15">AS4*AR4</f>
        <v>0</v>
      </c>
      <c r="AU4" s="40">
        <f t="shared" ref="AU4:AU13" si="16">F4</f>
        <v>0</v>
      </c>
      <c r="AV4" s="40">
        <f t="shared" ref="AV4:AV13" si="17">I4+N4+S4+X4+AC4+AH4+AM4+AR4</f>
        <v>0</v>
      </c>
      <c r="AW4" s="40">
        <f>SUM(AT4,AO4,AJ4,AE4,Z4,U4,P4,K4)</f>
        <v>0</v>
      </c>
      <c r="AX4" s="15">
        <f t="shared" ref="AX4:AX17" si="18">IF(AND(AU4=AV4,AV4=AW4,AU4=AW4),0,1)</f>
        <v>0</v>
      </c>
    </row>
    <row r="5" spans="1:50" x14ac:dyDescent="0.25">
      <c r="B5" s="47" t="s">
        <v>35</v>
      </c>
      <c r="C5" s="41" t="s">
        <v>36</v>
      </c>
      <c r="D5" s="46">
        <v>1350</v>
      </c>
      <c r="E5" s="33">
        <v>240</v>
      </c>
      <c r="F5" s="33">
        <v>324000</v>
      </c>
      <c r="G5" s="39"/>
      <c r="H5" s="35"/>
      <c r="I5" s="36">
        <f t="shared" si="0"/>
        <v>0</v>
      </c>
      <c r="J5" s="37"/>
      <c r="K5" s="38">
        <f t="shared" si="1"/>
        <v>0</v>
      </c>
      <c r="L5" s="39"/>
      <c r="M5" s="35"/>
      <c r="N5" s="36">
        <f t="shared" si="2"/>
        <v>0</v>
      </c>
      <c r="O5" s="37"/>
      <c r="P5" s="38">
        <f t="shared" si="3"/>
        <v>0</v>
      </c>
      <c r="Q5" s="39"/>
      <c r="R5" s="35">
        <v>0.6</v>
      </c>
      <c r="S5" s="36">
        <f t="shared" si="4"/>
        <v>194400</v>
      </c>
      <c r="T5" s="37">
        <v>1</v>
      </c>
      <c r="U5" s="38">
        <f t="shared" si="5"/>
        <v>194400</v>
      </c>
      <c r="V5" s="39"/>
      <c r="W5" s="35">
        <v>0.2</v>
      </c>
      <c r="X5" s="36">
        <f t="shared" si="6"/>
        <v>64800</v>
      </c>
      <c r="Y5" s="37">
        <v>1</v>
      </c>
      <c r="Z5" s="38">
        <f t="shared" si="7"/>
        <v>64800</v>
      </c>
      <c r="AA5" s="39"/>
      <c r="AB5" s="35">
        <v>0.15</v>
      </c>
      <c r="AC5" s="36">
        <f t="shared" si="8"/>
        <v>48600</v>
      </c>
      <c r="AD5" s="37">
        <v>1</v>
      </c>
      <c r="AE5" s="38">
        <f t="shared" si="9"/>
        <v>48600</v>
      </c>
      <c r="AF5" s="39"/>
      <c r="AG5" s="35">
        <v>0.05</v>
      </c>
      <c r="AH5" s="36">
        <f t="shared" si="10"/>
        <v>16200</v>
      </c>
      <c r="AI5" s="37">
        <v>1</v>
      </c>
      <c r="AJ5" s="38">
        <f t="shared" si="11"/>
        <v>16200</v>
      </c>
      <c r="AK5" s="39"/>
      <c r="AL5" s="35"/>
      <c r="AM5" s="36">
        <f t="shared" si="12"/>
        <v>0</v>
      </c>
      <c r="AN5" s="37"/>
      <c r="AO5" s="38">
        <f t="shared" si="13"/>
        <v>0</v>
      </c>
      <c r="AP5" s="39"/>
      <c r="AQ5" s="35"/>
      <c r="AR5" s="36">
        <f t="shared" si="14"/>
        <v>0</v>
      </c>
      <c r="AS5" s="37"/>
      <c r="AT5" s="38">
        <f t="shared" si="15"/>
        <v>0</v>
      </c>
      <c r="AU5" s="40">
        <f t="shared" si="16"/>
        <v>324000</v>
      </c>
      <c r="AV5" s="40">
        <f t="shared" si="17"/>
        <v>324000</v>
      </c>
      <c r="AW5" s="40">
        <f t="shared" ref="AW5:AW17" si="19">SUM(AT5,AO5,AJ5,AE5,Z5,U5,P5,K5)</f>
        <v>324000</v>
      </c>
      <c r="AX5" s="15">
        <f t="shared" si="18"/>
        <v>0</v>
      </c>
    </row>
    <row r="6" spans="1:50" x14ac:dyDescent="0.25">
      <c r="B6" s="47" t="s">
        <v>37</v>
      </c>
      <c r="C6" s="41" t="s">
        <v>36</v>
      </c>
      <c r="D6" s="46">
        <v>1350</v>
      </c>
      <c r="E6" s="33">
        <v>-180.52631578947367</v>
      </c>
      <c r="F6" s="33">
        <v>-243710.52631578947</v>
      </c>
      <c r="G6" s="39"/>
      <c r="H6" s="35"/>
      <c r="I6" s="36">
        <f t="shared" si="0"/>
        <v>0</v>
      </c>
      <c r="J6" s="37"/>
      <c r="K6" s="38">
        <f t="shared" si="1"/>
        <v>0</v>
      </c>
      <c r="L6" s="39"/>
      <c r="M6" s="35"/>
      <c r="N6" s="36">
        <f t="shared" si="2"/>
        <v>0</v>
      </c>
      <c r="O6" s="37"/>
      <c r="P6" s="38">
        <f t="shared" si="3"/>
        <v>0</v>
      </c>
      <c r="Q6" s="39"/>
      <c r="R6" s="35">
        <v>0.6</v>
      </c>
      <c r="S6" s="36">
        <f t="shared" si="4"/>
        <v>-146226.31578947368</v>
      </c>
      <c r="T6" s="37">
        <v>1</v>
      </c>
      <c r="U6" s="38">
        <f t="shared" si="5"/>
        <v>-146226.31578947368</v>
      </c>
      <c r="V6" s="39"/>
      <c r="W6" s="35">
        <v>0.25</v>
      </c>
      <c r="X6" s="36">
        <f t="shared" si="6"/>
        <v>-60927.631578947367</v>
      </c>
      <c r="Y6" s="37">
        <v>1</v>
      </c>
      <c r="Z6" s="38">
        <f t="shared" si="7"/>
        <v>-60927.631578947367</v>
      </c>
      <c r="AA6" s="39"/>
      <c r="AB6" s="35">
        <v>0.15</v>
      </c>
      <c r="AC6" s="36">
        <f t="shared" si="8"/>
        <v>-36556.57894736842</v>
      </c>
      <c r="AD6" s="37">
        <v>1</v>
      </c>
      <c r="AE6" s="38">
        <f t="shared" si="9"/>
        <v>-36556.57894736842</v>
      </c>
      <c r="AF6" s="39"/>
      <c r="AG6" s="35"/>
      <c r="AH6" s="36">
        <f t="shared" si="10"/>
        <v>0</v>
      </c>
      <c r="AI6" s="37"/>
      <c r="AJ6" s="38">
        <f t="shared" si="11"/>
        <v>0</v>
      </c>
      <c r="AK6" s="39"/>
      <c r="AL6" s="35"/>
      <c r="AM6" s="36">
        <f t="shared" si="12"/>
        <v>0</v>
      </c>
      <c r="AN6" s="37"/>
      <c r="AO6" s="38">
        <f t="shared" si="13"/>
        <v>0</v>
      </c>
      <c r="AP6" s="39"/>
      <c r="AQ6" s="35"/>
      <c r="AR6" s="36">
        <f t="shared" si="14"/>
        <v>0</v>
      </c>
      <c r="AS6" s="37"/>
      <c r="AT6" s="38">
        <f t="shared" si="15"/>
        <v>0</v>
      </c>
      <c r="AU6" s="40">
        <f t="shared" si="16"/>
        <v>-243710.52631578947</v>
      </c>
      <c r="AV6" s="40">
        <f t="shared" si="17"/>
        <v>-243710.52631578947</v>
      </c>
      <c r="AW6" s="40">
        <f t="shared" si="19"/>
        <v>-243710.52631578947</v>
      </c>
      <c r="AX6" s="15">
        <f t="shared" si="18"/>
        <v>0</v>
      </c>
    </row>
    <row r="7" spans="1:50" x14ac:dyDescent="0.25">
      <c r="B7" s="47" t="s">
        <v>38</v>
      </c>
      <c r="C7" s="41" t="s">
        <v>39</v>
      </c>
      <c r="D7" s="46">
        <v>12150</v>
      </c>
      <c r="E7" s="48">
        <v>-0.39039473684210513</v>
      </c>
      <c r="F7" s="33">
        <v>-4743.2960526315774</v>
      </c>
      <c r="G7" s="39"/>
      <c r="H7" s="35"/>
      <c r="I7" s="36">
        <f t="shared" si="0"/>
        <v>0</v>
      </c>
      <c r="J7" s="37"/>
      <c r="K7" s="38">
        <f t="shared" si="1"/>
        <v>0</v>
      </c>
      <c r="L7" s="39"/>
      <c r="M7" s="35"/>
      <c r="N7" s="36">
        <f t="shared" si="2"/>
        <v>0</v>
      </c>
      <c r="O7" s="37"/>
      <c r="P7" s="38">
        <f t="shared" si="3"/>
        <v>0</v>
      </c>
      <c r="Q7" s="39"/>
      <c r="R7" s="35"/>
      <c r="S7" s="36">
        <f t="shared" si="4"/>
        <v>0</v>
      </c>
      <c r="T7" s="37"/>
      <c r="U7" s="38">
        <f t="shared" si="5"/>
        <v>0</v>
      </c>
      <c r="V7" s="39"/>
      <c r="W7" s="35">
        <v>1</v>
      </c>
      <c r="X7" s="36">
        <f t="shared" si="6"/>
        <v>-4743.2960526315774</v>
      </c>
      <c r="Y7" s="37">
        <v>1</v>
      </c>
      <c r="Z7" s="38">
        <f t="shared" si="7"/>
        <v>-4743.2960526315774</v>
      </c>
      <c r="AA7" s="39"/>
      <c r="AB7" s="35"/>
      <c r="AC7" s="36">
        <f t="shared" si="8"/>
        <v>0</v>
      </c>
      <c r="AD7" s="37"/>
      <c r="AE7" s="38">
        <f t="shared" si="9"/>
        <v>0</v>
      </c>
      <c r="AF7" s="39"/>
      <c r="AG7" s="35"/>
      <c r="AH7" s="36">
        <f t="shared" si="10"/>
        <v>0</v>
      </c>
      <c r="AI7" s="37"/>
      <c r="AJ7" s="38">
        <f t="shared" si="11"/>
        <v>0</v>
      </c>
      <c r="AK7" s="39"/>
      <c r="AL7" s="35"/>
      <c r="AM7" s="36">
        <f t="shared" si="12"/>
        <v>0</v>
      </c>
      <c r="AN7" s="37"/>
      <c r="AO7" s="38">
        <f t="shared" si="13"/>
        <v>0</v>
      </c>
      <c r="AP7" s="39"/>
      <c r="AQ7" s="35"/>
      <c r="AR7" s="36">
        <f t="shared" si="14"/>
        <v>0</v>
      </c>
      <c r="AS7" s="37"/>
      <c r="AT7" s="38">
        <f t="shared" si="15"/>
        <v>0</v>
      </c>
      <c r="AU7" s="40">
        <f t="shared" si="16"/>
        <v>-4743.2960526315774</v>
      </c>
      <c r="AV7" s="40">
        <f t="shared" si="17"/>
        <v>-4743.2960526315774</v>
      </c>
      <c r="AW7" s="40">
        <f t="shared" si="19"/>
        <v>-4743.2960526315774</v>
      </c>
      <c r="AX7" s="15">
        <f t="shared" si="18"/>
        <v>0</v>
      </c>
    </row>
    <row r="8" spans="1:50" x14ac:dyDescent="0.25">
      <c r="B8" s="47" t="s">
        <v>40</v>
      </c>
      <c r="C8" s="41" t="s">
        <v>39</v>
      </c>
      <c r="D8" s="46">
        <v>27000</v>
      </c>
      <c r="E8" s="48">
        <v>-0.37018461538461545</v>
      </c>
      <c r="F8" s="33">
        <v>-9994.9846153846174</v>
      </c>
      <c r="G8" s="39"/>
      <c r="H8" s="35"/>
      <c r="I8" s="36">
        <f t="shared" si="0"/>
        <v>0</v>
      </c>
      <c r="J8" s="37"/>
      <c r="K8" s="38">
        <f t="shared" si="1"/>
        <v>0</v>
      </c>
      <c r="L8" s="39"/>
      <c r="M8" s="35"/>
      <c r="N8" s="36">
        <f t="shared" si="2"/>
        <v>0</v>
      </c>
      <c r="O8" s="37"/>
      <c r="P8" s="38">
        <f t="shared" si="3"/>
        <v>0</v>
      </c>
      <c r="Q8" s="39"/>
      <c r="R8" s="35"/>
      <c r="S8" s="36">
        <f t="shared" si="4"/>
        <v>0</v>
      </c>
      <c r="T8" s="37"/>
      <c r="U8" s="38">
        <f t="shared" si="5"/>
        <v>0</v>
      </c>
      <c r="V8" s="39"/>
      <c r="W8" s="35">
        <v>0.2</v>
      </c>
      <c r="X8" s="36">
        <f t="shared" si="6"/>
        <v>-1998.9969230769236</v>
      </c>
      <c r="Y8" s="37">
        <v>1</v>
      </c>
      <c r="Z8" s="38">
        <f t="shared" si="7"/>
        <v>-1998.9969230769236</v>
      </c>
      <c r="AA8" s="39"/>
      <c r="AB8" s="35"/>
      <c r="AC8" s="36">
        <f t="shared" si="8"/>
        <v>0</v>
      </c>
      <c r="AD8" s="37"/>
      <c r="AE8" s="38">
        <f t="shared" si="9"/>
        <v>0</v>
      </c>
      <c r="AF8" s="39"/>
      <c r="AG8" s="35">
        <v>0.8</v>
      </c>
      <c r="AH8" s="36">
        <f t="shared" si="10"/>
        <v>-7995.9876923076945</v>
      </c>
      <c r="AI8" s="37">
        <v>1</v>
      </c>
      <c r="AJ8" s="38">
        <f t="shared" si="11"/>
        <v>-7995.9876923076945</v>
      </c>
      <c r="AK8" s="39"/>
      <c r="AL8" s="35"/>
      <c r="AM8" s="36">
        <f t="shared" si="12"/>
        <v>0</v>
      </c>
      <c r="AN8" s="37"/>
      <c r="AO8" s="38">
        <f t="shared" si="13"/>
        <v>0</v>
      </c>
      <c r="AP8" s="39"/>
      <c r="AQ8" s="35"/>
      <c r="AR8" s="36">
        <f t="shared" si="14"/>
        <v>0</v>
      </c>
      <c r="AS8" s="37"/>
      <c r="AT8" s="38">
        <f t="shared" si="15"/>
        <v>0</v>
      </c>
      <c r="AU8" s="40">
        <f t="shared" si="16"/>
        <v>-9994.9846153846174</v>
      </c>
      <c r="AV8" s="40">
        <f t="shared" si="17"/>
        <v>-9994.9846153846174</v>
      </c>
      <c r="AW8" s="40">
        <f t="shared" si="19"/>
        <v>-9994.9846153846174</v>
      </c>
      <c r="AX8" s="15">
        <f t="shared" si="18"/>
        <v>0</v>
      </c>
    </row>
    <row r="9" spans="1:50" x14ac:dyDescent="0.25">
      <c r="B9" s="47" t="s">
        <v>41</v>
      </c>
      <c r="C9" s="41" t="s">
        <v>39</v>
      </c>
      <c r="D9" s="46">
        <v>16200</v>
      </c>
      <c r="E9" s="48">
        <v>-0.18394000674081565</v>
      </c>
      <c r="F9" s="33">
        <v>-2979.8281092012135</v>
      </c>
      <c r="G9" s="39"/>
      <c r="H9" s="35"/>
      <c r="I9" s="36">
        <f t="shared" si="0"/>
        <v>0</v>
      </c>
      <c r="J9" s="37"/>
      <c r="K9" s="38">
        <f t="shared" si="1"/>
        <v>0</v>
      </c>
      <c r="L9" s="39"/>
      <c r="M9" s="35"/>
      <c r="N9" s="36">
        <f t="shared" si="2"/>
        <v>0</v>
      </c>
      <c r="O9" s="37"/>
      <c r="P9" s="38">
        <f t="shared" si="3"/>
        <v>0</v>
      </c>
      <c r="Q9" s="39"/>
      <c r="R9" s="35"/>
      <c r="S9" s="36">
        <f t="shared" si="4"/>
        <v>0</v>
      </c>
      <c r="T9" s="37"/>
      <c r="U9" s="38">
        <f t="shared" si="5"/>
        <v>0</v>
      </c>
      <c r="V9" s="39"/>
      <c r="W9" s="35">
        <v>1</v>
      </c>
      <c r="X9" s="36">
        <f t="shared" si="6"/>
        <v>-2979.8281092012135</v>
      </c>
      <c r="Y9" s="37">
        <v>1</v>
      </c>
      <c r="Z9" s="38">
        <f t="shared" si="7"/>
        <v>-2979.8281092012135</v>
      </c>
      <c r="AA9" s="39"/>
      <c r="AB9" s="35"/>
      <c r="AC9" s="36">
        <f t="shared" si="8"/>
        <v>0</v>
      </c>
      <c r="AD9" s="37"/>
      <c r="AE9" s="38">
        <f t="shared" si="9"/>
        <v>0</v>
      </c>
      <c r="AF9" s="39"/>
      <c r="AG9" s="35"/>
      <c r="AH9" s="36">
        <f t="shared" si="10"/>
        <v>0</v>
      </c>
      <c r="AI9" s="37"/>
      <c r="AJ9" s="38">
        <f t="shared" si="11"/>
        <v>0</v>
      </c>
      <c r="AK9" s="39"/>
      <c r="AL9" s="35"/>
      <c r="AM9" s="36">
        <f t="shared" si="12"/>
        <v>0</v>
      </c>
      <c r="AN9" s="37"/>
      <c r="AO9" s="38">
        <f t="shared" si="13"/>
        <v>0</v>
      </c>
      <c r="AP9" s="39"/>
      <c r="AQ9" s="35"/>
      <c r="AR9" s="36">
        <f t="shared" si="14"/>
        <v>0</v>
      </c>
      <c r="AS9" s="37"/>
      <c r="AT9" s="38">
        <f t="shared" si="15"/>
        <v>0</v>
      </c>
      <c r="AU9" s="40">
        <f t="shared" si="16"/>
        <v>-2979.8281092012135</v>
      </c>
      <c r="AV9" s="40">
        <f t="shared" si="17"/>
        <v>-2979.8281092012135</v>
      </c>
      <c r="AW9" s="40">
        <f t="shared" si="19"/>
        <v>-2979.8281092012135</v>
      </c>
      <c r="AX9" s="15">
        <f t="shared" si="18"/>
        <v>0</v>
      </c>
    </row>
    <row r="10" spans="1:50" x14ac:dyDescent="0.25">
      <c r="B10" s="47" t="s">
        <v>208</v>
      </c>
      <c r="C10" s="41" t="s">
        <v>43</v>
      </c>
      <c r="D10" s="46">
        <v>225</v>
      </c>
      <c r="E10" s="33">
        <v>105</v>
      </c>
      <c r="F10" s="33">
        <v>23625</v>
      </c>
      <c r="G10" s="39"/>
      <c r="H10" s="35"/>
      <c r="I10" s="36">
        <f t="shared" si="0"/>
        <v>0</v>
      </c>
      <c r="J10" s="37"/>
      <c r="K10" s="38">
        <f t="shared" si="1"/>
        <v>0</v>
      </c>
      <c r="L10" s="39"/>
      <c r="M10" s="35"/>
      <c r="N10" s="36">
        <f t="shared" si="2"/>
        <v>0</v>
      </c>
      <c r="O10" s="37"/>
      <c r="P10" s="38">
        <f t="shared" si="3"/>
        <v>0</v>
      </c>
      <c r="Q10" s="39"/>
      <c r="R10" s="35">
        <v>1</v>
      </c>
      <c r="S10" s="36">
        <f t="shared" si="4"/>
        <v>23625</v>
      </c>
      <c r="T10" s="37">
        <v>1</v>
      </c>
      <c r="U10" s="38">
        <f t="shared" si="5"/>
        <v>23625</v>
      </c>
      <c r="V10" s="39"/>
      <c r="W10" s="35"/>
      <c r="X10" s="36">
        <f t="shared" si="6"/>
        <v>0</v>
      </c>
      <c r="Y10" s="37"/>
      <c r="Z10" s="38">
        <f t="shared" si="7"/>
        <v>0</v>
      </c>
      <c r="AA10" s="39"/>
      <c r="AB10" s="35"/>
      <c r="AC10" s="36">
        <f t="shared" si="8"/>
        <v>0</v>
      </c>
      <c r="AD10" s="37"/>
      <c r="AE10" s="38">
        <f t="shared" si="9"/>
        <v>0</v>
      </c>
      <c r="AF10" s="39"/>
      <c r="AG10" s="35"/>
      <c r="AH10" s="36">
        <f t="shared" si="10"/>
        <v>0</v>
      </c>
      <c r="AI10" s="37"/>
      <c r="AJ10" s="38">
        <f t="shared" si="11"/>
        <v>0</v>
      </c>
      <c r="AK10" s="39"/>
      <c r="AL10" s="35"/>
      <c r="AM10" s="36">
        <f t="shared" si="12"/>
        <v>0</v>
      </c>
      <c r="AN10" s="37"/>
      <c r="AO10" s="38">
        <f t="shared" si="13"/>
        <v>0</v>
      </c>
      <c r="AP10" s="39"/>
      <c r="AQ10" s="35"/>
      <c r="AR10" s="36">
        <f t="shared" si="14"/>
        <v>0</v>
      </c>
      <c r="AS10" s="37"/>
      <c r="AT10" s="38">
        <f t="shared" si="15"/>
        <v>0</v>
      </c>
      <c r="AU10" s="40">
        <f t="shared" si="16"/>
        <v>23625</v>
      </c>
      <c r="AV10" s="40">
        <f t="shared" si="17"/>
        <v>23625</v>
      </c>
      <c r="AW10" s="40">
        <f t="shared" si="19"/>
        <v>23625</v>
      </c>
      <c r="AX10" s="15">
        <f t="shared" si="18"/>
        <v>0</v>
      </c>
    </row>
    <row r="11" spans="1:50" x14ac:dyDescent="0.25">
      <c r="A11" s="2"/>
      <c r="B11" s="51" t="s">
        <v>45</v>
      </c>
      <c r="C11" s="41" t="s">
        <v>36</v>
      </c>
      <c r="D11" s="46">
        <v>50.625</v>
      </c>
      <c r="E11" s="33">
        <v>65</v>
      </c>
      <c r="F11" s="33">
        <v>3290.625</v>
      </c>
      <c r="G11" s="39"/>
      <c r="H11" s="35"/>
      <c r="I11" s="36">
        <f t="shared" si="0"/>
        <v>0</v>
      </c>
      <c r="J11" s="37"/>
      <c r="K11" s="38">
        <f t="shared" si="1"/>
        <v>0</v>
      </c>
      <c r="L11" s="39"/>
      <c r="M11" s="35">
        <v>0.14285714285714288</v>
      </c>
      <c r="N11" s="36">
        <f t="shared" si="2"/>
        <v>470.08928571428578</v>
      </c>
      <c r="O11" s="37">
        <v>1</v>
      </c>
      <c r="P11" s="38">
        <f t="shared" si="3"/>
        <v>470.08928571428578</v>
      </c>
      <c r="Q11" s="39"/>
      <c r="R11" s="35">
        <v>0.14285714285714288</v>
      </c>
      <c r="S11" s="36">
        <f t="shared" si="4"/>
        <v>470.08928571428578</v>
      </c>
      <c r="T11" s="37">
        <v>1</v>
      </c>
      <c r="U11" s="38">
        <f t="shared" si="5"/>
        <v>470.08928571428578</v>
      </c>
      <c r="V11" s="39"/>
      <c r="W11" s="35">
        <v>0.14285714285714288</v>
      </c>
      <c r="X11" s="36">
        <f t="shared" si="6"/>
        <v>470.08928571428578</v>
      </c>
      <c r="Y11" s="37">
        <v>1</v>
      </c>
      <c r="Z11" s="38">
        <f t="shared" si="7"/>
        <v>470.08928571428578</v>
      </c>
      <c r="AA11" s="39"/>
      <c r="AB11" s="35">
        <v>0.14285714285714288</v>
      </c>
      <c r="AC11" s="36">
        <f t="shared" si="8"/>
        <v>470.08928571428578</v>
      </c>
      <c r="AD11" s="37">
        <v>1</v>
      </c>
      <c r="AE11" s="38">
        <f t="shared" si="9"/>
        <v>470.08928571428578</v>
      </c>
      <c r="AF11" s="39"/>
      <c r="AG11" s="35">
        <v>0.14285714285714288</v>
      </c>
      <c r="AH11" s="36">
        <f t="shared" si="10"/>
        <v>470.08928571428578</v>
      </c>
      <c r="AI11" s="37">
        <v>1</v>
      </c>
      <c r="AJ11" s="38">
        <f t="shared" si="11"/>
        <v>470.08928571428578</v>
      </c>
      <c r="AK11" s="39"/>
      <c r="AL11" s="35">
        <v>0.14285714285714288</v>
      </c>
      <c r="AM11" s="36">
        <f t="shared" si="12"/>
        <v>470.08928571428578</v>
      </c>
      <c r="AN11" s="37">
        <v>1</v>
      </c>
      <c r="AO11" s="38">
        <f t="shared" si="13"/>
        <v>470.08928571428578</v>
      </c>
      <c r="AP11" s="39"/>
      <c r="AQ11" s="35">
        <v>0.14285714285714288</v>
      </c>
      <c r="AR11" s="36">
        <f t="shared" si="14"/>
        <v>470.08928571428578</v>
      </c>
      <c r="AS11" s="37">
        <v>1</v>
      </c>
      <c r="AT11" s="38">
        <f t="shared" si="15"/>
        <v>470.08928571428578</v>
      </c>
      <c r="AU11" s="40">
        <f t="shared" si="16"/>
        <v>3290.625</v>
      </c>
      <c r="AV11" s="40">
        <f t="shared" si="17"/>
        <v>3290.6250000000005</v>
      </c>
      <c r="AW11" s="40">
        <f t="shared" si="19"/>
        <v>3290.6250000000005</v>
      </c>
      <c r="AX11" s="15">
        <f t="shared" si="18"/>
        <v>0</v>
      </c>
    </row>
    <row r="12" spans="1:50" x14ac:dyDescent="0.25">
      <c r="B12" s="47" t="s">
        <v>209</v>
      </c>
      <c r="C12" s="41" t="s">
        <v>47</v>
      </c>
      <c r="D12" s="46">
        <v>1</v>
      </c>
      <c r="E12" s="33">
        <v>850000</v>
      </c>
      <c r="F12" s="33">
        <v>850000</v>
      </c>
      <c r="G12" s="39"/>
      <c r="H12" s="35"/>
      <c r="I12" s="36">
        <f>H12*$F12</f>
        <v>0</v>
      </c>
      <c r="J12" s="37"/>
      <c r="K12" s="38">
        <f t="shared" si="1"/>
        <v>0</v>
      </c>
      <c r="L12" s="39"/>
      <c r="M12" s="35"/>
      <c r="N12" s="36">
        <f t="shared" si="2"/>
        <v>0</v>
      </c>
      <c r="O12" s="37"/>
      <c r="P12" s="38">
        <f t="shared" si="3"/>
        <v>0</v>
      </c>
      <c r="Q12" s="39"/>
      <c r="R12" s="35">
        <v>0.8</v>
      </c>
      <c r="S12" s="36">
        <f t="shared" si="4"/>
        <v>680000</v>
      </c>
      <c r="T12" s="37">
        <v>1</v>
      </c>
      <c r="U12" s="38">
        <f t="shared" si="5"/>
        <v>680000</v>
      </c>
      <c r="V12" s="39"/>
      <c r="W12" s="35">
        <v>0.2</v>
      </c>
      <c r="X12" s="36">
        <f t="shared" si="6"/>
        <v>170000</v>
      </c>
      <c r="Y12" s="37">
        <v>1</v>
      </c>
      <c r="Z12" s="38">
        <f t="shared" si="7"/>
        <v>170000</v>
      </c>
      <c r="AA12" s="39"/>
      <c r="AB12" s="35"/>
      <c r="AC12" s="36">
        <f t="shared" si="8"/>
        <v>0</v>
      </c>
      <c r="AD12" s="37"/>
      <c r="AE12" s="38">
        <f t="shared" si="9"/>
        <v>0</v>
      </c>
      <c r="AF12" s="39"/>
      <c r="AG12" s="35"/>
      <c r="AH12" s="36">
        <f t="shared" si="10"/>
        <v>0</v>
      </c>
      <c r="AI12" s="37"/>
      <c r="AJ12" s="38">
        <f t="shared" si="11"/>
        <v>0</v>
      </c>
      <c r="AK12" s="39"/>
      <c r="AL12" s="35"/>
      <c r="AM12" s="36">
        <f t="shared" si="12"/>
        <v>0</v>
      </c>
      <c r="AN12" s="37"/>
      <c r="AO12" s="38">
        <f t="shared" si="13"/>
        <v>0</v>
      </c>
      <c r="AP12" s="39"/>
      <c r="AQ12" s="35"/>
      <c r="AR12" s="36">
        <f t="shared" si="14"/>
        <v>0</v>
      </c>
      <c r="AS12" s="37"/>
      <c r="AT12" s="38">
        <f t="shared" si="15"/>
        <v>0</v>
      </c>
      <c r="AU12" s="40">
        <f t="shared" si="16"/>
        <v>850000</v>
      </c>
      <c r="AV12" s="40">
        <f t="shared" si="17"/>
        <v>850000</v>
      </c>
      <c r="AW12" s="40">
        <f t="shared" si="19"/>
        <v>850000</v>
      </c>
      <c r="AX12" s="15">
        <f t="shared" si="18"/>
        <v>0</v>
      </c>
    </row>
    <row r="13" spans="1:50" x14ac:dyDescent="0.25">
      <c r="B13" s="49" t="s">
        <v>48</v>
      </c>
      <c r="C13" s="41" t="s">
        <v>36</v>
      </c>
      <c r="D13" s="46">
        <v>6977.7777777777774</v>
      </c>
      <c r="E13" s="33">
        <v>15</v>
      </c>
      <c r="F13" s="33">
        <v>104666.66666666666</v>
      </c>
      <c r="G13" s="39"/>
      <c r="H13" s="35"/>
      <c r="I13" s="36">
        <f t="shared" si="0"/>
        <v>0</v>
      </c>
      <c r="J13" s="37"/>
      <c r="K13" s="38">
        <f t="shared" si="1"/>
        <v>0</v>
      </c>
      <c r="L13" s="39"/>
      <c r="M13" s="35">
        <v>1</v>
      </c>
      <c r="N13" s="36">
        <f t="shared" si="2"/>
        <v>104666.66666666666</v>
      </c>
      <c r="O13" s="37">
        <v>1</v>
      </c>
      <c r="P13" s="38">
        <f t="shared" si="3"/>
        <v>104666.66666666666</v>
      </c>
      <c r="Q13" s="39"/>
      <c r="R13" s="35"/>
      <c r="S13" s="36">
        <f t="shared" si="4"/>
        <v>0</v>
      </c>
      <c r="T13" s="37"/>
      <c r="U13" s="38">
        <f t="shared" si="5"/>
        <v>0</v>
      </c>
      <c r="V13" s="39"/>
      <c r="W13" s="35"/>
      <c r="X13" s="36">
        <f t="shared" si="6"/>
        <v>0</v>
      </c>
      <c r="Y13" s="37"/>
      <c r="Z13" s="38">
        <f t="shared" si="7"/>
        <v>0</v>
      </c>
      <c r="AA13" s="39"/>
      <c r="AB13" s="35"/>
      <c r="AC13" s="36">
        <f t="shared" si="8"/>
        <v>0</v>
      </c>
      <c r="AD13" s="37"/>
      <c r="AE13" s="38">
        <f t="shared" si="9"/>
        <v>0</v>
      </c>
      <c r="AF13" s="39"/>
      <c r="AG13" s="35"/>
      <c r="AH13" s="36">
        <f t="shared" si="10"/>
        <v>0</v>
      </c>
      <c r="AI13" s="37"/>
      <c r="AJ13" s="38">
        <f t="shared" si="11"/>
        <v>0</v>
      </c>
      <c r="AK13" s="39"/>
      <c r="AL13" s="35"/>
      <c r="AM13" s="36">
        <f t="shared" si="12"/>
        <v>0</v>
      </c>
      <c r="AN13" s="37"/>
      <c r="AO13" s="38">
        <f t="shared" si="13"/>
        <v>0</v>
      </c>
      <c r="AP13" s="39"/>
      <c r="AQ13" s="35"/>
      <c r="AR13" s="36">
        <f t="shared" si="14"/>
        <v>0</v>
      </c>
      <c r="AS13" s="37"/>
      <c r="AT13" s="38">
        <f t="shared" si="15"/>
        <v>0</v>
      </c>
      <c r="AU13" s="40">
        <f t="shared" si="16"/>
        <v>104666.66666666666</v>
      </c>
      <c r="AV13" s="40">
        <f t="shared" si="17"/>
        <v>104666.66666666666</v>
      </c>
      <c r="AW13" s="40">
        <f t="shared" si="19"/>
        <v>104666.66666666666</v>
      </c>
      <c r="AX13" s="15">
        <f t="shared" si="18"/>
        <v>0</v>
      </c>
    </row>
    <row r="14" spans="1:50" x14ac:dyDescent="0.25">
      <c r="B14" s="47"/>
      <c r="C14" s="41"/>
      <c r="D14" s="46"/>
      <c r="E14" s="33"/>
      <c r="F14" s="33"/>
      <c r="G14" s="39"/>
      <c r="H14" s="35"/>
      <c r="I14" s="36"/>
      <c r="J14" s="37"/>
      <c r="K14" s="38"/>
      <c r="L14" s="39"/>
      <c r="M14" s="35"/>
      <c r="N14" s="36"/>
      <c r="O14" s="37"/>
      <c r="P14" s="38"/>
      <c r="Q14" s="39"/>
      <c r="R14" s="35"/>
      <c r="S14" s="36"/>
      <c r="T14" s="37"/>
      <c r="U14" s="38"/>
      <c r="V14" s="39"/>
      <c r="W14" s="35"/>
      <c r="X14" s="36"/>
      <c r="Y14" s="37"/>
      <c r="Z14" s="38"/>
      <c r="AA14" s="39"/>
      <c r="AB14" s="35"/>
      <c r="AC14" s="36"/>
      <c r="AD14" s="37"/>
      <c r="AE14" s="38"/>
      <c r="AF14" s="39"/>
      <c r="AG14" s="35"/>
      <c r="AH14" s="36"/>
      <c r="AI14" s="37"/>
      <c r="AJ14" s="38"/>
      <c r="AK14" s="39"/>
      <c r="AL14" s="35"/>
      <c r="AM14" s="36"/>
      <c r="AN14" s="37"/>
      <c r="AO14" s="38"/>
      <c r="AP14" s="39"/>
      <c r="AQ14" s="35"/>
      <c r="AR14" s="36"/>
      <c r="AS14" s="37"/>
      <c r="AT14" s="38"/>
      <c r="AU14" s="40"/>
      <c r="AV14" s="40"/>
      <c r="AW14" s="40">
        <f t="shared" si="19"/>
        <v>0</v>
      </c>
      <c r="AX14" s="15"/>
    </row>
    <row r="15" spans="1:50" x14ac:dyDescent="0.25">
      <c r="B15" s="62" t="s">
        <v>0</v>
      </c>
      <c r="C15" s="63"/>
      <c r="D15" s="64"/>
      <c r="E15" s="65"/>
      <c r="F15" s="66">
        <f>SUM(F4:F14)</f>
        <v>1044153.6565736597</v>
      </c>
      <c r="G15" s="66">
        <f>SUM(G4:G14)</f>
        <v>0</v>
      </c>
      <c r="H15" s="66"/>
      <c r="I15" s="66">
        <f>SUM(I4:I14)</f>
        <v>0</v>
      </c>
      <c r="J15" s="66"/>
      <c r="K15" s="66">
        <f>SUM(K4:K14)</f>
        <v>0</v>
      </c>
      <c r="L15" s="66">
        <f>SUM(L4:L14)</f>
        <v>0</v>
      </c>
      <c r="M15" s="66"/>
      <c r="N15" s="66">
        <f>SUM(N4:N14)</f>
        <v>105136.75595238095</v>
      </c>
      <c r="O15" s="66"/>
      <c r="P15" s="66">
        <f>SUM(P4:P14)</f>
        <v>105136.75595238095</v>
      </c>
      <c r="Q15" s="66">
        <f>SUM(Q4:Q14)</f>
        <v>0</v>
      </c>
      <c r="R15" s="66"/>
      <c r="S15" s="66">
        <f>SUM(S4:S14)</f>
        <v>752268.77349624061</v>
      </c>
      <c r="T15" s="66"/>
      <c r="U15" s="66">
        <f>SUM(U4:U14)</f>
        <v>752268.77349624061</v>
      </c>
      <c r="V15" s="66">
        <f>SUM(V4:V14)</f>
        <v>0</v>
      </c>
      <c r="W15" s="66"/>
      <c r="X15" s="66">
        <f>SUM(X4:X14)</f>
        <v>164620.33662185719</v>
      </c>
      <c r="Y15" s="66"/>
      <c r="Z15" s="66">
        <f>SUM(Z4:Z14)</f>
        <v>164620.33662185719</v>
      </c>
      <c r="AA15" s="66">
        <f>SUM(AA4:AA14)</f>
        <v>0</v>
      </c>
      <c r="AB15" s="66"/>
      <c r="AC15" s="66">
        <f>SUM(AC4:AC14)</f>
        <v>12513.510338345866</v>
      </c>
      <c r="AD15" s="66"/>
      <c r="AE15" s="66">
        <f>SUM(AE4:AE14)</f>
        <v>12513.510338345866</v>
      </c>
      <c r="AF15" s="66">
        <f>SUM(AF4:AF14)</f>
        <v>0</v>
      </c>
      <c r="AG15" s="66"/>
      <c r="AH15" s="66">
        <f>SUM(AH4:AH14)</f>
        <v>8674.1015934065908</v>
      </c>
      <c r="AI15" s="66"/>
      <c r="AJ15" s="66">
        <f>SUM(AJ4:AJ14)</f>
        <v>8674.1015934065908</v>
      </c>
      <c r="AK15" s="66">
        <f>SUM(AK4:AK14)</f>
        <v>0</v>
      </c>
      <c r="AL15" s="66"/>
      <c r="AM15" s="66">
        <f>SUM(AM4:AM14)</f>
        <v>470.08928571428578</v>
      </c>
      <c r="AN15" s="66"/>
      <c r="AO15" s="66">
        <f>SUM(AO4:AO14)</f>
        <v>470.08928571428578</v>
      </c>
      <c r="AP15" s="66">
        <f>SUM(AP4:AP14)</f>
        <v>0</v>
      </c>
      <c r="AQ15" s="66"/>
      <c r="AR15" s="66">
        <f>SUM(AR4:AR14)</f>
        <v>470.08928571428578</v>
      </c>
      <c r="AS15" s="66"/>
      <c r="AT15" s="66">
        <f>SUM(AT4:AT14)</f>
        <v>470.08928571428578</v>
      </c>
      <c r="AU15" s="40">
        <f t="shared" ref="AU15:AU17" si="20">F15</f>
        <v>1044153.6565736597</v>
      </c>
      <c r="AV15" s="40">
        <f>I15+N15+S15+X15+AC15+AH15+AM15+AR15</f>
        <v>1044153.6565736599</v>
      </c>
      <c r="AW15" s="40">
        <f t="shared" si="19"/>
        <v>1044153.6565736597</v>
      </c>
      <c r="AX15" s="15">
        <f t="shared" ref="AX15" si="21">IF(AND(AU15=AV15,AV15=AW15,AU15=AW15),0,1)</f>
        <v>0</v>
      </c>
    </row>
    <row r="16" spans="1:50" x14ac:dyDescent="0.25">
      <c r="I16" s="36">
        <f>H16*F16</f>
        <v>0</v>
      </c>
      <c r="AU16" s="40">
        <f t="shared" si="20"/>
        <v>0</v>
      </c>
      <c r="AV16" s="40">
        <f>I16+N16+S16+X16+AC16+AH16+AM16+AR16</f>
        <v>0</v>
      </c>
      <c r="AW16" s="40">
        <f t="shared" si="19"/>
        <v>0</v>
      </c>
      <c r="AX16" s="15">
        <f t="shared" si="18"/>
        <v>0</v>
      </c>
    </row>
    <row r="17" spans="1:50" x14ac:dyDescent="0.25">
      <c r="I17" s="36">
        <f>H17*F17</f>
        <v>0</v>
      </c>
      <c r="AU17" s="40">
        <f t="shared" si="20"/>
        <v>0</v>
      </c>
      <c r="AV17" s="40">
        <f>I17+N17+S17+X17+AC17+AH17+AM17+AR17</f>
        <v>0</v>
      </c>
      <c r="AW17" s="40">
        <f t="shared" si="19"/>
        <v>0</v>
      </c>
      <c r="AX17" s="15">
        <f t="shared" si="18"/>
        <v>0</v>
      </c>
    </row>
    <row r="18" spans="1:50" x14ac:dyDescent="0.25">
      <c r="B18" s="47"/>
      <c r="C18" s="58"/>
      <c r="D18" s="76"/>
      <c r="E18" s="77"/>
      <c r="F18" s="77"/>
      <c r="G18" s="59"/>
      <c r="H18" s="60"/>
      <c r="I18" s="143" t="s">
        <v>210</v>
      </c>
      <c r="J18" s="144"/>
      <c r="K18" s="145"/>
      <c r="L18" s="59"/>
      <c r="M18" s="60"/>
      <c r="N18" s="78"/>
      <c r="O18" s="61"/>
      <c r="P18" s="79"/>
      <c r="Q18" s="59"/>
      <c r="R18" s="60"/>
      <c r="S18" s="78"/>
      <c r="T18" s="61"/>
      <c r="U18" s="79"/>
      <c r="V18" s="59"/>
      <c r="W18" s="60"/>
      <c r="X18" s="78"/>
      <c r="Y18" s="61"/>
      <c r="Z18" s="79"/>
      <c r="AA18" s="59"/>
      <c r="AB18" s="60"/>
      <c r="AC18" s="78"/>
      <c r="AD18" s="61"/>
      <c r="AE18" s="79"/>
      <c r="AF18" s="59"/>
      <c r="AG18" s="60"/>
      <c r="AH18" s="78"/>
      <c r="AI18" s="61"/>
      <c r="AJ18" s="79"/>
      <c r="AK18" s="59"/>
      <c r="AL18" s="60"/>
      <c r="AM18" s="78"/>
      <c r="AN18" s="61"/>
      <c r="AO18" s="79"/>
      <c r="AP18" s="59"/>
      <c r="AQ18" s="60"/>
      <c r="AR18" s="78"/>
      <c r="AS18" s="61"/>
      <c r="AT18" s="79"/>
      <c r="AU18" s="40"/>
      <c r="AV18" s="40"/>
      <c r="AW18" s="40"/>
      <c r="AX18" s="15"/>
    </row>
    <row r="19" spans="1:50" x14ac:dyDescent="0.25">
      <c r="I19" s="146" t="s">
        <v>211</v>
      </c>
      <c r="J19" s="147"/>
      <c r="K19" s="58"/>
    </row>
    <row r="20" spans="1:50" x14ac:dyDescent="0.25">
      <c r="B20" s="80" t="s">
        <v>212</v>
      </c>
      <c r="I20" s="77">
        <v>-180.52631578947367</v>
      </c>
      <c r="J20" s="77"/>
    </row>
    <row r="21" spans="1:50" x14ac:dyDescent="0.25">
      <c r="B21" s="80" t="s">
        <v>213</v>
      </c>
      <c r="I21" s="148">
        <v>-0.39039473684210513</v>
      </c>
      <c r="J21" s="148"/>
    </row>
    <row r="22" spans="1:50" x14ac:dyDescent="0.25">
      <c r="B22" s="80" t="s">
        <v>214</v>
      </c>
      <c r="I22" s="148">
        <v>-0.37018461538461545</v>
      </c>
      <c r="J22" s="148"/>
    </row>
    <row r="23" spans="1:50" x14ac:dyDescent="0.25">
      <c r="B23" s="44" t="s">
        <v>215</v>
      </c>
      <c r="I23" s="148">
        <v>-0.18394000674081565</v>
      </c>
      <c r="J23" s="148"/>
    </row>
    <row r="24" spans="1:50" x14ac:dyDescent="0.25">
      <c r="B24" s="44" t="s">
        <v>216</v>
      </c>
      <c r="I24" s="148">
        <v>-0.22371081900910006</v>
      </c>
      <c r="J24" s="148"/>
    </row>
    <row r="25" spans="1:50" x14ac:dyDescent="0.25">
      <c r="B25" s="44" t="s">
        <v>217</v>
      </c>
      <c r="I25" s="77">
        <v>-460.98461538461538</v>
      </c>
      <c r="J25" s="77"/>
    </row>
    <row r="26" spans="1:50" x14ac:dyDescent="0.25">
      <c r="B26" s="44" t="s">
        <v>218</v>
      </c>
      <c r="I26" s="148">
        <v>-0.36</v>
      </c>
      <c r="J26" s="148"/>
    </row>
    <row r="27" spans="1:50" x14ac:dyDescent="0.25">
      <c r="B27" s="44" t="s">
        <v>219</v>
      </c>
      <c r="I27" s="148">
        <v>-1.7512999999999999</v>
      </c>
      <c r="J27" s="148"/>
    </row>
    <row r="28" spans="1:50" s="67" customFormat="1" x14ac:dyDescent="0.25">
      <c r="A28" s="1"/>
      <c r="B28" s="44" t="s">
        <v>220</v>
      </c>
      <c r="D28" s="68"/>
      <c r="E28" s="69"/>
      <c r="F28" s="70"/>
      <c r="G28" s="71"/>
      <c r="H28" s="72"/>
      <c r="I28" s="148">
        <v>-1.5825</v>
      </c>
      <c r="J28" s="149"/>
      <c r="L28" s="71"/>
      <c r="M28" s="72"/>
      <c r="N28" s="6"/>
      <c r="O28" s="73"/>
      <c r="P28" s="6"/>
      <c r="Q28" s="74"/>
      <c r="R28" s="72"/>
      <c r="S28" s="6"/>
      <c r="T28" s="73"/>
      <c r="U28" s="6"/>
      <c r="V28" s="74"/>
      <c r="W28" s="72"/>
      <c r="X28" s="6"/>
      <c r="Y28" s="73"/>
      <c r="Z28" s="6"/>
      <c r="AA28" s="74"/>
      <c r="AB28" s="72"/>
      <c r="AC28" s="6"/>
      <c r="AD28" s="73"/>
      <c r="AE28" s="6"/>
      <c r="AF28" s="74"/>
      <c r="AG28" s="72"/>
      <c r="AH28" s="6"/>
      <c r="AI28" s="73"/>
      <c r="AJ28" s="6"/>
      <c r="AK28" s="74"/>
      <c r="AL28" s="72"/>
      <c r="AM28" s="6"/>
      <c r="AN28" s="73"/>
      <c r="AO28" s="6"/>
      <c r="AP28" s="74"/>
      <c r="AQ28" s="72"/>
      <c r="AR28" s="6"/>
      <c r="AS28" s="73"/>
      <c r="AT28" s="6"/>
      <c r="AU28" s="5"/>
      <c r="AV28" s="6"/>
      <c r="AW28" s="6"/>
      <c r="AX28" s="2"/>
    </row>
    <row r="29" spans="1:50" x14ac:dyDescent="0.25">
      <c r="B29" s="44" t="s">
        <v>221</v>
      </c>
      <c r="I29" s="148">
        <v>-0.27325581395348836</v>
      </c>
      <c r="J29" s="148"/>
    </row>
    <row r="30" spans="1:50" x14ac:dyDescent="0.25">
      <c r="B30" s="44"/>
      <c r="I30" s="150"/>
      <c r="J30" s="149"/>
      <c r="K30" s="151"/>
    </row>
    <row r="31" spans="1:50" x14ac:dyDescent="0.25">
      <c r="B31" s="80"/>
      <c r="I31" s="152"/>
      <c r="J31" s="149"/>
      <c r="K31" s="151"/>
    </row>
    <row r="32" spans="1:50" x14ac:dyDescent="0.25">
      <c r="B32" s="44"/>
      <c r="I32" s="152"/>
      <c r="J32" s="149"/>
      <c r="K32" s="151"/>
    </row>
  </sheetData>
  <mergeCells count="18">
    <mergeCell ref="AN2:AO2"/>
    <mergeCell ref="AS2:AT2"/>
    <mergeCell ref="AG1:AJ1"/>
    <mergeCell ref="AL1:AO1"/>
    <mergeCell ref="AQ1:AT1"/>
    <mergeCell ref="AD2:AE2"/>
    <mergeCell ref="AI2:AJ2"/>
    <mergeCell ref="C1:F1"/>
    <mergeCell ref="H1:K1"/>
    <mergeCell ref="M1:P1"/>
    <mergeCell ref="R1:U1"/>
    <mergeCell ref="W1:Z1"/>
    <mergeCell ref="AB1:AE1"/>
    <mergeCell ref="C2:F2"/>
    <mergeCell ref="J2:K2"/>
    <mergeCell ref="O2:P2"/>
    <mergeCell ref="T2:U2"/>
    <mergeCell ref="Y2:Z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1" max="60" man="1"/>
    <brk id="16" max="60" man="1"/>
    <brk id="21" max="60" man="1"/>
    <brk id="26" max="60" man="1"/>
    <brk id="31" max="60" man="1"/>
    <brk id="36" max="60" man="1"/>
    <brk id="41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A8" sqref="A8:XFD9"/>
    </sheetView>
  </sheetViews>
  <sheetFormatPr defaultRowHeight="15" x14ac:dyDescent="0.25"/>
  <cols>
    <col min="5" max="5" width="16.7109375" customWidth="1"/>
  </cols>
  <sheetData>
    <row r="1" spans="1:32" s="161" customFormat="1" x14ac:dyDescent="0.25">
      <c r="A1" s="161" t="s">
        <v>243</v>
      </c>
    </row>
    <row r="2" spans="1:32" x14ac:dyDescent="0.25">
      <c r="A2" s="272" t="s">
        <v>172</v>
      </c>
      <c r="B2" s="272"/>
      <c r="C2" s="272"/>
      <c r="D2" s="272"/>
    </row>
    <row r="3" spans="1:32" x14ac:dyDescent="0.25">
      <c r="A3" s="272" t="s">
        <v>173</v>
      </c>
      <c r="B3" s="272"/>
      <c r="C3" s="272"/>
      <c r="D3" s="272"/>
    </row>
    <row r="8" spans="1:32" s="170" customFormat="1" x14ac:dyDescent="0.25">
      <c r="A8" s="94" t="s">
        <v>110</v>
      </c>
      <c r="B8" s="95" t="s">
        <v>111</v>
      </c>
      <c r="C8" s="95" t="s">
        <v>78</v>
      </c>
      <c r="D8" s="94" t="s">
        <v>79</v>
      </c>
      <c r="E8" s="94" t="s">
        <v>112</v>
      </c>
      <c r="F8" s="106">
        <v>12.5</v>
      </c>
      <c r="G8" s="94" t="s">
        <v>113</v>
      </c>
      <c r="H8" s="107">
        <v>235000</v>
      </c>
      <c r="I8" s="97">
        <f>F8*H8</f>
        <v>2937500</v>
      </c>
      <c r="J8" s="94" t="s">
        <v>114</v>
      </c>
      <c r="K8" s="94" t="s">
        <v>82</v>
      </c>
      <c r="L8" s="94" t="s">
        <v>82</v>
      </c>
      <c r="M8" s="94" t="s">
        <v>114</v>
      </c>
      <c r="N8" s="171">
        <f>H8</f>
        <v>235000</v>
      </c>
      <c r="O8" s="108">
        <f>I8</f>
        <v>2937500</v>
      </c>
      <c r="P8" s="99" t="s">
        <v>115</v>
      </c>
      <c r="Q8" s="100">
        <v>0.5</v>
      </c>
      <c r="R8" s="99" t="s">
        <v>84</v>
      </c>
      <c r="S8" s="101" t="s">
        <v>85</v>
      </c>
      <c r="T8" s="86" t="s">
        <v>86</v>
      </c>
      <c r="U8" s="86"/>
      <c r="V8" s="86"/>
      <c r="W8" s="92" t="str">
        <f>A8&amp;B8&amp;C8&amp;D8&amp;E8&amp;G8&amp;J8</f>
        <v>3110230311CCLRDANIEL12-ASHACAsh Disposal Pond</v>
      </c>
      <c r="X8" s="92"/>
      <c r="AF8" s="110">
        <f>Daniel!$D$5</f>
        <v>1</v>
      </c>
    </row>
    <row r="9" spans="1:32" s="170" customFormat="1" x14ac:dyDescent="0.25">
      <c r="A9" s="94" t="s">
        <v>169</v>
      </c>
      <c r="B9" s="95" t="s">
        <v>170</v>
      </c>
      <c r="C9" s="95" t="s">
        <v>78</v>
      </c>
      <c r="D9" s="94" t="s">
        <v>79</v>
      </c>
      <c r="E9" s="94" t="s">
        <v>112</v>
      </c>
      <c r="F9" s="96">
        <v>0</v>
      </c>
      <c r="G9" s="94" t="s">
        <v>82</v>
      </c>
      <c r="H9" s="115"/>
      <c r="I9" s="96">
        <v>0</v>
      </c>
      <c r="J9" s="94" t="s">
        <v>171</v>
      </c>
      <c r="K9" s="94" t="s">
        <v>82</v>
      </c>
      <c r="L9" s="94" t="s">
        <v>82</v>
      </c>
      <c r="M9" s="94" t="s">
        <v>82</v>
      </c>
      <c r="N9" s="92">
        <v>0</v>
      </c>
      <c r="O9" s="96">
        <v>0</v>
      </c>
      <c r="P9" s="99" t="s">
        <v>115</v>
      </c>
      <c r="Q9" s="100">
        <v>1</v>
      </c>
      <c r="R9" s="99" t="s">
        <v>84</v>
      </c>
      <c r="S9" s="101" t="s">
        <v>85</v>
      </c>
      <c r="T9" s="86" t="s">
        <v>86</v>
      </c>
      <c r="U9" s="86"/>
      <c r="V9" s="86"/>
      <c r="W9" s="92" t="str">
        <f>A9&amp;B9&amp;C9&amp;D9&amp;E9&amp;G9&amp;J9</f>
        <v>3040000304CCLRDANIEL12-ASHCONTINGENCY</v>
      </c>
      <c r="X9" s="92"/>
      <c r="AF9" s="110">
        <f>Daniel!$D$6</f>
        <v>1</v>
      </c>
    </row>
    <row r="12" spans="1:32" s="159" customFormat="1" x14ac:dyDescent="0.25">
      <c r="A12" s="114" t="s">
        <v>231</v>
      </c>
      <c r="B12" s="162">
        <v>314</v>
      </c>
      <c r="C12" s="95">
        <v>1</v>
      </c>
      <c r="D12" s="94" t="s">
        <v>93</v>
      </c>
      <c r="E12" s="94" t="s">
        <v>232</v>
      </c>
      <c r="F12" s="163"/>
      <c r="G12" s="114" t="s">
        <v>233</v>
      </c>
      <c r="H12" s="164">
        <v>7.85</v>
      </c>
      <c r="I12" s="96">
        <f t="shared" ref="I12:I25" si="0">F12*H12</f>
        <v>0</v>
      </c>
      <c r="J12" s="114" t="s">
        <v>234</v>
      </c>
      <c r="K12" s="94" t="s">
        <v>82</v>
      </c>
      <c r="L12" s="94" t="s">
        <v>82</v>
      </c>
      <c r="M12" s="94" t="s">
        <v>235</v>
      </c>
      <c r="N12" s="92">
        <f t="shared" ref="N12:N28" si="1">H12</f>
        <v>7.85</v>
      </c>
      <c r="O12" s="96">
        <f t="shared" ref="O12:O28" si="2">I12</f>
        <v>0</v>
      </c>
      <c r="P12" s="99" t="s">
        <v>236</v>
      </c>
      <c r="Q12" s="100">
        <v>0.5</v>
      </c>
      <c r="R12" s="99" t="s">
        <v>237</v>
      </c>
      <c r="S12" s="101" t="s">
        <v>85</v>
      </c>
      <c r="T12" s="86" t="s">
        <v>86</v>
      </c>
      <c r="U12" s="86" t="s">
        <v>96</v>
      </c>
      <c r="V12" s="92" t="str">
        <f t="shared" ref="V12:V28" si="3">A12&amp;B12&amp;C12&amp;D12&amp;E12&amp;G12&amp;J12</f>
        <v>3140000AADS31411LRDANIEL12-ASBSFSF  ASBESTOS ABATEMENT - DUCT (REMOVAL)</v>
      </c>
      <c r="W12" s="92"/>
      <c r="AD12" s="165" t="e">
        <f>IF(INDEX('[1]Daniel Import (to MPC Study)'!$I$2:$I$135,MATCH($V12,'[1]Daniel Import (to MPC Study)'!$V$2:$V$135,0))="","",INDEX('[1]Daniel Import (to MPC Study)'!$I$2:$I$135,MATCH($V12,'[1]Daniel Import (to MPC Study)'!$V$2:$V$135,0)))</f>
        <v>#N/A</v>
      </c>
      <c r="AE12" s="165" t="e">
        <f>IF(INDEX('[1]Daniel Import (to Gulf Study)'!$I$2:$I$89,MATCH($V12,'[1]Daniel Import (to Gulf Study)'!$V$2:$V$89,0))="","",INDEX('[1]Daniel Import (to Gulf Study)'!$I$2:$I$89,MATCH($V12,'[1]Daniel Import (to Gulf Study)'!$V$2:$V$89,0)))</f>
        <v>#N/A</v>
      </c>
    </row>
    <row r="13" spans="1:32" s="159" customFormat="1" x14ac:dyDescent="0.25">
      <c r="A13" s="114" t="s">
        <v>238</v>
      </c>
      <c r="B13" s="162">
        <v>314</v>
      </c>
      <c r="C13" s="95">
        <v>1</v>
      </c>
      <c r="D13" s="94" t="s">
        <v>93</v>
      </c>
      <c r="E13" s="94" t="s">
        <v>232</v>
      </c>
      <c r="F13" s="163"/>
      <c r="G13" s="114" t="s">
        <v>233</v>
      </c>
      <c r="H13" s="166">
        <v>6.3</v>
      </c>
      <c r="I13" s="96">
        <f t="shared" si="0"/>
        <v>0</v>
      </c>
      <c r="J13" s="114" t="s">
        <v>239</v>
      </c>
      <c r="K13" s="94" t="s">
        <v>82</v>
      </c>
      <c r="L13" s="94" t="s">
        <v>82</v>
      </c>
      <c r="M13" s="94" t="s">
        <v>235</v>
      </c>
      <c r="N13" s="92">
        <f t="shared" si="1"/>
        <v>6.3</v>
      </c>
      <c r="O13" s="96">
        <f t="shared" si="2"/>
        <v>0</v>
      </c>
      <c r="P13" s="99" t="s">
        <v>236</v>
      </c>
      <c r="Q13" s="100">
        <v>0.5</v>
      </c>
      <c r="R13" s="99" t="s">
        <v>237</v>
      </c>
      <c r="S13" s="101" t="s">
        <v>85</v>
      </c>
      <c r="T13" s="86" t="s">
        <v>86</v>
      </c>
      <c r="U13" s="86" t="s">
        <v>96</v>
      </c>
      <c r="V13" s="92" t="str">
        <f t="shared" si="3"/>
        <v>3140000AAPS31411LRDANIEL12-ASBSFSF  ASBESTOS ABATEMENT - PIPE (REMOVAL)</v>
      </c>
      <c r="W13" s="92"/>
      <c r="AD13" s="165" t="e">
        <f>IF(INDEX('[1]Daniel Import (to MPC Study)'!$I$2:$I$135,MATCH($V13,'[1]Daniel Import (to MPC Study)'!$V$2:$V$135,0))="","",INDEX('[1]Daniel Import (to MPC Study)'!$I$2:$I$135,MATCH($V13,'[1]Daniel Import (to MPC Study)'!$V$2:$V$135,0)))</f>
        <v>#N/A</v>
      </c>
      <c r="AE13" s="165" t="e">
        <f>IF(INDEX('[1]Daniel Import (to Gulf Study)'!$I$2:$I$89,MATCH($V13,'[1]Daniel Import (to Gulf Study)'!$V$2:$V$89,0))="","",INDEX('[1]Daniel Import (to Gulf Study)'!$I$2:$I$89,MATCH($V13,'[1]Daniel Import (to Gulf Study)'!$V$2:$V$89,0)))</f>
        <v>#N/A</v>
      </c>
    </row>
    <row r="14" spans="1:32" s="159" customFormat="1" x14ac:dyDescent="0.25">
      <c r="A14" s="114" t="s">
        <v>240</v>
      </c>
      <c r="B14" s="162">
        <v>314</v>
      </c>
      <c r="C14" s="95">
        <v>1</v>
      </c>
      <c r="D14" s="94" t="s">
        <v>127</v>
      </c>
      <c r="E14" s="94" t="s">
        <v>232</v>
      </c>
      <c r="F14" s="163"/>
      <c r="G14" s="94" t="s">
        <v>241</v>
      </c>
      <c r="H14" s="164">
        <v>345.39</v>
      </c>
      <c r="I14" s="96">
        <f t="shared" si="0"/>
        <v>0</v>
      </c>
      <c r="J14" s="114" t="s">
        <v>242</v>
      </c>
      <c r="K14" s="94" t="s">
        <v>82</v>
      </c>
      <c r="L14" s="94" t="s">
        <v>82</v>
      </c>
      <c r="M14" s="94" t="s">
        <v>235</v>
      </c>
      <c r="N14" s="92">
        <f t="shared" si="1"/>
        <v>345.39</v>
      </c>
      <c r="O14" s="96">
        <f t="shared" si="2"/>
        <v>0</v>
      </c>
      <c r="P14" s="99" t="s">
        <v>236</v>
      </c>
      <c r="Q14" s="100">
        <v>0.5</v>
      </c>
      <c r="R14" s="99" t="s">
        <v>237</v>
      </c>
      <c r="S14" s="101" t="s">
        <v>128</v>
      </c>
      <c r="T14" s="86" t="s">
        <v>86</v>
      </c>
      <c r="U14" s="86" t="s">
        <v>96</v>
      </c>
      <c r="V14" s="92" t="str">
        <f t="shared" si="3"/>
        <v>3140000AAD31411LDDANIEL12-ASBTNTN  ASBESTOS ABATEMENT (DISPOSAL)</v>
      </c>
      <c r="W14" s="92"/>
      <c r="AD14" s="165" t="e">
        <f>IF(INDEX('[1]Daniel Import (to MPC Study)'!$I$2:$I$135,MATCH($V14,'[1]Daniel Import (to MPC Study)'!$V$2:$V$135,0))="","",INDEX('[1]Daniel Import (to MPC Study)'!$I$2:$I$135,MATCH($V14,'[1]Daniel Import (to MPC Study)'!$V$2:$V$135,0)))</f>
        <v>#N/A</v>
      </c>
      <c r="AE14" s="165" t="e">
        <f>IF(INDEX('[1]Daniel Import (to Gulf Study)'!$I$2:$I$89,MATCH($V14,'[1]Daniel Import (to Gulf Study)'!$V$2:$V$89,0))="","",INDEX('[1]Daniel Import (to Gulf Study)'!$I$2:$I$89,MATCH($V14,'[1]Daniel Import (to Gulf Study)'!$V$2:$V$89,0)))</f>
        <v>#N/A</v>
      </c>
    </row>
    <row r="15" spans="1:32" s="159" customFormat="1" x14ac:dyDescent="0.25">
      <c r="A15" s="114" t="s">
        <v>231</v>
      </c>
      <c r="B15" s="162">
        <v>314</v>
      </c>
      <c r="C15" s="95">
        <v>2</v>
      </c>
      <c r="D15" s="94" t="s">
        <v>97</v>
      </c>
      <c r="E15" s="94" t="s">
        <v>232</v>
      </c>
      <c r="F15" s="163"/>
      <c r="G15" s="114" t="s">
        <v>233</v>
      </c>
      <c r="H15" s="164">
        <v>7.85</v>
      </c>
      <c r="I15" s="96">
        <f t="shared" si="0"/>
        <v>0</v>
      </c>
      <c r="J15" s="114" t="s">
        <v>234</v>
      </c>
      <c r="K15" s="94" t="s">
        <v>82</v>
      </c>
      <c r="L15" s="94" t="s">
        <v>82</v>
      </c>
      <c r="M15" s="94" t="s">
        <v>235</v>
      </c>
      <c r="N15" s="92">
        <f t="shared" si="1"/>
        <v>7.85</v>
      </c>
      <c r="O15" s="96">
        <f t="shared" si="2"/>
        <v>0</v>
      </c>
      <c r="P15" s="99" t="s">
        <v>236</v>
      </c>
      <c r="Q15" s="100">
        <v>0.5</v>
      </c>
      <c r="R15" s="99" t="s">
        <v>237</v>
      </c>
      <c r="S15" s="101" t="s">
        <v>85</v>
      </c>
      <c r="T15" s="86" t="s">
        <v>86</v>
      </c>
      <c r="U15" s="86" t="s">
        <v>96</v>
      </c>
      <c r="V15" s="92" t="str">
        <f t="shared" si="3"/>
        <v>3140000AADS31422LRDANIEL12-ASBSFSF  ASBESTOS ABATEMENT - DUCT (REMOVAL)</v>
      </c>
      <c r="W15" s="92"/>
      <c r="AD15" s="165" t="e">
        <f>IF(INDEX('[1]Daniel Import (to MPC Study)'!$I$2:$I$135,MATCH($V15,'[1]Daniel Import (to MPC Study)'!$V$2:$V$135,0))="","",INDEX('[1]Daniel Import (to MPC Study)'!$I$2:$I$135,MATCH($V15,'[1]Daniel Import (to MPC Study)'!$V$2:$V$135,0)))</f>
        <v>#N/A</v>
      </c>
      <c r="AE15" s="165" t="e">
        <f>IF(INDEX('[1]Daniel Import (to Gulf Study)'!$I$2:$I$89,MATCH($V15,'[1]Daniel Import (to Gulf Study)'!$V$2:$V$89,0))="","",INDEX('[1]Daniel Import (to Gulf Study)'!$I$2:$I$89,MATCH($V15,'[1]Daniel Import (to Gulf Study)'!$V$2:$V$89,0)))</f>
        <v>#N/A</v>
      </c>
    </row>
    <row r="16" spans="1:32" s="159" customFormat="1" x14ac:dyDescent="0.25">
      <c r="A16" s="114" t="s">
        <v>238</v>
      </c>
      <c r="B16" s="162">
        <v>314</v>
      </c>
      <c r="C16" s="95">
        <v>2</v>
      </c>
      <c r="D16" s="94" t="s">
        <v>97</v>
      </c>
      <c r="E16" s="94" t="s">
        <v>232</v>
      </c>
      <c r="F16" s="163"/>
      <c r="G16" s="114" t="s">
        <v>233</v>
      </c>
      <c r="H16" s="166">
        <v>6.3</v>
      </c>
      <c r="I16" s="96">
        <f t="shared" si="0"/>
        <v>0</v>
      </c>
      <c r="J16" s="114" t="s">
        <v>239</v>
      </c>
      <c r="K16" s="94" t="s">
        <v>82</v>
      </c>
      <c r="L16" s="94" t="s">
        <v>82</v>
      </c>
      <c r="M16" s="94" t="s">
        <v>235</v>
      </c>
      <c r="N16" s="92">
        <f t="shared" si="1"/>
        <v>6.3</v>
      </c>
      <c r="O16" s="96">
        <f t="shared" si="2"/>
        <v>0</v>
      </c>
      <c r="P16" s="99" t="s">
        <v>236</v>
      </c>
      <c r="Q16" s="100">
        <v>0.5</v>
      </c>
      <c r="R16" s="99" t="s">
        <v>237</v>
      </c>
      <c r="S16" s="101" t="s">
        <v>85</v>
      </c>
      <c r="T16" s="86" t="s">
        <v>86</v>
      </c>
      <c r="U16" s="86" t="s">
        <v>96</v>
      </c>
      <c r="V16" s="92" t="str">
        <f t="shared" si="3"/>
        <v>3140000AAPS31422LRDANIEL12-ASBSFSF  ASBESTOS ABATEMENT - PIPE (REMOVAL)</v>
      </c>
      <c r="W16" s="92"/>
      <c r="AD16" s="165" t="e">
        <f>IF(INDEX('[1]Daniel Import (to MPC Study)'!$I$2:$I$135,MATCH($V16,'[1]Daniel Import (to MPC Study)'!$V$2:$V$135,0))="","",INDEX('[1]Daniel Import (to MPC Study)'!$I$2:$I$135,MATCH($V16,'[1]Daniel Import (to MPC Study)'!$V$2:$V$135,0)))</f>
        <v>#N/A</v>
      </c>
      <c r="AE16" s="165" t="e">
        <f>IF(INDEX('[1]Daniel Import (to Gulf Study)'!$I$2:$I$89,MATCH($V16,'[1]Daniel Import (to Gulf Study)'!$V$2:$V$89,0))="","",INDEX('[1]Daniel Import (to Gulf Study)'!$I$2:$I$89,MATCH($V16,'[1]Daniel Import (to Gulf Study)'!$V$2:$V$89,0)))</f>
        <v>#N/A</v>
      </c>
    </row>
    <row r="17" spans="1:31" s="159" customFormat="1" x14ac:dyDescent="0.25">
      <c r="A17" s="114" t="s">
        <v>240</v>
      </c>
      <c r="B17" s="162">
        <v>314</v>
      </c>
      <c r="C17" s="95">
        <v>2</v>
      </c>
      <c r="D17" s="94" t="s">
        <v>129</v>
      </c>
      <c r="E17" s="94" t="s">
        <v>232</v>
      </c>
      <c r="F17" s="163"/>
      <c r="G17" s="94" t="s">
        <v>241</v>
      </c>
      <c r="H17" s="164">
        <v>345.39</v>
      </c>
      <c r="I17" s="96">
        <f t="shared" si="0"/>
        <v>0</v>
      </c>
      <c r="J17" s="114" t="s">
        <v>242</v>
      </c>
      <c r="K17" s="94" t="s">
        <v>82</v>
      </c>
      <c r="L17" s="94" t="s">
        <v>82</v>
      </c>
      <c r="M17" s="94" t="s">
        <v>235</v>
      </c>
      <c r="N17" s="92">
        <f t="shared" si="1"/>
        <v>345.39</v>
      </c>
      <c r="O17" s="96">
        <f t="shared" si="2"/>
        <v>0</v>
      </c>
      <c r="P17" s="99" t="s">
        <v>236</v>
      </c>
      <c r="Q17" s="100">
        <v>0.5</v>
      </c>
      <c r="R17" s="99" t="s">
        <v>237</v>
      </c>
      <c r="S17" s="101" t="s">
        <v>128</v>
      </c>
      <c r="T17" s="86" t="s">
        <v>86</v>
      </c>
      <c r="U17" s="86" t="s">
        <v>96</v>
      </c>
      <c r="V17" s="92" t="str">
        <f t="shared" si="3"/>
        <v>3140000AAD31422LDDANIEL12-ASBTNTN  ASBESTOS ABATEMENT (DISPOSAL)</v>
      </c>
      <c r="W17" s="92"/>
      <c r="AD17" s="165" t="e">
        <f>IF(INDEX('[1]Daniel Import (to MPC Study)'!$I$2:$I$135,MATCH($V17,'[1]Daniel Import (to MPC Study)'!$V$2:$V$135,0))="","",INDEX('[1]Daniel Import (to MPC Study)'!$I$2:$I$135,MATCH($V17,'[1]Daniel Import (to MPC Study)'!$V$2:$V$135,0)))</f>
        <v>#N/A</v>
      </c>
      <c r="AE17" s="165" t="e">
        <f>IF(INDEX('[1]Daniel Import (to Gulf Study)'!$I$2:$I$89,MATCH($V17,'[1]Daniel Import (to Gulf Study)'!$V$2:$V$89,0))="","",INDEX('[1]Daniel Import (to Gulf Study)'!$I$2:$I$89,MATCH($V17,'[1]Daniel Import (to Gulf Study)'!$V$2:$V$89,0)))</f>
        <v>#N/A</v>
      </c>
    </row>
    <row r="18" spans="1:31" s="159" customFormat="1" x14ac:dyDescent="0.25">
      <c r="A18" s="94" t="s">
        <v>76</v>
      </c>
      <c r="B18" s="95" t="s">
        <v>77</v>
      </c>
      <c r="C18" s="95" t="s">
        <v>78</v>
      </c>
      <c r="D18" s="94" t="s">
        <v>79</v>
      </c>
      <c r="E18" s="94" t="s">
        <v>232</v>
      </c>
      <c r="F18" s="96">
        <v>1</v>
      </c>
      <c r="G18" s="94" t="s">
        <v>16</v>
      </c>
      <c r="H18" s="167">
        <f>SUMIFS($I$4:$I$154,$E$4:$E$154,$E18,$U$4:$U$154,"MARKUP",$S$4:$S$154,"REMOVAL")*0.01</f>
        <v>0</v>
      </c>
      <c r="I18" s="108">
        <f t="shared" si="0"/>
        <v>0</v>
      </c>
      <c r="J18" s="98" t="s">
        <v>81</v>
      </c>
      <c r="K18" s="94" t="s">
        <v>82</v>
      </c>
      <c r="L18" s="94" t="s">
        <v>82</v>
      </c>
      <c r="M18" s="94" t="s">
        <v>81</v>
      </c>
      <c r="N18" s="92">
        <f t="shared" si="1"/>
        <v>0</v>
      </c>
      <c r="O18" s="96">
        <f t="shared" si="2"/>
        <v>0</v>
      </c>
      <c r="P18" s="99" t="s">
        <v>236</v>
      </c>
      <c r="Q18" s="100">
        <v>0.5</v>
      </c>
      <c r="R18" s="99" t="s">
        <v>237</v>
      </c>
      <c r="S18" s="101" t="s">
        <v>85</v>
      </c>
      <c r="T18" s="86" t="s">
        <v>86</v>
      </c>
      <c r="U18" s="86"/>
      <c r="V18" s="92" t="str">
        <f t="shared" si="3"/>
        <v>3090481309CCLRDANIEL12-ASB%ADMINISTRATIVE &amp; GENERAL OVERHEAD</v>
      </c>
      <c r="W18" s="92"/>
      <c r="AD18" s="165" t="e">
        <f>IF(INDEX('[1]Daniel Import (to MPC Study)'!$I$2:$I$135,MATCH($V18,'[1]Daniel Import (to MPC Study)'!$V$2:$V$135,0))="","",INDEX('[1]Daniel Import (to MPC Study)'!$I$2:$I$135,MATCH($V18,'[1]Daniel Import (to MPC Study)'!$V$2:$V$135,0)))</f>
        <v>#N/A</v>
      </c>
      <c r="AE18" s="165" t="e">
        <f>IF(INDEX('[1]Daniel Import (to Gulf Study)'!$I$2:$I$89,MATCH($V18,'[1]Daniel Import (to Gulf Study)'!$V$2:$V$89,0))="","",INDEX('[1]Daniel Import (to Gulf Study)'!$I$2:$I$89,MATCH($V18,'[1]Daniel Import (to Gulf Study)'!$V$2:$V$89,0)))</f>
        <v>#N/A</v>
      </c>
    </row>
    <row r="19" spans="1:31" s="159" customFormat="1" x14ac:dyDescent="0.25">
      <c r="A19" s="94" t="s">
        <v>87</v>
      </c>
      <c r="B19" s="95" t="s">
        <v>88</v>
      </c>
      <c r="C19" s="95" t="s">
        <v>78</v>
      </c>
      <c r="D19" s="94" t="s">
        <v>79</v>
      </c>
      <c r="E19" s="94" t="s">
        <v>232</v>
      </c>
      <c r="F19" s="96">
        <v>1</v>
      </c>
      <c r="G19" s="94" t="s">
        <v>89</v>
      </c>
      <c r="H19" s="168">
        <f>SUMIFS($I$4:$I$154,$E$4:$E$154,$E19,$U$4:$U$154,"MARKUP",$S$4:$S$154,"REMOVAL")*0.0008</f>
        <v>0</v>
      </c>
      <c r="I19" s="108">
        <f t="shared" si="0"/>
        <v>0</v>
      </c>
      <c r="J19" s="98" t="s">
        <v>90</v>
      </c>
      <c r="K19" s="94" t="s">
        <v>82</v>
      </c>
      <c r="L19" s="94" t="s">
        <v>82</v>
      </c>
      <c r="M19" s="94" t="s">
        <v>90</v>
      </c>
      <c r="N19" s="92">
        <f t="shared" si="1"/>
        <v>0</v>
      </c>
      <c r="O19" s="96">
        <f t="shared" si="2"/>
        <v>0</v>
      </c>
      <c r="P19" s="99" t="s">
        <v>236</v>
      </c>
      <c r="Q19" s="100">
        <v>0.5</v>
      </c>
      <c r="R19" s="99" t="s">
        <v>237</v>
      </c>
      <c r="S19" s="101" t="s">
        <v>85</v>
      </c>
      <c r="T19" s="86" t="s">
        <v>86</v>
      </c>
      <c r="U19" s="86"/>
      <c r="V19" s="92" t="str">
        <f t="shared" si="3"/>
        <v>3080268308CCLRDANIEL12-ASBLTPERMITS</v>
      </c>
      <c r="W19" s="92"/>
      <c r="AD19" s="165" t="e">
        <f>IF(INDEX('[1]Daniel Import (to MPC Study)'!$I$2:$I$135,MATCH($V19,'[1]Daniel Import (to MPC Study)'!$V$2:$V$135,0))="","",INDEX('[1]Daniel Import (to MPC Study)'!$I$2:$I$135,MATCH($V19,'[1]Daniel Import (to MPC Study)'!$V$2:$V$135,0)))</f>
        <v>#N/A</v>
      </c>
      <c r="AE19" s="165" t="e">
        <f>IF(INDEX('[1]Daniel Import (to Gulf Study)'!$I$2:$I$89,MATCH($V19,'[1]Daniel Import (to Gulf Study)'!$V$2:$V$89,0))="","",INDEX('[1]Daniel Import (to Gulf Study)'!$I$2:$I$89,MATCH($V19,'[1]Daniel Import (to Gulf Study)'!$V$2:$V$89,0)))</f>
        <v>#N/A</v>
      </c>
    </row>
    <row r="20" spans="1:31" s="159" customFormat="1" x14ac:dyDescent="0.25">
      <c r="A20" s="103">
        <v>3080241</v>
      </c>
      <c r="B20" s="95" t="s">
        <v>88</v>
      </c>
      <c r="C20" s="95" t="s">
        <v>78</v>
      </c>
      <c r="D20" s="94" t="s">
        <v>79</v>
      </c>
      <c r="E20" s="94" t="s">
        <v>232</v>
      </c>
      <c r="F20" s="96">
        <v>1</v>
      </c>
      <c r="G20" s="94" t="s">
        <v>16</v>
      </c>
      <c r="H20" s="168">
        <f>SUMIFS($I$4:$I$154,$E$4:$E$154,$E20,$U$4:$U$154,"MARKUP",$S$4:$S$154,"REMOVAL")*0.01</f>
        <v>0</v>
      </c>
      <c r="I20" s="108">
        <f t="shared" si="0"/>
        <v>0</v>
      </c>
      <c r="J20" s="105" t="s">
        <v>103</v>
      </c>
      <c r="K20" s="94" t="s">
        <v>82</v>
      </c>
      <c r="L20" s="94" t="s">
        <v>82</v>
      </c>
      <c r="M20" s="94" t="s">
        <v>104</v>
      </c>
      <c r="N20" s="92">
        <f t="shared" si="1"/>
        <v>0</v>
      </c>
      <c r="O20" s="96">
        <f t="shared" si="2"/>
        <v>0</v>
      </c>
      <c r="P20" s="99" t="s">
        <v>236</v>
      </c>
      <c r="Q20" s="100">
        <v>0.5</v>
      </c>
      <c r="R20" s="99" t="s">
        <v>237</v>
      </c>
      <c r="S20" s="101" t="s">
        <v>85</v>
      </c>
      <c r="T20" s="86" t="s">
        <v>86</v>
      </c>
      <c r="U20" s="86"/>
      <c r="V20" s="92" t="str">
        <f t="shared" si="3"/>
        <v>3080241308CCLRDANIEL12-ASB%SCS ENGINEERING</v>
      </c>
      <c r="W20" s="92"/>
      <c r="AD20" s="165" t="e">
        <f>IF(INDEX('[1]Daniel Import (to MPC Study)'!$I$2:$I$135,MATCH($V20,'[1]Daniel Import (to MPC Study)'!$V$2:$V$135,0))="","",INDEX('[1]Daniel Import (to MPC Study)'!$I$2:$I$135,MATCH($V20,'[1]Daniel Import (to MPC Study)'!$V$2:$V$135,0)))</f>
        <v>#N/A</v>
      </c>
      <c r="AE20" s="165" t="e">
        <f>IF(INDEX('[1]Daniel Import (to Gulf Study)'!$I$2:$I$89,MATCH($V20,'[1]Daniel Import (to Gulf Study)'!$V$2:$V$89,0))="","",INDEX('[1]Daniel Import (to Gulf Study)'!$I$2:$I$89,MATCH($V20,'[1]Daniel Import (to Gulf Study)'!$V$2:$V$89,0)))</f>
        <v>#N/A</v>
      </c>
    </row>
    <row r="21" spans="1:31" s="159" customFormat="1" x14ac:dyDescent="0.25">
      <c r="A21" s="114" t="s">
        <v>231</v>
      </c>
      <c r="B21" s="162">
        <v>314</v>
      </c>
      <c r="C21" s="95" t="s">
        <v>78</v>
      </c>
      <c r="D21" s="94" t="s">
        <v>79</v>
      </c>
      <c r="E21" s="94" t="s">
        <v>232</v>
      </c>
      <c r="F21" s="163"/>
      <c r="G21" s="114" t="s">
        <v>233</v>
      </c>
      <c r="H21" s="164">
        <v>7.85</v>
      </c>
      <c r="I21" s="108">
        <f t="shared" si="0"/>
        <v>0</v>
      </c>
      <c r="J21" s="114" t="s">
        <v>234</v>
      </c>
      <c r="K21" s="94" t="s">
        <v>82</v>
      </c>
      <c r="L21" s="94" t="s">
        <v>82</v>
      </c>
      <c r="M21" s="94" t="s">
        <v>235</v>
      </c>
      <c r="N21" s="92">
        <f t="shared" si="1"/>
        <v>7.85</v>
      </c>
      <c r="O21" s="96">
        <f t="shared" si="2"/>
        <v>0</v>
      </c>
      <c r="P21" s="99" t="s">
        <v>236</v>
      </c>
      <c r="Q21" s="100">
        <v>0.5</v>
      </c>
      <c r="R21" s="99" t="s">
        <v>237</v>
      </c>
      <c r="S21" s="101" t="s">
        <v>85</v>
      </c>
      <c r="T21" s="86" t="s">
        <v>86</v>
      </c>
      <c r="U21" s="86" t="s">
        <v>96</v>
      </c>
      <c r="V21" s="92" t="str">
        <f t="shared" si="3"/>
        <v>3140000AADS314CCLRDANIEL12-ASBSFSF  ASBESTOS ABATEMENT - DUCT (REMOVAL)</v>
      </c>
      <c r="W21" s="92"/>
      <c r="AD21" s="165" t="e">
        <f>IF(INDEX('[1]Daniel Import (to MPC Study)'!$I$2:$I$135,MATCH($V21,'[1]Daniel Import (to MPC Study)'!$V$2:$V$135,0))="","",INDEX('[1]Daniel Import (to MPC Study)'!$I$2:$I$135,MATCH($V21,'[1]Daniel Import (to MPC Study)'!$V$2:$V$135,0)))</f>
        <v>#N/A</v>
      </c>
      <c r="AE21" s="165" t="e">
        <f>IF(INDEX('[1]Daniel Import (to Gulf Study)'!$I$2:$I$89,MATCH($V21,'[1]Daniel Import (to Gulf Study)'!$V$2:$V$89,0))="","",INDEX('[1]Daniel Import (to Gulf Study)'!$I$2:$I$89,MATCH($V21,'[1]Daniel Import (to Gulf Study)'!$V$2:$V$89,0)))</f>
        <v>#N/A</v>
      </c>
    </row>
    <row r="22" spans="1:31" s="159" customFormat="1" x14ac:dyDescent="0.25">
      <c r="A22" s="114" t="s">
        <v>238</v>
      </c>
      <c r="B22" s="162">
        <v>314</v>
      </c>
      <c r="C22" s="95" t="s">
        <v>78</v>
      </c>
      <c r="D22" s="94" t="s">
        <v>79</v>
      </c>
      <c r="E22" s="94" t="s">
        <v>232</v>
      </c>
      <c r="F22" s="163"/>
      <c r="G22" s="114" t="s">
        <v>233</v>
      </c>
      <c r="H22" s="166">
        <v>6.3</v>
      </c>
      <c r="I22" s="108">
        <f t="shared" si="0"/>
        <v>0</v>
      </c>
      <c r="J22" s="114" t="s">
        <v>239</v>
      </c>
      <c r="K22" s="94" t="s">
        <v>82</v>
      </c>
      <c r="L22" s="94" t="s">
        <v>82</v>
      </c>
      <c r="M22" s="94" t="s">
        <v>235</v>
      </c>
      <c r="N22" s="92">
        <f t="shared" si="1"/>
        <v>6.3</v>
      </c>
      <c r="O22" s="96">
        <f t="shared" si="2"/>
        <v>0</v>
      </c>
      <c r="P22" s="99" t="s">
        <v>236</v>
      </c>
      <c r="Q22" s="100">
        <v>0.5</v>
      </c>
      <c r="R22" s="99" t="s">
        <v>237</v>
      </c>
      <c r="S22" s="101" t="s">
        <v>85</v>
      </c>
      <c r="T22" s="86" t="s">
        <v>86</v>
      </c>
      <c r="U22" s="86" t="s">
        <v>96</v>
      </c>
      <c r="V22" s="92" t="str">
        <f t="shared" si="3"/>
        <v>3140000AAPS314CCLRDANIEL12-ASBSFSF  ASBESTOS ABATEMENT - PIPE (REMOVAL)</v>
      </c>
      <c r="W22" s="92"/>
      <c r="AD22" s="165" t="e">
        <f>IF(INDEX('[1]Daniel Import (to MPC Study)'!$I$2:$I$135,MATCH($V22,'[1]Daniel Import (to MPC Study)'!$V$2:$V$135,0))="","",INDEX('[1]Daniel Import (to MPC Study)'!$I$2:$I$135,MATCH($V22,'[1]Daniel Import (to MPC Study)'!$V$2:$V$135,0)))</f>
        <v>#N/A</v>
      </c>
      <c r="AE22" s="165" t="e">
        <f>IF(INDEX('[1]Daniel Import (to Gulf Study)'!$I$2:$I$89,MATCH($V22,'[1]Daniel Import (to Gulf Study)'!$V$2:$V$89,0))="","",INDEX('[1]Daniel Import (to Gulf Study)'!$I$2:$I$89,MATCH($V22,'[1]Daniel Import (to Gulf Study)'!$V$2:$V$89,0)))</f>
        <v>#N/A</v>
      </c>
    </row>
    <row r="23" spans="1:31" s="159" customFormat="1" x14ac:dyDescent="0.25">
      <c r="A23" s="94" t="s">
        <v>105</v>
      </c>
      <c r="B23" s="95" t="s">
        <v>106</v>
      </c>
      <c r="C23" s="95" t="s">
        <v>78</v>
      </c>
      <c r="D23" s="94" t="s">
        <v>79</v>
      </c>
      <c r="E23" s="94" t="s">
        <v>232</v>
      </c>
      <c r="F23" s="104">
        <v>1</v>
      </c>
      <c r="G23" s="94" t="s">
        <v>16</v>
      </c>
      <c r="H23" s="167">
        <f>SUMIFS($I$4:$I$154,$E$4:$E$154,$E23,$U$4:$U$154,"MARKUP",$S$4:$S$154,"REMOVAL")*0.01</f>
        <v>0</v>
      </c>
      <c r="I23" s="108">
        <f t="shared" si="0"/>
        <v>0</v>
      </c>
      <c r="J23" s="98" t="s">
        <v>107</v>
      </c>
      <c r="K23" s="94" t="s">
        <v>82</v>
      </c>
      <c r="L23" s="94" t="s">
        <v>82</v>
      </c>
      <c r="M23" s="94" t="s">
        <v>107</v>
      </c>
      <c r="N23" s="92">
        <f t="shared" si="1"/>
        <v>0</v>
      </c>
      <c r="O23" s="96">
        <f t="shared" si="2"/>
        <v>0</v>
      </c>
      <c r="P23" s="99" t="s">
        <v>236</v>
      </c>
      <c r="Q23" s="100">
        <v>0.5</v>
      </c>
      <c r="R23" s="99" t="s">
        <v>237</v>
      </c>
      <c r="S23" s="101" t="s">
        <v>85</v>
      </c>
      <c r="T23" s="86" t="s">
        <v>86</v>
      </c>
      <c r="U23" s="86"/>
      <c r="V23" s="92" t="str">
        <f t="shared" si="3"/>
        <v>3070201307CCLRDANIEL12-ASB%TEMPORARY CONSTRUCTION SERVICES</v>
      </c>
      <c r="W23" s="92"/>
      <c r="AD23" s="165" t="e">
        <f>IF(INDEX('[1]Daniel Import (to MPC Study)'!$I$2:$I$135,MATCH($V23,'[1]Daniel Import (to MPC Study)'!$V$2:$V$135,0))="","",INDEX('[1]Daniel Import (to MPC Study)'!$I$2:$I$135,MATCH($V23,'[1]Daniel Import (to MPC Study)'!$V$2:$V$135,0)))</f>
        <v>#N/A</v>
      </c>
      <c r="AE23" s="165" t="e">
        <f>IF(INDEX('[1]Daniel Import (to Gulf Study)'!$I$2:$I$89,MATCH($V23,'[1]Daniel Import (to Gulf Study)'!$V$2:$V$89,0))="","",INDEX('[1]Daniel Import (to Gulf Study)'!$I$2:$I$89,MATCH($V23,'[1]Daniel Import (to Gulf Study)'!$V$2:$V$89,0)))</f>
        <v>#N/A</v>
      </c>
    </row>
    <row r="24" spans="1:31" s="159" customFormat="1" x14ac:dyDescent="0.25">
      <c r="A24" s="114" t="s">
        <v>240</v>
      </c>
      <c r="B24" s="162">
        <v>314</v>
      </c>
      <c r="C24" s="95" t="s">
        <v>78</v>
      </c>
      <c r="D24" s="94" t="s">
        <v>163</v>
      </c>
      <c r="E24" s="94" t="s">
        <v>232</v>
      </c>
      <c r="F24" s="163"/>
      <c r="G24" s="94" t="s">
        <v>241</v>
      </c>
      <c r="H24" s="164">
        <v>345.39</v>
      </c>
      <c r="I24" s="108">
        <f t="shared" si="0"/>
        <v>0</v>
      </c>
      <c r="J24" s="114" t="s">
        <v>242</v>
      </c>
      <c r="K24" s="94" t="s">
        <v>82</v>
      </c>
      <c r="L24" s="94" t="s">
        <v>82</v>
      </c>
      <c r="M24" s="94" t="s">
        <v>235</v>
      </c>
      <c r="N24" s="92">
        <f t="shared" si="1"/>
        <v>345.39</v>
      </c>
      <c r="O24" s="96">
        <f t="shared" si="2"/>
        <v>0</v>
      </c>
      <c r="P24" s="99" t="s">
        <v>236</v>
      </c>
      <c r="Q24" s="100">
        <v>0.5</v>
      </c>
      <c r="R24" s="99" t="s">
        <v>237</v>
      </c>
      <c r="S24" s="101" t="s">
        <v>128</v>
      </c>
      <c r="T24" s="86" t="s">
        <v>86</v>
      </c>
      <c r="U24" s="86" t="s">
        <v>96</v>
      </c>
      <c r="V24" s="92" t="str">
        <f t="shared" si="3"/>
        <v>3140000AAD314CCLDDANIEL12-ASBTNTN  ASBESTOS ABATEMENT (DISPOSAL)</v>
      </c>
      <c r="W24" s="92"/>
      <c r="AD24" s="165" t="e">
        <f>IF(INDEX('[1]Daniel Import (to MPC Study)'!$I$2:$I$135,MATCH($V24,'[1]Daniel Import (to MPC Study)'!$V$2:$V$135,0))="","",INDEX('[1]Daniel Import (to MPC Study)'!$I$2:$I$135,MATCH($V24,'[1]Daniel Import (to MPC Study)'!$V$2:$V$135,0)))</f>
        <v>#N/A</v>
      </c>
      <c r="AE24" s="165" t="e">
        <f>IF(INDEX('[1]Daniel Import (to Gulf Study)'!$I$2:$I$89,MATCH($V24,'[1]Daniel Import (to Gulf Study)'!$V$2:$V$89,0))="","",INDEX('[1]Daniel Import (to Gulf Study)'!$I$2:$I$89,MATCH($V24,'[1]Daniel Import (to Gulf Study)'!$V$2:$V$89,0)))</f>
        <v>#N/A</v>
      </c>
    </row>
    <row r="25" spans="1:31" s="159" customFormat="1" x14ac:dyDescent="0.25">
      <c r="A25" s="94" t="s">
        <v>108</v>
      </c>
      <c r="B25" s="95" t="s">
        <v>88</v>
      </c>
      <c r="C25" s="95" t="s">
        <v>78</v>
      </c>
      <c r="D25" s="94" t="s">
        <v>79</v>
      </c>
      <c r="E25" s="94" t="s">
        <v>232</v>
      </c>
      <c r="F25" s="96">
        <v>0.6</v>
      </c>
      <c r="G25" s="94" t="s">
        <v>16</v>
      </c>
      <c r="H25" s="167">
        <f>SUMIFS($I$4:$I$154,$E$4:$E$154,$E25,$U$4:$U$154,"MARKUP",$S$4:$S$154,"REMOVAL")*0.01</f>
        <v>0</v>
      </c>
      <c r="I25" s="108">
        <f t="shared" si="0"/>
        <v>0</v>
      </c>
      <c r="J25" s="98" t="s">
        <v>109</v>
      </c>
      <c r="K25" s="94" t="s">
        <v>82</v>
      </c>
      <c r="L25" s="94" t="s">
        <v>82</v>
      </c>
      <c r="M25" s="94" t="s">
        <v>109</v>
      </c>
      <c r="N25" s="92">
        <f t="shared" si="1"/>
        <v>0</v>
      </c>
      <c r="O25" s="96">
        <f t="shared" si="2"/>
        <v>0</v>
      </c>
      <c r="P25" s="99" t="s">
        <v>236</v>
      </c>
      <c r="Q25" s="100">
        <v>0.5</v>
      </c>
      <c r="R25" s="99" t="s">
        <v>237</v>
      </c>
      <c r="S25" s="101" t="s">
        <v>85</v>
      </c>
      <c r="T25" s="86" t="s">
        <v>86</v>
      </c>
      <c r="U25" s="86"/>
      <c r="V25" s="92" t="str">
        <f t="shared" si="3"/>
        <v>3080361308CCLRDANIEL12-ASB%WRAP-UP AND ALL-RISK INSURANCE</v>
      </c>
      <c r="W25" s="92"/>
      <c r="AD25" s="165" t="e">
        <f>IF(INDEX('[1]Daniel Import (to MPC Study)'!$I$2:$I$135,MATCH($V25,'[1]Daniel Import (to MPC Study)'!$V$2:$V$135,0))="","",INDEX('[1]Daniel Import (to MPC Study)'!$I$2:$I$135,MATCH($V25,'[1]Daniel Import (to MPC Study)'!$V$2:$V$135,0)))</f>
        <v>#N/A</v>
      </c>
      <c r="AE25" s="165" t="e">
        <f>IF(INDEX('[1]Daniel Import (to Gulf Study)'!$I$2:$I$89,MATCH($V25,'[1]Daniel Import (to Gulf Study)'!$V$2:$V$89,0))="","",INDEX('[1]Daniel Import (to Gulf Study)'!$I$2:$I$89,MATCH($V25,'[1]Daniel Import (to Gulf Study)'!$V$2:$V$89,0)))</f>
        <v>#N/A</v>
      </c>
    </row>
    <row r="26" spans="1:31" s="159" customFormat="1" x14ac:dyDescent="0.25">
      <c r="A26" s="94" t="s">
        <v>169</v>
      </c>
      <c r="B26" s="95" t="s">
        <v>170</v>
      </c>
      <c r="C26" s="95">
        <v>1</v>
      </c>
      <c r="D26" s="94" t="s">
        <v>93</v>
      </c>
      <c r="E26" s="94" t="s">
        <v>232</v>
      </c>
      <c r="F26" s="96">
        <v>0</v>
      </c>
      <c r="G26" s="94" t="s">
        <v>82</v>
      </c>
      <c r="H26" s="169"/>
      <c r="I26" s="96">
        <v>0</v>
      </c>
      <c r="J26" s="94" t="s">
        <v>171</v>
      </c>
      <c r="K26" s="94" t="s">
        <v>82</v>
      </c>
      <c r="L26" s="94" t="s">
        <v>82</v>
      </c>
      <c r="M26" s="94" t="s">
        <v>82</v>
      </c>
      <c r="N26" s="92">
        <f t="shared" si="1"/>
        <v>0</v>
      </c>
      <c r="O26" s="96">
        <f t="shared" si="2"/>
        <v>0</v>
      </c>
      <c r="P26" s="99" t="s">
        <v>236</v>
      </c>
      <c r="Q26" s="100">
        <v>1</v>
      </c>
      <c r="R26" s="99" t="s">
        <v>237</v>
      </c>
      <c r="S26" s="101" t="s">
        <v>85</v>
      </c>
      <c r="T26" s="86" t="s">
        <v>86</v>
      </c>
      <c r="U26" s="86"/>
      <c r="V26" s="92" t="str">
        <f t="shared" si="3"/>
        <v>304000030411LRDANIEL12-ASBCONTINGENCY</v>
      </c>
      <c r="W26" s="92"/>
      <c r="AD26" s="165" t="e">
        <f>IF(INDEX('[1]Daniel Import (to MPC Study)'!$I$2:$I$135,MATCH($V26,'[1]Daniel Import (to MPC Study)'!$V$2:$V$135,0))="","",INDEX('[1]Daniel Import (to MPC Study)'!$I$2:$I$135,MATCH($V26,'[1]Daniel Import (to MPC Study)'!$V$2:$V$135,0)))</f>
        <v>#N/A</v>
      </c>
      <c r="AE26" s="165" t="e">
        <f>IF(INDEX('[1]Daniel Import (to Gulf Study)'!$I$2:$I$89,MATCH($V26,'[1]Daniel Import (to Gulf Study)'!$V$2:$V$89,0))="","",INDEX('[1]Daniel Import (to Gulf Study)'!$I$2:$I$89,MATCH($V26,'[1]Daniel Import (to Gulf Study)'!$V$2:$V$89,0)))</f>
        <v>#N/A</v>
      </c>
    </row>
    <row r="27" spans="1:31" s="159" customFormat="1" x14ac:dyDescent="0.25">
      <c r="A27" s="94" t="s">
        <v>169</v>
      </c>
      <c r="B27" s="95" t="s">
        <v>170</v>
      </c>
      <c r="C27" s="95">
        <v>2</v>
      </c>
      <c r="D27" s="94" t="s">
        <v>97</v>
      </c>
      <c r="E27" s="94" t="s">
        <v>232</v>
      </c>
      <c r="F27" s="96">
        <v>0</v>
      </c>
      <c r="G27" s="94" t="s">
        <v>82</v>
      </c>
      <c r="H27" s="115"/>
      <c r="I27" s="96">
        <v>0</v>
      </c>
      <c r="J27" s="94" t="s">
        <v>171</v>
      </c>
      <c r="K27" s="94" t="s">
        <v>82</v>
      </c>
      <c r="L27" s="94" t="s">
        <v>82</v>
      </c>
      <c r="M27" s="94" t="s">
        <v>82</v>
      </c>
      <c r="N27" s="92">
        <f t="shared" si="1"/>
        <v>0</v>
      </c>
      <c r="O27" s="96">
        <f t="shared" si="2"/>
        <v>0</v>
      </c>
      <c r="P27" s="99" t="s">
        <v>236</v>
      </c>
      <c r="Q27" s="100">
        <v>1</v>
      </c>
      <c r="R27" s="99" t="s">
        <v>237</v>
      </c>
      <c r="S27" s="101" t="s">
        <v>85</v>
      </c>
      <c r="T27" s="86" t="s">
        <v>86</v>
      </c>
      <c r="U27" s="86"/>
      <c r="V27" s="92" t="str">
        <f t="shared" si="3"/>
        <v>304000030422LRDANIEL12-ASBCONTINGENCY</v>
      </c>
      <c r="W27" s="92"/>
      <c r="AD27" s="165" t="e">
        <f>IF(INDEX('[1]Daniel Import (to MPC Study)'!$I$2:$I$135,MATCH($V27,'[1]Daniel Import (to MPC Study)'!$V$2:$V$135,0))="","",INDEX('[1]Daniel Import (to MPC Study)'!$I$2:$I$135,MATCH($V27,'[1]Daniel Import (to MPC Study)'!$V$2:$V$135,0)))</f>
        <v>#N/A</v>
      </c>
      <c r="AE27" s="165" t="e">
        <f>IF(INDEX('[1]Daniel Import (to Gulf Study)'!$I$2:$I$89,MATCH($V27,'[1]Daniel Import (to Gulf Study)'!$V$2:$V$89,0))="","",INDEX('[1]Daniel Import (to Gulf Study)'!$I$2:$I$89,MATCH($V27,'[1]Daniel Import (to Gulf Study)'!$V$2:$V$89,0)))</f>
        <v>#N/A</v>
      </c>
    </row>
    <row r="28" spans="1:31" s="159" customFormat="1" x14ac:dyDescent="0.25">
      <c r="A28" s="94" t="s">
        <v>169</v>
      </c>
      <c r="B28" s="95" t="s">
        <v>170</v>
      </c>
      <c r="C28" s="95" t="s">
        <v>78</v>
      </c>
      <c r="D28" s="94" t="s">
        <v>79</v>
      </c>
      <c r="E28" s="94" t="s">
        <v>232</v>
      </c>
      <c r="F28" s="96">
        <v>0</v>
      </c>
      <c r="G28" s="94" t="s">
        <v>82</v>
      </c>
      <c r="H28" s="115"/>
      <c r="I28" s="96">
        <v>0</v>
      </c>
      <c r="J28" s="94" t="s">
        <v>171</v>
      </c>
      <c r="K28" s="94" t="s">
        <v>82</v>
      </c>
      <c r="L28" s="94" t="s">
        <v>82</v>
      </c>
      <c r="M28" s="94" t="s">
        <v>82</v>
      </c>
      <c r="N28" s="92">
        <f t="shared" si="1"/>
        <v>0</v>
      </c>
      <c r="O28" s="96">
        <f t="shared" si="2"/>
        <v>0</v>
      </c>
      <c r="P28" s="99" t="s">
        <v>236</v>
      </c>
      <c r="Q28" s="100">
        <v>1</v>
      </c>
      <c r="R28" s="99" t="s">
        <v>237</v>
      </c>
      <c r="S28" s="101" t="s">
        <v>85</v>
      </c>
      <c r="T28" s="86" t="s">
        <v>86</v>
      </c>
      <c r="U28" s="86"/>
      <c r="V28" s="92" t="str">
        <f t="shared" si="3"/>
        <v>3040000304CCLRDANIEL12-ASBCONTINGENCY</v>
      </c>
      <c r="W28" s="92"/>
      <c r="AD28" s="165" t="e">
        <f>IF(INDEX('[1]Daniel Import (to MPC Study)'!$I$2:$I$135,MATCH($V28,'[1]Daniel Import (to MPC Study)'!$V$2:$V$135,0))="","",INDEX('[1]Daniel Import (to MPC Study)'!$I$2:$I$135,MATCH($V28,'[1]Daniel Import (to MPC Study)'!$V$2:$V$135,0)))</f>
        <v>#N/A</v>
      </c>
      <c r="AE28" s="165" t="e">
        <f>IF(INDEX('[1]Daniel Import (to Gulf Study)'!$I$2:$I$89,MATCH($V28,'[1]Daniel Import (to Gulf Study)'!$V$2:$V$89,0))="","",INDEX('[1]Daniel Import (to Gulf Study)'!$I$2:$I$89,MATCH($V28,'[1]Daniel Import (to Gulf Study)'!$V$2:$V$89,0)))</f>
        <v>#N/A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zoomScale="90" zoomScaleNormal="90" workbookViewId="0">
      <selection activeCell="A26" sqref="A26"/>
    </sheetView>
  </sheetViews>
  <sheetFormatPr defaultRowHeight="15" x14ac:dyDescent="0.25"/>
  <cols>
    <col min="1" max="1" width="9.140625" style="173"/>
    <col min="2" max="2" width="82.28515625" style="173" bestFit="1" customWidth="1"/>
    <col min="3" max="5" width="9.140625" style="173"/>
    <col min="6" max="6" width="11.85546875" style="173" bestFit="1" customWidth="1"/>
    <col min="7" max="8" width="9.140625" style="173"/>
    <col min="9" max="9" width="10.140625" style="173" bestFit="1" customWidth="1"/>
    <col min="10" max="10" width="9.140625" style="173"/>
    <col min="11" max="11" width="8.5703125" style="173" bestFit="1" customWidth="1"/>
    <col min="12" max="12" width="9.140625" style="173"/>
    <col min="13" max="13" width="8.42578125" style="173" bestFit="1" customWidth="1"/>
    <col min="14" max="14" width="9.140625" style="173"/>
    <col min="15" max="15" width="11.7109375" style="173" bestFit="1" customWidth="1"/>
    <col min="16" max="16" width="9.140625" style="173"/>
    <col min="17" max="17" width="10.140625" style="173" bestFit="1" customWidth="1"/>
    <col min="18" max="19" width="9.140625" style="173"/>
    <col min="20" max="20" width="105.140625" style="173" bestFit="1" customWidth="1"/>
    <col min="21" max="32" width="9.140625" style="173"/>
    <col min="33" max="33" width="9.7109375" style="173" bestFit="1" customWidth="1"/>
    <col min="34" max="34" width="4.5703125" style="173" bestFit="1" customWidth="1"/>
    <col min="35" max="35" width="9.7109375" style="173" bestFit="1" customWidth="1"/>
    <col min="36" max="16384" width="9.140625" style="173"/>
  </cols>
  <sheetData>
    <row r="1" spans="1:36" x14ac:dyDescent="0.25">
      <c r="A1" s="1"/>
      <c r="B1" s="2"/>
      <c r="C1" s="67"/>
      <c r="D1" s="68"/>
      <c r="E1" s="69"/>
      <c r="F1" s="70" t="e">
        <f>#REF!+#REF!+#REF!</f>
        <v>#REF!</v>
      </c>
      <c r="G1" s="71"/>
      <c r="H1" s="72"/>
      <c r="I1" s="67"/>
      <c r="J1" s="73"/>
      <c r="K1" s="6"/>
      <c r="L1" s="6"/>
      <c r="M1" s="2"/>
      <c r="N1" s="6"/>
      <c r="O1" s="6"/>
      <c r="P1" s="6"/>
      <c r="Q1" s="2"/>
      <c r="R1" s="71"/>
      <c r="S1" s="72"/>
      <c r="T1" s="6"/>
      <c r="U1" s="73"/>
      <c r="V1" s="6"/>
      <c r="W1" s="6"/>
      <c r="X1" s="2"/>
      <c r="Y1" s="6"/>
      <c r="Z1" s="6"/>
      <c r="AA1" s="6"/>
      <c r="AB1" s="2"/>
      <c r="AC1" s="74"/>
      <c r="AD1" s="72"/>
      <c r="AE1" s="6"/>
      <c r="AF1" s="73"/>
      <c r="AG1" s="6"/>
      <c r="AH1" s="6"/>
      <c r="AI1" s="2"/>
      <c r="AJ1" s="6"/>
    </row>
    <row r="2" spans="1:36" x14ac:dyDescent="0.25">
      <c r="A2" s="1"/>
      <c r="B2" s="2"/>
      <c r="C2" s="67"/>
      <c r="D2" s="68"/>
      <c r="E2" s="69"/>
      <c r="F2" s="70">
        <v>11328802</v>
      </c>
      <c r="G2" s="71"/>
      <c r="H2" s="72"/>
      <c r="I2" s="67"/>
      <c r="J2" s="73"/>
      <c r="K2" s="6"/>
      <c r="L2" s="6"/>
      <c r="M2" s="2"/>
      <c r="N2" s="6"/>
      <c r="O2" s="174">
        <v>42314</v>
      </c>
      <c r="P2" s="6"/>
      <c r="Q2" s="174">
        <f>O2</f>
        <v>42314</v>
      </c>
      <c r="R2" s="71"/>
      <c r="S2" s="72"/>
      <c r="T2" s="6"/>
      <c r="U2" s="73"/>
      <c r="V2" s="6"/>
      <c r="W2" s="6"/>
      <c r="X2" s="2"/>
      <c r="Y2" s="6"/>
      <c r="Z2" s="6"/>
      <c r="AA2" s="6"/>
      <c r="AB2" s="2"/>
      <c r="AC2" s="74"/>
      <c r="AD2" s="72"/>
      <c r="AE2" s="6"/>
      <c r="AF2" s="73"/>
      <c r="AG2" s="174">
        <v>42369</v>
      </c>
      <c r="AH2" s="6"/>
      <c r="AI2" s="174">
        <v>42369</v>
      </c>
      <c r="AJ2" s="6"/>
    </row>
    <row r="3" spans="1:36" x14ac:dyDescent="0.25">
      <c r="A3" s="1"/>
      <c r="B3" s="47"/>
      <c r="C3" s="58"/>
      <c r="D3" s="76"/>
      <c r="E3" s="77"/>
      <c r="F3" s="77" t="e">
        <f>F1-F2</f>
        <v>#REF!</v>
      </c>
      <c r="G3" s="59"/>
      <c r="H3" s="60"/>
      <c r="I3" s="143" t="s">
        <v>210</v>
      </c>
      <c r="J3" s="73"/>
      <c r="K3" s="6"/>
      <c r="L3" s="6"/>
      <c r="M3" s="2"/>
      <c r="N3" s="6"/>
      <c r="O3" s="143" t="s">
        <v>210</v>
      </c>
      <c r="P3" s="6"/>
      <c r="Q3" s="175" t="s">
        <v>245</v>
      </c>
      <c r="R3" s="71"/>
      <c r="S3" s="72"/>
      <c r="T3" s="6"/>
      <c r="U3" s="73"/>
      <c r="V3" s="6"/>
      <c r="W3" s="6"/>
      <c r="X3" s="2"/>
      <c r="Y3" s="6"/>
      <c r="Z3" s="6"/>
      <c r="AA3" s="6"/>
      <c r="AB3" s="2"/>
      <c r="AC3" s="74"/>
      <c r="AD3" s="72"/>
      <c r="AE3" s="6"/>
      <c r="AF3" s="73"/>
      <c r="AG3" s="143" t="s">
        <v>210</v>
      </c>
      <c r="AH3" s="6"/>
      <c r="AI3" s="143" t="s">
        <v>245</v>
      </c>
      <c r="AJ3" s="6"/>
    </row>
    <row r="4" spans="1:36" x14ac:dyDescent="0.25">
      <c r="A4" s="1"/>
      <c r="B4" s="2"/>
      <c r="C4" s="67"/>
      <c r="D4" s="68"/>
      <c r="E4" s="69"/>
      <c r="F4" s="70"/>
      <c r="G4" s="71"/>
      <c r="H4" s="72"/>
      <c r="I4" s="172" t="s">
        <v>211</v>
      </c>
      <c r="J4" s="73"/>
      <c r="K4" s="6"/>
      <c r="L4" s="6"/>
      <c r="M4" s="2" t="s">
        <v>246</v>
      </c>
      <c r="N4" s="6"/>
      <c r="O4" s="172" t="s">
        <v>211</v>
      </c>
      <c r="P4" s="6"/>
      <c r="Q4" s="175" t="s">
        <v>211</v>
      </c>
      <c r="R4" s="71"/>
      <c r="S4" s="72"/>
      <c r="T4" s="176" t="s">
        <v>247</v>
      </c>
      <c r="U4" s="73"/>
      <c r="V4" s="6"/>
      <c r="W4" s="6"/>
      <c r="X4" s="2"/>
      <c r="Y4" s="6"/>
      <c r="Z4" s="6"/>
      <c r="AA4" s="6"/>
      <c r="AB4" s="2"/>
      <c r="AC4" s="74"/>
      <c r="AD4" s="72"/>
      <c r="AE4" s="6"/>
      <c r="AF4" s="73"/>
      <c r="AG4" s="172" t="s">
        <v>211</v>
      </c>
      <c r="AH4" s="6"/>
      <c r="AI4" s="172" t="s">
        <v>211</v>
      </c>
      <c r="AJ4" s="6"/>
    </row>
    <row r="5" spans="1:36" x14ac:dyDescent="0.25">
      <c r="A5" s="1"/>
      <c r="B5" s="80" t="s">
        <v>212</v>
      </c>
      <c r="C5" s="67"/>
      <c r="D5" s="68"/>
      <c r="E5" s="69"/>
      <c r="F5" s="177">
        <v>245</v>
      </c>
      <c r="G5" s="71"/>
      <c r="H5" s="72"/>
      <c r="I5" s="157">
        <v>-180.52631578947367</v>
      </c>
      <c r="J5" s="73"/>
      <c r="K5" s="178">
        <f>-I5/F5</f>
        <v>0.73684210526315785</v>
      </c>
      <c r="L5" s="179"/>
      <c r="M5" s="180">
        <f>I5-Q5</f>
        <v>-56.736315789473664</v>
      </c>
      <c r="N5" s="6"/>
      <c r="O5" s="181">
        <v>168</v>
      </c>
      <c r="P5" s="6"/>
      <c r="Q5" s="177">
        <f t="shared" ref="Q5:Q6" si="0">IF(O5="","",ROUND(O5*-K5,2))</f>
        <v>-123.79</v>
      </c>
      <c r="R5" s="71"/>
      <c r="S5" s="72"/>
      <c r="T5" s="182" t="s">
        <v>248</v>
      </c>
      <c r="U5" s="73"/>
      <c r="V5" s="6"/>
      <c r="W5" s="6"/>
      <c r="X5" s="2"/>
      <c r="Y5" s="6"/>
      <c r="Z5" s="6"/>
      <c r="AA5" s="6"/>
      <c r="AB5" s="2"/>
      <c r="AC5" s="74"/>
      <c r="AD5" s="72"/>
      <c r="AE5" s="6"/>
      <c r="AF5" s="73"/>
      <c r="AG5" s="183">
        <f>0.092*2000</f>
        <v>184</v>
      </c>
      <c r="AH5" s="6" t="s">
        <v>249</v>
      </c>
      <c r="AI5" s="177">
        <f>AG5*K5</f>
        <v>135.57894736842104</v>
      </c>
      <c r="AJ5" s="6"/>
    </row>
    <row r="6" spans="1:36" x14ac:dyDescent="0.25">
      <c r="A6" s="1"/>
      <c r="B6" s="80" t="s">
        <v>213</v>
      </c>
      <c r="C6" s="67"/>
      <c r="D6" s="68"/>
      <c r="E6" s="69"/>
      <c r="F6" s="177">
        <v>0.69</v>
      </c>
      <c r="G6" s="71"/>
      <c r="H6" s="72"/>
      <c r="I6" s="158">
        <v>-0.39039473684210513</v>
      </c>
      <c r="J6" s="73"/>
      <c r="K6" s="178">
        <f t="shared" ref="K6:K14" si="1">-I6/F6</f>
        <v>0.5657894736842104</v>
      </c>
      <c r="L6" s="179"/>
      <c r="M6" s="180">
        <f t="shared" ref="M6:M14" si="2">I6-Q6</f>
        <v>-1.0394736842105123E-2</v>
      </c>
      <c r="N6" s="6"/>
      <c r="O6" s="181">
        <v>0.67</v>
      </c>
      <c r="P6" s="6"/>
      <c r="Q6" s="177">
        <f t="shared" si="0"/>
        <v>-0.38</v>
      </c>
      <c r="R6" s="71"/>
      <c r="S6" s="72"/>
      <c r="T6" s="182" t="s">
        <v>250</v>
      </c>
      <c r="U6" s="73"/>
      <c r="V6" s="6"/>
      <c r="W6" s="6"/>
      <c r="X6" s="2"/>
      <c r="Y6" s="6"/>
      <c r="Z6" s="6"/>
      <c r="AA6" s="6"/>
      <c r="AB6" s="2"/>
      <c r="AC6" s="74"/>
      <c r="AD6" s="72"/>
      <c r="AE6" s="6"/>
      <c r="AF6" s="73"/>
      <c r="AG6" s="181">
        <v>0.68289999999999995</v>
      </c>
      <c r="AH6" s="6"/>
      <c r="AI6" s="177">
        <f t="shared" ref="AI6:AI14" si="3">AG6*K6</f>
        <v>0.38637763157894728</v>
      </c>
      <c r="AJ6" s="6"/>
    </row>
    <row r="7" spans="1:36" x14ac:dyDescent="0.25">
      <c r="A7" s="1"/>
      <c r="B7" s="80" t="s">
        <v>214</v>
      </c>
      <c r="C7" s="67"/>
      <c r="D7" s="68"/>
      <c r="E7" s="69"/>
      <c r="F7" s="177">
        <v>2.27</v>
      </c>
      <c r="G7" s="71"/>
      <c r="H7" s="72"/>
      <c r="I7" s="158">
        <v>-0.37018461538461545</v>
      </c>
      <c r="J7" s="73"/>
      <c r="K7" s="178">
        <f t="shared" si="1"/>
        <v>0.16307692307692309</v>
      </c>
      <c r="L7" s="179"/>
      <c r="M7" s="180">
        <f t="shared" si="2"/>
        <v>-1.8461538461544968E-4</v>
      </c>
      <c r="N7" s="6"/>
      <c r="O7" s="181">
        <v>2.29</v>
      </c>
      <c r="P7" s="6"/>
      <c r="Q7" s="177">
        <f>IF(O7="","",ROUND(O7*-K7,2))</f>
        <v>-0.37</v>
      </c>
      <c r="R7" s="71"/>
      <c r="S7" s="72"/>
      <c r="T7" s="182" t="s">
        <v>251</v>
      </c>
      <c r="U7" s="73"/>
      <c r="V7" s="6"/>
      <c r="W7" s="6"/>
      <c r="X7" s="2"/>
      <c r="Y7" s="6"/>
      <c r="Z7" s="6"/>
      <c r="AA7" s="6"/>
      <c r="AB7" s="2"/>
      <c r="AC7" s="74"/>
      <c r="AD7" s="72"/>
      <c r="AE7" s="6"/>
      <c r="AF7" s="73"/>
      <c r="AG7" s="181">
        <v>2.2759</v>
      </c>
      <c r="AH7" s="6" t="s">
        <v>249</v>
      </c>
      <c r="AI7" s="177">
        <f t="shared" si="3"/>
        <v>0.37114676923076928</v>
      </c>
      <c r="AJ7" s="6"/>
    </row>
    <row r="8" spans="1:36" x14ac:dyDescent="0.25">
      <c r="A8" s="1"/>
      <c r="B8" s="44" t="s">
        <v>215</v>
      </c>
      <c r="C8" s="67"/>
      <c r="D8" s="68"/>
      <c r="E8" s="69"/>
      <c r="F8" s="177">
        <v>0.5</v>
      </c>
      <c r="G8" s="71"/>
      <c r="H8" s="72"/>
      <c r="I8" s="158">
        <v>-0.18394000674081565</v>
      </c>
      <c r="J8" s="73"/>
      <c r="K8" s="178">
        <f t="shared" si="1"/>
        <v>0.3678800134816313</v>
      </c>
      <c r="L8" s="179"/>
      <c r="M8" s="180">
        <f t="shared" si="2"/>
        <v>-2.3940006740815645E-2</v>
      </c>
      <c r="N8" s="6"/>
      <c r="O8" s="181">
        <v>0.44</v>
      </c>
      <c r="P8" s="6"/>
      <c r="Q8" s="177">
        <f t="shared" ref="Q8:Q14" si="4">IF(O8="","",ROUND(O8*-K8,2))</f>
        <v>-0.16</v>
      </c>
      <c r="R8" s="71"/>
      <c r="S8" s="72"/>
      <c r="T8" s="182" t="s">
        <v>252</v>
      </c>
      <c r="U8" s="73"/>
      <c r="V8" s="6"/>
      <c r="W8" s="6"/>
      <c r="X8" s="2"/>
      <c r="Y8" s="6"/>
      <c r="Z8" s="6"/>
      <c r="AA8" s="6"/>
      <c r="AB8" s="2"/>
      <c r="AC8" s="74"/>
      <c r="AD8" s="72"/>
      <c r="AE8" s="6"/>
      <c r="AF8" s="73"/>
      <c r="AG8" s="183"/>
      <c r="AH8" s="6"/>
      <c r="AI8" s="177">
        <f t="shared" si="3"/>
        <v>0</v>
      </c>
      <c r="AJ8" s="6"/>
    </row>
    <row r="9" spans="1:36" x14ac:dyDescent="0.25">
      <c r="A9" s="1"/>
      <c r="B9" s="44" t="s">
        <v>216</v>
      </c>
      <c r="C9" s="67"/>
      <c r="D9" s="68"/>
      <c r="E9" s="69"/>
      <c r="F9" s="177">
        <v>0.5</v>
      </c>
      <c r="G9" s="71"/>
      <c r="H9" s="72"/>
      <c r="I9" s="148">
        <v>-0.22371081900910006</v>
      </c>
      <c r="J9" s="73"/>
      <c r="K9" s="178">
        <f t="shared" si="1"/>
        <v>0.44742163801820012</v>
      </c>
      <c r="L9" s="179"/>
      <c r="M9" s="180">
        <f t="shared" si="2"/>
        <v>-2.3710819009100048E-2</v>
      </c>
      <c r="N9" s="6"/>
      <c r="O9" s="181">
        <v>0.44</v>
      </c>
      <c r="P9" s="6"/>
      <c r="Q9" s="177">
        <f t="shared" si="4"/>
        <v>-0.2</v>
      </c>
      <c r="R9" s="71"/>
      <c r="S9" s="72"/>
      <c r="T9" s="182" t="s">
        <v>252</v>
      </c>
      <c r="U9" s="73"/>
      <c r="V9" s="6"/>
      <c r="W9" s="6"/>
      <c r="X9" s="2"/>
      <c r="Y9" s="6"/>
      <c r="Z9" s="6"/>
      <c r="AA9" s="6"/>
      <c r="AB9" s="2"/>
      <c r="AC9" s="74"/>
      <c r="AD9" s="72"/>
      <c r="AE9" s="6"/>
      <c r="AF9" s="73"/>
      <c r="AG9" s="183"/>
      <c r="AH9" s="6"/>
      <c r="AI9" s="177">
        <f t="shared" si="3"/>
        <v>0</v>
      </c>
      <c r="AJ9" s="6"/>
    </row>
    <row r="10" spans="1:36" x14ac:dyDescent="0.25">
      <c r="A10" s="1"/>
      <c r="B10" s="44" t="s">
        <v>217</v>
      </c>
      <c r="C10" s="67"/>
      <c r="D10" s="68"/>
      <c r="E10" s="69"/>
      <c r="F10" s="177"/>
      <c r="G10" s="71"/>
      <c r="H10" s="72"/>
      <c r="I10" s="77">
        <v>-460.98461538461538</v>
      </c>
      <c r="J10" s="73"/>
      <c r="K10" s="178"/>
      <c r="L10" s="179"/>
      <c r="M10" s="180"/>
      <c r="N10" s="6"/>
      <c r="O10" s="181"/>
      <c r="P10" s="6"/>
      <c r="Q10" s="177" t="str">
        <f t="shared" si="4"/>
        <v/>
      </c>
      <c r="R10" s="71"/>
      <c r="S10" s="72"/>
      <c r="T10" s="6"/>
      <c r="U10" s="73"/>
      <c r="V10" s="6"/>
      <c r="W10" s="6"/>
      <c r="X10" s="2"/>
      <c r="Y10" s="6"/>
      <c r="Z10" s="6"/>
      <c r="AA10" s="6"/>
      <c r="AB10" s="2"/>
      <c r="AC10" s="74"/>
      <c r="AD10" s="72"/>
      <c r="AE10" s="6"/>
      <c r="AF10" s="73"/>
      <c r="AG10" s="183"/>
      <c r="AH10" s="6"/>
      <c r="AI10" s="177">
        <f t="shared" si="3"/>
        <v>0</v>
      </c>
      <c r="AJ10" s="6"/>
    </row>
    <row r="11" spans="1:36" x14ac:dyDescent="0.25">
      <c r="A11" s="1"/>
      <c r="B11" s="44" t="s">
        <v>218</v>
      </c>
      <c r="C11" s="67"/>
      <c r="D11" s="68"/>
      <c r="E11" s="69"/>
      <c r="F11" s="177">
        <v>0.55000000000000004</v>
      </c>
      <c r="G11" s="71"/>
      <c r="H11" s="72"/>
      <c r="I11" s="148">
        <v>-0.36</v>
      </c>
      <c r="J11" s="73"/>
      <c r="K11" s="178">
        <f t="shared" si="1"/>
        <v>0.65454545454545443</v>
      </c>
      <c r="L11" s="179"/>
      <c r="M11" s="180">
        <f t="shared" si="2"/>
        <v>-0.10999999999999999</v>
      </c>
      <c r="N11" s="6"/>
      <c r="O11" s="181">
        <v>0.375</v>
      </c>
      <c r="P11" s="6"/>
      <c r="Q11" s="177">
        <f t="shared" si="4"/>
        <v>-0.25</v>
      </c>
      <c r="R11" s="71"/>
      <c r="S11" s="72"/>
      <c r="T11" s="182" t="s">
        <v>253</v>
      </c>
      <c r="U11" s="73"/>
      <c r="V11" s="6"/>
      <c r="W11" s="6"/>
      <c r="X11" s="2"/>
      <c r="Y11" s="6"/>
      <c r="Z11" s="6"/>
      <c r="AA11" s="6"/>
      <c r="AB11" s="2"/>
      <c r="AC11" s="74"/>
      <c r="AD11" s="72"/>
      <c r="AE11" s="6"/>
      <c r="AF11" s="73"/>
      <c r="AG11" s="183"/>
      <c r="AH11" s="6"/>
      <c r="AI11" s="177">
        <f t="shared" si="3"/>
        <v>0</v>
      </c>
      <c r="AJ11" s="6"/>
    </row>
    <row r="12" spans="1:36" x14ac:dyDescent="0.25">
      <c r="A12" s="1"/>
      <c r="B12" s="44" t="s">
        <v>219</v>
      </c>
      <c r="C12" s="67"/>
      <c r="D12" s="68"/>
      <c r="E12" s="69"/>
      <c r="F12" s="177">
        <v>1.66</v>
      </c>
      <c r="G12" s="71"/>
      <c r="H12" s="72"/>
      <c r="I12" s="148">
        <v>-1.7512999999999999</v>
      </c>
      <c r="J12" s="73"/>
      <c r="K12" s="178">
        <f t="shared" si="1"/>
        <v>1.0549999999999999</v>
      </c>
      <c r="L12" s="179"/>
      <c r="M12" s="180">
        <f t="shared" si="2"/>
        <v>-5.1299999999999901E-2</v>
      </c>
      <c r="N12" s="6"/>
      <c r="O12" s="181">
        <v>1.61</v>
      </c>
      <c r="P12" s="6"/>
      <c r="Q12" s="177">
        <f t="shared" si="4"/>
        <v>-1.7</v>
      </c>
      <c r="R12" s="71"/>
      <c r="S12" s="72"/>
      <c r="T12" s="182" t="s">
        <v>254</v>
      </c>
      <c r="U12" s="73"/>
      <c r="V12" s="6"/>
      <c r="W12" s="6"/>
      <c r="X12" s="2"/>
      <c r="Y12" s="6"/>
      <c r="Z12" s="6"/>
      <c r="AA12" s="6"/>
      <c r="AB12" s="2"/>
      <c r="AC12" s="74"/>
      <c r="AD12" s="72"/>
      <c r="AE12" s="6"/>
      <c r="AF12" s="73"/>
      <c r="AG12" s="183"/>
      <c r="AH12" s="6"/>
      <c r="AI12" s="177">
        <f t="shared" si="3"/>
        <v>0</v>
      </c>
      <c r="AJ12" s="6"/>
    </row>
    <row r="13" spans="1:36" x14ac:dyDescent="0.25">
      <c r="A13" s="1"/>
      <c r="B13" s="44" t="s">
        <v>220</v>
      </c>
      <c r="C13" s="67"/>
      <c r="D13" s="68"/>
      <c r="E13" s="69"/>
      <c r="F13" s="177">
        <v>2.0699999999999998</v>
      </c>
      <c r="G13" s="71"/>
      <c r="H13" s="72"/>
      <c r="I13" s="158">
        <v>-1.5825</v>
      </c>
      <c r="J13" s="73"/>
      <c r="K13" s="178">
        <f t="shared" si="1"/>
        <v>0.76449275362318847</v>
      </c>
      <c r="L13" s="179"/>
      <c r="M13" s="180">
        <f t="shared" si="2"/>
        <v>-6.25E-2</v>
      </c>
      <c r="N13" s="6"/>
      <c r="O13" s="181">
        <v>1.99</v>
      </c>
      <c r="P13" s="6"/>
      <c r="Q13" s="177">
        <f t="shared" si="4"/>
        <v>-1.52</v>
      </c>
      <c r="R13" s="71"/>
      <c r="S13" s="72"/>
      <c r="T13" s="182" t="s">
        <v>255</v>
      </c>
      <c r="U13" s="73"/>
      <c r="V13" s="6"/>
      <c r="W13" s="6"/>
      <c r="X13" s="2"/>
      <c r="Y13" s="6"/>
      <c r="Z13" s="6"/>
      <c r="AA13" s="6"/>
      <c r="AB13" s="2"/>
      <c r="AC13" s="74"/>
      <c r="AD13" s="72"/>
      <c r="AE13" s="6"/>
      <c r="AF13" s="73"/>
      <c r="AG13" s="183"/>
      <c r="AH13" s="6"/>
      <c r="AI13" s="177">
        <f t="shared" si="3"/>
        <v>0</v>
      </c>
      <c r="AJ13" s="6"/>
    </row>
    <row r="14" spans="1:36" x14ac:dyDescent="0.25">
      <c r="A14" s="1"/>
      <c r="B14" s="44" t="s">
        <v>221</v>
      </c>
      <c r="C14" s="67"/>
      <c r="D14" s="68"/>
      <c r="E14" s="69"/>
      <c r="F14" s="177">
        <v>0.5</v>
      </c>
      <c r="G14" s="71"/>
      <c r="H14" s="72"/>
      <c r="I14" s="148">
        <v>-0.27325581395348836</v>
      </c>
      <c r="J14" s="73"/>
      <c r="K14" s="178">
        <f t="shared" si="1"/>
        <v>0.54651162790697672</v>
      </c>
      <c r="L14" s="179"/>
      <c r="M14" s="180">
        <f t="shared" si="2"/>
        <v>-3.3255813953488367E-2</v>
      </c>
      <c r="N14" s="6"/>
      <c r="O14" s="181">
        <v>0.44</v>
      </c>
      <c r="P14" s="6"/>
      <c r="Q14" s="177">
        <f t="shared" si="4"/>
        <v>-0.24</v>
      </c>
      <c r="R14" s="71"/>
      <c r="S14" s="72"/>
      <c r="T14" s="182" t="s">
        <v>252</v>
      </c>
      <c r="U14" s="73"/>
      <c r="V14" s="6"/>
      <c r="W14" s="6"/>
      <c r="X14" s="2"/>
      <c r="Y14" s="6"/>
      <c r="Z14" s="6"/>
      <c r="AA14" s="6"/>
      <c r="AB14" s="2"/>
      <c r="AC14" s="74"/>
      <c r="AD14" s="72"/>
      <c r="AE14" s="6"/>
      <c r="AF14" s="73"/>
      <c r="AG14" s="183"/>
      <c r="AH14" s="6"/>
      <c r="AI14" s="177">
        <f t="shared" si="3"/>
        <v>0</v>
      </c>
      <c r="AJ14" s="6"/>
    </row>
    <row r="15" spans="1:36" x14ac:dyDescent="0.25">
      <c r="A15" s="1"/>
      <c r="B15" s="2"/>
      <c r="C15" s="67"/>
      <c r="D15" s="68"/>
      <c r="E15" s="69"/>
      <c r="F15" s="70"/>
      <c r="G15" s="71"/>
      <c r="H15" s="72"/>
      <c r="I15" s="67"/>
      <c r="J15" s="73"/>
      <c r="K15" s="6"/>
      <c r="L15" s="6"/>
      <c r="M15" s="2"/>
      <c r="N15" s="6"/>
      <c r="O15" s="6"/>
      <c r="P15" s="6"/>
      <c r="Q15" s="2"/>
      <c r="R15" s="71"/>
      <c r="S15" s="72"/>
      <c r="T15" s="6"/>
      <c r="U15" s="73"/>
      <c r="V15" s="6"/>
      <c r="W15" s="6"/>
      <c r="X15" s="2"/>
      <c r="Y15" s="6"/>
      <c r="Z15" s="6"/>
      <c r="AA15" s="6"/>
      <c r="AB15" s="2"/>
      <c r="AC15" s="74"/>
      <c r="AD15" s="72"/>
      <c r="AE15" s="6"/>
      <c r="AF15" s="73"/>
      <c r="AG15" s="6"/>
      <c r="AH15" s="6"/>
      <c r="AI15" s="2"/>
      <c r="AJ15" s="6"/>
    </row>
    <row r="16" spans="1:36" x14ac:dyDescent="0.25">
      <c r="A16" s="1"/>
      <c r="B16" s="2"/>
      <c r="C16" s="67"/>
      <c r="D16" s="68"/>
      <c r="E16" s="69"/>
      <c r="F16" s="70"/>
      <c r="G16" s="71"/>
      <c r="H16" s="72"/>
      <c r="I16" s="67"/>
      <c r="J16" s="73"/>
      <c r="K16" s="6"/>
      <c r="L16" s="6"/>
      <c r="M16" s="2"/>
      <c r="N16" s="6"/>
      <c r="O16" s="6"/>
      <c r="P16" s="6"/>
      <c r="Q16" s="2"/>
      <c r="R16" s="71"/>
      <c r="S16" s="72"/>
      <c r="T16" s="6"/>
      <c r="U16" s="73"/>
      <c r="V16" s="6"/>
      <c r="W16" s="6"/>
      <c r="X16" s="2"/>
      <c r="Y16" s="6"/>
      <c r="Z16" s="6"/>
      <c r="AA16" s="6"/>
      <c r="AB16" s="2"/>
      <c r="AC16" s="74"/>
      <c r="AD16" s="72"/>
      <c r="AE16" s="6"/>
      <c r="AF16" s="73"/>
      <c r="AG16" s="6"/>
      <c r="AH16" s="6"/>
      <c r="AI16" s="2"/>
      <c r="AJ16" s="6"/>
    </row>
    <row r="17" spans="1:36" x14ac:dyDescent="0.25">
      <c r="A17" s="1"/>
      <c r="B17" s="2"/>
      <c r="C17" s="67"/>
      <c r="D17" s="68"/>
      <c r="E17" s="69"/>
      <c r="F17" s="70"/>
      <c r="G17" s="71"/>
      <c r="H17" s="72"/>
      <c r="I17" s="67"/>
      <c r="J17" s="73"/>
      <c r="K17" s="6"/>
      <c r="L17" s="6"/>
      <c r="M17" s="2"/>
      <c r="N17" s="6"/>
      <c r="O17" s="6"/>
      <c r="P17" s="6"/>
      <c r="Q17" s="2"/>
      <c r="R17" s="71"/>
      <c r="S17" s="72"/>
      <c r="T17" s="6"/>
      <c r="U17" s="73"/>
      <c r="V17" s="6"/>
      <c r="W17" s="6"/>
      <c r="X17" s="2"/>
      <c r="Y17" s="6"/>
      <c r="Z17" s="6"/>
      <c r="AA17" s="6"/>
      <c r="AB17" s="2"/>
      <c r="AC17" s="74"/>
      <c r="AD17" s="72"/>
      <c r="AE17" s="6"/>
      <c r="AF17" s="73"/>
      <c r="AG17" s="6"/>
      <c r="AH17" s="6"/>
      <c r="AI17" s="2"/>
      <c r="AJ17" s="6"/>
    </row>
    <row r="18" spans="1:36" x14ac:dyDescent="0.25">
      <c r="A18" s="1"/>
      <c r="B18" s="2"/>
      <c r="C18" s="67"/>
      <c r="D18" s="68"/>
      <c r="E18" s="69"/>
      <c r="F18" s="174">
        <v>42314</v>
      </c>
      <c r="G18" s="71"/>
      <c r="H18" s="72"/>
      <c r="I18" s="174">
        <v>42314</v>
      </c>
      <c r="J18" s="73"/>
      <c r="K18" s="6"/>
      <c r="L18" s="6"/>
      <c r="M18" s="2"/>
      <c r="N18" s="6"/>
      <c r="O18" s="6"/>
      <c r="P18" s="6"/>
      <c r="Q18" s="2"/>
      <c r="R18" s="71"/>
      <c r="S18" s="72"/>
      <c r="T18" s="6"/>
      <c r="U18" s="73"/>
      <c r="V18" s="6"/>
      <c r="W18" s="6"/>
      <c r="X18" s="2"/>
      <c r="Y18" s="6"/>
      <c r="Z18" s="6"/>
      <c r="AA18" s="6"/>
      <c r="AB18" s="2"/>
      <c r="AC18" s="74"/>
      <c r="AD18" s="72"/>
      <c r="AE18" s="6"/>
      <c r="AF18" s="73"/>
      <c r="AG18" s="6"/>
      <c r="AH18" s="6"/>
      <c r="AI18" s="2"/>
      <c r="AJ18" s="6"/>
    </row>
    <row r="19" spans="1:36" x14ac:dyDescent="0.25">
      <c r="A19" s="1"/>
      <c r="B19" s="2"/>
      <c r="C19" s="67"/>
      <c r="D19" s="68"/>
      <c r="E19" s="69"/>
      <c r="F19" s="143" t="s">
        <v>210</v>
      </c>
      <c r="G19" s="71"/>
      <c r="H19" s="72"/>
      <c r="I19" s="175" t="s">
        <v>245</v>
      </c>
      <c r="J19" s="73"/>
      <c r="K19" s="6"/>
      <c r="L19" s="6"/>
      <c r="M19" s="2"/>
      <c r="N19" s="6"/>
      <c r="O19" s="6"/>
      <c r="P19" s="6"/>
      <c r="Q19" s="2"/>
      <c r="R19" s="71"/>
      <c r="S19" s="72"/>
      <c r="T19" s="6"/>
      <c r="U19" s="73"/>
      <c r="V19" s="6"/>
      <c r="W19" s="6"/>
      <c r="X19" s="2"/>
      <c r="Y19" s="6"/>
      <c r="Z19" s="6"/>
      <c r="AA19" s="6"/>
      <c r="AB19" s="2"/>
      <c r="AC19" s="74"/>
      <c r="AD19" s="72"/>
      <c r="AE19" s="6"/>
      <c r="AF19" s="73"/>
      <c r="AG19" s="6"/>
      <c r="AH19" s="6"/>
      <c r="AI19" s="2"/>
      <c r="AJ19" s="6"/>
    </row>
    <row r="20" spans="1:36" x14ac:dyDescent="0.25">
      <c r="A20" s="1"/>
      <c r="B20" s="2"/>
      <c r="C20" s="67"/>
      <c r="D20" s="68"/>
      <c r="E20" s="69"/>
      <c r="F20" s="172" t="s">
        <v>211</v>
      </c>
      <c r="G20" s="71"/>
      <c r="H20" s="72"/>
      <c r="I20" s="175" t="s">
        <v>211</v>
      </c>
      <c r="J20" s="73"/>
      <c r="K20" s="6"/>
      <c r="L20" s="6"/>
      <c r="M20" s="2"/>
      <c r="N20" s="6"/>
      <c r="O20" s="6"/>
      <c r="P20" s="6"/>
      <c r="Q20" s="2"/>
      <c r="R20" s="71"/>
      <c r="S20" s="72"/>
      <c r="T20" s="6"/>
      <c r="U20" s="73"/>
      <c r="V20" s="6"/>
      <c r="W20" s="6"/>
      <c r="X20" s="2"/>
      <c r="Y20" s="6"/>
      <c r="Z20" s="6"/>
      <c r="AA20" s="6"/>
      <c r="AB20" s="2"/>
      <c r="AC20" s="74"/>
      <c r="AD20" s="72"/>
      <c r="AE20" s="6"/>
      <c r="AF20" s="73"/>
      <c r="AG20" s="6"/>
      <c r="AH20" s="6"/>
      <c r="AI20" s="2"/>
      <c r="AJ20" s="6"/>
    </row>
    <row r="21" spans="1:36" x14ac:dyDescent="0.25">
      <c r="A21" s="1"/>
      <c r="B21" s="80" t="s">
        <v>256</v>
      </c>
      <c r="C21" s="67"/>
      <c r="D21" s="68"/>
      <c r="E21" s="69"/>
      <c r="F21" s="181">
        <v>168</v>
      </c>
      <c r="G21" s="71"/>
      <c r="H21" s="72"/>
      <c r="I21" s="157">
        <v>-123.79</v>
      </c>
      <c r="J21" s="73">
        <f>-I21/F21</f>
        <v>0.73684523809523816</v>
      </c>
      <c r="K21" s="6"/>
      <c r="L21" s="6"/>
      <c r="M21" s="2"/>
      <c r="N21" s="6"/>
      <c r="O21" s="6"/>
      <c r="P21" s="6"/>
      <c r="Q21" s="2"/>
      <c r="R21" s="71"/>
      <c r="S21" s="72"/>
      <c r="T21" s="6"/>
      <c r="U21" s="73"/>
      <c r="V21" s="6"/>
      <c r="W21" s="6"/>
      <c r="X21" s="2"/>
      <c r="Y21" s="6"/>
      <c r="Z21" s="6"/>
      <c r="AA21" s="6"/>
      <c r="AB21" s="2"/>
      <c r="AC21" s="74"/>
      <c r="AD21" s="72"/>
      <c r="AE21" s="6"/>
      <c r="AF21" s="73"/>
      <c r="AG21" s="6"/>
      <c r="AH21" s="6"/>
      <c r="AI21" s="2"/>
      <c r="AJ21" s="6"/>
    </row>
    <row r="22" spans="1:36" x14ac:dyDescent="0.25">
      <c r="A22" s="1"/>
      <c r="B22" s="80" t="s">
        <v>257</v>
      </c>
      <c r="C22" s="67"/>
      <c r="D22" s="68"/>
      <c r="E22" s="69"/>
      <c r="F22" s="181">
        <v>0.67</v>
      </c>
      <c r="G22" s="71"/>
      <c r="H22" s="72"/>
      <c r="I22" s="158">
        <v>-0.38</v>
      </c>
      <c r="J22" s="73">
        <f t="shared" ref="J22:J29" si="5">-I22/F22</f>
        <v>0.56716417910447758</v>
      </c>
      <c r="K22" s="6"/>
      <c r="L22" s="6"/>
      <c r="M22" s="2"/>
      <c r="N22" s="6"/>
      <c r="O22" s="6"/>
      <c r="P22" s="6"/>
      <c r="Q22" s="2"/>
      <c r="R22" s="71"/>
      <c r="S22" s="72"/>
      <c r="T22" s="6"/>
      <c r="U22" s="73"/>
      <c r="V22" s="6"/>
      <c r="W22" s="6"/>
      <c r="X22" s="2"/>
      <c r="Y22" s="6"/>
      <c r="Z22" s="6"/>
      <c r="AA22" s="6"/>
      <c r="AB22" s="2"/>
      <c r="AC22" s="74"/>
      <c r="AD22" s="72"/>
      <c r="AE22" s="6"/>
      <c r="AF22" s="73"/>
      <c r="AG22" s="6"/>
      <c r="AH22" s="6"/>
      <c r="AI22" s="2"/>
      <c r="AJ22" s="6"/>
    </row>
    <row r="23" spans="1:36" x14ac:dyDescent="0.25">
      <c r="A23" s="1"/>
      <c r="B23" s="80" t="s">
        <v>258</v>
      </c>
      <c r="C23" s="67"/>
      <c r="D23" s="68"/>
      <c r="E23" s="69"/>
      <c r="F23" s="181">
        <v>2.29</v>
      </c>
      <c r="G23" s="71"/>
      <c r="H23" s="72"/>
      <c r="I23" s="158">
        <v>-0.37</v>
      </c>
      <c r="J23" s="73">
        <f t="shared" si="5"/>
        <v>0.16157205240174671</v>
      </c>
      <c r="K23" s="6"/>
      <c r="L23" s="6"/>
      <c r="M23" s="2"/>
      <c r="N23" s="6"/>
      <c r="O23" s="6"/>
      <c r="P23" s="6"/>
      <c r="Q23" s="2"/>
      <c r="R23" s="71"/>
      <c r="S23" s="72"/>
      <c r="T23" s="6"/>
      <c r="U23" s="73"/>
      <c r="V23" s="6"/>
      <c r="W23" s="6"/>
      <c r="X23" s="2"/>
      <c r="Y23" s="6"/>
      <c r="Z23" s="6"/>
      <c r="AA23" s="6"/>
      <c r="AB23" s="2"/>
      <c r="AC23" s="74"/>
      <c r="AD23" s="72"/>
      <c r="AE23" s="6"/>
      <c r="AF23" s="73"/>
      <c r="AG23" s="6"/>
      <c r="AH23" s="6"/>
      <c r="AI23" s="2"/>
      <c r="AJ23" s="6"/>
    </row>
    <row r="24" spans="1:36" x14ac:dyDescent="0.25">
      <c r="A24" s="1"/>
      <c r="B24" s="44" t="s">
        <v>259</v>
      </c>
      <c r="C24" s="67"/>
      <c r="D24" s="68"/>
      <c r="E24" s="69"/>
      <c r="F24" s="181">
        <v>0.44</v>
      </c>
      <c r="G24" s="71"/>
      <c r="H24" s="72"/>
      <c r="I24" s="158">
        <v>-0.16</v>
      </c>
      <c r="J24" s="73">
        <f t="shared" si="5"/>
        <v>0.36363636363636365</v>
      </c>
      <c r="K24" s="6"/>
      <c r="L24" s="6"/>
      <c r="M24" s="2"/>
      <c r="N24" s="6"/>
      <c r="O24" s="6"/>
      <c r="P24" s="6"/>
      <c r="Q24" s="2"/>
      <c r="R24" s="71"/>
      <c r="S24" s="72"/>
      <c r="T24" s="6"/>
      <c r="U24" s="73"/>
      <c r="V24" s="6"/>
      <c r="W24" s="6"/>
      <c r="X24" s="2"/>
      <c r="Y24" s="6"/>
      <c r="Z24" s="6"/>
      <c r="AA24" s="6"/>
      <c r="AB24" s="2"/>
      <c r="AC24" s="74"/>
      <c r="AD24" s="72"/>
      <c r="AE24" s="6"/>
      <c r="AF24" s="73"/>
      <c r="AG24" s="6"/>
      <c r="AH24" s="6"/>
      <c r="AI24" s="2"/>
      <c r="AJ24" s="6"/>
    </row>
    <row r="25" spans="1:36" x14ac:dyDescent="0.25">
      <c r="A25" s="1"/>
      <c r="B25" s="44" t="s">
        <v>260</v>
      </c>
      <c r="C25" s="67"/>
      <c r="D25" s="68"/>
      <c r="E25" s="69"/>
      <c r="F25" s="181">
        <v>0.44</v>
      </c>
      <c r="G25" s="71"/>
      <c r="H25" s="72"/>
      <c r="I25" s="148">
        <v>-0.2</v>
      </c>
      <c r="J25" s="73">
        <f t="shared" si="5"/>
        <v>0.45454545454545459</v>
      </c>
      <c r="K25" s="6"/>
      <c r="L25" s="6"/>
      <c r="M25" s="2"/>
      <c r="N25" s="6"/>
      <c r="O25" s="6"/>
      <c r="P25" s="6"/>
      <c r="Q25" s="2"/>
      <c r="R25" s="71"/>
      <c r="S25" s="72"/>
      <c r="T25" s="6"/>
      <c r="U25" s="73"/>
      <c r="V25" s="6"/>
      <c r="W25" s="6"/>
      <c r="X25" s="2"/>
      <c r="Y25" s="6"/>
      <c r="Z25" s="6"/>
      <c r="AA25" s="6"/>
      <c r="AB25" s="2"/>
      <c r="AC25" s="74"/>
      <c r="AD25" s="72"/>
      <c r="AE25" s="6"/>
      <c r="AF25" s="73"/>
      <c r="AG25" s="6"/>
      <c r="AH25" s="6"/>
      <c r="AI25" s="2"/>
      <c r="AJ25" s="6"/>
    </row>
    <row r="26" spans="1:36" x14ac:dyDescent="0.25">
      <c r="A26" s="1"/>
      <c r="B26" s="44" t="s">
        <v>261</v>
      </c>
      <c r="C26" s="67"/>
      <c r="D26" s="68"/>
      <c r="E26" s="69"/>
      <c r="F26" s="181">
        <v>0.375</v>
      </c>
      <c r="G26" s="71"/>
      <c r="H26" s="72"/>
      <c r="I26" s="148">
        <v>-0.25</v>
      </c>
      <c r="J26" s="73">
        <f t="shared" si="5"/>
        <v>0.66666666666666663</v>
      </c>
      <c r="K26" s="6"/>
      <c r="L26" s="6"/>
      <c r="M26" s="2"/>
      <c r="N26" s="6"/>
      <c r="O26" s="6"/>
      <c r="P26" s="6"/>
      <c r="Q26" s="2"/>
      <c r="R26" s="71"/>
      <c r="S26" s="72"/>
      <c r="T26" s="6"/>
      <c r="U26" s="73"/>
      <c r="V26" s="6"/>
      <c r="W26" s="6"/>
      <c r="X26" s="2"/>
      <c r="Y26" s="6"/>
      <c r="Z26" s="6"/>
      <c r="AA26" s="6"/>
      <c r="AB26" s="2"/>
      <c r="AC26" s="74"/>
      <c r="AD26" s="72"/>
      <c r="AE26" s="6"/>
      <c r="AF26" s="73"/>
      <c r="AG26" s="6"/>
      <c r="AH26" s="6"/>
      <c r="AI26" s="2"/>
      <c r="AJ26" s="6"/>
    </row>
    <row r="27" spans="1:36" x14ac:dyDescent="0.25">
      <c r="A27" s="1"/>
      <c r="B27" s="44" t="s">
        <v>262</v>
      </c>
      <c r="C27" s="67"/>
      <c r="D27" s="68"/>
      <c r="E27" s="69"/>
      <c r="F27" s="181">
        <v>1.61</v>
      </c>
      <c r="G27" s="71"/>
      <c r="H27" s="72"/>
      <c r="I27" s="148">
        <v>-1.7</v>
      </c>
      <c r="J27" s="73">
        <f t="shared" si="5"/>
        <v>1.0559006211180124</v>
      </c>
      <c r="K27" s="6"/>
      <c r="L27" s="6"/>
      <c r="M27" s="2"/>
      <c r="N27" s="6"/>
      <c r="O27" s="6"/>
      <c r="P27" s="6"/>
      <c r="Q27" s="2"/>
      <c r="R27" s="71"/>
      <c r="S27" s="72"/>
      <c r="T27" s="6"/>
      <c r="U27" s="73"/>
      <c r="V27" s="6"/>
      <c r="W27" s="6"/>
      <c r="X27" s="2"/>
      <c r="Y27" s="6"/>
      <c r="Z27" s="6"/>
      <c r="AA27" s="6"/>
      <c r="AB27" s="2"/>
      <c r="AC27" s="74"/>
      <c r="AD27" s="72"/>
      <c r="AE27" s="6"/>
      <c r="AF27" s="73"/>
      <c r="AG27" s="6"/>
      <c r="AH27" s="6"/>
      <c r="AI27" s="2"/>
      <c r="AJ27" s="6"/>
    </row>
    <row r="28" spans="1:36" x14ac:dyDescent="0.25">
      <c r="A28" s="1"/>
      <c r="B28" s="44" t="s">
        <v>263</v>
      </c>
      <c r="C28" s="67"/>
      <c r="D28" s="68"/>
      <c r="E28" s="69"/>
      <c r="F28" s="181">
        <v>1.99</v>
      </c>
      <c r="G28" s="71"/>
      <c r="H28" s="72"/>
      <c r="I28" s="158">
        <v>-1.52</v>
      </c>
      <c r="J28" s="73">
        <f t="shared" si="5"/>
        <v>0.76381909547738691</v>
      </c>
      <c r="K28" s="6"/>
      <c r="L28" s="6"/>
      <c r="M28" s="2"/>
      <c r="N28" s="6"/>
      <c r="O28" s="6"/>
      <c r="P28" s="6"/>
      <c r="Q28" s="2"/>
      <c r="R28" s="71"/>
      <c r="S28" s="72"/>
      <c r="T28" s="6"/>
      <c r="U28" s="73"/>
      <c r="V28" s="6"/>
      <c r="W28" s="6"/>
      <c r="X28" s="2"/>
      <c r="Y28" s="6"/>
      <c r="Z28" s="6"/>
      <c r="AA28" s="6"/>
      <c r="AB28" s="2"/>
      <c r="AC28" s="74"/>
      <c r="AD28" s="72"/>
      <c r="AE28" s="6"/>
      <c r="AF28" s="73"/>
      <c r="AG28" s="6"/>
      <c r="AH28" s="6"/>
      <c r="AI28" s="2"/>
      <c r="AJ28" s="6"/>
    </row>
    <row r="29" spans="1:36" x14ac:dyDescent="0.25">
      <c r="A29" s="1"/>
      <c r="B29" s="44" t="s">
        <v>264</v>
      </c>
      <c r="C29" s="67"/>
      <c r="D29" s="68"/>
      <c r="E29" s="69"/>
      <c r="F29" s="181">
        <v>0.44</v>
      </c>
      <c r="G29" s="71"/>
      <c r="H29" s="72"/>
      <c r="I29" s="148">
        <v>-0.24</v>
      </c>
      <c r="J29" s="73">
        <f t="shared" si="5"/>
        <v>0.54545454545454541</v>
      </c>
      <c r="K29" s="6"/>
      <c r="L29" s="6"/>
      <c r="M29" s="2"/>
      <c r="N29" s="6"/>
      <c r="O29" s="6"/>
      <c r="P29" s="6"/>
      <c r="Q29" s="2"/>
      <c r="R29" s="71"/>
      <c r="S29" s="72"/>
      <c r="T29" s="6"/>
      <c r="U29" s="73"/>
      <c r="V29" s="6"/>
      <c r="W29" s="6"/>
      <c r="X29" s="2"/>
      <c r="Y29" s="6"/>
      <c r="Z29" s="6"/>
      <c r="AA29" s="6"/>
      <c r="AB29" s="2"/>
      <c r="AC29" s="74"/>
      <c r="AD29" s="72"/>
      <c r="AE29" s="6"/>
      <c r="AF29" s="73"/>
      <c r="AG29" s="6"/>
      <c r="AH29" s="6"/>
      <c r="AI29" s="2"/>
      <c r="AJ29" s="6"/>
    </row>
    <row r="30" spans="1:36" x14ac:dyDescent="0.25">
      <c r="A30" s="1"/>
      <c r="B30" s="2"/>
      <c r="C30" s="67"/>
      <c r="D30" s="68"/>
      <c r="E30" s="69"/>
      <c r="F30" s="70"/>
      <c r="G30" s="71"/>
      <c r="H30" s="72"/>
      <c r="I30" s="67"/>
      <c r="J30" s="73"/>
      <c r="K30" s="6"/>
      <c r="L30" s="6"/>
      <c r="M30" s="2"/>
      <c r="N30" s="6"/>
      <c r="O30" s="6"/>
      <c r="P30" s="6"/>
      <c r="Q30" s="2"/>
      <c r="R30" s="71"/>
      <c r="S30" s="72"/>
      <c r="T30" s="6"/>
      <c r="U30" s="73"/>
      <c r="V30" s="6"/>
      <c r="W30" s="6"/>
      <c r="X30" s="2"/>
      <c r="Y30" s="6"/>
      <c r="Z30" s="6"/>
      <c r="AA30" s="6"/>
      <c r="AB30" s="2"/>
      <c r="AC30" s="74"/>
      <c r="AD30" s="72"/>
      <c r="AE30" s="6"/>
      <c r="AF30" s="73"/>
      <c r="AG30" s="6"/>
      <c r="AH30" s="6"/>
      <c r="AI30" s="2"/>
      <c r="AJ30" s="6"/>
    </row>
    <row r="31" spans="1:36" x14ac:dyDescent="0.25">
      <c r="A31" s="1"/>
      <c r="B31" s="2"/>
      <c r="C31" s="67"/>
      <c r="D31" s="68"/>
      <c r="E31" s="69"/>
      <c r="F31" s="70"/>
      <c r="G31" s="71"/>
      <c r="H31" s="72"/>
      <c r="I31" s="67"/>
      <c r="J31" s="73"/>
      <c r="K31" s="6"/>
      <c r="L31" s="6"/>
      <c r="M31" s="2"/>
      <c r="N31" s="6"/>
      <c r="O31" s="6"/>
      <c r="P31" s="6"/>
      <c r="Q31" s="2"/>
      <c r="R31" s="71"/>
      <c r="S31" s="72"/>
      <c r="T31" s="6"/>
      <c r="U31" s="73"/>
      <c r="V31" s="6"/>
      <c r="W31" s="6"/>
      <c r="X31" s="2"/>
      <c r="Y31" s="6"/>
      <c r="Z31" s="6"/>
      <c r="AA31" s="6"/>
      <c r="AB31" s="2"/>
      <c r="AC31" s="74"/>
      <c r="AD31" s="72"/>
      <c r="AE31" s="6"/>
      <c r="AF31" s="73"/>
      <c r="AG31" s="6"/>
      <c r="AH31" s="6"/>
      <c r="AI31" s="2"/>
      <c r="AJ31" s="6"/>
    </row>
    <row r="33" spans="2:9" ht="15.75" thickBot="1" x14ac:dyDescent="0.3"/>
    <row r="34" spans="2:9" ht="15.75" thickTop="1" x14ac:dyDescent="0.25">
      <c r="B34" s="196"/>
      <c r="C34" s="198"/>
      <c r="D34" s="198"/>
      <c r="E34" s="198"/>
      <c r="F34" s="197">
        <v>42735</v>
      </c>
      <c r="G34" s="198"/>
      <c r="H34" s="198"/>
      <c r="I34" s="199">
        <v>42735</v>
      </c>
    </row>
    <row r="35" spans="2:9" x14ac:dyDescent="0.25">
      <c r="B35" s="200"/>
      <c r="C35" s="201"/>
      <c r="D35" s="201"/>
      <c r="E35" s="201"/>
      <c r="F35" s="143" t="s">
        <v>210</v>
      </c>
      <c r="G35" s="201"/>
      <c r="H35" s="201"/>
      <c r="I35" s="202" t="s">
        <v>245</v>
      </c>
    </row>
    <row r="36" spans="2:9" x14ac:dyDescent="0.25">
      <c r="B36" s="203" t="s">
        <v>273</v>
      </c>
      <c r="C36" s="217"/>
      <c r="D36" s="217"/>
      <c r="E36" s="217"/>
      <c r="F36" s="204" t="s">
        <v>211</v>
      </c>
      <c r="G36" s="201"/>
      <c r="H36" s="201"/>
      <c r="I36" s="205" t="s">
        <v>211</v>
      </c>
    </row>
    <row r="37" spans="2:9" x14ac:dyDescent="0.25">
      <c r="B37" s="206" t="s">
        <v>274</v>
      </c>
      <c r="C37" s="218"/>
      <c r="D37" s="218"/>
      <c r="E37" s="218"/>
      <c r="F37" s="207">
        <v>147.0723668</v>
      </c>
      <c r="G37" s="59"/>
      <c r="H37" s="208"/>
      <c r="I37" s="209">
        <v>-108.3695731319762</v>
      </c>
    </row>
    <row r="38" spans="2:9" x14ac:dyDescent="0.25">
      <c r="B38" s="206" t="s">
        <v>275</v>
      </c>
      <c r="C38" s="218"/>
      <c r="D38" s="218"/>
      <c r="E38" s="218"/>
      <c r="F38" s="207">
        <v>0.68398715399999999</v>
      </c>
      <c r="G38" s="59"/>
      <c r="H38" s="208"/>
      <c r="I38" s="209">
        <v>-0.38793301271641789</v>
      </c>
    </row>
    <row r="39" spans="2:9" x14ac:dyDescent="0.25">
      <c r="B39" s="206" t="s">
        <v>276</v>
      </c>
      <c r="C39" s="218"/>
      <c r="D39" s="218"/>
      <c r="E39" s="218"/>
      <c r="F39" s="207">
        <v>1.9442985659999998</v>
      </c>
      <c r="G39" s="59"/>
      <c r="H39" s="208"/>
      <c r="I39" s="209">
        <v>-0.31414430979039298</v>
      </c>
    </row>
    <row r="40" spans="2:9" x14ac:dyDescent="0.25">
      <c r="B40" s="210" t="s">
        <v>277</v>
      </c>
      <c r="C40" s="219"/>
      <c r="D40" s="219"/>
      <c r="E40" s="219"/>
      <c r="F40" s="207">
        <v>0.37674735999999998</v>
      </c>
      <c r="G40" s="59"/>
      <c r="H40" s="208"/>
      <c r="I40" s="209">
        <v>-0.13699903999999999</v>
      </c>
    </row>
    <row r="41" spans="2:9" x14ac:dyDescent="0.25">
      <c r="B41" s="210" t="s">
        <v>278</v>
      </c>
      <c r="C41" s="219"/>
      <c r="D41" s="219"/>
      <c r="E41" s="219"/>
      <c r="F41" s="207">
        <v>0.37674735999999998</v>
      </c>
      <c r="G41" s="59"/>
      <c r="H41" s="208"/>
      <c r="I41" s="209">
        <v>-0.17124880000000001</v>
      </c>
    </row>
    <row r="42" spans="2:9" x14ac:dyDescent="0.25">
      <c r="B42" s="210" t="s">
        <v>279</v>
      </c>
      <c r="C42" s="219"/>
      <c r="D42" s="219"/>
      <c r="E42" s="219"/>
      <c r="F42" s="207">
        <v>0.24658749999999999</v>
      </c>
      <c r="G42" s="59"/>
      <c r="H42" s="208"/>
      <c r="I42" s="209">
        <v>-0.16439166666666666</v>
      </c>
    </row>
    <row r="43" spans="2:9" x14ac:dyDescent="0.25">
      <c r="B43" s="210" t="s">
        <v>280</v>
      </c>
      <c r="C43" s="219"/>
      <c r="D43" s="219"/>
      <c r="E43" s="219"/>
      <c r="F43" s="207">
        <v>1.3714462999999999</v>
      </c>
      <c r="G43" s="59"/>
      <c r="H43" s="208"/>
      <c r="I43" s="209">
        <v>-1.4481109999999999</v>
      </c>
    </row>
    <row r="44" spans="2:9" x14ac:dyDescent="0.25">
      <c r="B44" s="210" t="s">
        <v>281</v>
      </c>
      <c r="C44" s="219"/>
      <c r="D44" s="219"/>
      <c r="E44" s="219"/>
      <c r="F44" s="207">
        <v>1.99079425</v>
      </c>
      <c r="G44" s="59"/>
      <c r="H44" s="208"/>
      <c r="I44" s="209">
        <v>-1.5206066633165829</v>
      </c>
    </row>
    <row r="45" spans="2:9" x14ac:dyDescent="0.25">
      <c r="B45" s="210" t="s">
        <v>282</v>
      </c>
      <c r="C45" s="219"/>
      <c r="D45" s="219"/>
      <c r="E45" s="219"/>
      <c r="F45" s="207">
        <v>0.37674735999999998</v>
      </c>
      <c r="G45" s="59"/>
      <c r="H45" s="208"/>
      <c r="I45" s="209">
        <v>-0.20549855999999997</v>
      </c>
    </row>
    <row r="46" spans="2:9" x14ac:dyDescent="0.25">
      <c r="B46" s="200"/>
      <c r="C46" s="201"/>
      <c r="D46" s="201"/>
      <c r="E46" s="201"/>
      <c r="F46" s="201"/>
      <c r="G46" s="59"/>
      <c r="H46" s="201"/>
      <c r="I46" s="211"/>
    </row>
    <row r="47" spans="2:9" x14ac:dyDescent="0.25">
      <c r="B47" s="212" t="s">
        <v>283</v>
      </c>
      <c r="C47" s="220"/>
      <c r="D47" s="220"/>
      <c r="E47" s="220"/>
      <c r="F47" s="213">
        <v>2.0400000000000001E-2</v>
      </c>
      <c r="G47" s="59"/>
      <c r="H47" s="201"/>
      <c r="I47" s="211"/>
    </row>
    <row r="48" spans="2:9" x14ac:dyDescent="0.25">
      <c r="B48" s="200"/>
      <c r="C48" s="201"/>
      <c r="D48" s="201"/>
      <c r="E48" s="201"/>
      <c r="F48" s="201"/>
      <c r="G48" s="59"/>
      <c r="H48" s="201"/>
      <c r="I48" s="211"/>
    </row>
    <row r="49" spans="2:9" ht="15.75" thickBot="1" x14ac:dyDescent="0.3">
      <c r="B49" s="214" t="s">
        <v>284</v>
      </c>
      <c r="C49" s="221"/>
      <c r="D49" s="221"/>
      <c r="E49" s="221"/>
      <c r="F49" s="215"/>
      <c r="G49" s="59"/>
      <c r="H49" s="215"/>
      <c r="I49" s="216"/>
    </row>
    <row r="50" spans="2:9" ht="15.75" thickTop="1" x14ac:dyDescent="0.25"/>
  </sheetData>
  <hyperlinks>
    <hyperlink ref="T5" r:id="rId1"/>
    <hyperlink ref="T6" r:id="rId2"/>
    <hyperlink ref="T7" r:id="rId3"/>
    <hyperlink ref="T8" r:id="rId4"/>
    <hyperlink ref="T9" r:id="rId5"/>
    <hyperlink ref="T12" r:id="rId6"/>
    <hyperlink ref="T14" r:id="rId7"/>
    <hyperlink ref="T13" r:id="rId8"/>
    <hyperlink ref="T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Daniel</vt:lpstr>
      <vt:lpstr>Daniel Import (to Gulf Study)</vt:lpstr>
      <vt:lpstr>Ownership %</vt:lpstr>
      <vt:lpstr>Durations</vt:lpstr>
      <vt:lpstr>Daniel Scrubber 15 08 11</vt:lpstr>
      <vt:lpstr>Sheet1</vt:lpstr>
      <vt:lpstr>Scrap Values</vt:lpstr>
      <vt:lpstr>Daniel!Print_Area</vt:lpstr>
      <vt:lpstr>'Daniel Scrubber 15 08 11'!Print_Area</vt:lpstr>
      <vt:lpstr>Daniel!Print_Titles</vt:lpstr>
      <vt:lpstr>'Daniel Scrubber 15 08 11'!Print_Titles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Cornelius</dc:creator>
  <cp:lastModifiedBy>Cornelius, Richard</cp:lastModifiedBy>
  <dcterms:created xsi:type="dcterms:W3CDTF">2015-10-21T20:37:45Z</dcterms:created>
  <dcterms:modified xsi:type="dcterms:W3CDTF">2016-06-16T13:47:17Z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1617121281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3 of 4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